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מסמכים\"/>
    </mc:Choice>
  </mc:AlternateContent>
  <xr:revisionPtr revIDLastSave="0" documentId="8_{F93B934D-7DF7-43BD-8399-9FCCEA4ADB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פתיח" sheetId="6" r:id="rId1"/>
    <sheet name="ריכוז תקציב" sheetId="4" r:id="rId2"/>
    <sheet name="תקציב מפורט 2025" sheetId="77" r:id="rId3"/>
    <sheet name="גיליון1" sheetId="84" state="hidden" r:id="rId4"/>
    <sheet name="עזר 2025" sheetId="78" state="hidden" r:id="rId5"/>
    <sheet name="תרשימים נוספים" sheetId="66" r:id="rId6"/>
    <sheet name="תקציב שכר" sheetId="76" state="hidden" r:id="rId7"/>
    <sheet name="ביצוע דוח חשב 12.2024" sheetId="83" state="hidden" r:id="rId8"/>
    <sheet name="תקציב 2024" sheetId="72" state="hidden" r:id="rId9"/>
    <sheet name="חלוקה לפי פרקים והתפלגות" sheetId="63" state="hidden" r:id="rId10"/>
    <sheet name="עזר לתרשימים" sheetId="67" state="hidden" r:id="rId11"/>
    <sheet name="גביה 18.12.2024" sheetId="82" state="hidden" r:id="rId12"/>
    <sheet name="שכר 11.2024" sheetId="81" state="hidden" r:id="rId13"/>
  </sheets>
  <externalReferences>
    <externalReference r:id="rId14"/>
    <externalReference r:id="rId15"/>
  </externalReferences>
  <definedNames>
    <definedName name="_xlnm._FilterDatabase" localSheetId="7" hidden="1">'ביצוע דוח חשב 12.2024'!$A$1:$J$556</definedName>
    <definedName name="_xlnm._FilterDatabase" localSheetId="11" hidden="1">'גביה 18.12.2024'!$A$1:$V$86</definedName>
    <definedName name="_xlnm._FilterDatabase" localSheetId="3" hidden="1">גיליון1!$A$1:$E$596</definedName>
    <definedName name="_xlnm._FilterDatabase" localSheetId="8" hidden="1">'תקציב 2024'!$A$1:$D$676</definedName>
    <definedName name="_xlnm._FilterDatabase" localSheetId="2" hidden="1">'תקציב מפורט 2025'!$A$1:$O$573</definedName>
    <definedName name="_xlnm._FilterDatabase" localSheetId="6" hidden="1">'תקציב שכר'!$A$1:$H$1009</definedName>
    <definedName name="_xlnm._FilterDatabase" hidden="1">#N/A</definedName>
    <definedName name="_xlnm.Print_Area" localSheetId="1">'ריכוז תקציב'!$A$1:$O$48</definedName>
    <definedName name="_xlnm.Print_Area" localSheetId="2">'תקציב מפורט 2025'!$A$1:$O$573</definedName>
    <definedName name="_xlnm.Print_Area">#N/A</definedName>
    <definedName name="_xlnm.Print_Titles" localSheetId="2">'תקציב מפורט 2025'!$1:$1</definedName>
    <definedName name="_xlnm.Print_Titles">#N/A</definedName>
    <definedName name="ביאור1חדש">'[1]ביאורים 1, 2 א-ב'!$A$8:$J$71</definedName>
    <definedName name="כספי">[2]כספי!$A$1:$F$605</definedName>
  </definedNames>
  <calcPr calcId="191029"/>
</workbook>
</file>

<file path=xl/calcChain.xml><?xml version="1.0" encoding="utf-8"?>
<calcChain xmlns="http://schemas.openxmlformats.org/spreadsheetml/2006/main">
  <c r="L33" i="4" l="1"/>
  <c r="L38" i="77"/>
  <c r="K284" i="77"/>
  <c r="K264" i="77"/>
  <c r="K241" i="77"/>
  <c r="K301" i="77"/>
  <c r="K269" i="77"/>
  <c r="K258" i="77"/>
  <c r="K426" i="77"/>
  <c r="K528" i="77"/>
  <c r="K404" i="77"/>
  <c r="K512" i="77"/>
  <c r="L553" i="77"/>
  <c r="L462" i="77"/>
  <c r="E5" i="84"/>
  <c r="E6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3" i="84"/>
  <c r="E24" i="84"/>
  <c r="E25" i="84"/>
  <c r="E26" i="84"/>
  <c r="E27" i="84"/>
  <c r="E28" i="84"/>
  <c r="E30" i="84"/>
  <c r="E31" i="84"/>
  <c r="E32" i="84"/>
  <c r="E33" i="84"/>
  <c r="E34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53" i="84"/>
  <c r="E54" i="84"/>
  <c r="E55" i="84"/>
  <c r="E56" i="84"/>
  <c r="E57" i="84"/>
  <c r="E58" i="84"/>
  <c r="E59" i="84"/>
  <c r="E60" i="84"/>
  <c r="E61" i="84"/>
  <c r="E62" i="84"/>
  <c r="E63" i="84"/>
  <c r="E64" i="84"/>
  <c r="E65" i="84"/>
  <c r="E66" i="84"/>
  <c r="E67" i="84"/>
  <c r="E68" i="84"/>
  <c r="E69" i="84"/>
  <c r="E70" i="84"/>
  <c r="E71" i="84"/>
  <c r="E72" i="84"/>
  <c r="E73" i="84"/>
  <c r="E74" i="84"/>
  <c r="E75" i="84"/>
  <c r="E76" i="84"/>
  <c r="E77" i="84"/>
  <c r="E78" i="84"/>
  <c r="E79" i="84"/>
  <c r="E80" i="84"/>
  <c r="E81" i="84"/>
  <c r="E82" i="84"/>
  <c r="E83" i="84"/>
  <c r="E84" i="84"/>
  <c r="E85" i="84"/>
  <c r="E86" i="84"/>
  <c r="E87" i="84"/>
  <c r="E88" i="84"/>
  <c r="E89" i="84"/>
  <c r="E90" i="84"/>
  <c r="E91" i="84"/>
  <c r="E92" i="84"/>
  <c r="E93" i="84"/>
  <c r="E94" i="84"/>
  <c r="E95" i="84"/>
  <c r="E96" i="84"/>
  <c r="E97" i="84"/>
  <c r="E98" i="84"/>
  <c r="E99" i="84"/>
  <c r="E100" i="84"/>
  <c r="E101" i="84"/>
  <c r="E102" i="84"/>
  <c r="E103" i="84"/>
  <c r="E104" i="84"/>
  <c r="E105" i="84"/>
  <c r="E106" i="84"/>
  <c r="E107" i="84"/>
  <c r="E108" i="84"/>
  <c r="E109" i="84"/>
  <c r="E110" i="84"/>
  <c r="E111" i="84"/>
  <c r="E112" i="84"/>
  <c r="E113" i="84"/>
  <c r="E114" i="84"/>
  <c r="E115" i="84"/>
  <c r="E116" i="84"/>
  <c r="E117" i="84"/>
  <c r="E118" i="84"/>
  <c r="E119" i="84"/>
  <c r="E120" i="84"/>
  <c r="E121" i="84"/>
  <c r="E122" i="84"/>
  <c r="E123" i="84"/>
  <c r="E124" i="84"/>
  <c r="E125" i="84"/>
  <c r="E126" i="84"/>
  <c r="E127" i="84"/>
  <c r="E128" i="84"/>
  <c r="E129" i="84"/>
  <c r="E130" i="84"/>
  <c r="E131" i="84"/>
  <c r="E132" i="84"/>
  <c r="E133" i="84"/>
  <c r="E134" i="84"/>
  <c r="E135" i="84"/>
  <c r="E136" i="84"/>
  <c r="E137" i="84"/>
  <c r="E138" i="84"/>
  <c r="E139" i="84"/>
  <c r="E140" i="84"/>
  <c r="E141" i="84"/>
  <c r="E142" i="84"/>
  <c r="E143" i="84"/>
  <c r="E144" i="84"/>
  <c r="E145" i="84"/>
  <c r="E146" i="84"/>
  <c r="E147" i="84"/>
  <c r="E148" i="84"/>
  <c r="E149" i="84"/>
  <c r="E150" i="84"/>
  <c r="E151" i="84"/>
  <c r="E152" i="84"/>
  <c r="E153" i="84"/>
  <c r="E154" i="84"/>
  <c r="E156" i="84"/>
  <c r="E157" i="84"/>
  <c r="E158" i="84"/>
  <c r="E159" i="84"/>
  <c r="E160" i="84"/>
  <c r="E161" i="84"/>
  <c r="E163" i="84"/>
  <c r="E164" i="84"/>
  <c r="E165" i="84"/>
  <c r="E166" i="84"/>
  <c r="E168" i="84"/>
  <c r="E169" i="84"/>
  <c r="E170" i="84"/>
  <c r="E171" i="84"/>
  <c r="E172" i="84"/>
  <c r="E173" i="84"/>
  <c r="E174" i="84"/>
  <c r="E175" i="84"/>
  <c r="E176" i="84"/>
  <c r="E177" i="84"/>
  <c r="E178" i="84"/>
  <c r="E179" i="84"/>
  <c r="E180" i="84"/>
  <c r="E181" i="84"/>
  <c r="E182" i="84"/>
  <c r="E183" i="84"/>
  <c r="E184" i="84"/>
  <c r="E185" i="84"/>
  <c r="E186" i="84"/>
  <c r="E187" i="84"/>
  <c r="E188" i="84"/>
  <c r="E189" i="84"/>
  <c r="E190" i="84"/>
  <c r="E191" i="84"/>
  <c r="E192" i="84"/>
  <c r="E193" i="84"/>
  <c r="E194" i="84"/>
  <c r="E195" i="84"/>
  <c r="E196" i="84"/>
  <c r="E197" i="84"/>
  <c r="E198" i="84"/>
  <c r="E199" i="84"/>
  <c r="E200" i="84"/>
  <c r="E201" i="84"/>
  <c r="E202" i="84"/>
  <c r="E203" i="84"/>
  <c r="E204" i="84"/>
  <c r="E205" i="84"/>
  <c r="E206" i="84"/>
  <c r="E207" i="84"/>
  <c r="E208" i="84"/>
  <c r="E209" i="84"/>
  <c r="E210" i="84"/>
  <c r="E211" i="84"/>
  <c r="E212" i="84"/>
  <c r="E213" i="84"/>
  <c r="E214" i="84"/>
  <c r="E215" i="84"/>
  <c r="E216" i="84"/>
  <c r="E217" i="84"/>
  <c r="E218" i="84"/>
  <c r="E219" i="84"/>
  <c r="E220" i="84"/>
  <c r="E221" i="84"/>
  <c r="E222" i="84"/>
  <c r="E223" i="84"/>
  <c r="E226" i="84"/>
  <c r="E227" i="84"/>
  <c r="E230" i="84"/>
  <c r="E231" i="84"/>
  <c r="E232" i="84"/>
  <c r="E233" i="84"/>
  <c r="E234" i="84"/>
  <c r="E235" i="84"/>
  <c r="E236" i="84"/>
  <c r="E237" i="84"/>
  <c r="E238" i="84"/>
  <c r="E239" i="84"/>
  <c r="E240" i="84"/>
  <c r="E241" i="84"/>
  <c r="E242" i="84"/>
  <c r="E243" i="84"/>
  <c r="E244" i="84"/>
  <c r="E245" i="84"/>
  <c r="E246" i="84"/>
  <c r="E247" i="84"/>
  <c r="E248" i="84"/>
  <c r="E249" i="84"/>
  <c r="E251" i="84"/>
  <c r="E252" i="84"/>
  <c r="E254" i="84"/>
  <c r="E255" i="84"/>
  <c r="E256" i="84"/>
  <c r="E257" i="84"/>
  <c r="E258" i="84"/>
  <c r="E259" i="84"/>
  <c r="E260" i="84"/>
  <c r="E261" i="84"/>
  <c r="E262" i="84"/>
  <c r="E263" i="84"/>
  <c r="E264" i="84"/>
  <c r="E265" i="84"/>
  <c r="E266" i="84"/>
  <c r="E267" i="84"/>
  <c r="E268" i="84"/>
  <c r="E270" i="84"/>
  <c r="E271" i="84"/>
  <c r="E272" i="84"/>
  <c r="E273" i="84"/>
  <c r="E274" i="84"/>
  <c r="E275" i="84"/>
  <c r="E276" i="84"/>
  <c r="E277" i="84"/>
  <c r="E278" i="84"/>
  <c r="E279" i="84"/>
  <c r="E280" i="84"/>
  <c r="E281" i="84"/>
  <c r="E282" i="84"/>
  <c r="E283" i="84"/>
  <c r="E284" i="84"/>
  <c r="E286" i="84"/>
  <c r="E287" i="84"/>
  <c r="E288" i="84"/>
  <c r="E289" i="84"/>
  <c r="E290" i="84"/>
  <c r="E291" i="84"/>
  <c r="E292" i="84"/>
  <c r="E293" i="84"/>
  <c r="E294" i="84"/>
  <c r="E295" i="84"/>
  <c r="E296" i="84"/>
  <c r="E298" i="84"/>
  <c r="E299" i="84"/>
  <c r="E300" i="84"/>
  <c r="E301" i="84"/>
  <c r="E302" i="84"/>
  <c r="E303" i="84"/>
  <c r="E304" i="84"/>
  <c r="E305" i="84"/>
  <c r="E306" i="84"/>
  <c r="E307" i="84"/>
  <c r="E308" i="84"/>
  <c r="E309" i="84"/>
  <c r="E310" i="84"/>
  <c r="E311" i="84"/>
  <c r="E312" i="84"/>
  <c r="E313" i="84"/>
  <c r="E314" i="84"/>
  <c r="E315" i="84"/>
  <c r="E316" i="84"/>
  <c r="E317" i="84"/>
  <c r="E318" i="84"/>
  <c r="E319" i="84"/>
  <c r="E321" i="84"/>
  <c r="E322" i="84"/>
  <c r="E323" i="84"/>
  <c r="E324" i="84"/>
  <c r="E325" i="84"/>
  <c r="E326" i="84"/>
  <c r="E327" i="84"/>
  <c r="E328" i="84"/>
  <c r="E329" i="84"/>
  <c r="E330" i="84"/>
  <c r="E331" i="84"/>
  <c r="E332" i="84"/>
  <c r="E333" i="84"/>
  <c r="E334" i="84"/>
  <c r="E335" i="84"/>
  <c r="E336" i="84"/>
  <c r="E337" i="84"/>
  <c r="E338" i="84"/>
  <c r="E339" i="84"/>
  <c r="E340" i="84"/>
  <c r="E341" i="84"/>
  <c r="E342" i="84"/>
  <c r="E343" i="84"/>
  <c r="E344" i="84"/>
  <c r="E345" i="84"/>
  <c r="E346" i="84"/>
  <c r="E347" i="84"/>
  <c r="E348" i="84"/>
  <c r="E349" i="84"/>
  <c r="E350" i="84"/>
  <c r="E351" i="84"/>
  <c r="E352" i="84"/>
  <c r="E353" i="84"/>
  <c r="E354" i="84"/>
  <c r="E355" i="84"/>
  <c r="E356" i="84"/>
  <c r="E357" i="84"/>
  <c r="E358" i="84"/>
  <c r="E359" i="84"/>
  <c r="E360" i="84"/>
  <c r="E362" i="84"/>
  <c r="E363" i="84"/>
  <c r="E364" i="84"/>
  <c r="E365" i="84"/>
  <c r="E366" i="84"/>
  <c r="E367" i="84"/>
  <c r="E368" i="84"/>
  <c r="E369" i="84"/>
  <c r="E370" i="84"/>
  <c r="E371" i="84"/>
  <c r="E372" i="84"/>
  <c r="E373" i="84"/>
  <c r="E374" i="84"/>
  <c r="E376" i="84"/>
  <c r="E377" i="84"/>
  <c r="E378" i="84"/>
  <c r="E379" i="84"/>
  <c r="E380" i="84"/>
  <c r="E381" i="84"/>
  <c r="E382" i="84"/>
  <c r="E383" i="84"/>
  <c r="E384" i="84"/>
  <c r="E385" i="84"/>
  <c r="E386" i="84"/>
  <c r="E387" i="84"/>
  <c r="E388" i="84"/>
  <c r="E389" i="84"/>
  <c r="E390" i="84"/>
  <c r="E391" i="84"/>
  <c r="E392" i="84"/>
  <c r="E393" i="84"/>
  <c r="E394" i="84"/>
  <c r="E395" i="84"/>
  <c r="E396" i="84"/>
  <c r="E397" i="84"/>
  <c r="E398" i="84"/>
  <c r="E399" i="84"/>
  <c r="E400" i="84"/>
  <c r="E401" i="84"/>
  <c r="E403" i="84"/>
  <c r="E404" i="84"/>
  <c r="E405" i="84"/>
  <c r="E406" i="84"/>
  <c r="E407" i="84"/>
  <c r="E408" i="84"/>
  <c r="E410" i="84"/>
  <c r="E411" i="84"/>
  <c r="E412" i="84"/>
  <c r="E413" i="84"/>
  <c r="E414" i="84"/>
  <c r="E415" i="84"/>
  <c r="E416" i="84"/>
  <c r="E417" i="84"/>
  <c r="E418" i="84"/>
  <c r="E419" i="84"/>
  <c r="E420" i="84"/>
  <c r="E421" i="84"/>
  <c r="E422" i="84"/>
  <c r="E423" i="84"/>
  <c r="E424" i="84"/>
  <c r="E425" i="84"/>
  <c r="E426" i="84"/>
  <c r="E427" i="84"/>
  <c r="E428" i="84"/>
  <c r="E429" i="84"/>
  <c r="E430" i="84"/>
  <c r="E431" i="84"/>
  <c r="E432" i="84"/>
  <c r="E433" i="84"/>
  <c r="E434" i="84"/>
  <c r="E435" i="84"/>
  <c r="E436" i="84"/>
  <c r="E437" i="84"/>
  <c r="E438" i="84"/>
  <c r="E439" i="84"/>
  <c r="E440" i="84"/>
  <c r="E441" i="84"/>
  <c r="E442" i="84"/>
  <c r="E443" i="84"/>
  <c r="E444" i="84"/>
  <c r="E445" i="84"/>
  <c r="E446" i="84"/>
  <c r="E447" i="84"/>
  <c r="E448" i="84"/>
  <c r="E449" i="84"/>
  <c r="E451" i="84"/>
  <c r="E452" i="84"/>
  <c r="E453" i="84"/>
  <c r="E454" i="84"/>
  <c r="E455" i="84"/>
  <c r="E456" i="84"/>
  <c r="E457" i="84"/>
  <c r="E458" i="84"/>
  <c r="E459" i="84"/>
  <c r="E460" i="84"/>
  <c r="E461" i="84"/>
  <c r="E462" i="84"/>
  <c r="E463" i="84"/>
  <c r="E464" i="84"/>
  <c r="E465" i="84"/>
  <c r="E467" i="84"/>
  <c r="E469" i="84"/>
  <c r="E470" i="84"/>
  <c r="E471" i="84"/>
  <c r="E472" i="84"/>
  <c r="E473" i="84"/>
  <c r="E474" i="84"/>
  <c r="E476" i="84"/>
  <c r="E477" i="84"/>
  <c r="E478" i="84"/>
  <c r="E479" i="84"/>
  <c r="E480" i="84"/>
  <c r="E481" i="84"/>
  <c r="E482" i="84"/>
  <c r="E484" i="84"/>
  <c r="E485" i="84"/>
  <c r="E486" i="84"/>
  <c r="E487" i="84"/>
  <c r="E488" i="84"/>
  <c r="E489" i="84"/>
  <c r="E490" i="84"/>
  <c r="E491" i="84"/>
  <c r="E492" i="84"/>
  <c r="E493" i="84"/>
  <c r="E495" i="84"/>
  <c r="E496" i="84"/>
  <c r="E497" i="84"/>
  <c r="E498" i="84"/>
  <c r="E499" i="84"/>
  <c r="E500" i="84"/>
  <c r="E501" i="84"/>
  <c r="E502" i="84"/>
  <c r="E503" i="84"/>
  <c r="E505" i="84"/>
  <c r="E506" i="84"/>
  <c r="E507" i="84"/>
  <c r="E508" i="84"/>
  <c r="E509" i="84"/>
  <c r="E510" i="84"/>
  <c r="E511" i="84"/>
  <c r="E512" i="84"/>
  <c r="E513" i="84"/>
  <c r="E514" i="84"/>
  <c r="E515" i="84"/>
  <c r="E516" i="84"/>
  <c r="E517" i="84"/>
  <c r="E518" i="84"/>
  <c r="E519" i="84"/>
  <c r="E520" i="84"/>
  <c r="E521" i="84"/>
  <c r="E522" i="84"/>
  <c r="E523" i="84"/>
  <c r="E524" i="84"/>
  <c r="E525" i="84"/>
  <c r="E526" i="84"/>
  <c r="E527" i="84"/>
  <c r="E528" i="84"/>
  <c r="E529" i="84"/>
  <c r="E530" i="84"/>
  <c r="E531" i="84"/>
  <c r="E532" i="84"/>
  <c r="E533" i="84"/>
  <c r="E534" i="84"/>
  <c r="E535" i="84"/>
  <c r="E536" i="84"/>
  <c r="E537" i="84"/>
  <c r="E538" i="84"/>
  <c r="E539" i="84"/>
  <c r="E540" i="84"/>
  <c r="E541" i="84"/>
  <c r="E542" i="84"/>
  <c r="E543" i="84"/>
  <c r="E544" i="84"/>
  <c r="E545" i="84"/>
  <c r="E546" i="84"/>
  <c r="E547" i="84"/>
  <c r="E548" i="84"/>
  <c r="E549" i="84"/>
  <c r="E550" i="84"/>
  <c r="E551" i="84"/>
  <c r="E552" i="84"/>
  <c r="E553" i="84"/>
  <c r="E554" i="84"/>
  <c r="E555" i="84"/>
  <c r="E556" i="84"/>
  <c r="E557" i="84"/>
  <c r="E558" i="84"/>
  <c r="E559" i="84"/>
  <c r="E560" i="84"/>
  <c r="E561" i="84"/>
  <c r="E562" i="84"/>
  <c r="E563" i="84"/>
  <c r="E564" i="84"/>
  <c r="E565" i="84"/>
  <c r="E566" i="84"/>
  <c r="E567" i="84"/>
  <c r="E568" i="84"/>
  <c r="E569" i="84"/>
  <c r="E570" i="84"/>
  <c r="E571" i="84"/>
  <c r="E572" i="84"/>
  <c r="E573" i="84"/>
  <c r="E574" i="84"/>
  <c r="E575" i="84"/>
  <c r="E576" i="84"/>
  <c r="E577" i="84"/>
  <c r="E578" i="84"/>
  <c r="E579" i="84"/>
  <c r="E580" i="84"/>
  <c r="E581" i="84"/>
  <c r="E582" i="84"/>
  <c r="E583" i="84"/>
  <c r="E584" i="84"/>
  <c r="E585" i="84"/>
  <c r="E586" i="84"/>
  <c r="E587" i="84"/>
  <c r="E588" i="84"/>
  <c r="E589" i="84"/>
  <c r="E590" i="84"/>
  <c r="E591" i="84"/>
  <c r="E592" i="84"/>
  <c r="E593" i="84"/>
  <c r="E594" i="84"/>
  <c r="E595" i="84"/>
  <c r="E3" i="84"/>
  <c r="E571" i="77" l="1"/>
  <c r="F571" i="77"/>
  <c r="G571" i="77"/>
  <c r="J571" i="77"/>
  <c r="M571" i="77"/>
  <c r="N571" i="77"/>
  <c r="O571" i="77"/>
  <c r="D571" i="77"/>
  <c r="E566" i="77"/>
  <c r="F566" i="77"/>
  <c r="G566" i="77"/>
  <c r="I566" i="77"/>
  <c r="J566" i="77"/>
  <c r="L566" i="77"/>
  <c r="M566" i="77"/>
  <c r="N566" i="77"/>
  <c r="O566" i="77"/>
  <c r="D566" i="77"/>
  <c r="E561" i="77"/>
  <c r="F561" i="77"/>
  <c r="G561" i="77"/>
  <c r="I561" i="77"/>
  <c r="J561" i="77"/>
  <c r="L561" i="77"/>
  <c r="M561" i="77"/>
  <c r="N561" i="77"/>
  <c r="D561" i="77"/>
  <c r="E555" i="77"/>
  <c r="F555" i="77"/>
  <c r="G555" i="77"/>
  <c r="I555" i="77"/>
  <c r="J555" i="77"/>
  <c r="L555" i="77"/>
  <c r="M555" i="77"/>
  <c r="N555" i="77"/>
  <c r="O555" i="77"/>
  <c r="D555" i="77"/>
  <c r="E553" i="77"/>
  <c r="F553" i="77"/>
  <c r="G553" i="77"/>
  <c r="J553" i="77"/>
  <c r="M553" i="77"/>
  <c r="N553" i="77"/>
  <c r="O553" i="77"/>
  <c r="D553" i="77"/>
  <c r="E548" i="77"/>
  <c r="F548" i="77"/>
  <c r="G548" i="77"/>
  <c r="I548" i="77"/>
  <c r="J548" i="77"/>
  <c r="L548" i="77"/>
  <c r="M548" i="77"/>
  <c r="N548" i="77"/>
  <c r="O548" i="77"/>
  <c r="D548" i="77"/>
  <c r="E533" i="77"/>
  <c r="F533" i="77"/>
  <c r="G533" i="77"/>
  <c r="I533" i="77"/>
  <c r="J533" i="77"/>
  <c r="L533" i="77"/>
  <c r="M533" i="77"/>
  <c r="N533" i="77"/>
  <c r="D533" i="77"/>
  <c r="E519" i="77"/>
  <c r="F519" i="77"/>
  <c r="G519" i="77"/>
  <c r="J519" i="77"/>
  <c r="L519" i="77"/>
  <c r="N519" i="77"/>
  <c r="D519" i="77"/>
  <c r="E505" i="77"/>
  <c r="F505" i="77"/>
  <c r="G505" i="77"/>
  <c r="J505" i="77"/>
  <c r="L505" i="77"/>
  <c r="N505" i="77"/>
  <c r="D505" i="77"/>
  <c r="E497" i="77"/>
  <c r="F497" i="77"/>
  <c r="G497" i="77"/>
  <c r="J497" i="77"/>
  <c r="L497" i="77"/>
  <c r="M497" i="77"/>
  <c r="N497" i="77"/>
  <c r="D497" i="77"/>
  <c r="E488" i="77"/>
  <c r="F488" i="77"/>
  <c r="G488" i="77"/>
  <c r="J488" i="77"/>
  <c r="L488" i="77"/>
  <c r="N488" i="77"/>
  <c r="O488" i="77"/>
  <c r="D488" i="77"/>
  <c r="E477" i="77"/>
  <c r="F477" i="77"/>
  <c r="G477" i="77"/>
  <c r="J477" i="77"/>
  <c r="L477" i="77"/>
  <c r="N477" i="77"/>
  <c r="O477" i="77"/>
  <c r="D477" i="77"/>
  <c r="E468" i="77"/>
  <c r="F468" i="77"/>
  <c r="G468" i="77"/>
  <c r="J468" i="77"/>
  <c r="L468" i="77"/>
  <c r="M468" i="77"/>
  <c r="N468" i="77"/>
  <c r="D468" i="77"/>
  <c r="E462" i="77"/>
  <c r="F462" i="77"/>
  <c r="G462" i="77"/>
  <c r="J462" i="77"/>
  <c r="N462" i="77"/>
  <c r="O462" i="77"/>
  <c r="D462" i="77"/>
  <c r="E437" i="77"/>
  <c r="F437" i="77"/>
  <c r="G437" i="77"/>
  <c r="J437" i="77"/>
  <c r="N437" i="77"/>
  <c r="D437" i="77"/>
  <c r="E406" i="77"/>
  <c r="F406" i="77"/>
  <c r="G406" i="77"/>
  <c r="J406" i="77"/>
  <c r="L406" i="77"/>
  <c r="M406" i="77"/>
  <c r="N406" i="77"/>
  <c r="D406" i="77"/>
  <c r="E403" i="77"/>
  <c r="F403" i="77"/>
  <c r="G403" i="77"/>
  <c r="J403" i="77"/>
  <c r="N403" i="77"/>
  <c r="D403" i="77"/>
  <c r="E391" i="77"/>
  <c r="F391" i="77"/>
  <c r="G391" i="77"/>
  <c r="J391" i="77"/>
  <c r="L391" i="77"/>
  <c r="M391" i="77"/>
  <c r="N391" i="77"/>
  <c r="D391" i="77"/>
  <c r="E385" i="77"/>
  <c r="F385" i="77"/>
  <c r="G385" i="77"/>
  <c r="J385" i="77"/>
  <c r="L385" i="77"/>
  <c r="N385" i="77"/>
  <c r="D385" i="77"/>
  <c r="E360" i="77"/>
  <c r="F360" i="77"/>
  <c r="G360" i="77"/>
  <c r="J360" i="77"/>
  <c r="L360" i="77"/>
  <c r="N360" i="77"/>
  <c r="D360" i="77"/>
  <c r="E338" i="77"/>
  <c r="F338" i="77"/>
  <c r="G338" i="77"/>
  <c r="J338" i="77"/>
  <c r="L338" i="77"/>
  <c r="N338" i="77"/>
  <c r="D338" i="77"/>
  <c r="E328" i="77"/>
  <c r="F328" i="77"/>
  <c r="G328" i="77"/>
  <c r="I328" i="77"/>
  <c r="J328" i="77"/>
  <c r="L328" i="77"/>
  <c r="M328" i="77"/>
  <c r="N328" i="77"/>
  <c r="O328" i="77"/>
  <c r="D328" i="77"/>
  <c r="E325" i="77"/>
  <c r="F325" i="77"/>
  <c r="G325" i="77"/>
  <c r="J325" i="77"/>
  <c r="L325" i="77"/>
  <c r="M325" i="77"/>
  <c r="N325" i="77"/>
  <c r="O325" i="77"/>
  <c r="D325" i="77"/>
  <c r="E311" i="77"/>
  <c r="F311" i="77"/>
  <c r="G311" i="77"/>
  <c r="J311" i="77"/>
  <c r="L311" i="77"/>
  <c r="M311" i="77"/>
  <c r="N311" i="77"/>
  <c r="O311" i="77"/>
  <c r="D311" i="77"/>
  <c r="E306" i="77"/>
  <c r="F306" i="77"/>
  <c r="G306" i="77"/>
  <c r="J306" i="77"/>
  <c r="L306" i="77"/>
  <c r="N306" i="77"/>
  <c r="D306" i="77"/>
  <c r="E288" i="77"/>
  <c r="F288" i="77"/>
  <c r="G288" i="77"/>
  <c r="J288" i="77"/>
  <c r="L288" i="77"/>
  <c r="M288" i="77"/>
  <c r="N288" i="77"/>
  <c r="O288" i="77"/>
  <c r="D288" i="77"/>
  <c r="E278" i="77"/>
  <c r="F278" i="77"/>
  <c r="G278" i="77"/>
  <c r="J278" i="77"/>
  <c r="L278" i="77"/>
  <c r="M278" i="77"/>
  <c r="N278" i="77"/>
  <c r="O278" i="77"/>
  <c r="D278" i="77"/>
  <c r="E273" i="77"/>
  <c r="F273" i="77"/>
  <c r="G273" i="77"/>
  <c r="J273" i="77"/>
  <c r="L273" i="77"/>
  <c r="N273" i="77"/>
  <c r="D273" i="77"/>
  <c r="E259" i="77"/>
  <c r="F259" i="77"/>
  <c r="G259" i="77"/>
  <c r="I259" i="77"/>
  <c r="J259" i="77"/>
  <c r="L259" i="77"/>
  <c r="M259" i="77"/>
  <c r="N259" i="77"/>
  <c r="O259" i="77"/>
  <c r="D259" i="77"/>
  <c r="E257" i="77"/>
  <c r="F257" i="77"/>
  <c r="G257" i="77"/>
  <c r="I257" i="77"/>
  <c r="J257" i="77"/>
  <c r="L257" i="77"/>
  <c r="M257" i="77"/>
  <c r="N257" i="77"/>
  <c r="D257" i="77"/>
  <c r="E254" i="77"/>
  <c r="F254" i="77"/>
  <c r="G254" i="77"/>
  <c r="J254" i="77"/>
  <c r="L254" i="77"/>
  <c r="M254" i="77"/>
  <c r="N254" i="77"/>
  <c r="O254" i="77"/>
  <c r="D254" i="77"/>
  <c r="E251" i="77"/>
  <c r="F251" i="77"/>
  <c r="G251" i="77"/>
  <c r="J251" i="77"/>
  <c r="L251" i="77"/>
  <c r="N251" i="77"/>
  <c r="O251" i="77"/>
  <c r="D251" i="77"/>
  <c r="E248" i="77"/>
  <c r="F248" i="77"/>
  <c r="G248" i="77"/>
  <c r="J248" i="77"/>
  <c r="L248" i="77"/>
  <c r="M248" i="77"/>
  <c r="N248" i="77"/>
  <c r="O248" i="77"/>
  <c r="D248" i="77"/>
  <c r="E238" i="77"/>
  <c r="F238" i="77"/>
  <c r="G238" i="77"/>
  <c r="J238" i="77"/>
  <c r="L238" i="77"/>
  <c r="M238" i="77"/>
  <c r="N238" i="77"/>
  <c r="O238" i="77"/>
  <c r="D238" i="77"/>
  <c r="L400" i="77"/>
  <c r="L403" i="77" s="1"/>
  <c r="L10" i="77"/>
  <c r="L8" i="77"/>
  <c r="L5" i="77"/>
  <c r="L58" i="77"/>
  <c r="L127" i="77"/>
  <c r="L55" i="77"/>
  <c r="D31" i="77"/>
  <c r="E35" i="84" s="1"/>
  <c r="K394" i="77"/>
  <c r="L164" i="77"/>
  <c r="L210" i="77"/>
  <c r="L143" i="77"/>
  <c r="L549" i="77" l="1"/>
  <c r="O438" i="77"/>
  <c r="D329" i="77"/>
  <c r="N438" i="77"/>
  <c r="J549" i="77"/>
  <c r="J438" i="77"/>
  <c r="D549" i="77"/>
  <c r="G438" i="77"/>
  <c r="O549" i="77"/>
  <c r="G549" i="77"/>
  <c r="F438" i="77"/>
  <c r="N549" i="77"/>
  <c r="F549" i="77"/>
  <c r="D438" i="77"/>
  <c r="E438" i="77"/>
  <c r="E549" i="77"/>
  <c r="K261" i="77"/>
  <c r="K567" i="77"/>
  <c r="K217" i="77"/>
  <c r="D572" i="77" l="1"/>
  <c r="K542" i="77"/>
  <c r="J473" i="83" s="1"/>
  <c r="K543" i="77"/>
  <c r="J474" i="83" s="1"/>
  <c r="K544" i="77"/>
  <c r="J530" i="83" s="1"/>
  <c r="J252" i="83"/>
  <c r="J255" i="83"/>
  <c r="J237" i="83"/>
  <c r="K127" i="77"/>
  <c r="J159" i="83" s="1"/>
  <c r="K155" i="77"/>
  <c r="J146" i="83" s="1"/>
  <c r="K156" i="77"/>
  <c r="J147" i="83" s="1"/>
  <c r="K133" i="77"/>
  <c r="J130" i="83" s="1"/>
  <c r="J31" i="83"/>
  <c r="J26" i="83"/>
  <c r="J215" i="83"/>
  <c r="J232" i="83"/>
  <c r="J239" i="83"/>
  <c r="J244" i="83"/>
  <c r="J246" i="83"/>
  <c r="J247" i="83"/>
  <c r="J311" i="83"/>
  <c r="J313" i="83"/>
  <c r="J335" i="83"/>
  <c r="J345" i="83"/>
  <c r="J350" i="83"/>
  <c r="J364" i="83"/>
  <c r="J367" i="83"/>
  <c r="J385" i="83"/>
  <c r="J386" i="83"/>
  <c r="J389" i="83"/>
  <c r="J434" i="83"/>
  <c r="J435" i="83"/>
  <c r="J485" i="83"/>
  <c r="J498" i="83"/>
  <c r="J508" i="83"/>
  <c r="J531" i="83"/>
  <c r="J540" i="83"/>
  <c r="J548" i="83"/>
  <c r="J553" i="83"/>
  <c r="K570" i="77"/>
  <c r="J554" i="83" s="1"/>
  <c r="J552" i="83"/>
  <c r="J551" i="83"/>
  <c r="K568" i="77"/>
  <c r="J550" i="83" s="1"/>
  <c r="J549" i="83"/>
  <c r="K565" i="77"/>
  <c r="J547" i="83" s="1"/>
  <c r="K564" i="77"/>
  <c r="J546" i="83" s="1"/>
  <c r="K563" i="77"/>
  <c r="J545" i="83" s="1"/>
  <c r="K562" i="77"/>
  <c r="K560" i="77"/>
  <c r="J543" i="83" s="1"/>
  <c r="K559" i="77"/>
  <c r="J542" i="83" s="1"/>
  <c r="K558" i="77"/>
  <c r="J541" i="83" s="1"/>
  <c r="K557" i="77"/>
  <c r="J539" i="83" s="1"/>
  <c r="K556" i="77"/>
  <c r="K554" i="77"/>
  <c r="J536" i="83"/>
  <c r="K550" i="77"/>
  <c r="K547" i="77"/>
  <c r="J534" i="83" s="1"/>
  <c r="K546" i="77"/>
  <c r="J533" i="83" s="1"/>
  <c r="K545" i="77"/>
  <c r="J532" i="83" s="1"/>
  <c r="K541" i="77"/>
  <c r="J529" i="83" s="1"/>
  <c r="K540" i="77"/>
  <c r="J528" i="83" s="1"/>
  <c r="K539" i="77"/>
  <c r="J527" i="83" s="1"/>
  <c r="K538" i="77"/>
  <c r="J526" i="83" s="1"/>
  <c r="K537" i="77"/>
  <c r="J525" i="83" s="1"/>
  <c r="K536" i="77"/>
  <c r="J524" i="83" s="1"/>
  <c r="J523" i="83"/>
  <c r="K534" i="77"/>
  <c r="K532" i="77"/>
  <c r="J521" i="83" s="1"/>
  <c r="K531" i="77"/>
  <c r="J520" i="83" s="1"/>
  <c r="K530" i="77"/>
  <c r="J519" i="83" s="1"/>
  <c r="K529" i="77"/>
  <c r="J518" i="83" s="1"/>
  <c r="J517" i="83"/>
  <c r="K527" i="77"/>
  <c r="J516" i="83" s="1"/>
  <c r="K526" i="77"/>
  <c r="J515" i="83" s="1"/>
  <c r="K525" i="77"/>
  <c r="J514" i="83" s="1"/>
  <c r="K524" i="77"/>
  <c r="J513" i="83" s="1"/>
  <c r="J512" i="83"/>
  <c r="J511" i="83"/>
  <c r="K521" i="77"/>
  <c r="J510" i="83" s="1"/>
  <c r="K520" i="77"/>
  <c r="J507" i="83"/>
  <c r="K517" i="77"/>
  <c r="J506" i="83" s="1"/>
  <c r="K516" i="77"/>
  <c r="J505" i="83" s="1"/>
  <c r="K515" i="77"/>
  <c r="J504" i="83" s="1"/>
  <c r="K514" i="77"/>
  <c r="J503" i="83" s="1"/>
  <c r="K513" i="77"/>
  <c r="J502" i="83" s="1"/>
  <c r="J501" i="83"/>
  <c r="K511" i="77"/>
  <c r="J500" i="83" s="1"/>
  <c r="J499" i="83"/>
  <c r="K509" i="77"/>
  <c r="J497" i="83" s="1"/>
  <c r="K508" i="77"/>
  <c r="J496" i="83" s="1"/>
  <c r="K507" i="77"/>
  <c r="J494" i="83"/>
  <c r="K504" i="77"/>
  <c r="J493" i="83" s="1"/>
  <c r="J492" i="83"/>
  <c r="J491" i="83"/>
  <c r="K501" i="77"/>
  <c r="J490" i="83" s="1"/>
  <c r="K500" i="77"/>
  <c r="J489" i="83" s="1"/>
  <c r="K499" i="77"/>
  <c r="J488" i="83" s="1"/>
  <c r="K498" i="77"/>
  <c r="J486" i="83"/>
  <c r="K495" i="77"/>
  <c r="J484" i="83" s="1"/>
  <c r="K494" i="77"/>
  <c r="J483" i="83" s="1"/>
  <c r="K493" i="77"/>
  <c r="J482" i="83" s="1"/>
  <c r="J481" i="83"/>
  <c r="J480" i="83"/>
  <c r="K490" i="77"/>
  <c r="J479" i="83" s="1"/>
  <c r="K489" i="77"/>
  <c r="K487" i="77"/>
  <c r="J477" i="83" s="1"/>
  <c r="J476" i="83"/>
  <c r="K485" i="77"/>
  <c r="J475" i="83" s="1"/>
  <c r="K484" i="77"/>
  <c r="J472" i="83" s="1"/>
  <c r="K483" i="77"/>
  <c r="J471" i="83" s="1"/>
  <c r="J470" i="83"/>
  <c r="J469" i="83"/>
  <c r="J468" i="83"/>
  <c r="K480" i="77"/>
  <c r="J467" i="83" s="1"/>
  <c r="K479" i="77"/>
  <c r="J466" i="83" s="1"/>
  <c r="K478" i="77"/>
  <c r="K476" i="77"/>
  <c r="J464" i="83" s="1"/>
  <c r="K475" i="77"/>
  <c r="J463" i="83" s="1"/>
  <c r="K474" i="77"/>
  <c r="J462" i="83" s="1"/>
  <c r="K473" i="77"/>
  <c r="J461" i="83" s="1"/>
  <c r="J460" i="83"/>
  <c r="K472" i="77"/>
  <c r="J459" i="83" s="1"/>
  <c r="K471" i="77"/>
  <c r="J458" i="83" s="1"/>
  <c r="K470" i="77"/>
  <c r="J457" i="83" s="1"/>
  <c r="K469" i="77"/>
  <c r="K467" i="77"/>
  <c r="J455" i="83" s="1"/>
  <c r="K466" i="77"/>
  <c r="J454" i="83" s="1"/>
  <c r="J453" i="83"/>
  <c r="K464" i="77"/>
  <c r="J452" i="83" s="1"/>
  <c r="K463" i="77"/>
  <c r="J450" i="83"/>
  <c r="J449" i="83"/>
  <c r="K460" i="77"/>
  <c r="J448" i="83" s="1"/>
  <c r="K459" i="77"/>
  <c r="J447" i="83" s="1"/>
  <c r="K458" i="77"/>
  <c r="J446" i="83" s="1"/>
  <c r="K457" i="77"/>
  <c r="J445" i="83" s="1"/>
  <c r="K456" i="77"/>
  <c r="J444" i="83" s="1"/>
  <c r="J443" i="83"/>
  <c r="K455" i="77"/>
  <c r="J442" i="83" s="1"/>
  <c r="K454" i="77"/>
  <c r="J441" i="83" s="1"/>
  <c r="J440" i="83"/>
  <c r="K452" i="77"/>
  <c r="J439" i="83" s="1"/>
  <c r="K451" i="77"/>
  <c r="J438" i="83" s="1"/>
  <c r="K450" i="77"/>
  <c r="J437" i="83" s="1"/>
  <c r="J436" i="83"/>
  <c r="K449" i="77"/>
  <c r="J433" i="83" s="1"/>
  <c r="J432" i="83"/>
  <c r="K448" i="77"/>
  <c r="J431" i="83" s="1"/>
  <c r="K447" i="77"/>
  <c r="J430" i="83" s="1"/>
  <c r="K446" i="77"/>
  <c r="J429" i="83" s="1"/>
  <c r="J428" i="83"/>
  <c r="J427" i="83"/>
  <c r="J426" i="83"/>
  <c r="K440" i="77"/>
  <c r="J425" i="83" s="1"/>
  <c r="J424" i="83"/>
  <c r="K439" i="77"/>
  <c r="J422" i="83"/>
  <c r="J421" i="83"/>
  <c r="K434" i="77"/>
  <c r="J420" i="83" s="1"/>
  <c r="K433" i="77"/>
  <c r="J419" i="83" s="1"/>
  <c r="J418" i="83"/>
  <c r="K432" i="77"/>
  <c r="J417" i="83" s="1"/>
  <c r="K431" i="77"/>
  <c r="J416" i="83" s="1"/>
  <c r="K430" i="77"/>
  <c r="J415" i="83" s="1"/>
  <c r="K429" i="77"/>
  <c r="J414" i="83" s="1"/>
  <c r="K428" i="77"/>
  <c r="J413" i="83" s="1"/>
  <c r="J412" i="83"/>
  <c r="J411" i="83"/>
  <c r="K425" i="77"/>
  <c r="J410" i="83" s="1"/>
  <c r="K424" i="77"/>
  <c r="J409" i="83" s="1"/>
  <c r="K423" i="77"/>
  <c r="J408" i="83" s="1"/>
  <c r="K422" i="77"/>
  <c r="J407" i="83" s="1"/>
  <c r="K421" i="77"/>
  <c r="J406" i="83" s="1"/>
  <c r="K420" i="77"/>
  <c r="J405" i="83" s="1"/>
  <c r="J404" i="83"/>
  <c r="K418" i="77"/>
  <c r="J403" i="83" s="1"/>
  <c r="K417" i="77"/>
  <c r="J402" i="83" s="1"/>
  <c r="K416" i="77"/>
  <c r="J401" i="83" s="1"/>
  <c r="K414" i="77"/>
  <c r="J400" i="83" s="1"/>
  <c r="K413" i="77"/>
  <c r="J399" i="83" s="1"/>
  <c r="K412" i="77"/>
  <c r="J398" i="83" s="1"/>
  <c r="K411" i="77"/>
  <c r="J397" i="83" s="1"/>
  <c r="K410" i="77"/>
  <c r="J396" i="83" s="1"/>
  <c r="J395" i="83"/>
  <c r="K408" i="77"/>
  <c r="J394" i="83" s="1"/>
  <c r="K407" i="77"/>
  <c r="K405" i="77"/>
  <c r="J392" i="83" s="1"/>
  <c r="K402" i="77"/>
  <c r="J390" i="83" s="1"/>
  <c r="K401" i="77"/>
  <c r="J388" i="83" s="1"/>
  <c r="K400" i="77"/>
  <c r="J387" i="83" s="1"/>
  <c r="K399" i="77"/>
  <c r="J384" i="83" s="1"/>
  <c r="J383" i="83"/>
  <c r="K398" i="77"/>
  <c r="J382" i="83" s="1"/>
  <c r="K397" i="77"/>
  <c r="J381" i="83" s="1"/>
  <c r="K396" i="77"/>
  <c r="J380" i="83" s="1"/>
  <c r="J379" i="83"/>
  <c r="J378" i="83"/>
  <c r="J377" i="83"/>
  <c r="K392" i="77"/>
  <c r="K390" i="77"/>
  <c r="J375" i="83" s="1"/>
  <c r="K389" i="77"/>
  <c r="J374" i="83" s="1"/>
  <c r="K388" i="77"/>
  <c r="J373" i="83" s="1"/>
  <c r="K387" i="77"/>
  <c r="J372" i="83" s="1"/>
  <c r="J371" i="83"/>
  <c r="K386" i="77"/>
  <c r="K384" i="77"/>
  <c r="J369" i="83" s="1"/>
  <c r="K383" i="77"/>
  <c r="J368" i="83" s="1"/>
  <c r="J366" i="83"/>
  <c r="K381" i="77"/>
  <c r="J365" i="83" s="1"/>
  <c r="K380" i="77"/>
  <c r="J363" i="83" s="1"/>
  <c r="K379" i="77"/>
  <c r="J362" i="83" s="1"/>
  <c r="K377" i="77"/>
  <c r="J361" i="83" s="1"/>
  <c r="K376" i="77"/>
  <c r="J360" i="83" s="1"/>
  <c r="K375" i="77"/>
  <c r="J359" i="83" s="1"/>
  <c r="K374" i="77"/>
  <c r="J358" i="83" s="1"/>
  <c r="K373" i="77"/>
  <c r="J357" i="83" s="1"/>
  <c r="K372" i="77"/>
  <c r="J356" i="83" s="1"/>
  <c r="K371" i="77"/>
  <c r="J355" i="83" s="1"/>
  <c r="J354" i="83"/>
  <c r="K369" i="77"/>
  <c r="J353" i="83" s="1"/>
  <c r="J352" i="83"/>
  <c r="J351" i="83"/>
  <c r="K366" i="77"/>
  <c r="J349" i="83" s="1"/>
  <c r="J348" i="83"/>
  <c r="K364" i="77"/>
  <c r="J347" i="83" s="1"/>
  <c r="K363" i="77"/>
  <c r="J346" i="83" s="1"/>
  <c r="K362" i="77"/>
  <c r="J344" i="83" s="1"/>
  <c r="K361" i="77"/>
  <c r="J342" i="83"/>
  <c r="J341" i="83"/>
  <c r="K358" i="77"/>
  <c r="J340" i="83" s="1"/>
  <c r="K357" i="77"/>
  <c r="J339" i="83" s="1"/>
  <c r="K356" i="77"/>
  <c r="J338" i="83" s="1"/>
  <c r="J337" i="83"/>
  <c r="K354" i="77"/>
  <c r="J336" i="83" s="1"/>
  <c r="K353" i="77"/>
  <c r="J334" i="83" s="1"/>
  <c r="K352" i="77"/>
  <c r="J333" i="83" s="1"/>
  <c r="K351" i="77"/>
  <c r="J332" i="83" s="1"/>
  <c r="K350" i="77"/>
  <c r="J331" i="83" s="1"/>
  <c r="K349" i="77"/>
  <c r="J330" i="83" s="1"/>
  <c r="K348" i="77"/>
  <c r="J329" i="83" s="1"/>
  <c r="J328" i="83"/>
  <c r="K347" i="77"/>
  <c r="J327" i="83" s="1"/>
  <c r="K346" i="77"/>
  <c r="J326" i="83" s="1"/>
  <c r="K345" i="77"/>
  <c r="J325" i="83" s="1"/>
  <c r="J324" i="83"/>
  <c r="J323" i="83"/>
  <c r="J322" i="83"/>
  <c r="K341" i="77"/>
  <c r="J320" i="83"/>
  <c r="J319" i="83"/>
  <c r="K337" i="77"/>
  <c r="J318" i="83" s="1"/>
  <c r="K336" i="77"/>
  <c r="J317" i="83" s="1"/>
  <c r="K335" i="77"/>
  <c r="J316" i="83" s="1"/>
  <c r="K334" i="77"/>
  <c r="J315" i="83" s="1"/>
  <c r="K333" i="77"/>
  <c r="J314" i="83" s="1"/>
  <c r="K332" i="77"/>
  <c r="J312" i="83" s="1"/>
  <c r="K331" i="77"/>
  <c r="J310" i="83" s="1"/>
  <c r="K330" i="77"/>
  <c r="K327" i="77"/>
  <c r="J308" i="83" s="1"/>
  <c r="K326" i="77"/>
  <c r="K324" i="77"/>
  <c r="J306" i="83" s="1"/>
  <c r="J305" i="83"/>
  <c r="K322" i="77"/>
  <c r="J304" i="83" s="1"/>
  <c r="K321" i="77"/>
  <c r="J303" i="83" s="1"/>
  <c r="K320" i="77"/>
  <c r="J302" i="83" s="1"/>
  <c r="K319" i="77"/>
  <c r="J301" i="83" s="1"/>
  <c r="K318" i="77"/>
  <c r="J300" i="83" s="1"/>
  <c r="K317" i="77"/>
  <c r="J299" i="83" s="1"/>
  <c r="K316" i="77"/>
  <c r="J298" i="83" s="1"/>
  <c r="K315" i="77"/>
  <c r="J297" i="83" s="1"/>
  <c r="K314" i="77"/>
  <c r="J296" i="83" s="1"/>
  <c r="K313" i="77"/>
  <c r="J295" i="83" s="1"/>
  <c r="K312" i="77"/>
  <c r="K310" i="77"/>
  <c r="J293" i="83" s="1"/>
  <c r="K309" i="77"/>
  <c r="J292" i="83" s="1"/>
  <c r="K308" i="77"/>
  <c r="J291" i="83" s="1"/>
  <c r="J290" i="83"/>
  <c r="K307" i="77"/>
  <c r="K305" i="77"/>
  <c r="J288" i="83" s="1"/>
  <c r="J287" i="83"/>
  <c r="J286" i="83"/>
  <c r="K302" i="77"/>
  <c r="J285" i="83" s="1"/>
  <c r="J284" i="83"/>
  <c r="K300" i="77"/>
  <c r="J283" i="83" s="1"/>
  <c r="K299" i="77"/>
  <c r="J282" i="83" s="1"/>
  <c r="K298" i="77"/>
  <c r="J281" i="83" s="1"/>
  <c r="K297" i="77"/>
  <c r="J280" i="83" s="1"/>
  <c r="K296" i="77"/>
  <c r="J279" i="83" s="1"/>
  <c r="K295" i="77"/>
  <c r="J278" i="83" s="1"/>
  <c r="K294" i="77"/>
  <c r="J277" i="83" s="1"/>
  <c r="J276" i="83"/>
  <c r="K292" i="77"/>
  <c r="J275" i="83" s="1"/>
  <c r="K291" i="77"/>
  <c r="J274" i="83" s="1"/>
  <c r="K290" i="77"/>
  <c r="J273" i="83" s="1"/>
  <c r="K289" i="77"/>
  <c r="K287" i="77"/>
  <c r="J271" i="83" s="1"/>
  <c r="K286" i="77"/>
  <c r="J270" i="83" s="1"/>
  <c r="J269" i="83"/>
  <c r="K285" i="77"/>
  <c r="J268" i="83" s="1"/>
  <c r="J267" i="83"/>
  <c r="J266" i="83"/>
  <c r="K282" i="77"/>
  <c r="J265" i="83" s="1"/>
  <c r="K281" i="77"/>
  <c r="J263" i="83"/>
  <c r="J262" i="83"/>
  <c r="K277" i="77"/>
  <c r="J261" i="83" s="1"/>
  <c r="K276" i="77"/>
  <c r="J260" i="83" s="1"/>
  <c r="K275" i="77"/>
  <c r="J259" i="83" s="1"/>
  <c r="J258" i="83"/>
  <c r="K274" i="77"/>
  <c r="K272" i="77"/>
  <c r="J256" i="83" s="1"/>
  <c r="K271" i="77"/>
  <c r="J254" i="83" s="1"/>
  <c r="K270" i="77"/>
  <c r="J253" i="83" s="1"/>
  <c r="J251" i="83"/>
  <c r="K266" i="77"/>
  <c r="J250" i="83" s="1"/>
  <c r="K265" i="77"/>
  <c r="J249" i="83" s="1"/>
  <c r="J248" i="83"/>
  <c r="K263" i="77"/>
  <c r="J245" i="83" s="1"/>
  <c r="J243" i="83"/>
  <c r="J242" i="83"/>
  <c r="K260" i="77"/>
  <c r="K256" i="77"/>
  <c r="K253" i="77"/>
  <c r="J236" i="83" s="1"/>
  <c r="K252" i="77"/>
  <c r="K250" i="77"/>
  <c r="J234" i="83" s="1"/>
  <c r="K249" i="77"/>
  <c r="K247" i="77"/>
  <c r="J231" i="83" s="1"/>
  <c r="K246" i="77"/>
  <c r="J230" i="83" s="1"/>
  <c r="K245" i="77"/>
  <c r="J229" i="83" s="1"/>
  <c r="K244" i="77"/>
  <c r="J228" i="83" s="1"/>
  <c r="J227" i="83"/>
  <c r="K243" i="77"/>
  <c r="J226" i="83" s="1"/>
  <c r="J225" i="83"/>
  <c r="J224" i="83"/>
  <c r="J223" i="83"/>
  <c r="K240" i="77"/>
  <c r="J222" i="83" s="1"/>
  <c r="K239" i="77"/>
  <c r="K237" i="77"/>
  <c r="J220" i="83" s="1"/>
  <c r="K236" i="77"/>
  <c r="J219" i="83" s="1"/>
  <c r="K235" i="77"/>
  <c r="J218" i="83" s="1"/>
  <c r="K234" i="77"/>
  <c r="J217" i="83" s="1"/>
  <c r="J216" i="83"/>
  <c r="K232" i="77"/>
  <c r="J214" i="83" s="1"/>
  <c r="K231" i="77"/>
  <c r="K224" i="77"/>
  <c r="J211" i="83" s="1"/>
  <c r="K223" i="77"/>
  <c r="J210" i="83" s="1"/>
  <c r="K222" i="77"/>
  <c r="J209" i="83" s="1"/>
  <c r="K221" i="77"/>
  <c r="J208" i="83" s="1"/>
  <c r="J207" i="83"/>
  <c r="J206" i="83"/>
  <c r="J205" i="83"/>
  <c r="J204" i="83"/>
  <c r="J203" i="83"/>
  <c r="J202" i="83"/>
  <c r="K216" i="77"/>
  <c r="J201" i="83" s="1"/>
  <c r="K213" i="77"/>
  <c r="J200" i="83" s="1"/>
  <c r="J199" i="83"/>
  <c r="K211" i="77"/>
  <c r="J198" i="83" s="1"/>
  <c r="K210" i="77"/>
  <c r="J197" i="83" s="1"/>
  <c r="K209" i="77"/>
  <c r="J196" i="83" s="1"/>
  <c r="K208" i="77"/>
  <c r="J195" i="83" s="1"/>
  <c r="K207" i="77"/>
  <c r="J194" i="83" s="1"/>
  <c r="K206" i="77"/>
  <c r="J193" i="83" s="1"/>
  <c r="K205" i="77"/>
  <c r="J192" i="83" s="1"/>
  <c r="K204" i="77"/>
  <c r="J191" i="83" s="1"/>
  <c r="K203" i="77"/>
  <c r="J190" i="83" s="1"/>
  <c r="K202" i="77"/>
  <c r="J189" i="83" s="1"/>
  <c r="K200" i="77"/>
  <c r="J188" i="83" s="1"/>
  <c r="K199" i="77"/>
  <c r="J187" i="83" s="1"/>
  <c r="K198" i="77"/>
  <c r="J186" i="83" s="1"/>
  <c r="K197" i="77"/>
  <c r="J185" i="83" s="1"/>
  <c r="K196" i="77"/>
  <c r="J184" i="83" s="1"/>
  <c r="K195" i="77"/>
  <c r="J183" i="83" s="1"/>
  <c r="K194" i="77"/>
  <c r="J182" i="83" s="1"/>
  <c r="K193" i="77"/>
  <c r="J181" i="83" s="1"/>
  <c r="K192" i="77"/>
  <c r="J180" i="83" s="1"/>
  <c r="K191" i="77"/>
  <c r="J179" i="83" s="1"/>
  <c r="K190" i="77"/>
  <c r="J178" i="83" s="1"/>
  <c r="K189" i="77"/>
  <c r="J177" i="83" s="1"/>
  <c r="K187" i="77"/>
  <c r="J176" i="83" s="1"/>
  <c r="K186" i="77"/>
  <c r="J175" i="83" s="1"/>
  <c r="K185" i="77"/>
  <c r="J174" i="83" s="1"/>
  <c r="K184" i="77"/>
  <c r="J173" i="83" s="1"/>
  <c r="K183" i="77"/>
  <c r="J172" i="83" s="1"/>
  <c r="K182" i="77"/>
  <c r="J171" i="83" s="1"/>
  <c r="K181" i="77"/>
  <c r="J170" i="83" s="1"/>
  <c r="K180" i="77"/>
  <c r="J169" i="83" s="1"/>
  <c r="K179" i="77"/>
  <c r="J168" i="83" s="1"/>
  <c r="K178" i="77"/>
  <c r="J167" i="83" s="1"/>
  <c r="K177" i="77"/>
  <c r="J166" i="83" s="1"/>
  <c r="K175" i="77"/>
  <c r="J165" i="83" s="1"/>
  <c r="K174" i="77"/>
  <c r="J164" i="83" s="1"/>
  <c r="J163" i="83"/>
  <c r="K172" i="77"/>
  <c r="J162" i="83" s="1"/>
  <c r="J161" i="83"/>
  <c r="K169" i="77"/>
  <c r="J160" i="83" s="1"/>
  <c r="K168" i="77"/>
  <c r="J158" i="83" s="1"/>
  <c r="K167" i="77"/>
  <c r="J157" i="83" s="1"/>
  <c r="K166" i="77"/>
  <c r="J156" i="83" s="1"/>
  <c r="K165" i="77"/>
  <c r="J155" i="83" s="1"/>
  <c r="K164" i="77"/>
  <c r="J154" i="83" s="1"/>
  <c r="K163" i="77"/>
  <c r="J153" i="83" s="1"/>
  <c r="K161" i="77"/>
  <c r="J152" i="83" s="1"/>
  <c r="J151" i="83"/>
  <c r="K160" i="77"/>
  <c r="J150" i="83" s="1"/>
  <c r="J149" i="83"/>
  <c r="K158" i="77"/>
  <c r="J148" i="83" s="1"/>
  <c r="K157" i="77"/>
  <c r="J145" i="83" s="1"/>
  <c r="K154" i="77"/>
  <c r="J144" i="83" s="1"/>
  <c r="K153" i="77"/>
  <c r="J143" i="83" s="1"/>
  <c r="K152" i="77"/>
  <c r="J142" i="83" s="1"/>
  <c r="K151" i="77"/>
  <c r="J141" i="83" s="1"/>
  <c r="J140" i="83"/>
  <c r="K149" i="77"/>
  <c r="J139" i="83" s="1"/>
  <c r="K148" i="77"/>
  <c r="J138" i="83" s="1"/>
  <c r="K147" i="77"/>
  <c r="J137" i="83" s="1"/>
  <c r="K146" i="77"/>
  <c r="J136" i="83" s="1"/>
  <c r="K145" i="77"/>
  <c r="J135" i="83" s="1"/>
  <c r="K144" i="77"/>
  <c r="J134" i="83" s="1"/>
  <c r="K143" i="77"/>
  <c r="J133" i="83" s="1"/>
  <c r="K142" i="77"/>
  <c r="J132" i="83" s="1"/>
  <c r="J131" i="83"/>
  <c r="K139" i="77"/>
  <c r="J129" i="83" s="1"/>
  <c r="K138" i="77"/>
  <c r="J128" i="83" s="1"/>
  <c r="K137" i="77"/>
  <c r="J127" i="83" s="1"/>
  <c r="K136" i="77"/>
  <c r="J126" i="83" s="1"/>
  <c r="K135" i="77"/>
  <c r="J125" i="83" s="1"/>
  <c r="J124" i="83"/>
  <c r="K132" i="77"/>
  <c r="J123" i="83" s="1"/>
  <c r="K129" i="77"/>
  <c r="J122" i="83" s="1"/>
  <c r="K128" i="77"/>
  <c r="J121" i="83" s="1"/>
  <c r="K126" i="77"/>
  <c r="J120" i="83" s="1"/>
  <c r="K125" i="77"/>
  <c r="J119" i="83" s="1"/>
  <c r="K124" i="77"/>
  <c r="J118" i="83" s="1"/>
  <c r="K123" i="77"/>
  <c r="J117" i="83" s="1"/>
  <c r="K122" i="77"/>
  <c r="J116" i="83" s="1"/>
  <c r="K121" i="77"/>
  <c r="J115" i="83" s="1"/>
  <c r="K120" i="77"/>
  <c r="J114" i="83" s="1"/>
  <c r="K119" i="77"/>
  <c r="J113" i="83" s="1"/>
  <c r="K118" i="77"/>
  <c r="J112" i="83" s="1"/>
  <c r="J111" i="83"/>
  <c r="K116" i="77"/>
  <c r="J110" i="83" s="1"/>
  <c r="K115" i="77"/>
  <c r="J109" i="83" s="1"/>
  <c r="K114" i="77"/>
  <c r="J108" i="83" s="1"/>
  <c r="K113" i="77"/>
  <c r="J107" i="83" s="1"/>
  <c r="K112" i="77"/>
  <c r="J106" i="83" s="1"/>
  <c r="K111" i="77"/>
  <c r="J105" i="83" s="1"/>
  <c r="K109" i="77"/>
  <c r="J104" i="83" s="1"/>
  <c r="K108" i="77"/>
  <c r="J103" i="83" s="1"/>
  <c r="K107" i="77"/>
  <c r="J102" i="83" s="1"/>
  <c r="J101" i="83"/>
  <c r="K105" i="77"/>
  <c r="J100" i="83" s="1"/>
  <c r="J99" i="83"/>
  <c r="K103" i="77"/>
  <c r="J98" i="83" s="1"/>
  <c r="K102" i="77"/>
  <c r="J97" i="83" s="1"/>
  <c r="K101" i="77"/>
  <c r="J96" i="83" s="1"/>
  <c r="K100" i="77"/>
  <c r="J95" i="83" s="1"/>
  <c r="K99" i="77"/>
  <c r="J94" i="83" s="1"/>
  <c r="K98" i="77"/>
  <c r="J93" i="83" s="1"/>
  <c r="K97" i="77"/>
  <c r="J92" i="83" s="1"/>
  <c r="K96" i="77"/>
  <c r="J91" i="83" s="1"/>
  <c r="K95" i="77"/>
  <c r="J90" i="83" s="1"/>
  <c r="K94" i="77"/>
  <c r="J89" i="83" s="1"/>
  <c r="K93" i="77"/>
  <c r="J88" i="83" s="1"/>
  <c r="K92" i="77"/>
  <c r="J87" i="83" s="1"/>
  <c r="K91" i="77"/>
  <c r="J86" i="83" s="1"/>
  <c r="K90" i="77"/>
  <c r="J85" i="83" s="1"/>
  <c r="K89" i="77"/>
  <c r="J84" i="83" s="1"/>
  <c r="K88" i="77"/>
  <c r="J83" i="83" s="1"/>
  <c r="K87" i="77"/>
  <c r="J82" i="83" s="1"/>
  <c r="K86" i="77"/>
  <c r="J81" i="83" s="1"/>
  <c r="K85" i="77"/>
  <c r="J80" i="83" s="1"/>
  <c r="K84" i="77"/>
  <c r="J79" i="83" s="1"/>
  <c r="K83" i="77"/>
  <c r="J78" i="83" s="1"/>
  <c r="K82" i="77"/>
  <c r="J77" i="83" s="1"/>
  <c r="K81" i="77"/>
  <c r="J76" i="83" s="1"/>
  <c r="K80" i="77"/>
  <c r="J75" i="83" s="1"/>
  <c r="K78" i="77"/>
  <c r="J74" i="83" s="1"/>
  <c r="K77" i="77"/>
  <c r="J73" i="83" s="1"/>
  <c r="K75" i="77"/>
  <c r="J72" i="83" s="1"/>
  <c r="K74" i="77"/>
  <c r="J71" i="83" s="1"/>
  <c r="J70" i="83"/>
  <c r="K72" i="77"/>
  <c r="J69" i="83" s="1"/>
  <c r="K71" i="77"/>
  <c r="J68" i="83" s="1"/>
  <c r="K70" i="77"/>
  <c r="J67" i="83" s="1"/>
  <c r="K69" i="77"/>
  <c r="J66" i="83" s="1"/>
  <c r="K68" i="77"/>
  <c r="J65" i="83" s="1"/>
  <c r="K67" i="77"/>
  <c r="J64" i="83" s="1"/>
  <c r="K66" i="77"/>
  <c r="J63" i="83" s="1"/>
  <c r="K65" i="77"/>
  <c r="J62" i="83" s="1"/>
  <c r="K64" i="77"/>
  <c r="J61" i="83" s="1"/>
  <c r="K63" i="77"/>
  <c r="J60" i="83" s="1"/>
  <c r="K62" i="77"/>
  <c r="J59" i="83" s="1"/>
  <c r="K61" i="77"/>
  <c r="J58" i="83" s="1"/>
  <c r="K60" i="77"/>
  <c r="J57" i="83" s="1"/>
  <c r="K59" i="77"/>
  <c r="J56" i="83" s="1"/>
  <c r="K58" i="77"/>
  <c r="J55" i="83" s="1"/>
  <c r="K57" i="77"/>
  <c r="J54" i="83" s="1"/>
  <c r="K56" i="77"/>
  <c r="J53" i="83" s="1"/>
  <c r="K55" i="77"/>
  <c r="J52" i="83" s="1"/>
  <c r="K54" i="77"/>
  <c r="J51" i="83" s="1"/>
  <c r="K53" i="77"/>
  <c r="J50" i="83" s="1"/>
  <c r="K52" i="77"/>
  <c r="J49" i="83" s="1"/>
  <c r="K51" i="77"/>
  <c r="J48" i="83" s="1"/>
  <c r="K50" i="77"/>
  <c r="J47" i="83" s="1"/>
  <c r="K49" i="77"/>
  <c r="J46" i="83" s="1"/>
  <c r="K48" i="77"/>
  <c r="J45" i="83" s="1"/>
  <c r="K47" i="77"/>
  <c r="J44" i="83" s="1"/>
  <c r="K46" i="77"/>
  <c r="J43" i="83" s="1"/>
  <c r="J42" i="83"/>
  <c r="K43" i="77"/>
  <c r="J41" i="83" s="1"/>
  <c r="K42" i="77"/>
  <c r="J40" i="83" s="1"/>
  <c r="K41" i="77"/>
  <c r="J39" i="83" s="1"/>
  <c r="K40" i="77"/>
  <c r="J38" i="83" s="1"/>
  <c r="J37" i="83"/>
  <c r="K38" i="77"/>
  <c r="J36" i="83" s="1"/>
  <c r="K37" i="77"/>
  <c r="J35" i="83" s="1"/>
  <c r="K36" i="77"/>
  <c r="J34" i="83" s="1"/>
  <c r="J33" i="83"/>
  <c r="K33" i="77"/>
  <c r="J32" i="83" s="1"/>
  <c r="K32" i="77"/>
  <c r="J30" i="83" s="1"/>
  <c r="K31" i="77"/>
  <c r="J29" i="83" s="1"/>
  <c r="K30" i="77"/>
  <c r="J28" i="83" s="1"/>
  <c r="K29" i="77"/>
  <c r="J27" i="83" s="1"/>
  <c r="J22" i="83"/>
  <c r="K25" i="77"/>
  <c r="J18" i="83" s="1"/>
  <c r="K24" i="77"/>
  <c r="J17" i="83" s="1"/>
  <c r="K23" i="77"/>
  <c r="J16" i="83" s="1"/>
  <c r="K22" i="77"/>
  <c r="J15" i="83" s="1"/>
  <c r="J25" i="83"/>
  <c r="J24" i="83"/>
  <c r="K19" i="77"/>
  <c r="J23" i="83" s="1"/>
  <c r="K18" i="77"/>
  <c r="J21" i="83" s="1"/>
  <c r="K17" i="77"/>
  <c r="J20" i="83" s="1"/>
  <c r="K16" i="77"/>
  <c r="J19" i="83" s="1"/>
  <c r="K15" i="77"/>
  <c r="J14" i="83" s="1"/>
  <c r="K14" i="77"/>
  <c r="J9" i="83" s="1"/>
  <c r="K13" i="77"/>
  <c r="J8" i="83" s="1"/>
  <c r="K11" i="77"/>
  <c r="J13" i="83" s="1"/>
  <c r="K10" i="77"/>
  <c r="J12" i="83" s="1"/>
  <c r="K9" i="77"/>
  <c r="J11" i="83" s="1"/>
  <c r="K8" i="77"/>
  <c r="J10" i="83" s="1"/>
  <c r="K6" i="77"/>
  <c r="J7" i="83" s="1"/>
  <c r="J6" i="83"/>
  <c r="K5" i="77"/>
  <c r="J5" i="83" s="1"/>
  <c r="K4" i="77"/>
  <c r="J4" i="83" s="1"/>
  <c r="J3" i="83"/>
  <c r="K3" i="77"/>
  <c r="J2" i="83" s="1"/>
  <c r="J221" i="83" l="1"/>
  <c r="K248" i="77"/>
  <c r="J289" i="83"/>
  <c r="K311" i="77"/>
  <c r="J307" i="83"/>
  <c r="K328" i="77"/>
  <c r="J321" i="83"/>
  <c r="K360" i="77"/>
  <c r="J451" i="83"/>
  <c r="K468" i="77"/>
  <c r="J522" i="83"/>
  <c r="K548" i="77"/>
  <c r="J478" i="83"/>
  <c r="K497" i="77"/>
  <c r="J537" i="83"/>
  <c r="K555" i="77"/>
  <c r="J544" i="83"/>
  <c r="K566" i="77"/>
  <c r="J235" i="83"/>
  <c r="K254" i="77"/>
  <c r="J370" i="83"/>
  <c r="K391" i="77"/>
  <c r="J376" i="83"/>
  <c r="K403" i="77"/>
  <c r="J391" i="83"/>
  <c r="K406" i="77"/>
  <c r="J465" i="83"/>
  <c r="K488" i="77"/>
  <c r="J538" i="83"/>
  <c r="K561" i="77"/>
  <c r="J309" i="83"/>
  <c r="K338" i="77"/>
  <c r="J238" i="83"/>
  <c r="K257" i="77"/>
  <c r="J343" i="83"/>
  <c r="K385" i="77"/>
  <c r="J487" i="83"/>
  <c r="K505" i="77"/>
  <c r="J240" i="83"/>
  <c r="K259" i="77"/>
  <c r="J257" i="83"/>
  <c r="K278" i="77"/>
  <c r="J393" i="83"/>
  <c r="K437" i="77"/>
  <c r="J423" i="83"/>
  <c r="K462" i="77"/>
  <c r="J272" i="83"/>
  <c r="K306" i="77"/>
  <c r="J213" i="83"/>
  <c r="K238" i="77"/>
  <c r="J233" i="83"/>
  <c r="K251" i="77"/>
  <c r="J241" i="83"/>
  <c r="K273" i="77"/>
  <c r="J264" i="83"/>
  <c r="K288" i="77"/>
  <c r="J294" i="83"/>
  <c r="K325" i="77"/>
  <c r="J456" i="83"/>
  <c r="K477" i="77"/>
  <c r="J495" i="83"/>
  <c r="K519" i="77"/>
  <c r="J509" i="83"/>
  <c r="K533" i="77"/>
  <c r="J535" i="83"/>
  <c r="K553" i="77"/>
  <c r="K571" i="77"/>
  <c r="E225" i="77"/>
  <c r="F225" i="77"/>
  <c r="G225" i="77"/>
  <c r="I225" i="77"/>
  <c r="J225" i="77"/>
  <c r="L225" i="77"/>
  <c r="M225" i="77"/>
  <c r="N225" i="77"/>
  <c r="D225" i="77"/>
  <c r="E220" i="77"/>
  <c r="F220" i="77"/>
  <c r="G220" i="77"/>
  <c r="J220" i="77"/>
  <c r="L220" i="77"/>
  <c r="M220" i="77"/>
  <c r="N220" i="77"/>
  <c r="O220" i="77"/>
  <c r="D220" i="77"/>
  <c r="E218" i="77"/>
  <c r="F218" i="77"/>
  <c r="G218" i="77"/>
  <c r="J218" i="77"/>
  <c r="L218" i="77"/>
  <c r="M218" i="77"/>
  <c r="N218" i="77"/>
  <c r="O218" i="77"/>
  <c r="D218" i="77"/>
  <c r="E214" i="77"/>
  <c r="F214" i="77"/>
  <c r="G214" i="77"/>
  <c r="I214" i="77"/>
  <c r="J214" i="77"/>
  <c r="L214" i="77"/>
  <c r="M214" i="77"/>
  <c r="N214" i="77"/>
  <c r="O214" i="77"/>
  <c r="D214" i="77"/>
  <c r="E201" i="77"/>
  <c r="F201" i="77"/>
  <c r="G201" i="77"/>
  <c r="J201" i="77"/>
  <c r="L201" i="77"/>
  <c r="M201" i="77"/>
  <c r="N201" i="77"/>
  <c r="O201" i="77"/>
  <c r="D201" i="77"/>
  <c r="E188" i="77"/>
  <c r="F188" i="77"/>
  <c r="G188" i="77"/>
  <c r="J188" i="77"/>
  <c r="L188" i="77"/>
  <c r="M188" i="77"/>
  <c r="N188" i="77"/>
  <c r="D188" i="77"/>
  <c r="E176" i="77"/>
  <c r="F176" i="77"/>
  <c r="G176" i="77"/>
  <c r="I176" i="77"/>
  <c r="J176" i="77"/>
  <c r="L176" i="77"/>
  <c r="M176" i="77"/>
  <c r="N176" i="77"/>
  <c r="D176" i="77"/>
  <c r="E171" i="77"/>
  <c r="F171" i="77"/>
  <c r="G171" i="77"/>
  <c r="J171" i="77"/>
  <c r="L171" i="77"/>
  <c r="M171" i="77"/>
  <c r="N171" i="77"/>
  <c r="D171" i="77"/>
  <c r="E162" i="77"/>
  <c r="F162" i="77"/>
  <c r="G162" i="77"/>
  <c r="I162" i="77"/>
  <c r="J162" i="77"/>
  <c r="L162" i="77"/>
  <c r="M162" i="77"/>
  <c r="N162" i="77"/>
  <c r="O162" i="77"/>
  <c r="D162" i="77"/>
  <c r="E150" i="77"/>
  <c r="G150" i="77"/>
  <c r="J150" i="77"/>
  <c r="L150" i="77"/>
  <c r="M150" i="77"/>
  <c r="N150" i="77"/>
  <c r="O150" i="77"/>
  <c r="D150" i="77"/>
  <c r="E141" i="77"/>
  <c r="F141" i="77"/>
  <c r="G141" i="77"/>
  <c r="J141" i="77"/>
  <c r="L141" i="77"/>
  <c r="M141" i="77"/>
  <c r="N141" i="77"/>
  <c r="O141" i="77"/>
  <c r="D141" i="77"/>
  <c r="E130" i="77"/>
  <c r="F130" i="77"/>
  <c r="G130" i="77"/>
  <c r="J130" i="77"/>
  <c r="L130" i="77"/>
  <c r="M130" i="77"/>
  <c r="N130" i="77"/>
  <c r="O130" i="77"/>
  <c r="D130" i="77"/>
  <c r="E110" i="77"/>
  <c r="F110" i="77"/>
  <c r="G110" i="77"/>
  <c r="I110" i="77"/>
  <c r="J110" i="77"/>
  <c r="L110" i="77"/>
  <c r="M110" i="77"/>
  <c r="N110" i="77"/>
  <c r="O110" i="77"/>
  <c r="D110" i="77"/>
  <c r="E79" i="77"/>
  <c r="F79" i="77"/>
  <c r="G79" i="77"/>
  <c r="I79" i="77"/>
  <c r="J79" i="77"/>
  <c r="L79" i="77"/>
  <c r="M79" i="77"/>
  <c r="N79" i="77"/>
  <c r="D79" i="77"/>
  <c r="E76" i="77"/>
  <c r="F76" i="77"/>
  <c r="G76" i="77"/>
  <c r="I76" i="77"/>
  <c r="J76" i="77"/>
  <c r="L76" i="77"/>
  <c r="M76" i="77"/>
  <c r="N76" i="77"/>
  <c r="D76" i="77"/>
  <c r="E44" i="77"/>
  <c r="F44" i="77"/>
  <c r="G44" i="77"/>
  <c r="J44" i="77"/>
  <c r="L44" i="77"/>
  <c r="M44" i="77"/>
  <c r="N44" i="77"/>
  <c r="D44" i="77"/>
  <c r="E27" i="77"/>
  <c r="F27" i="77"/>
  <c r="G27" i="77"/>
  <c r="J27" i="77"/>
  <c r="M27" i="77"/>
  <c r="N27" i="77"/>
  <c r="O27" i="77"/>
  <c r="D27" i="77"/>
  <c r="D21" i="77"/>
  <c r="E21" i="77"/>
  <c r="F21" i="77"/>
  <c r="G21" i="77"/>
  <c r="J21" i="77"/>
  <c r="M21" i="77"/>
  <c r="N21" i="77"/>
  <c r="O21" i="77"/>
  <c r="E12" i="77"/>
  <c r="F12" i="77"/>
  <c r="G12" i="77"/>
  <c r="I12" i="77"/>
  <c r="J12" i="77"/>
  <c r="L12" i="77"/>
  <c r="M12" i="77"/>
  <c r="N12" i="77"/>
  <c r="O12" i="77"/>
  <c r="D12" i="77"/>
  <c r="E7" i="77"/>
  <c r="F7" i="77"/>
  <c r="G7" i="77"/>
  <c r="J7" i="77"/>
  <c r="L7" i="77"/>
  <c r="M7" i="77"/>
  <c r="N7" i="77"/>
  <c r="O7" i="77"/>
  <c r="D7" i="77"/>
  <c r="I179" i="77"/>
  <c r="I188" i="77" s="1"/>
  <c r="I200" i="77"/>
  <c r="I201" i="77" s="1"/>
  <c r="F148" i="77"/>
  <c r="F150" i="77" s="1"/>
  <c r="I143" i="77"/>
  <c r="I150" i="77" s="1"/>
  <c r="I132" i="77"/>
  <c r="I141" i="77" s="1"/>
  <c r="I18" i="77"/>
  <c r="I482" i="77"/>
  <c r="I491" i="77"/>
  <c r="I497" i="77" s="1"/>
  <c r="I455" i="77"/>
  <c r="I420" i="77"/>
  <c r="I421" i="77"/>
  <c r="I395" i="77"/>
  <c r="I394" i="77"/>
  <c r="I396" i="77"/>
  <c r="I310" i="77"/>
  <c r="I284" i="77"/>
  <c r="I282" i="77"/>
  <c r="L36" i="4"/>
  <c r="L30" i="4"/>
  <c r="M480" i="77"/>
  <c r="M488" i="77" s="1"/>
  <c r="M435" i="77"/>
  <c r="M358" i="77"/>
  <c r="M360" i="77" s="1"/>
  <c r="M272" i="77"/>
  <c r="L435" i="77"/>
  <c r="L437" i="77" s="1"/>
  <c r="L438" i="77" s="1"/>
  <c r="H1009" i="76"/>
  <c r="G1009" i="76"/>
  <c r="H1006" i="76"/>
  <c r="G1006" i="76"/>
  <c r="H1002" i="76"/>
  <c r="G1002" i="76"/>
  <c r="H999" i="76"/>
  <c r="G999" i="76"/>
  <c r="H997" i="76"/>
  <c r="G997" i="76"/>
  <c r="H995" i="76"/>
  <c r="G995" i="76"/>
  <c r="H973" i="76"/>
  <c r="G973" i="76"/>
  <c r="H970" i="76"/>
  <c r="G970" i="76"/>
  <c r="H968" i="76"/>
  <c r="G968" i="76"/>
  <c r="H957" i="76"/>
  <c r="G957" i="76"/>
  <c r="H953" i="76"/>
  <c r="G953" i="76"/>
  <c r="H950" i="76"/>
  <c r="G950" i="76"/>
  <c r="H944" i="76"/>
  <c r="G944" i="76"/>
  <c r="H942" i="76"/>
  <c r="G942" i="76"/>
  <c r="H940" i="76"/>
  <c r="G940" i="76"/>
  <c r="H938" i="76"/>
  <c r="G938" i="76"/>
  <c r="H934" i="76"/>
  <c r="G934" i="76"/>
  <c r="H925" i="76"/>
  <c r="G925" i="76"/>
  <c r="H913" i="76"/>
  <c r="G913" i="76"/>
  <c r="H904" i="76"/>
  <c r="G904" i="76"/>
  <c r="H902" i="76"/>
  <c r="G902" i="76"/>
  <c r="H898" i="76"/>
  <c r="G898" i="76"/>
  <c r="H842" i="76"/>
  <c r="G842" i="76"/>
  <c r="H828" i="76"/>
  <c r="G828" i="76"/>
  <c r="H811" i="76"/>
  <c r="G811" i="76"/>
  <c r="H808" i="76"/>
  <c r="G808" i="76"/>
  <c r="H802" i="76"/>
  <c r="G802" i="76"/>
  <c r="H798" i="76"/>
  <c r="G798" i="76"/>
  <c r="H792" i="76"/>
  <c r="G792" i="76"/>
  <c r="H790" i="76"/>
  <c r="G790" i="76"/>
  <c r="H782" i="76"/>
  <c r="G782" i="76"/>
  <c r="H745" i="76"/>
  <c r="G745" i="76"/>
  <c r="H662" i="76"/>
  <c r="G662" i="76"/>
  <c r="H648" i="76"/>
  <c r="G648" i="76"/>
  <c r="H490" i="76"/>
  <c r="G490" i="76"/>
  <c r="H379" i="76"/>
  <c r="G379" i="76"/>
  <c r="H360" i="76"/>
  <c r="G360" i="76"/>
  <c r="H352" i="76"/>
  <c r="G352" i="76"/>
  <c r="H348" i="76"/>
  <c r="G348" i="76"/>
  <c r="H346" i="76"/>
  <c r="G346" i="76"/>
  <c r="H337" i="76"/>
  <c r="G337" i="76"/>
  <c r="H326" i="76"/>
  <c r="G326" i="76"/>
  <c r="H316" i="76"/>
  <c r="G316" i="76"/>
  <c r="H295" i="76"/>
  <c r="G295" i="76"/>
  <c r="H287" i="76"/>
  <c r="G287" i="76"/>
  <c r="H285" i="76"/>
  <c r="G285" i="76"/>
  <c r="H283" i="76"/>
  <c r="G283" i="76"/>
  <c r="H99" i="76"/>
  <c r="G99" i="76"/>
  <c r="H71" i="76"/>
  <c r="G71" i="76"/>
  <c r="H67" i="76"/>
  <c r="G67" i="76"/>
  <c r="H61" i="76"/>
  <c r="G61" i="76"/>
  <c r="H59" i="76"/>
  <c r="G59" i="76"/>
  <c r="H56" i="76"/>
  <c r="G56" i="76"/>
  <c r="H51" i="76"/>
  <c r="G51" i="76"/>
  <c r="H49" i="76"/>
  <c r="G49" i="76"/>
  <c r="H43" i="76"/>
  <c r="G43" i="76"/>
  <c r="H41" i="76"/>
  <c r="G41" i="76"/>
  <c r="H36" i="76"/>
  <c r="G36" i="76"/>
  <c r="H34" i="76"/>
  <c r="G34" i="76"/>
  <c r="H32" i="76"/>
  <c r="G32" i="76"/>
  <c r="H29" i="76"/>
  <c r="G29" i="76"/>
  <c r="H27" i="76"/>
  <c r="G27" i="76"/>
  <c r="H22" i="76"/>
  <c r="G22" i="76"/>
  <c r="H19" i="76"/>
  <c r="G19" i="76"/>
  <c r="H17" i="76"/>
  <c r="G17" i="76"/>
  <c r="H14" i="76"/>
  <c r="G14" i="76"/>
  <c r="H12" i="76"/>
  <c r="G12" i="76"/>
  <c r="H8" i="76"/>
  <c r="G8" i="76"/>
  <c r="H4" i="76"/>
  <c r="G4" i="76"/>
  <c r="M3" i="76"/>
  <c r="M5" i="76"/>
  <c r="M6" i="76"/>
  <c r="M7" i="76"/>
  <c r="M9" i="76"/>
  <c r="M10" i="76"/>
  <c r="M11" i="76"/>
  <c r="M13" i="76"/>
  <c r="M14" i="76" s="1"/>
  <c r="M15" i="76"/>
  <c r="M250" i="77" s="1"/>
  <c r="M16" i="76"/>
  <c r="M18" i="76"/>
  <c r="M19" i="76" s="1"/>
  <c r="M20" i="76"/>
  <c r="M21" i="76"/>
  <c r="M24" i="76"/>
  <c r="M25" i="76"/>
  <c r="M26" i="76"/>
  <c r="M29" i="76"/>
  <c r="M30" i="76"/>
  <c r="M31" i="76"/>
  <c r="M33" i="76"/>
  <c r="M34" i="76" s="1"/>
  <c r="M35" i="76"/>
  <c r="M36" i="76" s="1"/>
  <c r="M37" i="76"/>
  <c r="M38" i="76"/>
  <c r="M39" i="76"/>
  <c r="M40" i="76"/>
  <c r="M42" i="76"/>
  <c r="M43" i="76" s="1"/>
  <c r="M44" i="76"/>
  <c r="M45" i="76"/>
  <c r="M302" i="77" s="1"/>
  <c r="M46" i="76"/>
  <c r="M47" i="76"/>
  <c r="M48" i="76"/>
  <c r="M50" i="76"/>
  <c r="M51" i="76" s="1"/>
  <c r="M52" i="76"/>
  <c r="M53" i="76"/>
  <c r="M54" i="76"/>
  <c r="M55" i="76"/>
  <c r="M57" i="76"/>
  <c r="M58" i="76"/>
  <c r="M59" i="76" s="1"/>
  <c r="M60" i="76"/>
  <c r="M61" i="76" s="1"/>
  <c r="M62" i="76"/>
  <c r="M63" i="76"/>
  <c r="M64" i="76"/>
  <c r="M65" i="76"/>
  <c r="M66" i="76"/>
  <c r="M68" i="76"/>
  <c r="M69" i="76"/>
  <c r="M70" i="76"/>
  <c r="M72" i="76"/>
  <c r="M73" i="76"/>
  <c r="M74" i="76"/>
  <c r="M75" i="76"/>
  <c r="M76" i="76"/>
  <c r="M77" i="76"/>
  <c r="M78" i="76"/>
  <c r="M79" i="76"/>
  <c r="M80" i="76"/>
  <c r="M81" i="76"/>
  <c r="M82" i="76"/>
  <c r="M83" i="76"/>
  <c r="M84" i="76"/>
  <c r="M85" i="76"/>
  <c r="M86" i="76"/>
  <c r="M87" i="76"/>
  <c r="M88" i="76"/>
  <c r="M89" i="76"/>
  <c r="M90" i="76"/>
  <c r="M91" i="76"/>
  <c r="M92" i="76"/>
  <c r="M93" i="76"/>
  <c r="M94" i="76"/>
  <c r="M95" i="76"/>
  <c r="M96" i="76"/>
  <c r="M97" i="76"/>
  <c r="M98" i="76"/>
  <c r="M100" i="76"/>
  <c r="M101" i="76"/>
  <c r="M102" i="76"/>
  <c r="M103" i="76"/>
  <c r="M104" i="76"/>
  <c r="M105" i="76"/>
  <c r="M106" i="76"/>
  <c r="M107" i="76"/>
  <c r="M108" i="76"/>
  <c r="M109" i="76"/>
  <c r="M110" i="76"/>
  <c r="M111" i="76"/>
  <c r="M112" i="76"/>
  <c r="M113" i="76"/>
  <c r="M114" i="76"/>
  <c r="M115" i="76"/>
  <c r="M116" i="76"/>
  <c r="M117" i="76"/>
  <c r="M118" i="76"/>
  <c r="M119" i="76"/>
  <c r="M120" i="76"/>
  <c r="M121" i="76"/>
  <c r="M122" i="76"/>
  <c r="M123" i="76"/>
  <c r="M124" i="76"/>
  <c r="M125" i="76"/>
  <c r="M126" i="76"/>
  <c r="M127" i="76"/>
  <c r="M128" i="76"/>
  <c r="M129" i="76"/>
  <c r="M130" i="76"/>
  <c r="M131" i="76"/>
  <c r="M132" i="76"/>
  <c r="M133" i="76"/>
  <c r="M134" i="76"/>
  <c r="M135" i="76"/>
  <c r="M136" i="76"/>
  <c r="M137" i="76"/>
  <c r="M138" i="76"/>
  <c r="M139" i="76"/>
  <c r="M140" i="76"/>
  <c r="M141" i="76"/>
  <c r="M142" i="76"/>
  <c r="M143" i="76"/>
  <c r="M144" i="76"/>
  <c r="M145" i="76"/>
  <c r="M146" i="76"/>
  <c r="M147" i="76"/>
  <c r="M148" i="76"/>
  <c r="M149" i="76"/>
  <c r="M150" i="76"/>
  <c r="M151" i="76"/>
  <c r="M152" i="76"/>
  <c r="M153" i="76"/>
  <c r="M154" i="76"/>
  <c r="M155" i="76"/>
  <c r="M156" i="76"/>
  <c r="M157" i="76"/>
  <c r="M158" i="76"/>
  <c r="M159" i="76"/>
  <c r="M160" i="76"/>
  <c r="M161" i="76"/>
  <c r="M162" i="76"/>
  <c r="M163" i="76"/>
  <c r="M164" i="76"/>
  <c r="M165" i="76"/>
  <c r="M166" i="76"/>
  <c r="M167" i="76"/>
  <c r="M168" i="76"/>
  <c r="M169" i="76"/>
  <c r="M170" i="76"/>
  <c r="M171" i="76"/>
  <c r="M172" i="76"/>
  <c r="M173" i="76"/>
  <c r="M174" i="76"/>
  <c r="M175" i="76"/>
  <c r="M176" i="76"/>
  <c r="M177" i="76"/>
  <c r="M178" i="76"/>
  <c r="M179" i="76"/>
  <c r="M180" i="76"/>
  <c r="M181" i="76"/>
  <c r="M182" i="76"/>
  <c r="M183" i="76"/>
  <c r="M184" i="76"/>
  <c r="M185" i="76"/>
  <c r="M186" i="76"/>
  <c r="M187" i="76"/>
  <c r="M188" i="76"/>
  <c r="M189" i="76"/>
  <c r="M190" i="76"/>
  <c r="M191" i="76"/>
  <c r="M192" i="76"/>
  <c r="M193" i="76"/>
  <c r="M194" i="76"/>
  <c r="M195" i="76"/>
  <c r="M196" i="76"/>
  <c r="M197" i="76"/>
  <c r="M198" i="76"/>
  <c r="M199" i="76"/>
  <c r="M200" i="76"/>
  <c r="M201" i="76"/>
  <c r="M202" i="76"/>
  <c r="M203" i="76"/>
  <c r="M204" i="76"/>
  <c r="M205" i="76"/>
  <c r="M206" i="76"/>
  <c r="M207" i="76"/>
  <c r="M208" i="76"/>
  <c r="M209" i="76"/>
  <c r="M210" i="76"/>
  <c r="M211" i="76"/>
  <c r="M212" i="76"/>
  <c r="M213" i="76"/>
  <c r="M214" i="76"/>
  <c r="M215" i="76"/>
  <c r="M216" i="76"/>
  <c r="M217" i="76"/>
  <c r="M218" i="76"/>
  <c r="M219" i="76"/>
  <c r="M220" i="76"/>
  <c r="M221" i="76"/>
  <c r="M222" i="76"/>
  <c r="M223" i="76"/>
  <c r="M224" i="76"/>
  <c r="M225" i="76"/>
  <c r="M226" i="76"/>
  <c r="M227" i="76"/>
  <c r="M228" i="76"/>
  <c r="M229" i="76"/>
  <c r="M230" i="76"/>
  <c r="M231" i="76"/>
  <c r="M232" i="76"/>
  <c r="M233" i="76"/>
  <c r="M234" i="76"/>
  <c r="M235" i="76"/>
  <c r="M236" i="76"/>
  <c r="M237" i="76"/>
  <c r="M238" i="76"/>
  <c r="M239" i="76"/>
  <c r="M240" i="76"/>
  <c r="M241" i="76"/>
  <c r="M242" i="76"/>
  <c r="M243" i="76"/>
  <c r="M244" i="76"/>
  <c r="M245" i="76"/>
  <c r="M246" i="76"/>
  <c r="M247" i="76"/>
  <c r="M248" i="76"/>
  <c r="M249" i="76"/>
  <c r="M250" i="76"/>
  <c r="M251" i="76"/>
  <c r="M252" i="76"/>
  <c r="M253" i="76"/>
  <c r="M254" i="76"/>
  <c r="M255" i="76"/>
  <c r="M256" i="76"/>
  <c r="M257" i="76"/>
  <c r="M258" i="76"/>
  <c r="M259" i="76"/>
  <c r="M260" i="76"/>
  <c r="M261" i="76"/>
  <c r="M262" i="76"/>
  <c r="M263" i="76"/>
  <c r="M264" i="76"/>
  <c r="M265" i="76"/>
  <c r="M266" i="76"/>
  <c r="M267" i="76"/>
  <c r="M268" i="76"/>
  <c r="M269" i="76"/>
  <c r="M270" i="76"/>
  <c r="M271" i="76"/>
  <c r="M272" i="76"/>
  <c r="M273" i="76"/>
  <c r="M274" i="76"/>
  <c r="M275" i="76"/>
  <c r="M276" i="76"/>
  <c r="M277" i="76"/>
  <c r="M278" i="76"/>
  <c r="M279" i="76"/>
  <c r="M280" i="76"/>
  <c r="M281" i="76"/>
  <c r="M282" i="76"/>
  <c r="M284" i="76"/>
  <c r="M285" i="76" s="1"/>
  <c r="M286" i="76"/>
  <c r="M287" i="76" s="1"/>
  <c r="M288" i="76"/>
  <c r="M289" i="76"/>
  <c r="M290" i="76"/>
  <c r="M291" i="76"/>
  <c r="M292" i="76"/>
  <c r="M293" i="76"/>
  <c r="M294" i="76"/>
  <c r="M296" i="76"/>
  <c r="M297" i="76"/>
  <c r="M298" i="76"/>
  <c r="M299" i="76"/>
  <c r="M300" i="76"/>
  <c r="M301" i="76"/>
  <c r="M302" i="76"/>
  <c r="M303" i="76"/>
  <c r="M304" i="76"/>
  <c r="M305" i="76"/>
  <c r="M306" i="76"/>
  <c r="M307" i="76"/>
  <c r="M308" i="76"/>
  <c r="M309" i="76"/>
  <c r="M310" i="76"/>
  <c r="M311" i="76"/>
  <c r="M312" i="76"/>
  <c r="M313" i="76"/>
  <c r="M314" i="76"/>
  <c r="M315" i="76"/>
  <c r="M317" i="76"/>
  <c r="M318" i="76"/>
  <c r="M319" i="76"/>
  <c r="M320" i="76"/>
  <c r="M321" i="76"/>
  <c r="M322" i="76"/>
  <c r="M323" i="76"/>
  <c r="M324" i="76"/>
  <c r="M325" i="76"/>
  <c r="M327" i="76"/>
  <c r="M328" i="76"/>
  <c r="M329" i="76"/>
  <c r="M330" i="76"/>
  <c r="M331" i="76"/>
  <c r="M332" i="76"/>
  <c r="M333" i="76"/>
  <c r="M334" i="76"/>
  <c r="M335" i="76"/>
  <c r="M336" i="76"/>
  <c r="M338" i="76"/>
  <c r="M339" i="76"/>
  <c r="M340" i="76"/>
  <c r="M341" i="76"/>
  <c r="M342" i="76"/>
  <c r="M343" i="76"/>
  <c r="M344" i="76"/>
  <c r="M345" i="76"/>
  <c r="M347" i="76"/>
  <c r="M348" i="76" s="1"/>
  <c r="M349" i="76"/>
  <c r="M350" i="76"/>
  <c r="M351" i="76"/>
  <c r="M353" i="76"/>
  <c r="M354" i="76"/>
  <c r="M355" i="76"/>
  <c r="M356" i="76"/>
  <c r="M357" i="76"/>
  <c r="M358" i="76"/>
  <c r="M359" i="76"/>
  <c r="M361" i="76"/>
  <c r="M362" i="76"/>
  <c r="M363" i="76"/>
  <c r="M364" i="76"/>
  <c r="M365" i="76"/>
  <c r="M366" i="76"/>
  <c r="M367" i="76"/>
  <c r="M368" i="76"/>
  <c r="M369" i="76"/>
  <c r="M370" i="76"/>
  <c r="M371" i="76"/>
  <c r="M372" i="76"/>
  <c r="M373" i="76"/>
  <c r="M374" i="76"/>
  <c r="M375" i="76"/>
  <c r="M376" i="76"/>
  <c r="M377" i="76"/>
  <c r="M378" i="76"/>
  <c r="M380" i="76"/>
  <c r="M381" i="76"/>
  <c r="M382" i="76"/>
  <c r="M383" i="76"/>
  <c r="M384" i="76"/>
  <c r="M385" i="76"/>
  <c r="M386" i="76"/>
  <c r="M387" i="76"/>
  <c r="M388" i="76"/>
  <c r="M389" i="76"/>
  <c r="M390" i="76"/>
  <c r="M391" i="76"/>
  <c r="M392" i="76"/>
  <c r="M393" i="76"/>
  <c r="M394" i="76"/>
  <c r="M395" i="76"/>
  <c r="M396" i="76"/>
  <c r="M397" i="76"/>
  <c r="M398" i="76"/>
  <c r="M399" i="76"/>
  <c r="M400" i="76"/>
  <c r="M401" i="76"/>
  <c r="M402" i="76"/>
  <c r="M403" i="76"/>
  <c r="M404" i="76"/>
  <c r="M405" i="76"/>
  <c r="M406" i="76"/>
  <c r="M407" i="76"/>
  <c r="M408" i="76"/>
  <c r="M409" i="76"/>
  <c r="M410" i="76"/>
  <c r="M411" i="76"/>
  <c r="M412" i="76"/>
  <c r="M413" i="76"/>
  <c r="M414" i="76"/>
  <c r="M415" i="76"/>
  <c r="M416" i="76"/>
  <c r="M417" i="76"/>
  <c r="M418" i="76"/>
  <c r="M419" i="76"/>
  <c r="M420" i="76"/>
  <c r="M421" i="76"/>
  <c r="M422" i="76"/>
  <c r="M423" i="76"/>
  <c r="M424" i="76"/>
  <c r="M425" i="76"/>
  <c r="M426" i="76"/>
  <c r="M427" i="76"/>
  <c r="M428" i="76"/>
  <c r="M429" i="76"/>
  <c r="M430" i="76"/>
  <c r="M431" i="76"/>
  <c r="M432" i="76"/>
  <c r="M433" i="76"/>
  <c r="M434" i="76"/>
  <c r="M435" i="76"/>
  <c r="M436" i="76"/>
  <c r="M437" i="76"/>
  <c r="M438" i="76"/>
  <c r="M439" i="76"/>
  <c r="M440" i="76"/>
  <c r="M441" i="76"/>
  <c r="M442" i="76"/>
  <c r="M443" i="76"/>
  <c r="M444" i="76"/>
  <c r="M445" i="76"/>
  <c r="M446" i="76"/>
  <c r="M447" i="76"/>
  <c r="M448" i="76"/>
  <c r="M449" i="76"/>
  <c r="M450" i="76"/>
  <c r="M451" i="76"/>
  <c r="M452" i="76"/>
  <c r="M453" i="76"/>
  <c r="M454" i="76"/>
  <c r="M455" i="76"/>
  <c r="M456" i="76"/>
  <c r="M457" i="76"/>
  <c r="M458" i="76"/>
  <c r="M459" i="76"/>
  <c r="M460" i="76"/>
  <c r="M461" i="76"/>
  <c r="M462" i="76"/>
  <c r="M463" i="76"/>
  <c r="M464" i="76"/>
  <c r="M465" i="76"/>
  <c r="M466" i="76"/>
  <c r="M467" i="76"/>
  <c r="M468" i="76"/>
  <c r="M469" i="76"/>
  <c r="M470" i="76"/>
  <c r="M471" i="76"/>
  <c r="M472" i="76"/>
  <c r="M473" i="76"/>
  <c r="M474" i="76"/>
  <c r="M475" i="76"/>
  <c r="M476" i="76"/>
  <c r="M477" i="76"/>
  <c r="M478" i="76"/>
  <c r="M479" i="76"/>
  <c r="M480" i="76"/>
  <c r="M481" i="76"/>
  <c r="M482" i="76"/>
  <c r="M483" i="76"/>
  <c r="M484" i="76"/>
  <c r="M485" i="76"/>
  <c r="M486" i="76"/>
  <c r="M487" i="76"/>
  <c r="M488" i="76"/>
  <c r="M489" i="76"/>
  <c r="M491" i="76"/>
  <c r="M492" i="76"/>
  <c r="M493" i="76"/>
  <c r="M494" i="76"/>
  <c r="M495" i="76"/>
  <c r="M496" i="76"/>
  <c r="M497" i="76"/>
  <c r="M498" i="76"/>
  <c r="M499" i="76"/>
  <c r="M500" i="76"/>
  <c r="M501" i="76"/>
  <c r="M502" i="76"/>
  <c r="M503" i="76"/>
  <c r="M504" i="76"/>
  <c r="M505" i="76"/>
  <c r="M506" i="76"/>
  <c r="M507" i="76"/>
  <c r="M508" i="76"/>
  <c r="M509" i="76"/>
  <c r="M510" i="76"/>
  <c r="M511" i="76"/>
  <c r="M512" i="76"/>
  <c r="M513" i="76"/>
  <c r="M514" i="76"/>
  <c r="M515" i="76"/>
  <c r="M516" i="76"/>
  <c r="M517" i="76"/>
  <c r="M518" i="76"/>
  <c r="M519" i="76"/>
  <c r="M520" i="76"/>
  <c r="M521" i="76"/>
  <c r="M522" i="76"/>
  <c r="M523" i="76"/>
  <c r="M524" i="76"/>
  <c r="M525" i="76"/>
  <c r="M526" i="76"/>
  <c r="M527" i="76"/>
  <c r="M528" i="76"/>
  <c r="M529" i="76"/>
  <c r="M530" i="76"/>
  <c r="M531" i="76"/>
  <c r="M532" i="76"/>
  <c r="M533" i="76"/>
  <c r="M534" i="76"/>
  <c r="M535" i="76"/>
  <c r="M536" i="76"/>
  <c r="M537" i="76"/>
  <c r="M538" i="76"/>
  <c r="M539" i="76"/>
  <c r="M540" i="76"/>
  <c r="M541" i="76"/>
  <c r="M542" i="76"/>
  <c r="M543" i="76"/>
  <c r="M544" i="76"/>
  <c r="M545" i="76"/>
  <c r="M546" i="76"/>
  <c r="M547" i="76"/>
  <c r="M548" i="76"/>
  <c r="M549" i="76"/>
  <c r="M550" i="76"/>
  <c r="M551" i="76"/>
  <c r="M552" i="76"/>
  <c r="M553" i="76"/>
  <c r="M554" i="76"/>
  <c r="M555" i="76"/>
  <c r="M556" i="76"/>
  <c r="M557" i="76"/>
  <c r="M558" i="76"/>
  <c r="M559" i="76"/>
  <c r="M560" i="76"/>
  <c r="M561" i="76"/>
  <c r="M562" i="76"/>
  <c r="M563" i="76"/>
  <c r="M564" i="76"/>
  <c r="M565" i="76"/>
  <c r="M566" i="76"/>
  <c r="M567" i="76"/>
  <c r="M568" i="76"/>
  <c r="M569" i="76"/>
  <c r="M570" i="76"/>
  <c r="M571" i="76"/>
  <c r="M572" i="76"/>
  <c r="M573" i="76"/>
  <c r="M574" i="76"/>
  <c r="M575" i="76"/>
  <c r="M576" i="76"/>
  <c r="M577" i="76"/>
  <c r="M578" i="76"/>
  <c r="M579" i="76"/>
  <c r="M580" i="76"/>
  <c r="M581" i="76"/>
  <c r="M582" i="76"/>
  <c r="M583" i="76"/>
  <c r="M584" i="76"/>
  <c r="M585" i="76"/>
  <c r="M586" i="76"/>
  <c r="M587" i="76"/>
  <c r="M588" i="76"/>
  <c r="M589" i="76"/>
  <c r="M590" i="76"/>
  <c r="M591" i="76"/>
  <c r="M592" i="76"/>
  <c r="M593" i="76"/>
  <c r="M594" i="76"/>
  <c r="M595" i="76"/>
  <c r="M596" i="76"/>
  <c r="M597" i="76"/>
  <c r="M598" i="76"/>
  <c r="M599" i="76"/>
  <c r="M600" i="76"/>
  <c r="M601" i="76"/>
  <c r="M602" i="76"/>
  <c r="M603" i="76"/>
  <c r="M604" i="76"/>
  <c r="M605" i="76"/>
  <c r="M606" i="76"/>
  <c r="M607" i="76"/>
  <c r="M608" i="76"/>
  <c r="M609" i="76"/>
  <c r="M610" i="76"/>
  <c r="M611" i="76"/>
  <c r="M612" i="76"/>
  <c r="M613" i="76"/>
  <c r="M614" i="76"/>
  <c r="M615" i="76"/>
  <c r="M616" i="76"/>
  <c r="M617" i="76"/>
  <c r="M618" i="76"/>
  <c r="M619" i="76"/>
  <c r="M620" i="76"/>
  <c r="M621" i="76"/>
  <c r="M622" i="76"/>
  <c r="M623" i="76"/>
  <c r="M624" i="76"/>
  <c r="M625" i="76"/>
  <c r="M626" i="76"/>
  <c r="M627" i="76"/>
  <c r="M628" i="76"/>
  <c r="M629" i="76"/>
  <c r="M630" i="76"/>
  <c r="M631" i="76"/>
  <c r="M632" i="76"/>
  <c r="M633" i="76"/>
  <c r="M634" i="76"/>
  <c r="M635" i="76"/>
  <c r="M636" i="76"/>
  <c r="M637" i="76"/>
  <c r="M638" i="76"/>
  <c r="M639" i="76"/>
  <c r="M640" i="76"/>
  <c r="M641" i="76"/>
  <c r="M642" i="76"/>
  <c r="M643" i="76"/>
  <c r="M644" i="76"/>
  <c r="M645" i="76"/>
  <c r="M646" i="76"/>
  <c r="M647" i="76"/>
  <c r="M649" i="76"/>
  <c r="M650" i="76"/>
  <c r="M651" i="76"/>
  <c r="M652" i="76"/>
  <c r="M653" i="76"/>
  <c r="M654" i="76"/>
  <c r="M655" i="76"/>
  <c r="M656" i="76"/>
  <c r="M657" i="76"/>
  <c r="M658" i="76"/>
  <c r="M659" i="76"/>
  <c r="M660" i="76"/>
  <c r="M661" i="76"/>
  <c r="M663" i="76"/>
  <c r="M664" i="76"/>
  <c r="M665" i="76"/>
  <c r="M666" i="76"/>
  <c r="M667" i="76"/>
  <c r="M668" i="76"/>
  <c r="M669" i="76"/>
  <c r="M670" i="76"/>
  <c r="M671" i="76"/>
  <c r="M672" i="76"/>
  <c r="M673" i="76"/>
  <c r="M674" i="76"/>
  <c r="M675" i="76"/>
  <c r="M676" i="76"/>
  <c r="M677" i="76"/>
  <c r="M678" i="76"/>
  <c r="M679" i="76"/>
  <c r="M680" i="76"/>
  <c r="M681" i="76"/>
  <c r="M682" i="76"/>
  <c r="M683" i="76"/>
  <c r="M684" i="76"/>
  <c r="M685" i="76"/>
  <c r="M686" i="76"/>
  <c r="M687" i="76"/>
  <c r="M688" i="76"/>
  <c r="M689" i="76"/>
  <c r="M690" i="76"/>
  <c r="M691" i="76"/>
  <c r="M692" i="76"/>
  <c r="M693" i="76"/>
  <c r="M694" i="76"/>
  <c r="M695" i="76"/>
  <c r="M696" i="76"/>
  <c r="M697" i="76"/>
  <c r="M698" i="76"/>
  <c r="M699" i="76"/>
  <c r="M700" i="76"/>
  <c r="M701" i="76"/>
  <c r="M702" i="76"/>
  <c r="M703" i="76"/>
  <c r="M704" i="76"/>
  <c r="M705" i="76"/>
  <c r="M706" i="76"/>
  <c r="M707" i="76"/>
  <c r="M708" i="76"/>
  <c r="M709" i="76"/>
  <c r="M710" i="76"/>
  <c r="M711" i="76"/>
  <c r="M712" i="76"/>
  <c r="M713" i="76"/>
  <c r="M714" i="76"/>
  <c r="M715" i="76"/>
  <c r="M716" i="76"/>
  <c r="M717" i="76"/>
  <c r="M718" i="76"/>
  <c r="M719" i="76"/>
  <c r="M720" i="76"/>
  <c r="M721" i="76"/>
  <c r="M722" i="76"/>
  <c r="M723" i="76"/>
  <c r="M724" i="76"/>
  <c r="M725" i="76"/>
  <c r="M726" i="76"/>
  <c r="M727" i="76"/>
  <c r="M728" i="76"/>
  <c r="M729" i="76"/>
  <c r="M730" i="76"/>
  <c r="M731" i="76"/>
  <c r="M732" i="76"/>
  <c r="M733" i="76"/>
  <c r="M734" i="76"/>
  <c r="M735" i="76"/>
  <c r="M736" i="76"/>
  <c r="M737" i="76"/>
  <c r="M738" i="76"/>
  <c r="M739" i="76"/>
  <c r="M740" i="76"/>
  <c r="M741" i="76"/>
  <c r="M742" i="76"/>
  <c r="M743" i="76"/>
  <c r="M744" i="76"/>
  <c r="M746" i="76"/>
  <c r="M747" i="76"/>
  <c r="M748" i="76"/>
  <c r="M749" i="76"/>
  <c r="M750" i="76"/>
  <c r="M751" i="76"/>
  <c r="M752" i="76"/>
  <c r="M753" i="76"/>
  <c r="M754" i="76"/>
  <c r="M755" i="76"/>
  <c r="M756" i="76"/>
  <c r="M757" i="76"/>
  <c r="M758" i="76"/>
  <c r="M759" i="76"/>
  <c r="M760" i="76"/>
  <c r="M761" i="76"/>
  <c r="M762" i="76"/>
  <c r="M763" i="76"/>
  <c r="M764" i="76"/>
  <c r="M765" i="76"/>
  <c r="M766" i="76"/>
  <c r="M767" i="76"/>
  <c r="M768" i="76"/>
  <c r="M769" i="76"/>
  <c r="M770" i="76"/>
  <c r="M771" i="76"/>
  <c r="M772" i="76"/>
  <c r="M773" i="76"/>
  <c r="M774" i="76"/>
  <c r="M775" i="76"/>
  <c r="M776" i="76"/>
  <c r="M777" i="76"/>
  <c r="M778" i="76"/>
  <c r="M779" i="76"/>
  <c r="M780" i="76"/>
  <c r="M781" i="76"/>
  <c r="M783" i="76"/>
  <c r="M784" i="76"/>
  <c r="M785" i="76"/>
  <c r="M786" i="76"/>
  <c r="M787" i="76"/>
  <c r="M788" i="76"/>
  <c r="M789" i="76"/>
  <c r="M791" i="76"/>
  <c r="M792" i="76" s="1"/>
  <c r="M793" i="76"/>
  <c r="M794" i="76"/>
  <c r="M795" i="76"/>
  <c r="M796" i="76"/>
  <c r="M797" i="76"/>
  <c r="M799" i="76"/>
  <c r="M800" i="76"/>
  <c r="M801" i="76"/>
  <c r="M803" i="76"/>
  <c r="M804" i="76"/>
  <c r="M805" i="76"/>
  <c r="M806" i="76"/>
  <c r="M807" i="76"/>
  <c r="M809" i="76"/>
  <c r="M810" i="76"/>
  <c r="M812" i="76"/>
  <c r="M813" i="76"/>
  <c r="M814" i="76"/>
  <c r="M815" i="76"/>
  <c r="M816" i="76"/>
  <c r="M817" i="76"/>
  <c r="M818" i="76"/>
  <c r="M819" i="76"/>
  <c r="M820" i="76"/>
  <c r="M821" i="76"/>
  <c r="M822" i="76"/>
  <c r="M823" i="76"/>
  <c r="M824" i="76"/>
  <c r="M825" i="76"/>
  <c r="M826" i="76"/>
  <c r="M827" i="76"/>
  <c r="M829" i="76"/>
  <c r="M830" i="76"/>
  <c r="M831" i="76"/>
  <c r="M832" i="76"/>
  <c r="M833" i="76"/>
  <c r="M834" i="76"/>
  <c r="M835" i="76"/>
  <c r="M836" i="76"/>
  <c r="M837" i="76"/>
  <c r="M838" i="76"/>
  <c r="M839" i="76"/>
  <c r="M840" i="76"/>
  <c r="M841" i="76"/>
  <c r="M843" i="76"/>
  <c r="M844" i="76"/>
  <c r="M845" i="76"/>
  <c r="M846" i="76"/>
  <c r="M847" i="76"/>
  <c r="M848" i="76"/>
  <c r="M849" i="76"/>
  <c r="M850" i="76"/>
  <c r="M851" i="76"/>
  <c r="M852" i="76"/>
  <c r="M853" i="76"/>
  <c r="M854" i="76"/>
  <c r="M855" i="76"/>
  <c r="M856" i="76"/>
  <c r="M857" i="76"/>
  <c r="M858" i="76"/>
  <c r="M859" i="76"/>
  <c r="M860" i="76"/>
  <c r="M861" i="76"/>
  <c r="M862" i="76"/>
  <c r="M863" i="76"/>
  <c r="M864" i="76"/>
  <c r="M865" i="76"/>
  <c r="M866" i="76"/>
  <c r="M867" i="76"/>
  <c r="M868" i="76"/>
  <c r="M869" i="76"/>
  <c r="M870" i="76"/>
  <c r="M871" i="76"/>
  <c r="M872" i="76"/>
  <c r="M873" i="76"/>
  <c r="M874" i="76"/>
  <c r="M875" i="76"/>
  <c r="M876" i="76"/>
  <c r="M877" i="76"/>
  <c r="M878" i="76"/>
  <c r="M879" i="76"/>
  <c r="M880" i="76"/>
  <c r="M881" i="76"/>
  <c r="M882" i="76"/>
  <c r="M883" i="76"/>
  <c r="M884" i="76"/>
  <c r="M885" i="76"/>
  <c r="M886" i="76"/>
  <c r="M887" i="76"/>
  <c r="M888" i="76"/>
  <c r="M889" i="76"/>
  <c r="M890" i="76"/>
  <c r="M891" i="76"/>
  <c r="M892" i="76"/>
  <c r="M893" i="76"/>
  <c r="M894" i="76"/>
  <c r="M895" i="76"/>
  <c r="M896" i="76"/>
  <c r="M897" i="76"/>
  <c r="M899" i="76"/>
  <c r="M900" i="76"/>
  <c r="M901" i="76"/>
  <c r="M903" i="76"/>
  <c r="M904" i="76" s="1"/>
  <c r="M905" i="76"/>
  <c r="M906" i="76"/>
  <c r="M907" i="76"/>
  <c r="M908" i="76"/>
  <c r="M909" i="76"/>
  <c r="M910" i="76"/>
  <c r="M911" i="76"/>
  <c r="M912" i="76"/>
  <c r="M914" i="76"/>
  <c r="M915" i="76"/>
  <c r="M916" i="76"/>
  <c r="M917" i="76"/>
  <c r="M918" i="76"/>
  <c r="M919" i="76"/>
  <c r="M920" i="76"/>
  <c r="M921" i="76"/>
  <c r="M922" i="76"/>
  <c r="M923" i="76"/>
  <c r="M924" i="76"/>
  <c r="M926" i="76"/>
  <c r="M927" i="76"/>
  <c r="M928" i="76"/>
  <c r="M929" i="76"/>
  <c r="M930" i="76"/>
  <c r="M931" i="76"/>
  <c r="M932" i="76"/>
  <c r="M933" i="76"/>
  <c r="M935" i="76"/>
  <c r="M936" i="76"/>
  <c r="M937" i="76"/>
  <c r="M939" i="76"/>
  <c r="M940" i="76" s="1"/>
  <c r="M941" i="76"/>
  <c r="M942" i="76" s="1"/>
  <c r="M943" i="76"/>
  <c r="M944" i="76" s="1"/>
  <c r="M945" i="76"/>
  <c r="M946" i="76"/>
  <c r="M947" i="76"/>
  <c r="M948" i="76"/>
  <c r="M949" i="76"/>
  <c r="M951" i="76"/>
  <c r="M952" i="76"/>
  <c r="M954" i="76"/>
  <c r="M955" i="76"/>
  <c r="M956" i="76"/>
  <c r="M958" i="76"/>
  <c r="M959" i="76"/>
  <c r="M960" i="76"/>
  <c r="M961" i="76"/>
  <c r="M962" i="76"/>
  <c r="M963" i="76"/>
  <c r="M964" i="76"/>
  <c r="M965" i="76"/>
  <c r="M966" i="76"/>
  <c r="M967" i="76"/>
  <c r="M969" i="76"/>
  <c r="M970" i="76" s="1"/>
  <c r="M971" i="76"/>
  <c r="M972" i="76"/>
  <c r="M974" i="76"/>
  <c r="M975" i="76"/>
  <c r="M976" i="76"/>
  <c r="M977" i="76"/>
  <c r="M978" i="76"/>
  <c r="M979" i="76"/>
  <c r="M980" i="76"/>
  <c r="M981" i="76"/>
  <c r="M982" i="76"/>
  <c r="M983" i="76"/>
  <c r="M984" i="76"/>
  <c r="M985" i="76"/>
  <c r="M986" i="76"/>
  <c r="M987" i="76"/>
  <c r="M988" i="76"/>
  <c r="M989" i="76"/>
  <c r="M990" i="76"/>
  <c r="M991" i="76"/>
  <c r="M992" i="76"/>
  <c r="M993" i="76"/>
  <c r="M994" i="76"/>
  <c r="M996" i="76"/>
  <c r="M997" i="76" s="1"/>
  <c r="M998" i="76"/>
  <c r="M999" i="76" s="1"/>
  <c r="M1000" i="76"/>
  <c r="M1001" i="76"/>
  <c r="M1003" i="76"/>
  <c r="M1004" i="76"/>
  <c r="M509" i="77" s="1"/>
  <c r="M519" i="77" s="1"/>
  <c r="M1005" i="76"/>
  <c r="M1007" i="76"/>
  <c r="M1008" i="76"/>
  <c r="M2" i="76"/>
  <c r="K3" i="76"/>
  <c r="K5" i="76"/>
  <c r="K6" i="76"/>
  <c r="K7" i="76"/>
  <c r="K9" i="76"/>
  <c r="K10" i="76"/>
  <c r="K11" i="76"/>
  <c r="K13" i="76"/>
  <c r="K15" i="76"/>
  <c r="K16" i="76"/>
  <c r="K18" i="76"/>
  <c r="K20" i="76"/>
  <c r="K21" i="76"/>
  <c r="K23" i="76"/>
  <c r="K24" i="76"/>
  <c r="K25" i="76"/>
  <c r="K26" i="76"/>
  <c r="K28" i="76"/>
  <c r="K30" i="76"/>
  <c r="K31" i="76"/>
  <c r="K33" i="76"/>
  <c r="K35" i="76"/>
  <c r="K37" i="76"/>
  <c r="K38" i="76"/>
  <c r="K39" i="76"/>
  <c r="K40" i="76"/>
  <c r="K42" i="76"/>
  <c r="K44" i="76"/>
  <c r="K45" i="76"/>
  <c r="K46" i="76"/>
  <c r="K47" i="76"/>
  <c r="K48" i="76"/>
  <c r="K50" i="76"/>
  <c r="K52" i="76"/>
  <c r="K53" i="76"/>
  <c r="K54" i="76"/>
  <c r="K55" i="76"/>
  <c r="K57" i="76"/>
  <c r="K58" i="76"/>
  <c r="K60" i="76"/>
  <c r="K62" i="76"/>
  <c r="K63" i="76"/>
  <c r="K64" i="76"/>
  <c r="K65" i="76"/>
  <c r="K66" i="76"/>
  <c r="K68" i="76"/>
  <c r="K69" i="76"/>
  <c r="K70" i="76"/>
  <c r="K72" i="76"/>
  <c r="K73" i="76"/>
  <c r="K74" i="76"/>
  <c r="K75" i="76"/>
  <c r="K76" i="76"/>
  <c r="K77" i="76"/>
  <c r="K78" i="76"/>
  <c r="K79" i="76"/>
  <c r="K80" i="76"/>
  <c r="K81" i="76"/>
  <c r="K82" i="76"/>
  <c r="K83" i="76"/>
  <c r="K84" i="76"/>
  <c r="K85" i="76"/>
  <c r="K86" i="76"/>
  <c r="K87" i="76"/>
  <c r="K88" i="76"/>
  <c r="K89" i="76"/>
  <c r="K90" i="76"/>
  <c r="K91" i="76"/>
  <c r="K92" i="76"/>
  <c r="K93" i="76"/>
  <c r="K94" i="76"/>
  <c r="K95" i="76"/>
  <c r="K96" i="76"/>
  <c r="K97" i="76"/>
  <c r="K98" i="76"/>
  <c r="K100" i="76"/>
  <c r="K101" i="76"/>
  <c r="K102" i="76"/>
  <c r="K103" i="76"/>
  <c r="K104" i="76"/>
  <c r="K105" i="76"/>
  <c r="K106" i="76"/>
  <c r="K107" i="76"/>
  <c r="K108" i="76"/>
  <c r="K109" i="76"/>
  <c r="K110" i="76"/>
  <c r="K111" i="76"/>
  <c r="K112" i="76"/>
  <c r="K113" i="76"/>
  <c r="K114" i="76"/>
  <c r="K115" i="76"/>
  <c r="K116" i="76"/>
  <c r="K117" i="76"/>
  <c r="K118" i="76"/>
  <c r="K119" i="76"/>
  <c r="K120" i="76"/>
  <c r="K121" i="76"/>
  <c r="K122" i="76"/>
  <c r="K123" i="76"/>
  <c r="K124" i="76"/>
  <c r="K125" i="76"/>
  <c r="K126" i="76"/>
  <c r="K127" i="76"/>
  <c r="K128" i="76"/>
  <c r="K129" i="76"/>
  <c r="K130" i="76"/>
  <c r="K131" i="76"/>
  <c r="K132" i="76"/>
  <c r="K133" i="76"/>
  <c r="K134" i="76"/>
  <c r="K135" i="76"/>
  <c r="K136" i="76"/>
  <c r="K137" i="76"/>
  <c r="K138" i="76"/>
  <c r="K139" i="76"/>
  <c r="K140" i="76"/>
  <c r="K141" i="76"/>
  <c r="K142" i="76"/>
  <c r="K143" i="76"/>
  <c r="K144" i="76"/>
  <c r="K145" i="76"/>
  <c r="K146" i="76"/>
  <c r="K147" i="76"/>
  <c r="K148" i="76"/>
  <c r="K149" i="76"/>
  <c r="K150" i="76"/>
  <c r="K151" i="76"/>
  <c r="K152" i="76"/>
  <c r="K153" i="76"/>
  <c r="K154" i="76"/>
  <c r="K155" i="76"/>
  <c r="K156" i="76"/>
  <c r="K157" i="76"/>
  <c r="K158" i="76"/>
  <c r="K159" i="76"/>
  <c r="K160" i="76"/>
  <c r="K161" i="76"/>
  <c r="K162" i="76"/>
  <c r="K163" i="76"/>
  <c r="K164" i="76"/>
  <c r="K165" i="76"/>
  <c r="K166" i="76"/>
  <c r="K167" i="76"/>
  <c r="K168" i="76"/>
  <c r="K169" i="76"/>
  <c r="K170" i="76"/>
  <c r="K171" i="76"/>
  <c r="K172" i="76"/>
  <c r="K173" i="76"/>
  <c r="K174" i="76"/>
  <c r="K175" i="76"/>
  <c r="K176" i="76"/>
  <c r="K177" i="76"/>
  <c r="K178" i="76"/>
  <c r="K179" i="76"/>
  <c r="K180" i="76"/>
  <c r="K181" i="76"/>
  <c r="K182" i="76"/>
  <c r="K183" i="76"/>
  <c r="K184" i="76"/>
  <c r="K185" i="76"/>
  <c r="K186" i="76"/>
  <c r="K187" i="76"/>
  <c r="K188" i="76"/>
  <c r="K189" i="76"/>
  <c r="K190" i="76"/>
  <c r="K191" i="76"/>
  <c r="K192" i="76"/>
  <c r="K193" i="76"/>
  <c r="K194" i="76"/>
  <c r="K195" i="76"/>
  <c r="K196" i="76"/>
  <c r="K197" i="76"/>
  <c r="K198" i="76"/>
  <c r="K199" i="76"/>
  <c r="K200" i="76"/>
  <c r="K201" i="76"/>
  <c r="K202" i="76"/>
  <c r="K203" i="76"/>
  <c r="K204" i="76"/>
  <c r="K205" i="76"/>
  <c r="K206" i="76"/>
  <c r="K207" i="76"/>
  <c r="K208" i="76"/>
  <c r="K209" i="76"/>
  <c r="K210" i="76"/>
  <c r="K211" i="76"/>
  <c r="K212" i="76"/>
  <c r="K213" i="76"/>
  <c r="K214" i="76"/>
  <c r="K215" i="76"/>
  <c r="K216" i="76"/>
  <c r="K217" i="76"/>
  <c r="K218" i="76"/>
  <c r="K219" i="76"/>
  <c r="K220" i="76"/>
  <c r="K221" i="76"/>
  <c r="K222" i="76"/>
  <c r="K223" i="76"/>
  <c r="K224" i="76"/>
  <c r="K225" i="76"/>
  <c r="K226" i="76"/>
  <c r="K227" i="76"/>
  <c r="K228" i="76"/>
  <c r="K229" i="76"/>
  <c r="K230" i="76"/>
  <c r="K231" i="76"/>
  <c r="K232" i="76"/>
  <c r="K233" i="76"/>
  <c r="K234" i="76"/>
  <c r="K235" i="76"/>
  <c r="K236" i="76"/>
  <c r="K237" i="76"/>
  <c r="K238" i="76"/>
  <c r="K239" i="76"/>
  <c r="K240" i="76"/>
  <c r="K241" i="76"/>
  <c r="K242" i="76"/>
  <c r="K243" i="76"/>
  <c r="K244" i="76"/>
  <c r="K245" i="76"/>
  <c r="K246" i="76"/>
  <c r="K247" i="76"/>
  <c r="K248" i="76"/>
  <c r="K249" i="76"/>
  <c r="K250" i="76"/>
  <c r="K251" i="76"/>
  <c r="K252" i="76"/>
  <c r="K253" i="76"/>
  <c r="K254" i="76"/>
  <c r="K255" i="76"/>
  <c r="K256" i="76"/>
  <c r="K257" i="76"/>
  <c r="K258" i="76"/>
  <c r="K259" i="76"/>
  <c r="K260" i="76"/>
  <c r="K261" i="76"/>
  <c r="K262" i="76"/>
  <c r="K263" i="76"/>
  <c r="K264" i="76"/>
  <c r="K265" i="76"/>
  <c r="K266" i="76"/>
  <c r="K267" i="76"/>
  <c r="K268" i="76"/>
  <c r="K269" i="76"/>
  <c r="K270" i="76"/>
  <c r="K271" i="76"/>
  <c r="K272" i="76"/>
  <c r="K273" i="76"/>
  <c r="K274" i="76"/>
  <c r="K275" i="76"/>
  <c r="K276" i="76"/>
  <c r="K277" i="76"/>
  <c r="K278" i="76"/>
  <c r="K279" i="76"/>
  <c r="K280" i="76"/>
  <c r="K281" i="76"/>
  <c r="K282" i="76"/>
  <c r="K284" i="76"/>
  <c r="K286" i="76"/>
  <c r="K288" i="76"/>
  <c r="K289" i="76"/>
  <c r="K290" i="76"/>
  <c r="K291" i="76"/>
  <c r="K292" i="76"/>
  <c r="K293" i="76"/>
  <c r="K294" i="76"/>
  <c r="K296" i="76"/>
  <c r="K297" i="76"/>
  <c r="K298" i="76"/>
  <c r="K299" i="76"/>
  <c r="K300" i="76"/>
  <c r="K301" i="76"/>
  <c r="K302" i="76"/>
  <c r="K303" i="76"/>
  <c r="K304" i="76"/>
  <c r="K305" i="76"/>
  <c r="K306" i="76"/>
  <c r="K307" i="76"/>
  <c r="K308" i="76"/>
  <c r="K309" i="76"/>
  <c r="K310" i="76"/>
  <c r="K311" i="76"/>
  <c r="K312" i="76"/>
  <c r="K313" i="76"/>
  <c r="K314" i="76"/>
  <c r="K315" i="76"/>
  <c r="K317" i="76"/>
  <c r="K318" i="76"/>
  <c r="K319" i="76"/>
  <c r="K320" i="76"/>
  <c r="K321" i="76"/>
  <c r="K322" i="76"/>
  <c r="K323" i="76"/>
  <c r="K324" i="76"/>
  <c r="K325" i="76"/>
  <c r="K327" i="76"/>
  <c r="K328" i="76"/>
  <c r="K329" i="76"/>
  <c r="K330" i="76"/>
  <c r="K331" i="76"/>
  <c r="K332" i="76"/>
  <c r="K333" i="76"/>
  <c r="K334" i="76"/>
  <c r="K335" i="76"/>
  <c r="K336" i="76"/>
  <c r="K338" i="76"/>
  <c r="K339" i="76"/>
  <c r="K340" i="76"/>
  <c r="K341" i="76"/>
  <c r="K342" i="76"/>
  <c r="K343" i="76"/>
  <c r="K344" i="76"/>
  <c r="K345" i="76"/>
  <c r="K347" i="76"/>
  <c r="K349" i="76"/>
  <c r="K350" i="76"/>
  <c r="K351" i="76"/>
  <c r="K353" i="76"/>
  <c r="K354" i="76"/>
  <c r="K355" i="76"/>
  <c r="K356" i="76"/>
  <c r="K357" i="76"/>
  <c r="K358" i="76"/>
  <c r="K359" i="76"/>
  <c r="K361" i="76"/>
  <c r="K362" i="76"/>
  <c r="K363" i="76"/>
  <c r="K364" i="76"/>
  <c r="K365" i="76"/>
  <c r="K366" i="76"/>
  <c r="K367" i="76"/>
  <c r="K368" i="76"/>
  <c r="K369" i="76"/>
  <c r="K370" i="76"/>
  <c r="K371" i="76"/>
  <c r="K372" i="76"/>
  <c r="K373" i="76"/>
  <c r="K374" i="76"/>
  <c r="K375" i="76"/>
  <c r="K376" i="76"/>
  <c r="K377" i="76"/>
  <c r="K378" i="76"/>
  <c r="K380" i="76"/>
  <c r="K381" i="76"/>
  <c r="K382" i="76"/>
  <c r="K383" i="76"/>
  <c r="K384" i="76"/>
  <c r="K385" i="76"/>
  <c r="K386" i="76"/>
  <c r="K387" i="76"/>
  <c r="K388" i="76"/>
  <c r="K389" i="76"/>
  <c r="K390" i="76"/>
  <c r="K391" i="76"/>
  <c r="K392" i="76"/>
  <c r="K393" i="76"/>
  <c r="K394" i="76"/>
  <c r="K395" i="76"/>
  <c r="K396" i="76"/>
  <c r="K397" i="76"/>
  <c r="K398" i="76"/>
  <c r="K399" i="76"/>
  <c r="K400" i="76"/>
  <c r="K401" i="76"/>
  <c r="K402" i="76"/>
  <c r="K403" i="76"/>
  <c r="K404" i="76"/>
  <c r="K405" i="76"/>
  <c r="K406" i="76"/>
  <c r="K407" i="76"/>
  <c r="K408" i="76"/>
  <c r="K409" i="76"/>
  <c r="K410" i="76"/>
  <c r="K411" i="76"/>
  <c r="K412" i="76"/>
  <c r="K413" i="76"/>
  <c r="K414" i="76"/>
  <c r="K415" i="76"/>
  <c r="K416" i="76"/>
  <c r="K417" i="76"/>
  <c r="K418" i="76"/>
  <c r="K419" i="76"/>
  <c r="K420" i="76"/>
  <c r="K421" i="76"/>
  <c r="K422" i="76"/>
  <c r="K423" i="76"/>
  <c r="K424" i="76"/>
  <c r="K425" i="76"/>
  <c r="K426" i="76"/>
  <c r="K427" i="76"/>
  <c r="K428" i="76"/>
  <c r="K429" i="76"/>
  <c r="K430" i="76"/>
  <c r="K431" i="76"/>
  <c r="K432" i="76"/>
  <c r="K433" i="76"/>
  <c r="K434" i="76"/>
  <c r="K435" i="76"/>
  <c r="K436" i="76"/>
  <c r="K437" i="76"/>
  <c r="K438" i="76"/>
  <c r="K439" i="76"/>
  <c r="K440" i="76"/>
  <c r="K441" i="76"/>
  <c r="K442" i="76"/>
  <c r="K443" i="76"/>
  <c r="K444" i="76"/>
  <c r="K445" i="76"/>
  <c r="K446" i="76"/>
  <c r="K447" i="76"/>
  <c r="K448" i="76"/>
  <c r="K449" i="76"/>
  <c r="K450" i="76"/>
  <c r="K451" i="76"/>
  <c r="K452" i="76"/>
  <c r="K453" i="76"/>
  <c r="K454" i="76"/>
  <c r="K455" i="76"/>
  <c r="K456" i="76"/>
  <c r="K457" i="76"/>
  <c r="K458" i="76"/>
  <c r="K459" i="76"/>
  <c r="K460" i="76"/>
  <c r="K461" i="76"/>
  <c r="K462" i="76"/>
  <c r="K463" i="76"/>
  <c r="K464" i="76"/>
  <c r="K465" i="76"/>
  <c r="K466" i="76"/>
  <c r="K467" i="76"/>
  <c r="K468" i="76"/>
  <c r="K469" i="76"/>
  <c r="K470" i="76"/>
  <c r="K471" i="76"/>
  <c r="K472" i="76"/>
  <c r="K473" i="76"/>
  <c r="K474" i="76"/>
  <c r="K475" i="76"/>
  <c r="K476" i="76"/>
  <c r="K477" i="76"/>
  <c r="K478" i="76"/>
  <c r="K479" i="76"/>
  <c r="K480" i="76"/>
  <c r="K481" i="76"/>
  <c r="K482" i="76"/>
  <c r="K483" i="76"/>
  <c r="K484" i="76"/>
  <c r="K485" i="76"/>
  <c r="K486" i="76"/>
  <c r="K487" i="76"/>
  <c r="K488" i="76"/>
  <c r="K489" i="76"/>
  <c r="K491" i="76"/>
  <c r="K492" i="76"/>
  <c r="K493" i="76"/>
  <c r="K494" i="76"/>
  <c r="K495" i="76"/>
  <c r="K496" i="76"/>
  <c r="K497" i="76"/>
  <c r="K498" i="76"/>
  <c r="K499" i="76"/>
  <c r="K500" i="76"/>
  <c r="K501" i="76"/>
  <c r="K502" i="76"/>
  <c r="K503" i="76"/>
  <c r="K504" i="76"/>
  <c r="K505" i="76"/>
  <c r="K506" i="76"/>
  <c r="K507" i="76"/>
  <c r="K508" i="76"/>
  <c r="K509" i="76"/>
  <c r="K510" i="76"/>
  <c r="K511" i="76"/>
  <c r="K512" i="76"/>
  <c r="K513" i="76"/>
  <c r="K514" i="76"/>
  <c r="K515" i="76"/>
  <c r="K516" i="76"/>
  <c r="K517" i="76"/>
  <c r="K518" i="76"/>
  <c r="K519" i="76"/>
  <c r="K520" i="76"/>
  <c r="K521" i="76"/>
  <c r="K522" i="76"/>
  <c r="K523" i="76"/>
  <c r="K524" i="76"/>
  <c r="K525" i="76"/>
  <c r="K526" i="76"/>
  <c r="K527" i="76"/>
  <c r="K528" i="76"/>
  <c r="K529" i="76"/>
  <c r="K530" i="76"/>
  <c r="K531" i="76"/>
  <c r="K532" i="76"/>
  <c r="K533" i="76"/>
  <c r="K534" i="76"/>
  <c r="K535" i="76"/>
  <c r="K536" i="76"/>
  <c r="K537" i="76"/>
  <c r="K538" i="76"/>
  <c r="K539" i="76"/>
  <c r="K540" i="76"/>
  <c r="K541" i="76"/>
  <c r="K542" i="76"/>
  <c r="K543" i="76"/>
  <c r="K544" i="76"/>
  <c r="K545" i="76"/>
  <c r="K546" i="76"/>
  <c r="K547" i="76"/>
  <c r="K548" i="76"/>
  <c r="K549" i="76"/>
  <c r="K550" i="76"/>
  <c r="K551" i="76"/>
  <c r="K552" i="76"/>
  <c r="K553" i="76"/>
  <c r="K554" i="76"/>
  <c r="K555" i="76"/>
  <c r="K556" i="76"/>
  <c r="K557" i="76"/>
  <c r="K558" i="76"/>
  <c r="K559" i="76"/>
  <c r="K560" i="76"/>
  <c r="K561" i="76"/>
  <c r="K562" i="76"/>
  <c r="K563" i="76"/>
  <c r="K564" i="76"/>
  <c r="K565" i="76"/>
  <c r="K566" i="76"/>
  <c r="K567" i="76"/>
  <c r="K568" i="76"/>
  <c r="K569" i="76"/>
  <c r="K570" i="76"/>
  <c r="K571" i="76"/>
  <c r="K572" i="76"/>
  <c r="K573" i="76"/>
  <c r="K574" i="76"/>
  <c r="K575" i="76"/>
  <c r="K576" i="76"/>
  <c r="K577" i="76"/>
  <c r="K578" i="76"/>
  <c r="K579" i="76"/>
  <c r="K580" i="76"/>
  <c r="K581" i="76"/>
  <c r="K582" i="76"/>
  <c r="K583" i="76"/>
  <c r="K584" i="76"/>
  <c r="K585" i="76"/>
  <c r="K586" i="76"/>
  <c r="K587" i="76"/>
  <c r="K588" i="76"/>
  <c r="K589" i="76"/>
  <c r="K590" i="76"/>
  <c r="K591" i="76"/>
  <c r="K592" i="76"/>
  <c r="K593" i="76"/>
  <c r="K594" i="76"/>
  <c r="K595" i="76"/>
  <c r="K596" i="76"/>
  <c r="K597" i="76"/>
  <c r="K598" i="76"/>
  <c r="K599" i="76"/>
  <c r="K600" i="76"/>
  <c r="K601" i="76"/>
  <c r="K602" i="76"/>
  <c r="K603" i="76"/>
  <c r="K604" i="76"/>
  <c r="K605" i="76"/>
  <c r="K606" i="76"/>
  <c r="K607" i="76"/>
  <c r="K608" i="76"/>
  <c r="K609" i="76"/>
  <c r="K610" i="76"/>
  <c r="K611" i="76"/>
  <c r="K612" i="76"/>
  <c r="K613" i="76"/>
  <c r="K614" i="76"/>
  <c r="K615" i="76"/>
  <c r="K616" i="76"/>
  <c r="K617" i="76"/>
  <c r="K618" i="76"/>
  <c r="K619" i="76"/>
  <c r="K620" i="76"/>
  <c r="K621" i="76"/>
  <c r="K622" i="76"/>
  <c r="K623" i="76"/>
  <c r="K624" i="76"/>
  <c r="K625" i="76"/>
  <c r="K626" i="76"/>
  <c r="K627" i="76"/>
  <c r="K628" i="76"/>
  <c r="K629" i="76"/>
  <c r="K630" i="76"/>
  <c r="K631" i="76"/>
  <c r="K632" i="76"/>
  <c r="K633" i="76"/>
  <c r="K634" i="76"/>
  <c r="K635" i="76"/>
  <c r="K636" i="76"/>
  <c r="K637" i="76"/>
  <c r="K638" i="76"/>
  <c r="K639" i="76"/>
  <c r="K640" i="76"/>
  <c r="K641" i="76"/>
  <c r="K642" i="76"/>
  <c r="K643" i="76"/>
  <c r="K644" i="76"/>
  <c r="K645" i="76"/>
  <c r="K646" i="76"/>
  <c r="K647" i="76"/>
  <c r="K649" i="76"/>
  <c r="K650" i="76"/>
  <c r="K651" i="76"/>
  <c r="K652" i="76"/>
  <c r="K653" i="76"/>
  <c r="K654" i="76"/>
  <c r="K655" i="76"/>
  <c r="K656" i="76"/>
  <c r="K657" i="76"/>
  <c r="K658" i="76"/>
  <c r="K659" i="76"/>
  <c r="K660" i="76"/>
  <c r="K661" i="76"/>
  <c r="K663" i="76"/>
  <c r="K664" i="76"/>
  <c r="K665" i="76"/>
  <c r="K666" i="76"/>
  <c r="K667" i="76"/>
  <c r="K668" i="76"/>
  <c r="K669" i="76"/>
  <c r="K670" i="76"/>
  <c r="K671" i="76"/>
  <c r="K672" i="76"/>
  <c r="K673" i="76"/>
  <c r="K674" i="76"/>
  <c r="K675" i="76"/>
  <c r="K676" i="76"/>
  <c r="K677" i="76"/>
  <c r="K678" i="76"/>
  <c r="K679" i="76"/>
  <c r="K680" i="76"/>
  <c r="K681" i="76"/>
  <c r="K682" i="76"/>
  <c r="K683" i="76"/>
  <c r="K684" i="76"/>
  <c r="K685" i="76"/>
  <c r="K686" i="76"/>
  <c r="K687" i="76"/>
  <c r="K688" i="76"/>
  <c r="K689" i="76"/>
  <c r="K690" i="76"/>
  <c r="K691" i="76"/>
  <c r="K692" i="76"/>
  <c r="K693" i="76"/>
  <c r="K694" i="76"/>
  <c r="K695" i="76"/>
  <c r="K696" i="76"/>
  <c r="K697" i="76"/>
  <c r="K698" i="76"/>
  <c r="K699" i="76"/>
  <c r="K700" i="76"/>
  <c r="K701" i="76"/>
  <c r="K702" i="76"/>
  <c r="K703" i="76"/>
  <c r="K704" i="76"/>
  <c r="K705" i="76"/>
  <c r="K706" i="76"/>
  <c r="K707" i="76"/>
  <c r="K708" i="76"/>
  <c r="K709" i="76"/>
  <c r="K710" i="76"/>
  <c r="K711" i="76"/>
  <c r="K712" i="76"/>
  <c r="K713" i="76"/>
  <c r="K714" i="76"/>
  <c r="K715" i="76"/>
  <c r="K716" i="76"/>
  <c r="K717" i="76"/>
  <c r="K718" i="76"/>
  <c r="K719" i="76"/>
  <c r="K720" i="76"/>
  <c r="K721" i="76"/>
  <c r="K722" i="76"/>
  <c r="K723" i="76"/>
  <c r="K724" i="76"/>
  <c r="K725" i="76"/>
  <c r="K726" i="76"/>
  <c r="K727" i="76"/>
  <c r="K728" i="76"/>
  <c r="K729" i="76"/>
  <c r="K730" i="76"/>
  <c r="K731" i="76"/>
  <c r="K732" i="76"/>
  <c r="K733" i="76"/>
  <c r="K734" i="76"/>
  <c r="K735" i="76"/>
  <c r="K736" i="76"/>
  <c r="K737" i="76"/>
  <c r="K738" i="76"/>
  <c r="K739" i="76"/>
  <c r="K740" i="76"/>
  <c r="K741" i="76"/>
  <c r="K742" i="76"/>
  <c r="K743" i="76"/>
  <c r="K744" i="76"/>
  <c r="K746" i="76"/>
  <c r="K747" i="76"/>
  <c r="K748" i="76"/>
  <c r="K749" i="76"/>
  <c r="K750" i="76"/>
  <c r="K751" i="76"/>
  <c r="K752" i="76"/>
  <c r="K753" i="76"/>
  <c r="K754" i="76"/>
  <c r="K755" i="76"/>
  <c r="K756" i="76"/>
  <c r="K757" i="76"/>
  <c r="K758" i="76"/>
  <c r="K759" i="76"/>
  <c r="K760" i="76"/>
  <c r="K761" i="76"/>
  <c r="K762" i="76"/>
  <c r="K763" i="76"/>
  <c r="K764" i="76"/>
  <c r="K765" i="76"/>
  <c r="K766" i="76"/>
  <c r="K767" i="76"/>
  <c r="K768" i="76"/>
  <c r="K769" i="76"/>
  <c r="K770" i="76"/>
  <c r="K771" i="76"/>
  <c r="K772" i="76"/>
  <c r="K773" i="76"/>
  <c r="K774" i="76"/>
  <c r="K775" i="76"/>
  <c r="K776" i="76"/>
  <c r="K777" i="76"/>
  <c r="K778" i="76"/>
  <c r="K779" i="76"/>
  <c r="K780" i="76"/>
  <c r="K781" i="76"/>
  <c r="K783" i="76"/>
  <c r="K784" i="76"/>
  <c r="K785" i="76"/>
  <c r="K786" i="76"/>
  <c r="K787" i="76"/>
  <c r="K788" i="76"/>
  <c r="K789" i="76"/>
  <c r="K791" i="76"/>
  <c r="K793" i="76"/>
  <c r="K794" i="76"/>
  <c r="K795" i="76"/>
  <c r="K796" i="76"/>
  <c r="K797" i="76"/>
  <c r="K799" i="76"/>
  <c r="K800" i="76"/>
  <c r="K801" i="76"/>
  <c r="K803" i="76"/>
  <c r="K804" i="76"/>
  <c r="K805" i="76"/>
  <c r="K806" i="76"/>
  <c r="K807" i="76"/>
  <c r="K809" i="76"/>
  <c r="K810" i="76"/>
  <c r="K812" i="76"/>
  <c r="K813" i="76"/>
  <c r="K814" i="76"/>
  <c r="K815" i="76"/>
  <c r="K816" i="76"/>
  <c r="K817" i="76"/>
  <c r="K818" i="76"/>
  <c r="K819" i="76"/>
  <c r="K820" i="76"/>
  <c r="K821" i="76"/>
  <c r="K822" i="76"/>
  <c r="K823" i="76"/>
  <c r="K824" i="76"/>
  <c r="K825" i="76"/>
  <c r="K826" i="76"/>
  <c r="K827" i="76"/>
  <c r="K829" i="76"/>
  <c r="K830" i="76"/>
  <c r="K831" i="76"/>
  <c r="K832" i="76"/>
  <c r="K833" i="76"/>
  <c r="K834" i="76"/>
  <c r="K835" i="76"/>
  <c r="K836" i="76"/>
  <c r="K837" i="76"/>
  <c r="K838" i="76"/>
  <c r="K839" i="76"/>
  <c r="K840" i="76"/>
  <c r="K841" i="76"/>
  <c r="K843" i="76"/>
  <c r="K844" i="76"/>
  <c r="K845" i="76"/>
  <c r="K846" i="76"/>
  <c r="K847" i="76"/>
  <c r="K848" i="76"/>
  <c r="K849" i="76"/>
  <c r="K850" i="76"/>
  <c r="K851" i="76"/>
  <c r="K852" i="76"/>
  <c r="K853" i="76"/>
  <c r="K854" i="76"/>
  <c r="K855" i="76"/>
  <c r="K856" i="76"/>
  <c r="K857" i="76"/>
  <c r="K858" i="76"/>
  <c r="K859" i="76"/>
  <c r="K860" i="76"/>
  <c r="K861" i="76"/>
  <c r="K862" i="76"/>
  <c r="K863" i="76"/>
  <c r="K864" i="76"/>
  <c r="K865" i="76"/>
  <c r="K866" i="76"/>
  <c r="K867" i="76"/>
  <c r="K868" i="76"/>
  <c r="K869" i="76"/>
  <c r="K870" i="76"/>
  <c r="K871" i="76"/>
  <c r="K872" i="76"/>
  <c r="K873" i="76"/>
  <c r="K874" i="76"/>
  <c r="K875" i="76"/>
  <c r="K876" i="76"/>
  <c r="K877" i="76"/>
  <c r="K878" i="76"/>
  <c r="K879" i="76"/>
  <c r="K880" i="76"/>
  <c r="K881" i="76"/>
  <c r="K882" i="76"/>
  <c r="K883" i="76"/>
  <c r="K884" i="76"/>
  <c r="K885" i="76"/>
  <c r="K886" i="76"/>
  <c r="K887" i="76"/>
  <c r="K888" i="76"/>
  <c r="K889" i="76"/>
  <c r="K890" i="76"/>
  <c r="K891" i="76"/>
  <c r="K892" i="76"/>
  <c r="K893" i="76"/>
  <c r="K894" i="76"/>
  <c r="K895" i="76"/>
  <c r="K896" i="76"/>
  <c r="K897" i="76"/>
  <c r="K899" i="76"/>
  <c r="K900" i="76"/>
  <c r="K901" i="76"/>
  <c r="K903" i="76"/>
  <c r="K905" i="76"/>
  <c r="K906" i="76"/>
  <c r="K907" i="76"/>
  <c r="K908" i="76"/>
  <c r="K909" i="76"/>
  <c r="K910" i="76"/>
  <c r="K911" i="76"/>
  <c r="K912" i="76"/>
  <c r="K914" i="76"/>
  <c r="K915" i="76"/>
  <c r="K916" i="76"/>
  <c r="K917" i="76"/>
  <c r="K918" i="76"/>
  <c r="K919" i="76"/>
  <c r="K920" i="76"/>
  <c r="K921" i="76"/>
  <c r="K922" i="76"/>
  <c r="K923" i="76"/>
  <c r="K924" i="76"/>
  <c r="K926" i="76"/>
  <c r="K927" i="76"/>
  <c r="K928" i="76"/>
  <c r="K929" i="76"/>
  <c r="K930" i="76"/>
  <c r="K931" i="76"/>
  <c r="K932" i="76"/>
  <c r="K933" i="76"/>
  <c r="K935" i="76"/>
  <c r="K936" i="76"/>
  <c r="K937" i="76"/>
  <c r="K939" i="76"/>
  <c r="K941" i="76"/>
  <c r="K943" i="76"/>
  <c r="K945" i="76"/>
  <c r="K946" i="76"/>
  <c r="K947" i="76"/>
  <c r="K948" i="76"/>
  <c r="K949" i="76"/>
  <c r="K951" i="76"/>
  <c r="K952" i="76"/>
  <c r="K954" i="76"/>
  <c r="K955" i="76"/>
  <c r="K956" i="76"/>
  <c r="K958" i="76"/>
  <c r="K959" i="76"/>
  <c r="K960" i="76"/>
  <c r="K961" i="76"/>
  <c r="K962" i="76"/>
  <c r="K963" i="76"/>
  <c r="K964" i="76"/>
  <c r="K965" i="76"/>
  <c r="K966" i="76"/>
  <c r="K967" i="76"/>
  <c r="K969" i="76"/>
  <c r="K971" i="76"/>
  <c r="K972" i="76"/>
  <c r="K974" i="76"/>
  <c r="K975" i="76"/>
  <c r="K976" i="76"/>
  <c r="K977" i="76"/>
  <c r="K978" i="76"/>
  <c r="K979" i="76"/>
  <c r="K980" i="76"/>
  <c r="K981" i="76"/>
  <c r="K982" i="76"/>
  <c r="K983" i="76"/>
  <c r="K984" i="76"/>
  <c r="K985" i="76"/>
  <c r="K986" i="76"/>
  <c r="K987" i="76"/>
  <c r="K988" i="76"/>
  <c r="K989" i="76"/>
  <c r="K990" i="76"/>
  <c r="K991" i="76"/>
  <c r="K992" i="76"/>
  <c r="K993" i="76"/>
  <c r="K994" i="76"/>
  <c r="K996" i="76"/>
  <c r="K998" i="76"/>
  <c r="K1000" i="76"/>
  <c r="K1001" i="76"/>
  <c r="K1003" i="76"/>
  <c r="K1004" i="76"/>
  <c r="K1005" i="76"/>
  <c r="K1007" i="76"/>
  <c r="K1008" i="76"/>
  <c r="K2" i="76"/>
  <c r="I3" i="76"/>
  <c r="J3" i="76" s="1"/>
  <c r="I5" i="76"/>
  <c r="I6" i="76"/>
  <c r="J6" i="76" s="1"/>
  <c r="I7" i="76"/>
  <c r="J7" i="76" s="1"/>
  <c r="I9" i="76"/>
  <c r="J9" i="76" s="1"/>
  <c r="I10" i="76"/>
  <c r="J10" i="76" s="1"/>
  <c r="I11" i="76"/>
  <c r="J11" i="76" s="1"/>
  <c r="I13" i="76"/>
  <c r="I15" i="76"/>
  <c r="I16" i="76"/>
  <c r="J16" i="76" s="1"/>
  <c r="I18" i="76"/>
  <c r="I20" i="76"/>
  <c r="I21" i="76"/>
  <c r="J21" i="76" s="1"/>
  <c r="I23" i="76"/>
  <c r="L23" i="76" s="1"/>
  <c r="I24" i="76"/>
  <c r="J24" i="76" s="1"/>
  <c r="I25" i="76"/>
  <c r="J25" i="76" s="1"/>
  <c r="I26" i="76"/>
  <c r="J26" i="76" s="1"/>
  <c r="I28" i="76"/>
  <c r="L28" i="76" s="1"/>
  <c r="I30" i="76"/>
  <c r="I31" i="76"/>
  <c r="J31" i="76" s="1"/>
  <c r="I33" i="76"/>
  <c r="I34" i="76" s="1"/>
  <c r="I35" i="76"/>
  <c r="I37" i="76"/>
  <c r="I38" i="76"/>
  <c r="J38" i="76" s="1"/>
  <c r="I39" i="76"/>
  <c r="J39" i="76" s="1"/>
  <c r="L39" i="76" s="1"/>
  <c r="I40" i="76"/>
  <c r="J40" i="76" s="1"/>
  <c r="I42" i="76"/>
  <c r="I44" i="76"/>
  <c r="I45" i="76"/>
  <c r="J45" i="76" s="1"/>
  <c r="I46" i="76"/>
  <c r="J46" i="76" s="1"/>
  <c r="I47" i="76"/>
  <c r="J47" i="76" s="1"/>
  <c r="I48" i="76"/>
  <c r="J48" i="76" s="1"/>
  <c r="L48" i="76" s="1"/>
  <c r="I50" i="76"/>
  <c r="I51" i="76" s="1"/>
  <c r="I52" i="76"/>
  <c r="I53" i="76"/>
  <c r="J53" i="76" s="1"/>
  <c r="I54" i="76"/>
  <c r="J54" i="76" s="1"/>
  <c r="I55" i="76"/>
  <c r="J55" i="76" s="1"/>
  <c r="L55" i="76" s="1"/>
  <c r="I57" i="76"/>
  <c r="I58" i="76"/>
  <c r="J58" i="76" s="1"/>
  <c r="I60" i="76"/>
  <c r="I62" i="76"/>
  <c r="I63" i="76"/>
  <c r="J63" i="76" s="1"/>
  <c r="I64" i="76"/>
  <c r="J64" i="76" s="1"/>
  <c r="I65" i="76"/>
  <c r="J65" i="76" s="1"/>
  <c r="L65" i="76" s="1"/>
  <c r="I66" i="76"/>
  <c r="J66" i="76" s="1"/>
  <c r="L66" i="76" s="1"/>
  <c r="I68" i="76"/>
  <c r="I69" i="76"/>
  <c r="J69" i="76" s="1"/>
  <c r="I70" i="76"/>
  <c r="J70" i="76" s="1"/>
  <c r="I72" i="76"/>
  <c r="I73" i="76"/>
  <c r="J73" i="76" s="1"/>
  <c r="I74" i="76"/>
  <c r="J74" i="76" s="1"/>
  <c r="I75" i="76"/>
  <c r="J75" i="76" s="1"/>
  <c r="L75" i="76" s="1"/>
  <c r="I76" i="76"/>
  <c r="J76" i="76" s="1"/>
  <c r="I77" i="76"/>
  <c r="J77" i="76" s="1"/>
  <c r="L77" i="76" s="1"/>
  <c r="I78" i="76"/>
  <c r="J78" i="76" s="1"/>
  <c r="I79" i="76"/>
  <c r="J79" i="76" s="1"/>
  <c r="I80" i="76"/>
  <c r="J80" i="76" s="1"/>
  <c r="L80" i="76" s="1"/>
  <c r="I81" i="76"/>
  <c r="J81" i="76" s="1"/>
  <c r="L81" i="76" s="1"/>
  <c r="I82" i="76"/>
  <c r="J82" i="76" s="1"/>
  <c r="I83" i="76"/>
  <c r="J83" i="76" s="1"/>
  <c r="I84" i="76"/>
  <c r="J84" i="76" s="1"/>
  <c r="I85" i="76"/>
  <c r="J85" i="76" s="1"/>
  <c r="I86" i="76"/>
  <c r="J86" i="76" s="1"/>
  <c r="I87" i="76"/>
  <c r="J87" i="76" s="1"/>
  <c r="L87" i="76" s="1"/>
  <c r="I88" i="76"/>
  <c r="J88" i="76" s="1"/>
  <c r="L88" i="76" s="1"/>
  <c r="I89" i="76"/>
  <c r="J89" i="76" s="1"/>
  <c r="I90" i="76"/>
  <c r="J90" i="76" s="1"/>
  <c r="I91" i="76"/>
  <c r="J91" i="76" s="1"/>
  <c r="I92" i="76"/>
  <c r="J92" i="76" s="1"/>
  <c r="I93" i="76"/>
  <c r="J93" i="76" s="1"/>
  <c r="I94" i="76"/>
  <c r="J94" i="76" s="1"/>
  <c r="I95" i="76"/>
  <c r="J95" i="76" s="1"/>
  <c r="L95" i="76" s="1"/>
  <c r="I96" i="76"/>
  <c r="J96" i="76" s="1"/>
  <c r="I97" i="76"/>
  <c r="J97" i="76" s="1"/>
  <c r="L97" i="76" s="1"/>
  <c r="I98" i="76"/>
  <c r="J98" i="76" s="1"/>
  <c r="L98" i="76" s="1"/>
  <c r="I100" i="76"/>
  <c r="I101" i="76"/>
  <c r="J101" i="76" s="1"/>
  <c r="I102" i="76"/>
  <c r="J102" i="76" s="1"/>
  <c r="L102" i="76" s="1"/>
  <c r="I103" i="76"/>
  <c r="J103" i="76" s="1"/>
  <c r="I104" i="76"/>
  <c r="J104" i="76" s="1"/>
  <c r="I105" i="76"/>
  <c r="J105" i="76" s="1"/>
  <c r="I106" i="76"/>
  <c r="J106" i="76" s="1"/>
  <c r="I107" i="76"/>
  <c r="J107" i="76" s="1"/>
  <c r="I108" i="76"/>
  <c r="J108" i="76" s="1"/>
  <c r="L108" i="76" s="1"/>
  <c r="I109" i="76"/>
  <c r="J109" i="76" s="1"/>
  <c r="L109" i="76" s="1"/>
  <c r="I110" i="76"/>
  <c r="J110" i="76" s="1"/>
  <c r="I111" i="76"/>
  <c r="J111" i="76" s="1"/>
  <c r="I112" i="76"/>
  <c r="J112" i="76" s="1"/>
  <c r="I113" i="76"/>
  <c r="J113" i="76" s="1"/>
  <c r="I114" i="76"/>
  <c r="J114" i="76" s="1"/>
  <c r="I115" i="76"/>
  <c r="J115" i="76" s="1"/>
  <c r="I116" i="76"/>
  <c r="J116" i="76" s="1"/>
  <c r="L116" i="76" s="1"/>
  <c r="I117" i="76"/>
  <c r="J117" i="76" s="1"/>
  <c r="I118" i="76"/>
  <c r="J118" i="76" s="1"/>
  <c r="L118" i="76" s="1"/>
  <c r="I119" i="76"/>
  <c r="J119" i="76" s="1"/>
  <c r="I120" i="76"/>
  <c r="J120" i="76" s="1"/>
  <c r="I121" i="76"/>
  <c r="J121" i="76" s="1"/>
  <c r="L121" i="76" s="1"/>
  <c r="I122" i="76"/>
  <c r="J122" i="76" s="1"/>
  <c r="L122" i="76" s="1"/>
  <c r="I123" i="76"/>
  <c r="J123" i="76" s="1"/>
  <c r="I124" i="76"/>
  <c r="J124" i="76" s="1"/>
  <c r="I125" i="76"/>
  <c r="J125" i="76" s="1"/>
  <c r="I126" i="76"/>
  <c r="J126" i="76" s="1"/>
  <c r="I127" i="76"/>
  <c r="J127" i="76" s="1"/>
  <c r="I128" i="76"/>
  <c r="J128" i="76" s="1"/>
  <c r="L128" i="76" s="1"/>
  <c r="I129" i="76"/>
  <c r="J129" i="76" s="1"/>
  <c r="L129" i="76" s="1"/>
  <c r="I130" i="76"/>
  <c r="J130" i="76" s="1"/>
  <c r="I131" i="76"/>
  <c r="J131" i="76" s="1"/>
  <c r="I132" i="76"/>
  <c r="J132" i="76" s="1"/>
  <c r="I133" i="76"/>
  <c r="J133" i="76" s="1"/>
  <c r="I134" i="76"/>
  <c r="J134" i="76" s="1"/>
  <c r="I135" i="76"/>
  <c r="J135" i="76" s="1"/>
  <c r="I136" i="76"/>
  <c r="J136" i="76" s="1"/>
  <c r="L136" i="76" s="1"/>
  <c r="I137" i="76"/>
  <c r="J137" i="76" s="1"/>
  <c r="I138" i="76"/>
  <c r="J138" i="76" s="1"/>
  <c r="L138" i="76" s="1"/>
  <c r="I139" i="76"/>
  <c r="J139" i="76" s="1"/>
  <c r="L139" i="76" s="1"/>
  <c r="I140" i="76"/>
  <c r="J140" i="76" s="1"/>
  <c r="I141" i="76"/>
  <c r="J141" i="76" s="1"/>
  <c r="L141" i="76" s="1"/>
  <c r="I142" i="76"/>
  <c r="J142" i="76" s="1"/>
  <c r="L142" i="76" s="1"/>
  <c r="I143" i="76"/>
  <c r="J143" i="76" s="1"/>
  <c r="I144" i="76"/>
  <c r="J144" i="76" s="1"/>
  <c r="I145" i="76"/>
  <c r="J145" i="76" s="1"/>
  <c r="I146" i="76"/>
  <c r="J146" i="76" s="1"/>
  <c r="I147" i="76"/>
  <c r="J147" i="76" s="1"/>
  <c r="I148" i="76"/>
  <c r="J148" i="76" s="1"/>
  <c r="L148" i="76" s="1"/>
  <c r="I149" i="76"/>
  <c r="J149" i="76" s="1"/>
  <c r="I150" i="76"/>
  <c r="J150" i="76" s="1"/>
  <c r="I151" i="76"/>
  <c r="J151" i="76" s="1"/>
  <c r="I152" i="76"/>
  <c r="J152" i="76" s="1"/>
  <c r="I153" i="76"/>
  <c r="J153" i="76" s="1"/>
  <c r="I154" i="76"/>
  <c r="J154" i="76" s="1"/>
  <c r="I155" i="76"/>
  <c r="J155" i="76" s="1"/>
  <c r="I156" i="76"/>
  <c r="J156" i="76" s="1"/>
  <c r="L156" i="76" s="1"/>
  <c r="I157" i="76"/>
  <c r="J157" i="76" s="1"/>
  <c r="I158" i="76"/>
  <c r="J158" i="76" s="1"/>
  <c r="L158" i="76" s="1"/>
  <c r="I159" i="76"/>
  <c r="J159" i="76" s="1"/>
  <c r="L159" i="76" s="1"/>
  <c r="I160" i="76"/>
  <c r="J160" i="76" s="1"/>
  <c r="L160" i="76" s="1"/>
  <c r="I161" i="76"/>
  <c r="J161" i="76" s="1"/>
  <c r="I162" i="76"/>
  <c r="J162" i="76" s="1"/>
  <c r="L162" i="76" s="1"/>
  <c r="I163" i="76"/>
  <c r="J163" i="76" s="1"/>
  <c r="I164" i="76"/>
  <c r="J164" i="76" s="1"/>
  <c r="I165" i="76"/>
  <c r="J165" i="76" s="1"/>
  <c r="I166" i="76"/>
  <c r="J166" i="76" s="1"/>
  <c r="I167" i="76"/>
  <c r="J167" i="76" s="1"/>
  <c r="I168" i="76"/>
  <c r="J168" i="76" s="1"/>
  <c r="L168" i="76" s="1"/>
  <c r="I169" i="76"/>
  <c r="J169" i="76" s="1"/>
  <c r="L169" i="76" s="1"/>
  <c r="I170" i="76"/>
  <c r="J170" i="76" s="1"/>
  <c r="I171" i="76"/>
  <c r="J171" i="76" s="1"/>
  <c r="I172" i="76"/>
  <c r="J172" i="76" s="1"/>
  <c r="I173" i="76"/>
  <c r="J173" i="76" s="1"/>
  <c r="I174" i="76"/>
  <c r="J174" i="76" s="1"/>
  <c r="I175" i="76"/>
  <c r="J175" i="76" s="1"/>
  <c r="I176" i="76"/>
  <c r="J176" i="76" s="1"/>
  <c r="L176" i="76" s="1"/>
  <c r="I177" i="76"/>
  <c r="J177" i="76" s="1"/>
  <c r="I178" i="76"/>
  <c r="J178" i="76" s="1"/>
  <c r="L178" i="76" s="1"/>
  <c r="I179" i="76"/>
  <c r="J179" i="76" s="1"/>
  <c r="I180" i="76"/>
  <c r="J180" i="76" s="1"/>
  <c r="L180" i="76" s="1"/>
  <c r="I181" i="76"/>
  <c r="J181" i="76" s="1"/>
  <c r="L181" i="76" s="1"/>
  <c r="I182" i="76"/>
  <c r="J182" i="76" s="1"/>
  <c r="L182" i="76" s="1"/>
  <c r="I183" i="76"/>
  <c r="J183" i="76" s="1"/>
  <c r="I184" i="76"/>
  <c r="J184" i="76" s="1"/>
  <c r="I185" i="76"/>
  <c r="J185" i="76" s="1"/>
  <c r="I186" i="76"/>
  <c r="J186" i="76" s="1"/>
  <c r="I187" i="76"/>
  <c r="J187" i="76" s="1"/>
  <c r="I188" i="76"/>
  <c r="J188" i="76" s="1"/>
  <c r="L188" i="76" s="1"/>
  <c r="I189" i="76"/>
  <c r="J189" i="76" s="1"/>
  <c r="L189" i="76" s="1"/>
  <c r="I190" i="76"/>
  <c r="J190" i="76" s="1"/>
  <c r="I191" i="76"/>
  <c r="J191" i="76" s="1"/>
  <c r="I192" i="76"/>
  <c r="J192" i="76" s="1"/>
  <c r="I193" i="76"/>
  <c r="J193" i="76" s="1"/>
  <c r="I194" i="76"/>
  <c r="J194" i="76" s="1"/>
  <c r="I195" i="76"/>
  <c r="J195" i="76" s="1"/>
  <c r="I196" i="76"/>
  <c r="J196" i="76" s="1"/>
  <c r="L196" i="76" s="1"/>
  <c r="I197" i="76"/>
  <c r="J197" i="76" s="1"/>
  <c r="I198" i="76"/>
  <c r="J198" i="76" s="1"/>
  <c r="L198" i="76" s="1"/>
  <c r="I199" i="76"/>
  <c r="J199" i="76" s="1"/>
  <c r="L199" i="76" s="1"/>
  <c r="I200" i="76"/>
  <c r="J200" i="76" s="1"/>
  <c r="L200" i="76" s="1"/>
  <c r="I201" i="76"/>
  <c r="J201" i="76" s="1"/>
  <c r="L201" i="76" s="1"/>
  <c r="I202" i="76"/>
  <c r="J202" i="76" s="1"/>
  <c r="L202" i="76" s="1"/>
  <c r="I203" i="76"/>
  <c r="J203" i="76" s="1"/>
  <c r="I204" i="76"/>
  <c r="J204" i="76" s="1"/>
  <c r="I205" i="76"/>
  <c r="J205" i="76" s="1"/>
  <c r="I206" i="76"/>
  <c r="J206" i="76" s="1"/>
  <c r="I207" i="76"/>
  <c r="J207" i="76" s="1"/>
  <c r="I208" i="76"/>
  <c r="J208" i="76" s="1"/>
  <c r="L208" i="76" s="1"/>
  <c r="I209" i="76"/>
  <c r="J209" i="76" s="1"/>
  <c r="I210" i="76"/>
  <c r="J210" i="76" s="1"/>
  <c r="I211" i="76"/>
  <c r="J211" i="76" s="1"/>
  <c r="I212" i="76"/>
  <c r="J212" i="76" s="1"/>
  <c r="I213" i="76"/>
  <c r="J213" i="76" s="1"/>
  <c r="I214" i="76"/>
  <c r="J214" i="76" s="1"/>
  <c r="I215" i="76"/>
  <c r="J215" i="76" s="1"/>
  <c r="I216" i="76"/>
  <c r="J216" i="76" s="1"/>
  <c r="L216" i="76" s="1"/>
  <c r="I217" i="76"/>
  <c r="J217" i="76" s="1"/>
  <c r="I218" i="76"/>
  <c r="J218" i="76" s="1"/>
  <c r="L218" i="76" s="1"/>
  <c r="I219" i="76"/>
  <c r="J219" i="76" s="1"/>
  <c r="L219" i="76" s="1"/>
  <c r="I220" i="76"/>
  <c r="J220" i="76" s="1"/>
  <c r="L220" i="76" s="1"/>
  <c r="I221" i="76"/>
  <c r="J221" i="76" s="1"/>
  <c r="I222" i="76"/>
  <c r="J222" i="76" s="1"/>
  <c r="L222" i="76" s="1"/>
  <c r="I223" i="76"/>
  <c r="J223" i="76" s="1"/>
  <c r="I224" i="76"/>
  <c r="J224" i="76" s="1"/>
  <c r="I225" i="76"/>
  <c r="J225" i="76" s="1"/>
  <c r="I226" i="76"/>
  <c r="J226" i="76" s="1"/>
  <c r="I227" i="76"/>
  <c r="J227" i="76" s="1"/>
  <c r="I228" i="76"/>
  <c r="J228" i="76" s="1"/>
  <c r="L228" i="76" s="1"/>
  <c r="I229" i="76"/>
  <c r="J229" i="76" s="1"/>
  <c r="L229" i="76" s="1"/>
  <c r="I230" i="76"/>
  <c r="J230" i="76" s="1"/>
  <c r="I231" i="76"/>
  <c r="J231" i="76" s="1"/>
  <c r="I232" i="76"/>
  <c r="J232" i="76" s="1"/>
  <c r="I233" i="76"/>
  <c r="J233" i="76" s="1"/>
  <c r="I234" i="76"/>
  <c r="J234" i="76" s="1"/>
  <c r="I235" i="76"/>
  <c r="J235" i="76" s="1"/>
  <c r="I236" i="76"/>
  <c r="J236" i="76" s="1"/>
  <c r="L236" i="76" s="1"/>
  <c r="I237" i="76"/>
  <c r="J237" i="76" s="1"/>
  <c r="I238" i="76"/>
  <c r="J238" i="76" s="1"/>
  <c r="L238" i="76" s="1"/>
  <c r="I239" i="76"/>
  <c r="J239" i="76" s="1"/>
  <c r="I240" i="76"/>
  <c r="J240" i="76" s="1"/>
  <c r="L240" i="76" s="1"/>
  <c r="I241" i="76"/>
  <c r="J241" i="76" s="1"/>
  <c r="L241" i="76" s="1"/>
  <c r="I242" i="76"/>
  <c r="J242" i="76" s="1"/>
  <c r="L242" i="76" s="1"/>
  <c r="I243" i="76"/>
  <c r="J243" i="76" s="1"/>
  <c r="I244" i="76"/>
  <c r="J244" i="76" s="1"/>
  <c r="I245" i="76"/>
  <c r="J245" i="76" s="1"/>
  <c r="I246" i="76"/>
  <c r="J246" i="76" s="1"/>
  <c r="I247" i="76"/>
  <c r="J247" i="76" s="1"/>
  <c r="I248" i="76"/>
  <c r="J248" i="76" s="1"/>
  <c r="L248" i="76" s="1"/>
  <c r="I249" i="76"/>
  <c r="J249" i="76" s="1"/>
  <c r="L249" i="76" s="1"/>
  <c r="I250" i="76"/>
  <c r="J250" i="76" s="1"/>
  <c r="I251" i="76"/>
  <c r="J251" i="76" s="1"/>
  <c r="I252" i="76"/>
  <c r="J252" i="76" s="1"/>
  <c r="I253" i="76"/>
  <c r="J253" i="76" s="1"/>
  <c r="I254" i="76"/>
  <c r="J254" i="76" s="1"/>
  <c r="I255" i="76"/>
  <c r="J255" i="76" s="1"/>
  <c r="I256" i="76"/>
  <c r="J256" i="76" s="1"/>
  <c r="L256" i="76" s="1"/>
  <c r="I257" i="76"/>
  <c r="J257" i="76" s="1"/>
  <c r="I258" i="76"/>
  <c r="J258" i="76" s="1"/>
  <c r="L258" i="76" s="1"/>
  <c r="I259" i="76"/>
  <c r="J259" i="76" s="1"/>
  <c r="L259" i="76" s="1"/>
  <c r="I260" i="76"/>
  <c r="J260" i="76" s="1"/>
  <c r="L260" i="76" s="1"/>
  <c r="I261" i="76"/>
  <c r="J261" i="76" s="1"/>
  <c r="L261" i="76" s="1"/>
  <c r="I262" i="76"/>
  <c r="J262" i="76" s="1"/>
  <c r="L262" i="76" s="1"/>
  <c r="I263" i="76"/>
  <c r="J263" i="76" s="1"/>
  <c r="I264" i="76"/>
  <c r="J264" i="76" s="1"/>
  <c r="I265" i="76"/>
  <c r="J265" i="76" s="1"/>
  <c r="I266" i="76"/>
  <c r="J266" i="76" s="1"/>
  <c r="I267" i="76"/>
  <c r="J267" i="76" s="1"/>
  <c r="I268" i="76"/>
  <c r="J268" i="76" s="1"/>
  <c r="L268" i="76" s="1"/>
  <c r="I269" i="76"/>
  <c r="J269" i="76" s="1"/>
  <c r="L269" i="76" s="1"/>
  <c r="I270" i="76"/>
  <c r="J270" i="76" s="1"/>
  <c r="I271" i="76"/>
  <c r="J271" i="76" s="1"/>
  <c r="I272" i="76"/>
  <c r="J272" i="76" s="1"/>
  <c r="I273" i="76"/>
  <c r="J273" i="76" s="1"/>
  <c r="I274" i="76"/>
  <c r="J274" i="76" s="1"/>
  <c r="I275" i="76"/>
  <c r="J275" i="76" s="1"/>
  <c r="I276" i="76"/>
  <c r="J276" i="76" s="1"/>
  <c r="L276" i="76" s="1"/>
  <c r="I277" i="76"/>
  <c r="J277" i="76" s="1"/>
  <c r="I278" i="76"/>
  <c r="J278" i="76" s="1"/>
  <c r="L278" i="76" s="1"/>
  <c r="I279" i="76"/>
  <c r="J279" i="76" s="1"/>
  <c r="L279" i="76" s="1"/>
  <c r="I280" i="76"/>
  <c r="J280" i="76" s="1"/>
  <c r="L280" i="76" s="1"/>
  <c r="I281" i="76"/>
  <c r="J281" i="76" s="1"/>
  <c r="L281" i="76" s="1"/>
  <c r="I282" i="76"/>
  <c r="J282" i="76" s="1"/>
  <c r="L282" i="76" s="1"/>
  <c r="I284" i="76"/>
  <c r="I286" i="76"/>
  <c r="I288" i="76"/>
  <c r="I289" i="76"/>
  <c r="J289" i="76" s="1"/>
  <c r="I290" i="76"/>
  <c r="J290" i="76" s="1"/>
  <c r="I291" i="76"/>
  <c r="J291" i="76" s="1"/>
  <c r="L291" i="76" s="1"/>
  <c r="I292" i="76"/>
  <c r="J292" i="76" s="1"/>
  <c r="L292" i="76" s="1"/>
  <c r="I293" i="76"/>
  <c r="J293" i="76" s="1"/>
  <c r="I294" i="76"/>
  <c r="J294" i="76" s="1"/>
  <c r="I296" i="76"/>
  <c r="I297" i="76"/>
  <c r="J297" i="76" s="1"/>
  <c r="I298" i="76"/>
  <c r="J298" i="76" s="1"/>
  <c r="I299" i="76"/>
  <c r="J299" i="76" s="1"/>
  <c r="I300" i="76"/>
  <c r="J300" i="76" s="1"/>
  <c r="L300" i="76" s="1"/>
  <c r="I301" i="76"/>
  <c r="J301" i="76" s="1"/>
  <c r="I302" i="76"/>
  <c r="J302" i="76" s="1"/>
  <c r="L302" i="76" s="1"/>
  <c r="I303" i="76"/>
  <c r="J303" i="76" s="1"/>
  <c r="L303" i="76" s="1"/>
  <c r="I304" i="76"/>
  <c r="J304" i="76" s="1"/>
  <c r="L304" i="76" s="1"/>
  <c r="I305" i="76"/>
  <c r="J305" i="76" s="1"/>
  <c r="L305" i="76" s="1"/>
  <c r="I306" i="76"/>
  <c r="J306" i="76" s="1"/>
  <c r="L306" i="76" s="1"/>
  <c r="I307" i="76"/>
  <c r="J307" i="76" s="1"/>
  <c r="I308" i="76"/>
  <c r="J308" i="76" s="1"/>
  <c r="I309" i="76"/>
  <c r="J309" i="76" s="1"/>
  <c r="I310" i="76"/>
  <c r="J310" i="76" s="1"/>
  <c r="I311" i="76"/>
  <c r="J311" i="76" s="1"/>
  <c r="I312" i="76"/>
  <c r="J312" i="76" s="1"/>
  <c r="L312" i="76" s="1"/>
  <c r="I313" i="76"/>
  <c r="J313" i="76" s="1"/>
  <c r="L313" i="76" s="1"/>
  <c r="I314" i="76"/>
  <c r="J314" i="76" s="1"/>
  <c r="I315" i="76"/>
  <c r="J315" i="76" s="1"/>
  <c r="I317" i="76"/>
  <c r="I318" i="76"/>
  <c r="J318" i="76" s="1"/>
  <c r="I319" i="76"/>
  <c r="J319" i="76" s="1"/>
  <c r="I320" i="76"/>
  <c r="J320" i="76" s="1"/>
  <c r="I321" i="76"/>
  <c r="J321" i="76" s="1"/>
  <c r="L321" i="76" s="1"/>
  <c r="I322" i="76"/>
  <c r="J322" i="76" s="1"/>
  <c r="I323" i="76"/>
  <c r="J323" i="76" s="1"/>
  <c r="L323" i="76" s="1"/>
  <c r="I324" i="76"/>
  <c r="J324" i="76" s="1"/>
  <c r="L324" i="76" s="1"/>
  <c r="I325" i="76"/>
  <c r="J325" i="76" s="1"/>
  <c r="L325" i="76" s="1"/>
  <c r="I327" i="76"/>
  <c r="I328" i="76"/>
  <c r="J328" i="76" s="1"/>
  <c r="L328" i="76" s="1"/>
  <c r="I329" i="76"/>
  <c r="J329" i="76" s="1"/>
  <c r="I330" i="76"/>
  <c r="J330" i="76" s="1"/>
  <c r="I331" i="76"/>
  <c r="J331" i="76" s="1"/>
  <c r="I332" i="76"/>
  <c r="J332" i="76" s="1"/>
  <c r="I333" i="76"/>
  <c r="J333" i="76" s="1"/>
  <c r="I334" i="76"/>
  <c r="J334" i="76" s="1"/>
  <c r="L334" i="76" s="1"/>
  <c r="I335" i="76"/>
  <c r="J335" i="76" s="1"/>
  <c r="L335" i="76" s="1"/>
  <c r="I336" i="76"/>
  <c r="J336" i="76" s="1"/>
  <c r="I338" i="76"/>
  <c r="I339" i="76"/>
  <c r="J339" i="76" s="1"/>
  <c r="I340" i="76"/>
  <c r="J340" i="76" s="1"/>
  <c r="I341" i="76"/>
  <c r="J341" i="76" s="1"/>
  <c r="I342" i="76"/>
  <c r="J342" i="76" s="1"/>
  <c r="I343" i="76"/>
  <c r="J343" i="76" s="1"/>
  <c r="L343" i="76" s="1"/>
  <c r="I344" i="76"/>
  <c r="J344" i="76" s="1"/>
  <c r="I345" i="76"/>
  <c r="J345" i="76" s="1"/>
  <c r="L345" i="76" s="1"/>
  <c r="I347" i="76"/>
  <c r="I349" i="76"/>
  <c r="J349" i="76" s="1"/>
  <c r="I350" i="76"/>
  <c r="J350" i="76" s="1"/>
  <c r="L350" i="76" s="1"/>
  <c r="I351" i="76"/>
  <c r="J351" i="76" s="1"/>
  <c r="L351" i="76" s="1"/>
  <c r="I353" i="76"/>
  <c r="I354" i="76"/>
  <c r="J354" i="76" s="1"/>
  <c r="I355" i="76"/>
  <c r="J355" i="76" s="1"/>
  <c r="I356" i="76"/>
  <c r="J356" i="76" s="1"/>
  <c r="I357" i="76"/>
  <c r="J357" i="76" s="1"/>
  <c r="I358" i="76"/>
  <c r="J358" i="76" s="1"/>
  <c r="L358" i="76" s="1"/>
  <c r="I359" i="76"/>
  <c r="J359" i="76" s="1"/>
  <c r="L359" i="76" s="1"/>
  <c r="I361" i="76"/>
  <c r="J361" i="76" s="1"/>
  <c r="I362" i="76"/>
  <c r="J362" i="76" s="1"/>
  <c r="I363" i="76"/>
  <c r="J363" i="76" s="1"/>
  <c r="I364" i="76"/>
  <c r="J364" i="76" s="1"/>
  <c r="I365" i="76"/>
  <c r="J365" i="76" s="1"/>
  <c r="I366" i="76"/>
  <c r="J366" i="76" s="1"/>
  <c r="I367" i="76"/>
  <c r="J367" i="76" s="1"/>
  <c r="L367" i="76" s="1"/>
  <c r="I368" i="76"/>
  <c r="J368" i="76" s="1"/>
  <c r="I369" i="76"/>
  <c r="J369" i="76" s="1"/>
  <c r="L369" i="76" s="1"/>
  <c r="I370" i="76"/>
  <c r="J370" i="76" s="1"/>
  <c r="L370" i="76" s="1"/>
  <c r="I371" i="76"/>
  <c r="J371" i="76" s="1"/>
  <c r="L371" i="76" s="1"/>
  <c r="I372" i="76"/>
  <c r="J372" i="76" s="1"/>
  <c r="L372" i="76" s="1"/>
  <c r="I373" i="76"/>
  <c r="J373" i="76" s="1"/>
  <c r="L373" i="76" s="1"/>
  <c r="I374" i="76"/>
  <c r="J374" i="76" s="1"/>
  <c r="I375" i="76"/>
  <c r="J375" i="76" s="1"/>
  <c r="I376" i="76"/>
  <c r="J376" i="76" s="1"/>
  <c r="I377" i="76"/>
  <c r="J377" i="76" s="1"/>
  <c r="I378" i="76"/>
  <c r="J378" i="76" s="1"/>
  <c r="I380" i="76"/>
  <c r="I381" i="76"/>
  <c r="J381" i="76" s="1"/>
  <c r="L381" i="76" s="1"/>
  <c r="I382" i="76"/>
  <c r="J382" i="76" s="1"/>
  <c r="I383" i="76"/>
  <c r="J383" i="76" s="1"/>
  <c r="I384" i="76"/>
  <c r="J384" i="76" s="1"/>
  <c r="I385" i="76"/>
  <c r="J385" i="76" s="1"/>
  <c r="I386" i="76"/>
  <c r="J386" i="76" s="1"/>
  <c r="I387" i="76"/>
  <c r="J387" i="76" s="1"/>
  <c r="I388" i="76"/>
  <c r="J388" i="76" s="1"/>
  <c r="L388" i="76" s="1"/>
  <c r="I389" i="76"/>
  <c r="J389" i="76" s="1"/>
  <c r="I390" i="76"/>
  <c r="J390" i="76" s="1"/>
  <c r="L390" i="76" s="1"/>
  <c r="I391" i="76"/>
  <c r="J391" i="76" s="1"/>
  <c r="L391" i="76" s="1"/>
  <c r="I392" i="76"/>
  <c r="J392" i="76" s="1"/>
  <c r="L392" i="76" s="1"/>
  <c r="I393" i="76"/>
  <c r="J393" i="76" s="1"/>
  <c r="L393" i="76" s="1"/>
  <c r="I394" i="76"/>
  <c r="J394" i="76" s="1"/>
  <c r="L394" i="76" s="1"/>
  <c r="I395" i="76"/>
  <c r="J395" i="76" s="1"/>
  <c r="I396" i="76"/>
  <c r="J396" i="76" s="1"/>
  <c r="I397" i="76"/>
  <c r="J397" i="76" s="1"/>
  <c r="I398" i="76"/>
  <c r="J398" i="76" s="1"/>
  <c r="I399" i="76"/>
  <c r="J399" i="76" s="1"/>
  <c r="I400" i="76"/>
  <c r="J400" i="76" s="1"/>
  <c r="L400" i="76" s="1"/>
  <c r="I401" i="76"/>
  <c r="J401" i="76" s="1"/>
  <c r="L401" i="76" s="1"/>
  <c r="I402" i="76"/>
  <c r="J402" i="76" s="1"/>
  <c r="I403" i="76"/>
  <c r="J403" i="76" s="1"/>
  <c r="I404" i="76"/>
  <c r="J404" i="76" s="1"/>
  <c r="I405" i="76"/>
  <c r="J405" i="76" s="1"/>
  <c r="I406" i="76"/>
  <c r="J406" i="76" s="1"/>
  <c r="I407" i="76"/>
  <c r="J407" i="76" s="1"/>
  <c r="I408" i="76"/>
  <c r="J408" i="76" s="1"/>
  <c r="L408" i="76" s="1"/>
  <c r="I409" i="76"/>
  <c r="J409" i="76" s="1"/>
  <c r="I410" i="76"/>
  <c r="J410" i="76" s="1"/>
  <c r="L410" i="76" s="1"/>
  <c r="I411" i="76"/>
  <c r="J411" i="76" s="1"/>
  <c r="L411" i="76" s="1"/>
  <c r="I412" i="76"/>
  <c r="J412" i="76" s="1"/>
  <c r="L412" i="76" s="1"/>
  <c r="I413" i="76"/>
  <c r="J413" i="76" s="1"/>
  <c r="L413" i="76" s="1"/>
  <c r="I414" i="76"/>
  <c r="J414" i="76" s="1"/>
  <c r="L414" i="76" s="1"/>
  <c r="I415" i="76"/>
  <c r="J415" i="76" s="1"/>
  <c r="I416" i="76"/>
  <c r="J416" i="76" s="1"/>
  <c r="I417" i="76"/>
  <c r="J417" i="76" s="1"/>
  <c r="I418" i="76"/>
  <c r="J418" i="76" s="1"/>
  <c r="I419" i="76"/>
  <c r="J419" i="76" s="1"/>
  <c r="I420" i="76"/>
  <c r="J420" i="76" s="1"/>
  <c r="L420" i="76" s="1"/>
  <c r="I421" i="76"/>
  <c r="J421" i="76" s="1"/>
  <c r="L421" i="76" s="1"/>
  <c r="I422" i="76"/>
  <c r="J422" i="76" s="1"/>
  <c r="I423" i="76"/>
  <c r="J423" i="76" s="1"/>
  <c r="I424" i="76"/>
  <c r="J424" i="76" s="1"/>
  <c r="I425" i="76"/>
  <c r="J425" i="76" s="1"/>
  <c r="I426" i="76"/>
  <c r="J426" i="76" s="1"/>
  <c r="I427" i="76"/>
  <c r="J427" i="76" s="1"/>
  <c r="I428" i="76"/>
  <c r="J428" i="76" s="1"/>
  <c r="L428" i="76" s="1"/>
  <c r="I429" i="76"/>
  <c r="J429" i="76" s="1"/>
  <c r="I430" i="76"/>
  <c r="J430" i="76" s="1"/>
  <c r="L430" i="76" s="1"/>
  <c r="I431" i="76"/>
  <c r="J431" i="76" s="1"/>
  <c r="L431" i="76" s="1"/>
  <c r="I432" i="76"/>
  <c r="J432" i="76" s="1"/>
  <c r="L432" i="76" s="1"/>
  <c r="I433" i="76"/>
  <c r="J433" i="76" s="1"/>
  <c r="L433" i="76" s="1"/>
  <c r="I434" i="76"/>
  <c r="J434" i="76" s="1"/>
  <c r="L434" i="76" s="1"/>
  <c r="I435" i="76"/>
  <c r="J435" i="76" s="1"/>
  <c r="I436" i="76"/>
  <c r="J436" i="76" s="1"/>
  <c r="I437" i="76"/>
  <c r="J437" i="76" s="1"/>
  <c r="I438" i="76"/>
  <c r="J438" i="76" s="1"/>
  <c r="I439" i="76"/>
  <c r="J439" i="76" s="1"/>
  <c r="I440" i="76"/>
  <c r="J440" i="76" s="1"/>
  <c r="L440" i="76" s="1"/>
  <c r="I441" i="76"/>
  <c r="J441" i="76" s="1"/>
  <c r="L441" i="76" s="1"/>
  <c r="I442" i="76"/>
  <c r="J442" i="76" s="1"/>
  <c r="I443" i="76"/>
  <c r="J443" i="76" s="1"/>
  <c r="I444" i="76"/>
  <c r="J444" i="76" s="1"/>
  <c r="I445" i="76"/>
  <c r="J445" i="76" s="1"/>
  <c r="I446" i="76"/>
  <c r="J446" i="76" s="1"/>
  <c r="I447" i="76"/>
  <c r="J447" i="76" s="1"/>
  <c r="I448" i="76"/>
  <c r="J448" i="76" s="1"/>
  <c r="L448" i="76" s="1"/>
  <c r="I449" i="76"/>
  <c r="J449" i="76" s="1"/>
  <c r="I450" i="76"/>
  <c r="J450" i="76" s="1"/>
  <c r="L450" i="76" s="1"/>
  <c r="I451" i="76"/>
  <c r="J451" i="76" s="1"/>
  <c r="L451" i="76" s="1"/>
  <c r="I452" i="76"/>
  <c r="J452" i="76" s="1"/>
  <c r="L452" i="76" s="1"/>
  <c r="I453" i="76"/>
  <c r="J453" i="76" s="1"/>
  <c r="L453" i="76" s="1"/>
  <c r="I454" i="76"/>
  <c r="J454" i="76" s="1"/>
  <c r="L454" i="76" s="1"/>
  <c r="I455" i="76"/>
  <c r="J455" i="76" s="1"/>
  <c r="L455" i="76" s="1"/>
  <c r="I456" i="76"/>
  <c r="J456" i="76" s="1"/>
  <c r="I457" i="76"/>
  <c r="J457" i="76" s="1"/>
  <c r="I458" i="76"/>
  <c r="J458" i="76" s="1"/>
  <c r="I459" i="76"/>
  <c r="J459" i="76" s="1"/>
  <c r="I460" i="76"/>
  <c r="J460" i="76" s="1"/>
  <c r="L460" i="76" s="1"/>
  <c r="I461" i="76"/>
  <c r="J461" i="76" s="1"/>
  <c r="L461" i="76" s="1"/>
  <c r="I462" i="76"/>
  <c r="J462" i="76" s="1"/>
  <c r="I463" i="76"/>
  <c r="J463" i="76" s="1"/>
  <c r="I464" i="76"/>
  <c r="J464" i="76" s="1"/>
  <c r="I465" i="76"/>
  <c r="J465" i="76" s="1"/>
  <c r="I466" i="76"/>
  <c r="J466" i="76" s="1"/>
  <c r="I467" i="76"/>
  <c r="J467" i="76" s="1"/>
  <c r="I468" i="76"/>
  <c r="J468" i="76" s="1"/>
  <c r="L468" i="76" s="1"/>
  <c r="I469" i="76"/>
  <c r="J469" i="76" s="1"/>
  <c r="I470" i="76"/>
  <c r="J470" i="76" s="1"/>
  <c r="L470" i="76" s="1"/>
  <c r="I471" i="76"/>
  <c r="J471" i="76" s="1"/>
  <c r="L471" i="76" s="1"/>
  <c r="I472" i="76"/>
  <c r="J472" i="76" s="1"/>
  <c r="L472" i="76" s="1"/>
  <c r="I473" i="76"/>
  <c r="J473" i="76" s="1"/>
  <c r="L473" i="76" s="1"/>
  <c r="I474" i="76"/>
  <c r="J474" i="76" s="1"/>
  <c r="L474" i="76" s="1"/>
  <c r="I475" i="76"/>
  <c r="J475" i="76" s="1"/>
  <c r="L475" i="76" s="1"/>
  <c r="I476" i="76"/>
  <c r="J476" i="76" s="1"/>
  <c r="I477" i="76"/>
  <c r="J477" i="76" s="1"/>
  <c r="I478" i="76"/>
  <c r="J478" i="76" s="1"/>
  <c r="I479" i="76"/>
  <c r="J479" i="76" s="1"/>
  <c r="I480" i="76"/>
  <c r="J480" i="76" s="1"/>
  <c r="L480" i="76" s="1"/>
  <c r="I481" i="76"/>
  <c r="J481" i="76" s="1"/>
  <c r="L481" i="76" s="1"/>
  <c r="I482" i="76"/>
  <c r="J482" i="76" s="1"/>
  <c r="I483" i="76"/>
  <c r="J483" i="76" s="1"/>
  <c r="I484" i="76"/>
  <c r="J484" i="76" s="1"/>
  <c r="I485" i="76"/>
  <c r="J485" i="76" s="1"/>
  <c r="I486" i="76"/>
  <c r="J486" i="76" s="1"/>
  <c r="I487" i="76"/>
  <c r="J487" i="76" s="1"/>
  <c r="I488" i="76"/>
  <c r="J488" i="76" s="1"/>
  <c r="L488" i="76" s="1"/>
  <c r="I489" i="76"/>
  <c r="J489" i="76" s="1"/>
  <c r="I491" i="76"/>
  <c r="I492" i="76"/>
  <c r="J492" i="76" s="1"/>
  <c r="L492" i="76" s="1"/>
  <c r="I493" i="76"/>
  <c r="J493" i="76" s="1"/>
  <c r="L493" i="76" s="1"/>
  <c r="I494" i="76"/>
  <c r="J494" i="76" s="1"/>
  <c r="L494" i="76" s="1"/>
  <c r="I495" i="76"/>
  <c r="J495" i="76" s="1"/>
  <c r="L495" i="76" s="1"/>
  <c r="I496" i="76"/>
  <c r="J496" i="76" s="1"/>
  <c r="L496" i="76" s="1"/>
  <c r="I497" i="76"/>
  <c r="J497" i="76" s="1"/>
  <c r="I498" i="76"/>
  <c r="J498" i="76" s="1"/>
  <c r="I499" i="76"/>
  <c r="J499" i="76" s="1"/>
  <c r="I500" i="76"/>
  <c r="J500" i="76" s="1"/>
  <c r="I501" i="76"/>
  <c r="J501" i="76" s="1"/>
  <c r="L501" i="76" s="1"/>
  <c r="I502" i="76"/>
  <c r="J502" i="76" s="1"/>
  <c r="L502" i="76" s="1"/>
  <c r="I503" i="76"/>
  <c r="J503" i="76" s="1"/>
  <c r="I504" i="76"/>
  <c r="J504" i="76" s="1"/>
  <c r="I505" i="76"/>
  <c r="J505" i="76" s="1"/>
  <c r="I506" i="76"/>
  <c r="J506" i="76" s="1"/>
  <c r="I507" i="76"/>
  <c r="J507" i="76" s="1"/>
  <c r="I508" i="76"/>
  <c r="J508" i="76" s="1"/>
  <c r="I509" i="76"/>
  <c r="J509" i="76" s="1"/>
  <c r="L509" i="76" s="1"/>
  <c r="I510" i="76"/>
  <c r="J510" i="76" s="1"/>
  <c r="I511" i="76"/>
  <c r="J511" i="76" s="1"/>
  <c r="L511" i="76" s="1"/>
  <c r="I512" i="76"/>
  <c r="J512" i="76" s="1"/>
  <c r="L512" i="76" s="1"/>
  <c r="I513" i="76"/>
  <c r="J513" i="76" s="1"/>
  <c r="L513" i="76" s="1"/>
  <c r="I514" i="76"/>
  <c r="J514" i="76" s="1"/>
  <c r="L514" i="76" s="1"/>
  <c r="I515" i="76"/>
  <c r="J515" i="76" s="1"/>
  <c r="L515" i="76" s="1"/>
  <c r="I516" i="76"/>
  <c r="J516" i="76" s="1"/>
  <c r="L516" i="76" s="1"/>
  <c r="I517" i="76"/>
  <c r="J517" i="76" s="1"/>
  <c r="I518" i="76"/>
  <c r="J518" i="76" s="1"/>
  <c r="I519" i="76"/>
  <c r="J519" i="76" s="1"/>
  <c r="I520" i="76"/>
  <c r="J520" i="76" s="1"/>
  <c r="I521" i="76"/>
  <c r="J521" i="76" s="1"/>
  <c r="L521" i="76" s="1"/>
  <c r="I522" i="76"/>
  <c r="J522" i="76" s="1"/>
  <c r="L522" i="76" s="1"/>
  <c r="I523" i="76"/>
  <c r="J523" i="76" s="1"/>
  <c r="I524" i="76"/>
  <c r="J524" i="76" s="1"/>
  <c r="I525" i="76"/>
  <c r="J525" i="76" s="1"/>
  <c r="I526" i="76"/>
  <c r="J526" i="76" s="1"/>
  <c r="I527" i="76"/>
  <c r="J527" i="76" s="1"/>
  <c r="I528" i="76"/>
  <c r="J528" i="76" s="1"/>
  <c r="I529" i="76"/>
  <c r="J529" i="76" s="1"/>
  <c r="L529" i="76" s="1"/>
  <c r="I530" i="76"/>
  <c r="J530" i="76" s="1"/>
  <c r="I531" i="76"/>
  <c r="J531" i="76" s="1"/>
  <c r="L531" i="76" s="1"/>
  <c r="I532" i="76"/>
  <c r="J532" i="76" s="1"/>
  <c r="L532" i="76" s="1"/>
  <c r="I533" i="76"/>
  <c r="J533" i="76" s="1"/>
  <c r="L533" i="76" s="1"/>
  <c r="I534" i="76"/>
  <c r="J534" i="76" s="1"/>
  <c r="L534" i="76" s="1"/>
  <c r="I535" i="76"/>
  <c r="J535" i="76" s="1"/>
  <c r="L535" i="76" s="1"/>
  <c r="I536" i="76"/>
  <c r="J536" i="76" s="1"/>
  <c r="L536" i="76" s="1"/>
  <c r="I537" i="76"/>
  <c r="J537" i="76" s="1"/>
  <c r="I538" i="76"/>
  <c r="J538" i="76" s="1"/>
  <c r="I539" i="76"/>
  <c r="J539" i="76" s="1"/>
  <c r="I540" i="76"/>
  <c r="J540" i="76" s="1"/>
  <c r="I541" i="76"/>
  <c r="J541" i="76" s="1"/>
  <c r="L541" i="76" s="1"/>
  <c r="I542" i="76"/>
  <c r="J542" i="76" s="1"/>
  <c r="L542" i="76" s="1"/>
  <c r="I543" i="76"/>
  <c r="J543" i="76" s="1"/>
  <c r="I544" i="76"/>
  <c r="J544" i="76" s="1"/>
  <c r="I545" i="76"/>
  <c r="J545" i="76" s="1"/>
  <c r="I546" i="76"/>
  <c r="J546" i="76" s="1"/>
  <c r="I547" i="76"/>
  <c r="J547" i="76" s="1"/>
  <c r="I548" i="76"/>
  <c r="J548" i="76" s="1"/>
  <c r="I549" i="76"/>
  <c r="J549" i="76" s="1"/>
  <c r="L549" i="76" s="1"/>
  <c r="I550" i="76"/>
  <c r="J550" i="76" s="1"/>
  <c r="I551" i="76"/>
  <c r="J551" i="76" s="1"/>
  <c r="L551" i="76" s="1"/>
  <c r="I552" i="76"/>
  <c r="J552" i="76" s="1"/>
  <c r="L552" i="76" s="1"/>
  <c r="I553" i="76"/>
  <c r="J553" i="76" s="1"/>
  <c r="L553" i="76" s="1"/>
  <c r="I554" i="76"/>
  <c r="J554" i="76" s="1"/>
  <c r="L554" i="76" s="1"/>
  <c r="I555" i="76"/>
  <c r="J555" i="76" s="1"/>
  <c r="L555" i="76" s="1"/>
  <c r="I556" i="76"/>
  <c r="J556" i="76" s="1"/>
  <c r="L556" i="76" s="1"/>
  <c r="I557" i="76"/>
  <c r="J557" i="76" s="1"/>
  <c r="I558" i="76"/>
  <c r="J558" i="76" s="1"/>
  <c r="I559" i="76"/>
  <c r="J559" i="76" s="1"/>
  <c r="I560" i="76"/>
  <c r="J560" i="76" s="1"/>
  <c r="I561" i="76"/>
  <c r="J561" i="76" s="1"/>
  <c r="L561" i="76" s="1"/>
  <c r="I562" i="76"/>
  <c r="J562" i="76" s="1"/>
  <c r="L562" i="76" s="1"/>
  <c r="I563" i="76"/>
  <c r="J563" i="76" s="1"/>
  <c r="I564" i="76"/>
  <c r="J564" i="76" s="1"/>
  <c r="I565" i="76"/>
  <c r="J565" i="76" s="1"/>
  <c r="I566" i="76"/>
  <c r="J566" i="76" s="1"/>
  <c r="I567" i="76"/>
  <c r="J567" i="76" s="1"/>
  <c r="I568" i="76"/>
  <c r="J568" i="76" s="1"/>
  <c r="I569" i="76"/>
  <c r="J569" i="76" s="1"/>
  <c r="L569" i="76" s="1"/>
  <c r="I570" i="76"/>
  <c r="J570" i="76" s="1"/>
  <c r="I571" i="76"/>
  <c r="J571" i="76" s="1"/>
  <c r="L571" i="76" s="1"/>
  <c r="I572" i="76"/>
  <c r="J572" i="76" s="1"/>
  <c r="L572" i="76" s="1"/>
  <c r="I573" i="76"/>
  <c r="J573" i="76" s="1"/>
  <c r="L573" i="76" s="1"/>
  <c r="I574" i="76"/>
  <c r="J574" i="76" s="1"/>
  <c r="L574" i="76" s="1"/>
  <c r="I575" i="76"/>
  <c r="J575" i="76" s="1"/>
  <c r="L575" i="76" s="1"/>
  <c r="I576" i="76"/>
  <c r="J576" i="76" s="1"/>
  <c r="L576" i="76" s="1"/>
  <c r="I577" i="76"/>
  <c r="J577" i="76" s="1"/>
  <c r="I578" i="76"/>
  <c r="J578" i="76" s="1"/>
  <c r="I579" i="76"/>
  <c r="J579" i="76" s="1"/>
  <c r="I580" i="76"/>
  <c r="J580" i="76" s="1"/>
  <c r="I581" i="76"/>
  <c r="J581" i="76" s="1"/>
  <c r="L581" i="76" s="1"/>
  <c r="I582" i="76"/>
  <c r="J582" i="76" s="1"/>
  <c r="L582" i="76" s="1"/>
  <c r="I583" i="76"/>
  <c r="J583" i="76" s="1"/>
  <c r="I584" i="76"/>
  <c r="J584" i="76" s="1"/>
  <c r="I585" i="76"/>
  <c r="J585" i="76" s="1"/>
  <c r="I586" i="76"/>
  <c r="J586" i="76" s="1"/>
  <c r="I587" i="76"/>
  <c r="J587" i="76" s="1"/>
  <c r="I588" i="76"/>
  <c r="J588" i="76" s="1"/>
  <c r="I589" i="76"/>
  <c r="J589" i="76" s="1"/>
  <c r="L589" i="76" s="1"/>
  <c r="I590" i="76"/>
  <c r="J590" i="76" s="1"/>
  <c r="I591" i="76"/>
  <c r="J591" i="76" s="1"/>
  <c r="L591" i="76" s="1"/>
  <c r="I592" i="76"/>
  <c r="J592" i="76" s="1"/>
  <c r="L592" i="76" s="1"/>
  <c r="I593" i="76"/>
  <c r="J593" i="76" s="1"/>
  <c r="L593" i="76" s="1"/>
  <c r="I594" i="76"/>
  <c r="J594" i="76" s="1"/>
  <c r="L594" i="76" s="1"/>
  <c r="I595" i="76"/>
  <c r="J595" i="76" s="1"/>
  <c r="L595" i="76" s="1"/>
  <c r="I596" i="76"/>
  <c r="J596" i="76" s="1"/>
  <c r="L596" i="76" s="1"/>
  <c r="I597" i="76"/>
  <c r="J597" i="76" s="1"/>
  <c r="I598" i="76"/>
  <c r="J598" i="76" s="1"/>
  <c r="I599" i="76"/>
  <c r="J599" i="76" s="1"/>
  <c r="I600" i="76"/>
  <c r="J600" i="76" s="1"/>
  <c r="I601" i="76"/>
  <c r="J601" i="76" s="1"/>
  <c r="L601" i="76" s="1"/>
  <c r="I602" i="76"/>
  <c r="J602" i="76" s="1"/>
  <c r="L602" i="76" s="1"/>
  <c r="I603" i="76"/>
  <c r="J603" i="76" s="1"/>
  <c r="I604" i="76"/>
  <c r="J604" i="76" s="1"/>
  <c r="I605" i="76"/>
  <c r="J605" i="76" s="1"/>
  <c r="I606" i="76"/>
  <c r="J606" i="76" s="1"/>
  <c r="I607" i="76"/>
  <c r="J607" i="76" s="1"/>
  <c r="I608" i="76"/>
  <c r="J608" i="76" s="1"/>
  <c r="L608" i="76" s="1"/>
  <c r="I609" i="76"/>
  <c r="J609" i="76" s="1"/>
  <c r="L609" i="76" s="1"/>
  <c r="I610" i="76"/>
  <c r="J610" i="76" s="1"/>
  <c r="L610" i="76" s="1"/>
  <c r="I611" i="76"/>
  <c r="J611" i="76" s="1"/>
  <c r="L611" i="76" s="1"/>
  <c r="I612" i="76"/>
  <c r="J612" i="76" s="1"/>
  <c r="L612" i="76" s="1"/>
  <c r="I613" i="76"/>
  <c r="J613" i="76" s="1"/>
  <c r="L613" i="76" s="1"/>
  <c r="I614" i="76"/>
  <c r="J614" i="76" s="1"/>
  <c r="L614" i="76" s="1"/>
  <c r="I615" i="76"/>
  <c r="J615" i="76" s="1"/>
  <c r="L615" i="76" s="1"/>
  <c r="I616" i="76"/>
  <c r="J616" i="76" s="1"/>
  <c r="L616" i="76" s="1"/>
  <c r="I617" i="76"/>
  <c r="J617" i="76" s="1"/>
  <c r="I618" i="76"/>
  <c r="J618" i="76" s="1"/>
  <c r="I619" i="76"/>
  <c r="J619" i="76" s="1"/>
  <c r="I620" i="76"/>
  <c r="J620" i="76" s="1"/>
  <c r="I621" i="76"/>
  <c r="J621" i="76" s="1"/>
  <c r="L621" i="76" s="1"/>
  <c r="I622" i="76"/>
  <c r="J622" i="76" s="1"/>
  <c r="L622" i="76" s="1"/>
  <c r="I623" i="76"/>
  <c r="J623" i="76" s="1"/>
  <c r="I624" i="76"/>
  <c r="J624" i="76" s="1"/>
  <c r="I625" i="76"/>
  <c r="J625" i="76" s="1"/>
  <c r="I626" i="76"/>
  <c r="J626" i="76" s="1"/>
  <c r="I627" i="76"/>
  <c r="J627" i="76" s="1"/>
  <c r="I628" i="76"/>
  <c r="J628" i="76" s="1"/>
  <c r="L628" i="76" s="1"/>
  <c r="I629" i="76"/>
  <c r="J629" i="76" s="1"/>
  <c r="L629" i="76" s="1"/>
  <c r="I630" i="76"/>
  <c r="J630" i="76" s="1"/>
  <c r="L630" i="76" s="1"/>
  <c r="I631" i="76"/>
  <c r="J631" i="76" s="1"/>
  <c r="L631" i="76" s="1"/>
  <c r="I632" i="76"/>
  <c r="J632" i="76" s="1"/>
  <c r="L632" i="76" s="1"/>
  <c r="I633" i="76"/>
  <c r="J633" i="76" s="1"/>
  <c r="L633" i="76" s="1"/>
  <c r="I634" i="76"/>
  <c r="J634" i="76" s="1"/>
  <c r="L634" i="76" s="1"/>
  <c r="I635" i="76"/>
  <c r="J635" i="76" s="1"/>
  <c r="L635" i="76" s="1"/>
  <c r="I636" i="76"/>
  <c r="J636" i="76" s="1"/>
  <c r="L636" i="76" s="1"/>
  <c r="I637" i="76"/>
  <c r="J637" i="76" s="1"/>
  <c r="I638" i="76"/>
  <c r="J638" i="76" s="1"/>
  <c r="I639" i="76"/>
  <c r="J639" i="76" s="1"/>
  <c r="I640" i="76"/>
  <c r="J640" i="76" s="1"/>
  <c r="I641" i="76"/>
  <c r="J641" i="76" s="1"/>
  <c r="L641" i="76" s="1"/>
  <c r="I642" i="76"/>
  <c r="J642" i="76" s="1"/>
  <c r="L642" i="76" s="1"/>
  <c r="I643" i="76"/>
  <c r="J643" i="76" s="1"/>
  <c r="I644" i="76"/>
  <c r="J644" i="76" s="1"/>
  <c r="I645" i="76"/>
  <c r="J645" i="76" s="1"/>
  <c r="I646" i="76"/>
  <c r="J646" i="76" s="1"/>
  <c r="I647" i="76"/>
  <c r="J647" i="76" s="1"/>
  <c r="I649" i="76"/>
  <c r="J649" i="76" s="1"/>
  <c r="I650" i="76"/>
  <c r="J650" i="76" s="1"/>
  <c r="L650" i="76" s="1"/>
  <c r="I651" i="76"/>
  <c r="J651" i="76" s="1"/>
  <c r="L651" i="76" s="1"/>
  <c r="I652" i="76"/>
  <c r="J652" i="76" s="1"/>
  <c r="L652" i="76" s="1"/>
  <c r="I653" i="76"/>
  <c r="J653" i="76" s="1"/>
  <c r="L653" i="76" s="1"/>
  <c r="I654" i="76"/>
  <c r="J654" i="76" s="1"/>
  <c r="L654" i="76" s="1"/>
  <c r="I655" i="76"/>
  <c r="J655" i="76" s="1"/>
  <c r="L655" i="76" s="1"/>
  <c r="I656" i="76"/>
  <c r="J656" i="76" s="1"/>
  <c r="L656" i="76" s="1"/>
  <c r="I657" i="76"/>
  <c r="J657" i="76" s="1"/>
  <c r="L657" i="76" s="1"/>
  <c r="I658" i="76"/>
  <c r="J658" i="76" s="1"/>
  <c r="I659" i="76"/>
  <c r="J659" i="76" s="1"/>
  <c r="I660" i="76"/>
  <c r="J660" i="76" s="1"/>
  <c r="I661" i="76"/>
  <c r="J661" i="76" s="1"/>
  <c r="I663" i="76"/>
  <c r="I664" i="76"/>
  <c r="J664" i="76" s="1"/>
  <c r="L664" i="76" s="1"/>
  <c r="I665" i="76"/>
  <c r="J665" i="76" s="1"/>
  <c r="I666" i="76"/>
  <c r="J666" i="76" s="1"/>
  <c r="I667" i="76"/>
  <c r="J667" i="76" s="1"/>
  <c r="I668" i="76"/>
  <c r="J668" i="76" s="1"/>
  <c r="I669" i="76"/>
  <c r="J669" i="76" s="1"/>
  <c r="I670" i="76"/>
  <c r="J670" i="76" s="1"/>
  <c r="L670" i="76" s="1"/>
  <c r="I671" i="76"/>
  <c r="J671" i="76" s="1"/>
  <c r="L671" i="76" s="1"/>
  <c r="I672" i="76"/>
  <c r="J672" i="76" s="1"/>
  <c r="L672" i="76" s="1"/>
  <c r="I673" i="76"/>
  <c r="J673" i="76" s="1"/>
  <c r="L673" i="76" s="1"/>
  <c r="I674" i="76"/>
  <c r="J674" i="76" s="1"/>
  <c r="L674" i="76" s="1"/>
  <c r="I675" i="76"/>
  <c r="J675" i="76" s="1"/>
  <c r="L675" i="76" s="1"/>
  <c r="I676" i="76"/>
  <c r="J676" i="76" s="1"/>
  <c r="L676" i="76" s="1"/>
  <c r="I677" i="76"/>
  <c r="J677" i="76" s="1"/>
  <c r="L677" i="76" s="1"/>
  <c r="I678" i="76"/>
  <c r="J678" i="76" s="1"/>
  <c r="L678" i="76" s="1"/>
  <c r="I679" i="76"/>
  <c r="J679" i="76" s="1"/>
  <c r="I680" i="76"/>
  <c r="J680" i="76" s="1"/>
  <c r="I681" i="76"/>
  <c r="J681" i="76" s="1"/>
  <c r="I682" i="76"/>
  <c r="J682" i="76" s="1"/>
  <c r="I683" i="76"/>
  <c r="J683" i="76" s="1"/>
  <c r="L683" i="76" s="1"/>
  <c r="I684" i="76"/>
  <c r="J684" i="76" s="1"/>
  <c r="L684" i="76" s="1"/>
  <c r="I685" i="76"/>
  <c r="J685" i="76" s="1"/>
  <c r="I686" i="76"/>
  <c r="J686" i="76" s="1"/>
  <c r="I687" i="76"/>
  <c r="J687" i="76" s="1"/>
  <c r="I688" i="76"/>
  <c r="J688" i="76" s="1"/>
  <c r="I689" i="76"/>
  <c r="J689" i="76" s="1"/>
  <c r="I690" i="76"/>
  <c r="J690" i="76" s="1"/>
  <c r="L690" i="76" s="1"/>
  <c r="I691" i="76"/>
  <c r="J691" i="76" s="1"/>
  <c r="L691" i="76" s="1"/>
  <c r="I692" i="76"/>
  <c r="J692" i="76" s="1"/>
  <c r="L692" i="76" s="1"/>
  <c r="I693" i="76"/>
  <c r="J693" i="76" s="1"/>
  <c r="L693" i="76" s="1"/>
  <c r="I694" i="76"/>
  <c r="J694" i="76" s="1"/>
  <c r="L694" i="76" s="1"/>
  <c r="I695" i="76"/>
  <c r="J695" i="76" s="1"/>
  <c r="L695" i="76" s="1"/>
  <c r="I696" i="76"/>
  <c r="J696" i="76" s="1"/>
  <c r="L696" i="76" s="1"/>
  <c r="I697" i="76"/>
  <c r="J697" i="76" s="1"/>
  <c r="L697" i="76" s="1"/>
  <c r="I698" i="76"/>
  <c r="J698" i="76" s="1"/>
  <c r="L698" i="76" s="1"/>
  <c r="I699" i="76"/>
  <c r="J699" i="76" s="1"/>
  <c r="I700" i="76"/>
  <c r="J700" i="76" s="1"/>
  <c r="I701" i="76"/>
  <c r="J701" i="76" s="1"/>
  <c r="I702" i="76"/>
  <c r="J702" i="76" s="1"/>
  <c r="I703" i="76"/>
  <c r="J703" i="76" s="1"/>
  <c r="L703" i="76" s="1"/>
  <c r="I704" i="76"/>
  <c r="J704" i="76" s="1"/>
  <c r="L704" i="76" s="1"/>
  <c r="I705" i="76"/>
  <c r="J705" i="76" s="1"/>
  <c r="I706" i="76"/>
  <c r="J706" i="76" s="1"/>
  <c r="I707" i="76"/>
  <c r="J707" i="76" s="1"/>
  <c r="I708" i="76"/>
  <c r="J708" i="76" s="1"/>
  <c r="I709" i="76"/>
  <c r="J709" i="76" s="1"/>
  <c r="I710" i="76"/>
  <c r="J710" i="76" s="1"/>
  <c r="L710" i="76" s="1"/>
  <c r="I711" i="76"/>
  <c r="J711" i="76" s="1"/>
  <c r="L711" i="76" s="1"/>
  <c r="I712" i="76"/>
  <c r="J712" i="76" s="1"/>
  <c r="L712" i="76" s="1"/>
  <c r="I713" i="76"/>
  <c r="J713" i="76" s="1"/>
  <c r="L713" i="76" s="1"/>
  <c r="I714" i="76"/>
  <c r="J714" i="76" s="1"/>
  <c r="L714" i="76" s="1"/>
  <c r="I715" i="76"/>
  <c r="J715" i="76" s="1"/>
  <c r="L715" i="76" s="1"/>
  <c r="I716" i="76"/>
  <c r="J716" i="76" s="1"/>
  <c r="L716" i="76" s="1"/>
  <c r="I717" i="76"/>
  <c r="J717" i="76" s="1"/>
  <c r="L717" i="76" s="1"/>
  <c r="I718" i="76"/>
  <c r="J718" i="76" s="1"/>
  <c r="L718" i="76" s="1"/>
  <c r="I719" i="76"/>
  <c r="J719" i="76" s="1"/>
  <c r="I720" i="76"/>
  <c r="J720" i="76" s="1"/>
  <c r="I721" i="76"/>
  <c r="J721" i="76" s="1"/>
  <c r="I722" i="76"/>
  <c r="J722" i="76" s="1"/>
  <c r="I723" i="76"/>
  <c r="J723" i="76" s="1"/>
  <c r="L723" i="76" s="1"/>
  <c r="I724" i="76"/>
  <c r="J724" i="76" s="1"/>
  <c r="L724" i="76" s="1"/>
  <c r="I725" i="76"/>
  <c r="J725" i="76" s="1"/>
  <c r="I726" i="76"/>
  <c r="J726" i="76" s="1"/>
  <c r="I727" i="76"/>
  <c r="J727" i="76" s="1"/>
  <c r="I728" i="76"/>
  <c r="J728" i="76" s="1"/>
  <c r="I729" i="76"/>
  <c r="J729" i="76" s="1"/>
  <c r="I730" i="76"/>
  <c r="J730" i="76" s="1"/>
  <c r="L730" i="76" s="1"/>
  <c r="I731" i="76"/>
  <c r="J731" i="76" s="1"/>
  <c r="L731" i="76" s="1"/>
  <c r="I732" i="76"/>
  <c r="J732" i="76" s="1"/>
  <c r="L732" i="76" s="1"/>
  <c r="I733" i="76"/>
  <c r="J733" i="76" s="1"/>
  <c r="L733" i="76" s="1"/>
  <c r="I734" i="76"/>
  <c r="J734" i="76" s="1"/>
  <c r="L734" i="76" s="1"/>
  <c r="I735" i="76"/>
  <c r="J735" i="76" s="1"/>
  <c r="L735" i="76" s="1"/>
  <c r="I736" i="76"/>
  <c r="J736" i="76" s="1"/>
  <c r="L736" i="76" s="1"/>
  <c r="I737" i="76"/>
  <c r="J737" i="76" s="1"/>
  <c r="L737" i="76" s="1"/>
  <c r="I738" i="76"/>
  <c r="J738" i="76" s="1"/>
  <c r="L738" i="76" s="1"/>
  <c r="I739" i="76"/>
  <c r="J739" i="76" s="1"/>
  <c r="I740" i="76"/>
  <c r="J740" i="76" s="1"/>
  <c r="I741" i="76"/>
  <c r="J741" i="76" s="1"/>
  <c r="I742" i="76"/>
  <c r="J742" i="76" s="1"/>
  <c r="I743" i="76"/>
  <c r="J743" i="76" s="1"/>
  <c r="L743" i="76" s="1"/>
  <c r="I744" i="76"/>
  <c r="J744" i="76" s="1"/>
  <c r="L744" i="76" s="1"/>
  <c r="I746" i="76"/>
  <c r="J746" i="76" s="1"/>
  <c r="I747" i="76"/>
  <c r="J747" i="76" s="1"/>
  <c r="I748" i="76"/>
  <c r="J748" i="76" s="1"/>
  <c r="I749" i="76"/>
  <c r="J749" i="76" s="1"/>
  <c r="I750" i="76"/>
  <c r="J750" i="76" s="1"/>
  <c r="I751" i="76"/>
  <c r="J751" i="76" s="1"/>
  <c r="L751" i="76" s="1"/>
  <c r="I752" i="76"/>
  <c r="J752" i="76" s="1"/>
  <c r="L752" i="76" s="1"/>
  <c r="I753" i="76"/>
  <c r="J753" i="76" s="1"/>
  <c r="L753" i="76" s="1"/>
  <c r="I754" i="76"/>
  <c r="J754" i="76" s="1"/>
  <c r="L754" i="76" s="1"/>
  <c r="I755" i="76"/>
  <c r="J755" i="76" s="1"/>
  <c r="L755" i="76" s="1"/>
  <c r="I756" i="76"/>
  <c r="J756" i="76" s="1"/>
  <c r="L756" i="76" s="1"/>
  <c r="I757" i="76"/>
  <c r="J757" i="76" s="1"/>
  <c r="L757" i="76" s="1"/>
  <c r="I758" i="76"/>
  <c r="J758" i="76" s="1"/>
  <c r="L758" i="76" s="1"/>
  <c r="I759" i="76"/>
  <c r="J759" i="76" s="1"/>
  <c r="L759" i="76" s="1"/>
  <c r="I760" i="76"/>
  <c r="J760" i="76" s="1"/>
  <c r="I761" i="76"/>
  <c r="J761" i="76" s="1"/>
  <c r="I762" i="76"/>
  <c r="J762" i="76" s="1"/>
  <c r="I763" i="76"/>
  <c r="J763" i="76" s="1"/>
  <c r="I764" i="76"/>
  <c r="J764" i="76" s="1"/>
  <c r="L764" i="76" s="1"/>
  <c r="I765" i="76"/>
  <c r="J765" i="76" s="1"/>
  <c r="L765" i="76" s="1"/>
  <c r="I766" i="76"/>
  <c r="J766" i="76" s="1"/>
  <c r="I767" i="76"/>
  <c r="J767" i="76" s="1"/>
  <c r="I768" i="76"/>
  <c r="J768" i="76" s="1"/>
  <c r="I769" i="76"/>
  <c r="J769" i="76" s="1"/>
  <c r="I770" i="76"/>
  <c r="J770" i="76" s="1"/>
  <c r="I771" i="76"/>
  <c r="J771" i="76" s="1"/>
  <c r="L771" i="76" s="1"/>
  <c r="I772" i="76"/>
  <c r="J772" i="76" s="1"/>
  <c r="L772" i="76" s="1"/>
  <c r="I773" i="76"/>
  <c r="J773" i="76" s="1"/>
  <c r="L773" i="76" s="1"/>
  <c r="I774" i="76"/>
  <c r="J774" i="76" s="1"/>
  <c r="L774" i="76" s="1"/>
  <c r="I775" i="76"/>
  <c r="J775" i="76" s="1"/>
  <c r="L775" i="76" s="1"/>
  <c r="I776" i="76"/>
  <c r="J776" i="76" s="1"/>
  <c r="L776" i="76" s="1"/>
  <c r="I777" i="76"/>
  <c r="J777" i="76" s="1"/>
  <c r="L777" i="76" s="1"/>
  <c r="I778" i="76"/>
  <c r="J778" i="76" s="1"/>
  <c r="L778" i="76" s="1"/>
  <c r="I779" i="76"/>
  <c r="J779" i="76" s="1"/>
  <c r="L779" i="76" s="1"/>
  <c r="I780" i="76"/>
  <c r="J780" i="76" s="1"/>
  <c r="I781" i="76"/>
  <c r="J781" i="76" s="1"/>
  <c r="I783" i="76"/>
  <c r="I784" i="76"/>
  <c r="J784" i="76" s="1"/>
  <c r="I785" i="76"/>
  <c r="J785" i="76" s="1"/>
  <c r="L785" i="76" s="1"/>
  <c r="I786" i="76"/>
  <c r="J786" i="76" s="1"/>
  <c r="L786" i="76" s="1"/>
  <c r="I787" i="76"/>
  <c r="J787" i="76" s="1"/>
  <c r="I788" i="76"/>
  <c r="J788" i="76" s="1"/>
  <c r="I789" i="76"/>
  <c r="J789" i="76" s="1"/>
  <c r="I791" i="76"/>
  <c r="I792" i="76" s="1"/>
  <c r="I793" i="76"/>
  <c r="I794" i="76"/>
  <c r="J794" i="76" s="1"/>
  <c r="L794" i="76" s="1"/>
  <c r="I795" i="76"/>
  <c r="J795" i="76" s="1"/>
  <c r="L795" i="76" s="1"/>
  <c r="I796" i="76"/>
  <c r="J796" i="76" s="1"/>
  <c r="L796" i="76" s="1"/>
  <c r="I797" i="76"/>
  <c r="J797" i="76" s="1"/>
  <c r="L797" i="76" s="1"/>
  <c r="I799" i="76"/>
  <c r="I800" i="76"/>
  <c r="J800" i="76" s="1"/>
  <c r="L800" i="76" s="1"/>
  <c r="I801" i="76"/>
  <c r="J801" i="76" s="1"/>
  <c r="L801" i="76" s="1"/>
  <c r="I803" i="76"/>
  <c r="I804" i="76"/>
  <c r="J804" i="76" s="1"/>
  <c r="L804" i="76" s="1"/>
  <c r="I805" i="76"/>
  <c r="J805" i="76" s="1"/>
  <c r="I806" i="76"/>
  <c r="J806" i="76" s="1"/>
  <c r="I807" i="76"/>
  <c r="J807" i="76" s="1"/>
  <c r="I809" i="76"/>
  <c r="I810" i="76"/>
  <c r="J810" i="76" s="1"/>
  <c r="L810" i="76" s="1"/>
  <c r="I812" i="76"/>
  <c r="I813" i="76"/>
  <c r="J813" i="76" s="1"/>
  <c r="I814" i="76"/>
  <c r="J814" i="76" s="1"/>
  <c r="I815" i="76"/>
  <c r="J815" i="76" s="1"/>
  <c r="I816" i="76"/>
  <c r="J816" i="76" s="1"/>
  <c r="I817" i="76"/>
  <c r="J817" i="76" s="1"/>
  <c r="I818" i="76"/>
  <c r="J818" i="76" s="1"/>
  <c r="L818" i="76" s="1"/>
  <c r="I819" i="76"/>
  <c r="J819" i="76" s="1"/>
  <c r="L819" i="76" s="1"/>
  <c r="I820" i="76"/>
  <c r="J820" i="76" s="1"/>
  <c r="L820" i="76" s="1"/>
  <c r="I821" i="76"/>
  <c r="J821" i="76" s="1"/>
  <c r="L821" i="76" s="1"/>
  <c r="I822" i="76"/>
  <c r="J822" i="76" s="1"/>
  <c r="L822" i="76" s="1"/>
  <c r="I823" i="76"/>
  <c r="J823" i="76" s="1"/>
  <c r="L823" i="76" s="1"/>
  <c r="I824" i="76"/>
  <c r="J824" i="76" s="1"/>
  <c r="L824" i="76" s="1"/>
  <c r="I825" i="76"/>
  <c r="J825" i="76" s="1"/>
  <c r="L825" i="76" s="1"/>
  <c r="I826" i="76"/>
  <c r="J826" i="76" s="1"/>
  <c r="L826" i="76" s="1"/>
  <c r="I827" i="76"/>
  <c r="J827" i="76" s="1"/>
  <c r="I829" i="76"/>
  <c r="I830" i="76"/>
  <c r="J830" i="76" s="1"/>
  <c r="I831" i="76"/>
  <c r="J831" i="76" s="1"/>
  <c r="I832" i="76"/>
  <c r="J832" i="76" s="1"/>
  <c r="L832" i="76" s="1"/>
  <c r="I833" i="76"/>
  <c r="J833" i="76" s="1"/>
  <c r="L833" i="76" s="1"/>
  <c r="I834" i="76"/>
  <c r="J834" i="76" s="1"/>
  <c r="I835" i="76"/>
  <c r="J835" i="76" s="1"/>
  <c r="I836" i="76"/>
  <c r="J836" i="76" s="1"/>
  <c r="I837" i="76"/>
  <c r="J837" i="76" s="1"/>
  <c r="I838" i="76"/>
  <c r="J838" i="76" s="1"/>
  <c r="I839" i="76"/>
  <c r="J839" i="76" s="1"/>
  <c r="L839" i="76" s="1"/>
  <c r="I840" i="76"/>
  <c r="J840" i="76" s="1"/>
  <c r="L840" i="76" s="1"/>
  <c r="I841" i="76"/>
  <c r="J841" i="76" s="1"/>
  <c r="L841" i="76" s="1"/>
  <c r="I843" i="76"/>
  <c r="I844" i="76"/>
  <c r="J844" i="76" s="1"/>
  <c r="L844" i="76" s="1"/>
  <c r="I845" i="76"/>
  <c r="J845" i="76" s="1"/>
  <c r="L845" i="76" s="1"/>
  <c r="I846" i="76"/>
  <c r="J846" i="76" s="1"/>
  <c r="L846" i="76" s="1"/>
  <c r="I847" i="76"/>
  <c r="J847" i="76" s="1"/>
  <c r="L847" i="76" s="1"/>
  <c r="I848" i="76"/>
  <c r="J848" i="76" s="1"/>
  <c r="L848" i="76" s="1"/>
  <c r="I849" i="76"/>
  <c r="J849" i="76" s="1"/>
  <c r="I850" i="76"/>
  <c r="J850" i="76" s="1"/>
  <c r="I851" i="76"/>
  <c r="J851" i="76" s="1"/>
  <c r="I852" i="76"/>
  <c r="J852" i="76" s="1"/>
  <c r="I853" i="76"/>
  <c r="J853" i="76" s="1"/>
  <c r="L853" i="76" s="1"/>
  <c r="I854" i="76"/>
  <c r="J854" i="76" s="1"/>
  <c r="L854" i="76" s="1"/>
  <c r="I855" i="76"/>
  <c r="J855" i="76" s="1"/>
  <c r="I856" i="76"/>
  <c r="J856" i="76" s="1"/>
  <c r="I857" i="76"/>
  <c r="J857" i="76" s="1"/>
  <c r="I858" i="76"/>
  <c r="J858" i="76" s="1"/>
  <c r="I859" i="76"/>
  <c r="J859" i="76" s="1"/>
  <c r="I860" i="76"/>
  <c r="J860" i="76" s="1"/>
  <c r="L860" i="76" s="1"/>
  <c r="I861" i="76"/>
  <c r="J861" i="76" s="1"/>
  <c r="L861" i="76" s="1"/>
  <c r="I862" i="76"/>
  <c r="J862" i="76" s="1"/>
  <c r="L862" i="76" s="1"/>
  <c r="I863" i="76"/>
  <c r="J863" i="76" s="1"/>
  <c r="L863" i="76" s="1"/>
  <c r="I864" i="76"/>
  <c r="J864" i="76" s="1"/>
  <c r="L864" i="76" s="1"/>
  <c r="I865" i="76"/>
  <c r="J865" i="76" s="1"/>
  <c r="L865" i="76" s="1"/>
  <c r="I866" i="76"/>
  <c r="J866" i="76" s="1"/>
  <c r="L866" i="76" s="1"/>
  <c r="I867" i="76"/>
  <c r="J867" i="76" s="1"/>
  <c r="L867" i="76" s="1"/>
  <c r="I868" i="76"/>
  <c r="J868" i="76" s="1"/>
  <c r="L868" i="76" s="1"/>
  <c r="I869" i="76"/>
  <c r="J869" i="76" s="1"/>
  <c r="I870" i="76"/>
  <c r="J870" i="76" s="1"/>
  <c r="I871" i="76"/>
  <c r="J871" i="76" s="1"/>
  <c r="I872" i="76"/>
  <c r="J872" i="76" s="1"/>
  <c r="I873" i="76"/>
  <c r="J873" i="76" s="1"/>
  <c r="L873" i="76" s="1"/>
  <c r="I874" i="76"/>
  <c r="J874" i="76" s="1"/>
  <c r="L874" i="76" s="1"/>
  <c r="I875" i="76"/>
  <c r="J875" i="76" s="1"/>
  <c r="I876" i="76"/>
  <c r="J876" i="76" s="1"/>
  <c r="I877" i="76"/>
  <c r="J877" i="76" s="1"/>
  <c r="I878" i="76"/>
  <c r="J878" i="76" s="1"/>
  <c r="I879" i="76"/>
  <c r="J879" i="76" s="1"/>
  <c r="I880" i="76"/>
  <c r="J880" i="76" s="1"/>
  <c r="L880" i="76" s="1"/>
  <c r="I881" i="76"/>
  <c r="J881" i="76" s="1"/>
  <c r="L881" i="76" s="1"/>
  <c r="I882" i="76"/>
  <c r="J882" i="76" s="1"/>
  <c r="L882" i="76" s="1"/>
  <c r="I883" i="76"/>
  <c r="J883" i="76" s="1"/>
  <c r="L883" i="76" s="1"/>
  <c r="I884" i="76"/>
  <c r="J884" i="76" s="1"/>
  <c r="L884" i="76" s="1"/>
  <c r="I885" i="76"/>
  <c r="J885" i="76" s="1"/>
  <c r="L885" i="76" s="1"/>
  <c r="I886" i="76"/>
  <c r="J886" i="76" s="1"/>
  <c r="L886" i="76" s="1"/>
  <c r="I887" i="76"/>
  <c r="J887" i="76" s="1"/>
  <c r="L887" i="76" s="1"/>
  <c r="I888" i="76"/>
  <c r="J888" i="76" s="1"/>
  <c r="L888" i="76" s="1"/>
  <c r="I889" i="76"/>
  <c r="J889" i="76" s="1"/>
  <c r="I890" i="76"/>
  <c r="J890" i="76" s="1"/>
  <c r="I891" i="76"/>
  <c r="J891" i="76" s="1"/>
  <c r="I892" i="76"/>
  <c r="J892" i="76" s="1"/>
  <c r="I893" i="76"/>
  <c r="J893" i="76" s="1"/>
  <c r="L893" i="76" s="1"/>
  <c r="I894" i="76"/>
  <c r="J894" i="76" s="1"/>
  <c r="L894" i="76" s="1"/>
  <c r="I895" i="76"/>
  <c r="J895" i="76" s="1"/>
  <c r="I896" i="76"/>
  <c r="J896" i="76" s="1"/>
  <c r="I897" i="76"/>
  <c r="J897" i="76" s="1"/>
  <c r="I899" i="76"/>
  <c r="J899" i="76" s="1"/>
  <c r="I900" i="76"/>
  <c r="J900" i="76" s="1"/>
  <c r="I901" i="76"/>
  <c r="J901" i="76" s="1"/>
  <c r="L901" i="76" s="1"/>
  <c r="I903" i="76"/>
  <c r="I905" i="76"/>
  <c r="I906" i="76"/>
  <c r="J906" i="76" s="1"/>
  <c r="L906" i="76" s="1"/>
  <c r="I907" i="76"/>
  <c r="J907" i="76" s="1"/>
  <c r="L907" i="76" s="1"/>
  <c r="I908" i="76"/>
  <c r="J908" i="76" s="1"/>
  <c r="L908" i="76" s="1"/>
  <c r="I909" i="76"/>
  <c r="J909" i="76" s="1"/>
  <c r="L909" i="76" s="1"/>
  <c r="I910" i="76"/>
  <c r="J910" i="76" s="1"/>
  <c r="L910" i="76" s="1"/>
  <c r="I911" i="76"/>
  <c r="J911" i="76" s="1"/>
  <c r="L911" i="76" s="1"/>
  <c r="I912" i="76"/>
  <c r="J912" i="76" s="1"/>
  <c r="I914" i="76"/>
  <c r="J914" i="76" s="1"/>
  <c r="I915" i="76"/>
  <c r="J915" i="76" s="1"/>
  <c r="I916" i="76"/>
  <c r="J916" i="76" s="1"/>
  <c r="I917" i="76"/>
  <c r="J917" i="76" s="1"/>
  <c r="L917" i="76" s="1"/>
  <c r="I918" i="76"/>
  <c r="J918" i="76" s="1"/>
  <c r="L918" i="76" s="1"/>
  <c r="I919" i="76"/>
  <c r="J919" i="76" s="1"/>
  <c r="I920" i="76"/>
  <c r="J920" i="76" s="1"/>
  <c r="I921" i="76"/>
  <c r="J921" i="76" s="1"/>
  <c r="I922" i="76"/>
  <c r="J922" i="76" s="1"/>
  <c r="I923" i="76"/>
  <c r="J923" i="76" s="1"/>
  <c r="I924" i="76"/>
  <c r="J924" i="76" s="1"/>
  <c r="L924" i="76" s="1"/>
  <c r="I926" i="76"/>
  <c r="I927" i="76"/>
  <c r="J927" i="76" s="1"/>
  <c r="L927" i="76" s="1"/>
  <c r="I928" i="76"/>
  <c r="J928" i="76" s="1"/>
  <c r="L928" i="76" s="1"/>
  <c r="I929" i="76"/>
  <c r="J929" i="76" s="1"/>
  <c r="L929" i="76" s="1"/>
  <c r="I930" i="76"/>
  <c r="J930" i="76" s="1"/>
  <c r="L930" i="76" s="1"/>
  <c r="I931" i="76"/>
  <c r="J931" i="76" s="1"/>
  <c r="L931" i="76" s="1"/>
  <c r="I932" i="76"/>
  <c r="J932" i="76" s="1"/>
  <c r="L932" i="76" s="1"/>
  <c r="I933" i="76"/>
  <c r="J933" i="76" s="1"/>
  <c r="L933" i="76" s="1"/>
  <c r="I935" i="76"/>
  <c r="I936" i="76"/>
  <c r="J936" i="76" s="1"/>
  <c r="I937" i="76"/>
  <c r="J937" i="76" s="1"/>
  <c r="I939" i="76"/>
  <c r="I940" i="76" s="1"/>
  <c r="I941" i="76"/>
  <c r="I942" i="76" s="1"/>
  <c r="I943" i="76"/>
  <c r="I944" i="76" s="1"/>
  <c r="I945" i="76"/>
  <c r="J945" i="76" s="1"/>
  <c r="I946" i="76"/>
  <c r="J946" i="76" s="1"/>
  <c r="I947" i="76"/>
  <c r="J947" i="76" s="1"/>
  <c r="I948" i="76"/>
  <c r="J948" i="76" s="1"/>
  <c r="I949" i="76"/>
  <c r="J949" i="76" s="1"/>
  <c r="I951" i="76"/>
  <c r="I952" i="76"/>
  <c r="J952" i="76" s="1"/>
  <c r="L952" i="76" s="1"/>
  <c r="I954" i="76"/>
  <c r="I955" i="76"/>
  <c r="J955" i="76" s="1"/>
  <c r="L955" i="76" s="1"/>
  <c r="I956" i="76"/>
  <c r="J956" i="76" s="1"/>
  <c r="L956" i="76" s="1"/>
  <c r="I958" i="76"/>
  <c r="J958" i="76" s="1"/>
  <c r="I959" i="76"/>
  <c r="J959" i="76" s="1"/>
  <c r="L959" i="76" s="1"/>
  <c r="I960" i="76"/>
  <c r="J960" i="76" s="1"/>
  <c r="L960" i="76" s="1"/>
  <c r="I961" i="76"/>
  <c r="J961" i="76" s="1"/>
  <c r="L961" i="76" s="1"/>
  <c r="I962" i="76"/>
  <c r="J962" i="76" s="1"/>
  <c r="I963" i="76"/>
  <c r="J963" i="76" s="1"/>
  <c r="I964" i="76"/>
  <c r="J964" i="76" s="1"/>
  <c r="I965" i="76"/>
  <c r="J965" i="76" s="1"/>
  <c r="I966" i="76"/>
  <c r="J966" i="76" s="1"/>
  <c r="L966" i="76" s="1"/>
  <c r="I967" i="76"/>
  <c r="J967" i="76" s="1"/>
  <c r="L967" i="76" s="1"/>
  <c r="I969" i="76"/>
  <c r="I971" i="76"/>
  <c r="I972" i="76"/>
  <c r="J972" i="76" s="1"/>
  <c r="I974" i="76"/>
  <c r="I975" i="76"/>
  <c r="J975" i="76" s="1"/>
  <c r="I976" i="76"/>
  <c r="J976" i="76" s="1"/>
  <c r="L976" i="76" s="1"/>
  <c r="I977" i="76"/>
  <c r="J977" i="76" s="1"/>
  <c r="L977" i="76" s="1"/>
  <c r="I978" i="76"/>
  <c r="J978" i="76" s="1"/>
  <c r="L978" i="76" s="1"/>
  <c r="I979" i="76"/>
  <c r="J979" i="76" s="1"/>
  <c r="L979" i="76" s="1"/>
  <c r="I980" i="76"/>
  <c r="J980" i="76" s="1"/>
  <c r="L980" i="76" s="1"/>
  <c r="I981" i="76"/>
  <c r="J981" i="76" s="1"/>
  <c r="L981" i="76" s="1"/>
  <c r="I982" i="76"/>
  <c r="J982" i="76" s="1"/>
  <c r="L982" i="76" s="1"/>
  <c r="I983" i="76"/>
  <c r="J983" i="76" s="1"/>
  <c r="L983" i="76" s="1"/>
  <c r="I984" i="76"/>
  <c r="J984" i="76" s="1"/>
  <c r="L984" i="76" s="1"/>
  <c r="I985" i="76"/>
  <c r="J985" i="76" s="1"/>
  <c r="I986" i="76"/>
  <c r="J986" i="76" s="1"/>
  <c r="I987" i="76"/>
  <c r="J987" i="76" s="1"/>
  <c r="I988" i="76"/>
  <c r="J988" i="76" s="1"/>
  <c r="I989" i="76"/>
  <c r="J989" i="76" s="1"/>
  <c r="L989" i="76" s="1"/>
  <c r="I990" i="76"/>
  <c r="J990" i="76" s="1"/>
  <c r="L990" i="76" s="1"/>
  <c r="I991" i="76"/>
  <c r="J991" i="76" s="1"/>
  <c r="I992" i="76"/>
  <c r="J992" i="76" s="1"/>
  <c r="I993" i="76"/>
  <c r="J993" i="76" s="1"/>
  <c r="I994" i="76"/>
  <c r="J994" i="76" s="1"/>
  <c r="I996" i="76"/>
  <c r="I998" i="76"/>
  <c r="I1000" i="76"/>
  <c r="J1000" i="76" s="1"/>
  <c r="I1001" i="76"/>
  <c r="J1001" i="76" s="1"/>
  <c r="L1001" i="76" s="1"/>
  <c r="I1003" i="76"/>
  <c r="I1004" i="76"/>
  <c r="J1004" i="76" s="1"/>
  <c r="L1004" i="76" s="1"/>
  <c r="I1005" i="76"/>
  <c r="J1005" i="76" s="1"/>
  <c r="L1005" i="76" s="1"/>
  <c r="I1007" i="76"/>
  <c r="I1008" i="76"/>
  <c r="J1008" i="76" s="1"/>
  <c r="L1008" i="76" s="1"/>
  <c r="I2" i="76"/>
  <c r="J2" i="76" s="1"/>
  <c r="H272" i="77"/>
  <c r="B73" i="76"/>
  <c r="B74" i="76"/>
  <c r="B75" i="76"/>
  <c r="B76" i="76"/>
  <c r="B77" i="76"/>
  <c r="B78" i="76"/>
  <c r="B79" i="76"/>
  <c r="B80" i="76"/>
  <c r="B81" i="76"/>
  <c r="B82" i="76"/>
  <c r="B83" i="76"/>
  <c r="B84" i="76"/>
  <c r="B85" i="76"/>
  <c r="B86" i="76"/>
  <c r="B87" i="76"/>
  <c r="B88" i="76"/>
  <c r="B89" i="76"/>
  <c r="B90" i="76"/>
  <c r="B91" i="76"/>
  <c r="B92" i="76"/>
  <c r="B93" i="76"/>
  <c r="B94" i="76"/>
  <c r="B95" i="76"/>
  <c r="B96" i="76"/>
  <c r="B97" i="76"/>
  <c r="B98" i="76"/>
  <c r="B100" i="76"/>
  <c r="B101" i="76"/>
  <c r="B102" i="76"/>
  <c r="B103" i="76"/>
  <c r="B104" i="76"/>
  <c r="B105" i="76"/>
  <c r="B106" i="76"/>
  <c r="B107" i="76"/>
  <c r="B108" i="76"/>
  <c r="B109" i="76"/>
  <c r="B110" i="76"/>
  <c r="B111" i="76"/>
  <c r="B112" i="76"/>
  <c r="B113" i="76"/>
  <c r="B114" i="76"/>
  <c r="B115" i="76"/>
  <c r="B116" i="76"/>
  <c r="B117" i="76"/>
  <c r="B118" i="76"/>
  <c r="B119" i="76"/>
  <c r="B120" i="76"/>
  <c r="B121" i="76"/>
  <c r="B122" i="76"/>
  <c r="B123" i="76"/>
  <c r="B124" i="76"/>
  <c r="B125" i="76"/>
  <c r="B126" i="76"/>
  <c r="B127" i="76"/>
  <c r="B128" i="76"/>
  <c r="B129" i="76"/>
  <c r="B130" i="76"/>
  <c r="B131" i="76"/>
  <c r="B132" i="76"/>
  <c r="B133" i="76"/>
  <c r="B134" i="76"/>
  <c r="B135" i="76"/>
  <c r="B136" i="76"/>
  <c r="B137" i="76"/>
  <c r="B138" i="76"/>
  <c r="B139" i="76"/>
  <c r="B140" i="76"/>
  <c r="B141" i="76"/>
  <c r="B142" i="76"/>
  <c r="B143" i="76"/>
  <c r="B144" i="76"/>
  <c r="B145" i="76"/>
  <c r="B146" i="76"/>
  <c r="B147" i="76"/>
  <c r="B148" i="76"/>
  <c r="B149" i="76"/>
  <c r="B150" i="76"/>
  <c r="B151" i="76"/>
  <c r="B152" i="76"/>
  <c r="B153" i="76"/>
  <c r="B154" i="76"/>
  <c r="B155" i="76"/>
  <c r="B156" i="76"/>
  <c r="B157" i="76"/>
  <c r="B158" i="76"/>
  <c r="B159" i="76"/>
  <c r="B160" i="76"/>
  <c r="B161" i="76"/>
  <c r="B162" i="76"/>
  <c r="B163" i="76"/>
  <c r="B164" i="76"/>
  <c r="B165" i="76"/>
  <c r="B166" i="76"/>
  <c r="B167" i="76"/>
  <c r="B168" i="76"/>
  <c r="B169" i="76"/>
  <c r="B170" i="76"/>
  <c r="B171" i="76"/>
  <c r="B172" i="76"/>
  <c r="B173" i="76"/>
  <c r="B174" i="76"/>
  <c r="B175" i="76"/>
  <c r="B176" i="76"/>
  <c r="B284" i="76"/>
  <c r="B286" i="76"/>
  <c r="B288" i="76"/>
  <c r="B289" i="76"/>
  <c r="B290" i="76"/>
  <c r="B291" i="76"/>
  <c r="B292" i="76"/>
  <c r="B293" i="76"/>
  <c r="B294" i="76"/>
  <c r="B317" i="76"/>
  <c r="B318" i="76"/>
  <c r="B319" i="76"/>
  <c r="B320" i="76"/>
  <c r="B321" i="76"/>
  <c r="B322" i="76"/>
  <c r="B323" i="76"/>
  <c r="B324" i="76"/>
  <c r="B325" i="76"/>
  <c r="B327" i="76"/>
  <c r="B338" i="76"/>
  <c r="B339" i="76"/>
  <c r="B340" i="76"/>
  <c r="B341" i="76"/>
  <c r="B342" i="76"/>
  <c r="B343" i="76"/>
  <c r="B344" i="76"/>
  <c r="B345" i="76"/>
  <c r="B347" i="76"/>
  <c r="B361" i="76"/>
  <c r="B362" i="76"/>
  <c r="B363" i="76"/>
  <c r="B364" i="76"/>
  <c r="B365" i="76"/>
  <c r="B366" i="76"/>
  <c r="B367" i="76"/>
  <c r="B368" i="76"/>
  <c r="B369" i="76"/>
  <c r="B370" i="76"/>
  <c r="B371" i="76"/>
  <c r="B372" i="76"/>
  <c r="B373" i="76"/>
  <c r="B374" i="76"/>
  <c r="B375" i="76"/>
  <c r="B376" i="76"/>
  <c r="B377" i="76"/>
  <c r="B378" i="76"/>
  <c r="B649" i="76"/>
  <c r="B650" i="76"/>
  <c r="B651" i="76"/>
  <c r="B652" i="76"/>
  <c r="B653" i="76"/>
  <c r="B654" i="76"/>
  <c r="B655" i="76"/>
  <c r="B656" i="76"/>
  <c r="B657" i="76"/>
  <c r="B658" i="76"/>
  <c r="B659" i="76"/>
  <c r="B660" i="76"/>
  <c r="B661" i="76"/>
  <c r="B663" i="76"/>
  <c r="B664" i="76"/>
  <c r="B665" i="76"/>
  <c r="B666" i="76"/>
  <c r="B667" i="76"/>
  <c r="B668" i="76"/>
  <c r="B669" i="76"/>
  <c r="B670" i="76"/>
  <c r="B671" i="76"/>
  <c r="B672" i="76"/>
  <c r="B673" i="76"/>
  <c r="B674" i="76"/>
  <c r="B675" i="76"/>
  <c r="B676" i="76"/>
  <c r="B677" i="76"/>
  <c r="B678" i="76"/>
  <c r="B679" i="76"/>
  <c r="B680" i="76"/>
  <c r="B681" i="76"/>
  <c r="B682" i="76"/>
  <c r="B683" i="76"/>
  <c r="B684" i="76"/>
  <c r="B685" i="76"/>
  <c r="B686" i="76"/>
  <c r="B687" i="76"/>
  <c r="B688" i="76"/>
  <c r="B689" i="76"/>
  <c r="B690" i="76"/>
  <c r="B691" i="76"/>
  <c r="B692" i="76"/>
  <c r="B693" i="76"/>
  <c r="B694" i="76"/>
  <c r="B695" i="76"/>
  <c r="B696" i="76"/>
  <c r="B697" i="76"/>
  <c r="B698" i="76"/>
  <c r="B699" i="76"/>
  <c r="B700" i="76"/>
  <c r="B701" i="76"/>
  <c r="B702" i="76"/>
  <c r="B703" i="76"/>
  <c r="B704" i="76"/>
  <c r="B705" i="76"/>
  <c r="B706" i="76"/>
  <c r="B707" i="76"/>
  <c r="B708" i="76"/>
  <c r="B709" i="76"/>
  <c r="B710" i="76"/>
  <c r="B711" i="76"/>
  <c r="B712" i="76"/>
  <c r="B713" i="76"/>
  <c r="B714" i="76"/>
  <c r="B715" i="76"/>
  <c r="B716" i="76"/>
  <c r="B717" i="76"/>
  <c r="B718" i="76"/>
  <c r="B719" i="76"/>
  <c r="B720" i="76"/>
  <c r="B721" i="76"/>
  <c r="B722" i="76"/>
  <c r="B723" i="76"/>
  <c r="B724" i="76"/>
  <c r="B725" i="76"/>
  <c r="B726" i="76"/>
  <c r="B727" i="76"/>
  <c r="B728" i="76"/>
  <c r="B729" i="76"/>
  <c r="B730" i="76"/>
  <c r="B731" i="76"/>
  <c r="B732" i="76"/>
  <c r="B733" i="76"/>
  <c r="B734" i="76"/>
  <c r="B735" i="76"/>
  <c r="B736" i="76"/>
  <c r="B737" i="76"/>
  <c r="B738" i="76"/>
  <c r="B739" i="76"/>
  <c r="B740" i="76"/>
  <c r="B741" i="76"/>
  <c r="B742" i="76"/>
  <c r="B743" i="76"/>
  <c r="B744" i="76"/>
  <c r="B783" i="76"/>
  <c r="B784" i="76"/>
  <c r="B785" i="76"/>
  <c r="B786" i="76"/>
  <c r="B787" i="76"/>
  <c r="B788" i="76"/>
  <c r="B789" i="76"/>
  <c r="B803" i="76"/>
  <c r="B804" i="76"/>
  <c r="B805" i="76"/>
  <c r="B806" i="76"/>
  <c r="B807" i="76"/>
  <c r="B812" i="76"/>
  <c r="B813" i="76"/>
  <c r="B814" i="76"/>
  <c r="B815" i="76"/>
  <c r="B816" i="76"/>
  <c r="B817" i="76"/>
  <c r="B818" i="76"/>
  <c r="B819" i="76"/>
  <c r="B820" i="76"/>
  <c r="B821" i="76"/>
  <c r="B822" i="76"/>
  <c r="B823" i="76"/>
  <c r="B824" i="76"/>
  <c r="B825" i="76"/>
  <c r="B826" i="76"/>
  <c r="B827" i="76"/>
  <c r="B899" i="76"/>
  <c r="B900" i="76"/>
  <c r="B901" i="76"/>
  <c r="B2" i="76"/>
  <c r="B3" i="76"/>
  <c r="B5" i="76"/>
  <c r="B6" i="76"/>
  <c r="B7" i="76"/>
  <c r="B9" i="76"/>
  <c r="B10" i="76"/>
  <c r="B11" i="76"/>
  <c r="B13" i="76"/>
  <c r="B15" i="76"/>
  <c r="B16" i="76"/>
  <c r="B18" i="76"/>
  <c r="B20" i="76"/>
  <c r="B21" i="76"/>
  <c r="B23" i="76"/>
  <c r="B24" i="76"/>
  <c r="B25" i="76"/>
  <c r="B26" i="76"/>
  <c r="B28" i="76"/>
  <c r="B30" i="76"/>
  <c r="B31" i="76"/>
  <c r="B33" i="76"/>
  <c r="B35" i="76"/>
  <c r="B37" i="76"/>
  <c r="B38" i="76"/>
  <c r="B39" i="76"/>
  <c r="B40" i="76"/>
  <c r="B42" i="76"/>
  <c r="B44" i="76"/>
  <c r="B45" i="76"/>
  <c r="B46" i="76"/>
  <c r="B47" i="76"/>
  <c r="B48" i="76"/>
  <c r="B50" i="76"/>
  <c r="B52" i="76"/>
  <c r="B53" i="76"/>
  <c r="B54" i="76"/>
  <c r="B55" i="76"/>
  <c r="B57" i="76"/>
  <c r="B58" i="76"/>
  <c r="B60" i="76"/>
  <c r="B62" i="76"/>
  <c r="B63" i="76"/>
  <c r="B64" i="76"/>
  <c r="B65" i="76"/>
  <c r="B66" i="76"/>
  <c r="B68" i="76"/>
  <c r="B69" i="76"/>
  <c r="B70" i="76"/>
  <c r="B177" i="76"/>
  <c r="B178" i="76"/>
  <c r="B179" i="76"/>
  <c r="B180" i="76"/>
  <c r="B181" i="76"/>
  <c r="B182" i="76"/>
  <c r="B183" i="76"/>
  <c r="B184" i="76"/>
  <c r="B185" i="76"/>
  <c r="B186" i="76"/>
  <c r="B187" i="76"/>
  <c r="B188" i="76"/>
  <c r="B189" i="76"/>
  <c r="B190" i="76"/>
  <c r="B191" i="76"/>
  <c r="B192" i="76"/>
  <c r="B193" i="76"/>
  <c r="B194" i="76"/>
  <c r="B195" i="76"/>
  <c r="B196" i="76"/>
  <c r="B197" i="76"/>
  <c r="B198" i="76"/>
  <c r="B199" i="76"/>
  <c r="B200" i="76"/>
  <c r="B201" i="76"/>
  <c r="B202" i="76"/>
  <c r="B203" i="76"/>
  <c r="B204" i="76"/>
  <c r="B205" i="76"/>
  <c r="B206" i="76"/>
  <c r="B207" i="76"/>
  <c r="B208" i="76"/>
  <c r="B209" i="76"/>
  <c r="B210" i="76"/>
  <c r="B211" i="76"/>
  <c r="B212" i="76"/>
  <c r="B213" i="76"/>
  <c r="B214" i="76"/>
  <c r="B215" i="76"/>
  <c r="B216" i="76"/>
  <c r="B217" i="76"/>
  <c r="B218" i="76"/>
  <c r="B219" i="76"/>
  <c r="B220" i="76"/>
  <c r="B221" i="76"/>
  <c r="B222" i="76"/>
  <c r="B223" i="76"/>
  <c r="B224" i="76"/>
  <c r="B225" i="76"/>
  <c r="B226" i="76"/>
  <c r="B227" i="76"/>
  <c r="B228" i="76"/>
  <c r="B229" i="76"/>
  <c r="B230" i="76"/>
  <c r="B231" i="76"/>
  <c r="B232" i="76"/>
  <c r="B233" i="76"/>
  <c r="B234" i="76"/>
  <c r="B235" i="76"/>
  <c r="B236" i="76"/>
  <c r="B237" i="76"/>
  <c r="B238" i="76"/>
  <c r="B239" i="76"/>
  <c r="B240" i="76"/>
  <c r="B241" i="76"/>
  <c r="B242" i="76"/>
  <c r="B243" i="76"/>
  <c r="B244" i="76"/>
  <c r="B245" i="76"/>
  <c r="B246" i="76"/>
  <c r="B247" i="76"/>
  <c r="B248" i="76"/>
  <c r="B249" i="76"/>
  <c r="B250" i="76"/>
  <c r="B251" i="76"/>
  <c r="B252" i="76"/>
  <c r="B253" i="76"/>
  <c r="B254" i="76"/>
  <c r="B255" i="76"/>
  <c r="B256" i="76"/>
  <c r="B257" i="76"/>
  <c r="B258" i="76"/>
  <c r="B259" i="76"/>
  <c r="B260" i="76"/>
  <c r="B261" i="76"/>
  <c r="B262" i="76"/>
  <c r="B263" i="76"/>
  <c r="B264" i="76"/>
  <c r="B265" i="76"/>
  <c r="B266" i="76"/>
  <c r="B267" i="76"/>
  <c r="B268" i="76"/>
  <c r="B269" i="76"/>
  <c r="B270" i="76"/>
  <c r="B271" i="76"/>
  <c r="B272" i="76"/>
  <c r="B273" i="76"/>
  <c r="B274" i="76"/>
  <c r="B275" i="76"/>
  <c r="B276" i="76"/>
  <c r="B277" i="76"/>
  <c r="B278" i="76"/>
  <c r="B279" i="76"/>
  <c r="B280" i="76"/>
  <c r="B281" i="76"/>
  <c r="B282" i="76"/>
  <c r="B296" i="76"/>
  <c r="B297" i="76"/>
  <c r="B298" i="76"/>
  <c r="B299" i="76"/>
  <c r="B300" i="76"/>
  <c r="B301" i="76"/>
  <c r="B302" i="76"/>
  <c r="B303" i="76"/>
  <c r="B304" i="76"/>
  <c r="B305" i="76"/>
  <c r="B306" i="76"/>
  <c r="B307" i="76"/>
  <c r="B308" i="76"/>
  <c r="B309" i="76"/>
  <c r="B310" i="76"/>
  <c r="B311" i="76"/>
  <c r="B312" i="76"/>
  <c r="B313" i="76"/>
  <c r="B314" i="76"/>
  <c r="B315" i="76"/>
  <c r="B328" i="76"/>
  <c r="B329" i="76"/>
  <c r="B330" i="76"/>
  <c r="B331" i="76"/>
  <c r="B332" i="76"/>
  <c r="B333" i="76"/>
  <c r="B334" i="76"/>
  <c r="B335" i="76"/>
  <c r="B336" i="76"/>
  <c r="B349" i="76"/>
  <c r="B350" i="76"/>
  <c r="B351" i="76"/>
  <c r="B353" i="76"/>
  <c r="B354" i="76"/>
  <c r="B355" i="76"/>
  <c r="B356" i="76"/>
  <c r="B357" i="76"/>
  <c r="B358" i="76"/>
  <c r="B359" i="76"/>
  <c r="B380" i="76"/>
  <c r="B381" i="76"/>
  <c r="B382" i="76"/>
  <c r="B383" i="76"/>
  <c r="B384" i="76"/>
  <c r="B385" i="76"/>
  <c r="B386" i="76"/>
  <c r="B387" i="76"/>
  <c r="B388" i="76"/>
  <c r="B389" i="76"/>
  <c r="B390" i="76"/>
  <c r="B391" i="76"/>
  <c r="B392" i="76"/>
  <c r="B393" i="76"/>
  <c r="B394" i="76"/>
  <c r="B395" i="76"/>
  <c r="B396" i="76"/>
  <c r="B397" i="76"/>
  <c r="B398" i="76"/>
  <c r="B399" i="76"/>
  <c r="B400" i="76"/>
  <c r="B401" i="76"/>
  <c r="B402" i="76"/>
  <c r="B403" i="76"/>
  <c r="B404" i="76"/>
  <c r="B405" i="76"/>
  <c r="B406" i="76"/>
  <c r="B407" i="76"/>
  <c r="B408" i="76"/>
  <c r="B409" i="76"/>
  <c r="B410" i="76"/>
  <c r="B411" i="76"/>
  <c r="B412" i="76"/>
  <c r="B413" i="76"/>
  <c r="B414" i="76"/>
  <c r="B415" i="76"/>
  <c r="B416" i="76"/>
  <c r="B417" i="76"/>
  <c r="B418" i="76"/>
  <c r="B419" i="76"/>
  <c r="B420" i="76"/>
  <c r="B421" i="76"/>
  <c r="B422" i="76"/>
  <c r="B423" i="76"/>
  <c r="B424" i="76"/>
  <c r="B425" i="76"/>
  <c r="B426" i="76"/>
  <c r="B427" i="76"/>
  <c r="B428" i="76"/>
  <c r="B429" i="76"/>
  <c r="B430" i="76"/>
  <c r="B431" i="76"/>
  <c r="B432" i="76"/>
  <c r="B433" i="76"/>
  <c r="B434" i="76"/>
  <c r="B435" i="76"/>
  <c r="B436" i="76"/>
  <c r="B437" i="76"/>
  <c r="B438" i="76"/>
  <c r="B439" i="76"/>
  <c r="B440" i="76"/>
  <c r="B441" i="76"/>
  <c r="B442" i="76"/>
  <c r="B443" i="76"/>
  <c r="B444" i="76"/>
  <c r="B445" i="76"/>
  <c r="B446" i="76"/>
  <c r="B447" i="76"/>
  <c r="B448" i="76"/>
  <c r="B449" i="76"/>
  <c r="B450" i="76"/>
  <c r="B451" i="76"/>
  <c r="B452" i="76"/>
  <c r="B453" i="76"/>
  <c r="B454" i="76"/>
  <c r="B455" i="76"/>
  <c r="B456" i="76"/>
  <c r="B457" i="76"/>
  <c r="B458" i="76"/>
  <c r="B459" i="76"/>
  <c r="B460" i="76"/>
  <c r="B461" i="76"/>
  <c r="B462" i="76"/>
  <c r="B463" i="76"/>
  <c r="B464" i="76"/>
  <c r="B465" i="76"/>
  <c r="B466" i="76"/>
  <c r="B467" i="76"/>
  <c r="B468" i="76"/>
  <c r="B469" i="76"/>
  <c r="B470" i="76"/>
  <c r="B471" i="76"/>
  <c r="B472" i="76"/>
  <c r="B473" i="76"/>
  <c r="B474" i="76"/>
  <c r="B475" i="76"/>
  <c r="B476" i="76"/>
  <c r="B477" i="76"/>
  <c r="B478" i="76"/>
  <c r="B479" i="76"/>
  <c r="B480" i="76"/>
  <c r="B481" i="76"/>
  <c r="B482" i="76"/>
  <c r="B483" i="76"/>
  <c r="B484" i="76"/>
  <c r="B485" i="76"/>
  <c r="B486" i="76"/>
  <c r="B487" i="76"/>
  <c r="B488" i="76"/>
  <c r="B489" i="76"/>
  <c r="B491" i="76"/>
  <c r="B492" i="76"/>
  <c r="B493" i="76"/>
  <c r="B494" i="76"/>
  <c r="B495" i="76"/>
  <c r="B496" i="76"/>
  <c r="B497" i="76"/>
  <c r="B498" i="76"/>
  <c r="B499" i="76"/>
  <c r="B500" i="76"/>
  <c r="B501" i="76"/>
  <c r="B502" i="76"/>
  <c r="B503" i="76"/>
  <c r="B504" i="76"/>
  <c r="B505" i="76"/>
  <c r="B506" i="76"/>
  <c r="B507" i="76"/>
  <c r="B508" i="76"/>
  <c r="B509" i="76"/>
  <c r="B510" i="76"/>
  <c r="B511" i="76"/>
  <c r="B512" i="76"/>
  <c r="B513" i="76"/>
  <c r="B514" i="76"/>
  <c r="B515" i="76"/>
  <c r="B516" i="76"/>
  <c r="B517" i="76"/>
  <c r="B518" i="76"/>
  <c r="B519" i="76"/>
  <c r="B520" i="76"/>
  <c r="B521" i="76"/>
  <c r="B522" i="76"/>
  <c r="B523" i="76"/>
  <c r="B524" i="76"/>
  <c r="B525" i="76"/>
  <c r="B526" i="76"/>
  <c r="B527" i="76"/>
  <c r="B528" i="76"/>
  <c r="B529" i="76"/>
  <c r="B530" i="76"/>
  <c r="B531" i="76"/>
  <c r="B532" i="76"/>
  <c r="B533" i="76"/>
  <c r="B534" i="76"/>
  <c r="B535" i="76"/>
  <c r="B536" i="76"/>
  <c r="B537" i="76"/>
  <c r="B538" i="76"/>
  <c r="B539" i="76"/>
  <c r="B540" i="76"/>
  <c r="B541" i="76"/>
  <c r="B542" i="76"/>
  <c r="B543" i="76"/>
  <c r="B544" i="76"/>
  <c r="B545" i="76"/>
  <c r="B546" i="76"/>
  <c r="B547" i="76"/>
  <c r="B548" i="76"/>
  <c r="B549" i="76"/>
  <c r="B550" i="76"/>
  <c r="B551" i="76"/>
  <c r="B552" i="76"/>
  <c r="B553" i="76"/>
  <c r="B554" i="76"/>
  <c r="B555" i="76"/>
  <c r="B556" i="76"/>
  <c r="B557" i="76"/>
  <c r="B558" i="76"/>
  <c r="B559" i="76"/>
  <c r="B560" i="76"/>
  <c r="B561" i="76"/>
  <c r="B562" i="76"/>
  <c r="B563" i="76"/>
  <c r="B564" i="76"/>
  <c r="B565" i="76"/>
  <c r="B566" i="76"/>
  <c r="B567" i="76"/>
  <c r="B568" i="76"/>
  <c r="B569" i="76"/>
  <c r="B570" i="76"/>
  <c r="B571" i="76"/>
  <c r="B572" i="76"/>
  <c r="B573" i="76"/>
  <c r="B574" i="76"/>
  <c r="B575" i="76"/>
  <c r="B576" i="76"/>
  <c r="B577" i="76"/>
  <c r="B578" i="76"/>
  <c r="B579" i="76"/>
  <c r="B580" i="76"/>
  <c r="B581" i="76"/>
  <c r="B582" i="76"/>
  <c r="B583" i="76"/>
  <c r="B584" i="76"/>
  <c r="B585" i="76"/>
  <c r="B586" i="76"/>
  <c r="B587" i="76"/>
  <c r="B588" i="76"/>
  <c r="B589" i="76"/>
  <c r="B590" i="76"/>
  <c r="B591" i="76"/>
  <c r="B592" i="76"/>
  <c r="B593" i="76"/>
  <c r="B594" i="76"/>
  <c r="B595" i="76"/>
  <c r="B596" i="76"/>
  <c r="B597" i="76"/>
  <c r="B598" i="76"/>
  <c r="B599" i="76"/>
  <c r="B600" i="76"/>
  <c r="B601" i="76"/>
  <c r="B602" i="76"/>
  <c r="B603" i="76"/>
  <c r="B604" i="76"/>
  <c r="B605" i="76"/>
  <c r="B606" i="76"/>
  <c r="B607" i="76"/>
  <c r="B608" i="76"/>
  <c r="B609" i="76"/>
  <c r="B610" i="76"/>
  <c r="B611" i="76"/>
  <c r="B612" i="76"/>
  <c r="B613" i="76"/>
  <c r="B614" i="76"/>
  <c r="B615" i="76"/>
  <c r="B616" i="76"/>
  <c r="B617" i="76"/>
  <c r="B618" i="76"/>
  <c r="B619" i="76"/>
  <c r="B620" i="76"/>
  <c r="B621" i="76"/>
  <c r="B622" i="76"/>
  <c r="B623" i="76"/>
  <c r="B624" i="76"/>
  <c r="B625" i="76"/>
  <c r="B626" i="76"/>
  <c r="B627" i="76"/>
  <c r="B628" i="76"/>
  <c r="B629" i="76"/>
  <c r="B630" i="76"/>
  <c r="B631" i="76"/>
  <c r="B632" i="76"/>
  <c r="B633" i="76"/>
  <c r="B634" i="76"/>
  <c r="B635" i="76"/>
  <c r="B636" i="76"/>
  <c r="B637" i="76"/>
  <c r="B638" i="76"/>
  <c r="B639" i="76"/>
  <c r="B640" i="76"/>
  <c r="B641" i="76"/>
  <c r="B642" i="76"/>
  <c r="B643" i="76"/>
  <c r="B644" i="76"/>
  <c r="B645" i="76"/>
  <c r="B646" i="76"/>
  <c r="B647" i="76"/>
  <c r="B746" i="76"/>
  <c r="B747" i="76"/>
  <c r="B748" i="76"/>
  <c r="B749" i="76"/>
  <c r="B750" i="76"/>
  <c r="B751" i="76"/>
  <c r="B752" i="76"/>
  <c r="B753" i="76"/>
  <c r="B754" i="76"/>
  <c r="B755" i="76"/>
  <c r="B756" i="76"/>
  <c r="B757" i="76"/>
  <c r="B758" i="76"/>
  <c r="B759" i="76"/>
  <c r="B760" i="76"/>
  <c r="B761" i="76"/>
  <c r="B762" i="76"/>
  <c r="B763" i="76"/>
  <c r="B764" i="76"/>
  <c r="B765" i="76"/>
  <c r="B766" i="76"/>
  <c r="B767" i="76"/>
  <c r="B768" i="76"/>
  <c r="B769" i="76"/>
  <c r="B770" i="76"/>
  <c r="B771" i="76"/>
  <c r="B772" i="76"/>
  <c r="B773" i="76"/>
  <c r="B774" i="76"/>
  <c r="B775" i="76"/>
  <c r="B776" i="76"/>
  <c r="B777" i="76"/>
  <c r="B778" i="76"/>
  <c r="B779" i="76"/>
  <c r="B780" i="76"/>
  <c r="B781" i="76"/>
  <c r="B791" i="76"/>
  <c r="B793" i="76"/>
  <c r="B794" i="76"/>
  <c r="B795" i="76"/>
  <c r="B796" i="76"/>
  <c r="B797" i="76"/>
  <c r="B799" i="76"/>
  <c r="B800" i="76"/>
  <c r="B801" i="76"/>
  <c r="B809" i="76"/>
  <c r="B810" i="76"/>
  <c r="B829" i="76"/>
  <c r="B830" i="76"/>
  <c r="B831" i="76"/>
  <c r="B832" i="76"/>
  <c r="B833" i="76"/>
  <c r="B843" i="76"/>
  <c r="B844" i="76"/>
  <c r="B845" i="76"/>
  <c r="B846" i="76"/>
  <c r="B847" i="76"/>
  <c r="B848" i="76"/>
  <c r="B849" i="76"/>
  <c r="B850" i="76"/>
  <c r="B851" i="76"/>
  <c r="B852" i="76"/>
  <c r="B853" i="76"/>
  <c r="B854" i="76"/>
  <c r="B855" i="76"/>
  <c r="B856" i="76"/>
  <c r="B857" i="76"/>
  <c r="B858" i="76"/>
  <c r="B859" i="76"/>
  <c r="B860" i="76"/>
  <c r="B861" i="76"/>
  <c r="B862" i="76"/>
  <c r="B863" i="76"/>
  <c r="B864" i="76"/>
  <c r="B865" i="76"/>
  <c r="B866" i="76"/>
  <c r="B867" i="76"/>
  <c r="B868" i="76"/>
  <c r="B869" i="76"/>
  <c r="B870" i="76"/>
  <c r="B871" i="76"/>
  <c r="B872" i="76"/>
  <c r="B873" i="76"/>
  <c r="B874" i="76"/>
  <c r="B875" i="76"/>
  <c r="B876" i="76"/>
  <c r="B877" i="76"/>
  <c r="B878" i="76"/>
  <c r="B879" i="76"/>
  <c r="B880" i="76"/>
  <c r="B881" i="76"/>
  <c r="B882" i="76"/>
  <c r="B883" i="76"/>
  <c r="B884" i="76"/>
  <c r="B885" i="76"/>
  <c r="B886" i="76"/>
  <c r="B887" i="76"/>
  <c r="B888" i="76"/>
  <c r="B889" i="76"/>
  <c r="B890" i="76"/>
  <c r="B891" i="76"/>
  <c r="B892" i="76"/>
  <c r="B893" i="76"/>
  <c r="B894" i="76"/>
  <c r="B895" i="76"/>
  <c r="B896" i="76"/>
  <c r="B897" i="76"/>
  <c r="B834" i="76"/>
  <c r="B835" i="76"/>
  <c r="B836" i="76"/>
  <c r="B837" i="76"/>
  <c r="B838" i="76"/>
  <c r="B839" i="76"/>
  <c r="B840" i="76"/>
  <c r="B841" i="76"/>
  <c r="B903" i="76"/>
  <c r="B905" i="76"/>
  <c r="B906" i="76"/>
  <c r="B907" i="76"/>
  <c r="B908" i="76"/>
  <c r="B909" i="76"/>
  <c r="B910" i="76"/>
  <c r="B911" i="76"/>
  <c r="B912" i="76"/>
  <c r="B914" i="76"/>
  <c r="B915" i="76"/>
  <c r="B916" i="76"/>
  <c r="B917" i="76"/>
  <c r="B918" i="76"/>
  <c r="B919" i="76"/>
  <c r="B920" i="76"/>
  <c r="B921" i="76"/>
  <c r="B922" i="76"/>
  <c r="B923" i="76"/>
  <c r="B924" i="76"/>
  <c r="B926" i="76"/>
  <c r="B927" i="76"/>
  <c r="B928" i="76"/>
  <c r="B929" i="76"/>
  <c r="B930" i="76"/>
  <c r="B931" i="76"/>
  <c r="B932" i="76"/>
  <c r="B933" i="76"/>
  <c r="B935" i="76"/>
  <c r="B936" i="76"/>
  <c r="B937" i="76"/>
  <c r="B939" i="76"/>
  <c r="B941" i="76"/>
  <c r="B943" i="76"/>
  <c r="B945" i="76"/>
  <c r="B946" i="76"/>
  <c r="B947" i="76"/>
  <c r="B948" i="76"/>
  <c r="B949" i="76"/>
  <c r="B951" i="76"/>
  <c r="B952" i="76"/>
  <c r="B958" i="76"/>
  <c r="B959" i="76"/>
  <c r="B960" i="76"/>
  <c r="B961" i="76"/>
  <c r="B962" i="76"/>
  <c r="B963" i="76"/>
  <c r="B964" i="76"/>
  <c r="B965" i="76"/>
  <c r="B966" i="76"/>
  <c r="B967" i="76"/>
  <c r="B954" i="76"/>
  <c r="B955" i="76"/>
  <c r="B956" i="76"/>
  <c r="B969" i="76"/>
  <c r="B971" i="76"/>
  <c r="B972" i="76"/>
  <c r="B974" i="76"/>
  <c r="B975" i="76"/>
  <c r="B976" i="76"/>
  <c r="B977" i="76"/>
  <c r="B978" i="76"/>
  <c r="B979" i="76"/>
  <c r="B980" i="76"/>
  <c r="B981" i="76"/>
  <c r="B982" i="76"/>
  <c r="B983" i="76"/>
  <c r="B984" i="76"/>
  <c r="B985" i="76"/>
  <c r="B986" i="76"/>
  <c r="B987" i="76"/>
  <c r="B988" i="76"/>
  <c r="B989" i="76"/>
  <c r="B990" i="76"/>
  <c r="B991" i="76"/>
  <c r="B992" i="76"/>
  <c r="B993" i="76"/>
  <c r="B994" i="76"/>
  <c r="B996" i="76"/>
  <c r="B998" i="76"/>
  <c r="B1000" i="76"/>
  <c r="B1001" i="76"/>
  <c r="B1003" i="76"/>
  <c r="B1004" i="76"/>
  <c r="B1005" i="76"/>
  <c r="B1007" i="76"/>
  <c r="B1008" i="76"/>
  <c r="B72" i="76"/>
  <c r="K39" i="4"/>
  <c r="K36" i="4"/>
  <c r="K51" i="4" s="1"/>
  <c r="K33" i="4"/>
  <c r="K50" i="4" s="1"/>
  <c r="K30" i="4"/>
  <c r="K17" i="4"/>
  <c r="K11" i="4"/>
  <c r="L39" i="4"/>
  <c r="L42" i="4" s="1"/>
  <c r="L45" i="4" s="1"/>
  <c r="L47" i="4" s="1"/>
  <c r="O39" i="4"/>
  <c r="L17" i="4"/>
  <c r="L11" i="4"/>
  <c r="C4" i="77"/>
  <c r="C6" i="77"/>
  <c r="C13" i="77"/>
  <c r="C14" i="77"/>
  <c r="C8" i="77"/>
  <c r="C9" i="77"/>
  <c r="C10" i="77"/>
  <c r="C11" i="77"/>
  <c r="C15" i="77"/>
  <c r="C22" i="77"/>
  <c r="C23" i="77"/>
  <c r="C24" i="77"/>
  <c r="C25" i="77"/>
  <c r="C16" i="77"/>
  <c r="C17" i="77"/>
  <c r="C18" i="77"/>
  <c r="C26" i="77"/>
  <c r="C19" i="77"/>
  <c r="C20" i="77"/>
  <c r="C29" i="77"/>
  <c r="C31" i="77"/>
  <c r="C32" i="77"/>
  <c r="C33" i="77"/>
  <c r="C34" i="77"/>
  <c r="C37" i="77"/>
  <c r="C38" i="77"/>
  <c r="C39" i="77"/>
  <c r="C40" i="77"/>
  <c r="C41" i="77"/>
  <c r="C42" i="77"/>
  <c r="C43" i="77"/>
  <c r="C45" i="77"/>
  <c r="C46" i="77"/>
  <c r="C47" i="77"/>
  <c r="C48" i="77"/>
  <c r="C49" i="77"/>
  <c r="C50" i="77"/>
  <c r="C51" i="77"/>
  <c r="C52" i="77"/>
  <c r="C53" i="77"/>
  <c r="C54" i="77"/>
  <c r="C55" i="77"/>
  <c r="C56" i="77"/>
  <c r="C57" i="77"/>
  <c r="C58" i="77"/>
  <c r="C59" i="77"/>
  <c r="C60" i="77"/>
  <c r="C61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7" i="77"/>
  <c r="C78" i="77"/>
  <c r="C80" i="77"/>
  <c r="C81" i="77"/>
  <c r="C82" i="77"/>
  <c r="C83" i="77"/>
  <c r="C84" i="77"/>
  <c r="C85" i="77"/>
  <c r="C86" i="77"/>
  <c r="C87" i="77"/>
  <c r="C88" i="77"/>
  <c r="C89" i="77"/>
  <c r="C90" i="77"/>
  <c r="C91" i="77"/>
  <c r="C92" i="77"/>
  <c r="C93" i="77"/>
  <c r="C94" i="77"/>
  <c r="C95" i="77"/>
  <c r="C96" i="77"/>
  <c r="C97" i="77"/>
  <c r="C98" i="77"/>
  <c r="C99" i="77"/>
  <c r="C101" i="77"/>
  <c r="C102" i="77"/>
  <c r="C103" i="77"/>
  <c r="C104" i="77"/>
  <c r="C105" i="77"/>
  <c r="C106" i="77"/>
  <c r="C107" i="77"/>
  <c r="C108" i="77"/>
  <c r="C109" i="77"/>
  <c r="C111" i="77"/>
  <c r="C112" i="77"/>
  <c r="C113" i="77"/>
  <c r="C114" i="77"/>
  <c r="C115" i="77"/>
  <c r="C116" i="77"/>
  <c r="C117" i="77"/>
  <c r="C118" i="77"/>
  <c r="C119" i="77"/>
  <c r="C120" i="77"/>
  <c r="C121" i="77"/>
  <c r="C122" i="77"/>
  <c r="C123" i="77"/>
  <c r="C124" i="77"/>
  <c r="C125" i="77"/>
  <c r="C126" i="77"/>
  <c r="C128" i="77"/>
  <c r="C129" i="77"/>
  <c r="C132" i="77"/>
  <c r="C134" i="77"/>
  <c r="C135" i="77"/>
  <c r="C136" i="77"/>
  <c r="C137" i="77"/>
  <c r="C138" i="77"/>
  <c r="C139" i="77"/>
  <c r="C140" i="77"/>
  <c r="C142" i="77"/>
  <c r="C143" i="77"/>
  <c r="C144" i="77"/>
  <c r="C145" i="77"/>
  <c r="C146" i="77"/>
  <c r="C147" i="77"/>
  <c r="C148" i="77"/>
  <c r="C149" i="77"/>
  <c r="C151" i="77"/>
  <c r="C152" i="77"/>
  <c r="C153" i="77"/>
  <c r="C154" i="77"/>
  <c r="C157" i="77"/>
  <c r="C158" i="77"/>
  <c r="C159" i="77"/>
  <c r="C160" i="77"/>
  <c r="C161" i="77"/>
  <c r="C163" i="77"/>
  <c r="C164" i="77"/>
  <c r="C165" i="77"/>
  <c r="C166" i="77"/>
  <c r="C167" i="77"/>
  <c r="C168" i="77"/>
  <c r="C169" i="77"/>
  <c r="C170" i="77"/>
  <c r="C172" i="77"/>
  <c r="C173" i="77"/>
  <c r="C174" i="77"/>
  <c r="C175" i="77"/>
  <c r="C177" i="77"/>
  <c r="C178" i="77"/>
  <c r="C179" i="77"/>
  <c r="C180" i="77"/>
  <c r="C181" i="77"/>
  <c r="C182" i="77"/>
  <c r="C183" i="77"/>
  <c r="C184" i="77"/>
  <c r="C185" i="77"/>
  <c r="C186" i="77"/>
  <c r="C187" i="77"/>
  <c r="C189" i="77"/>
  <c r="C190" i="77"/>
  <c r="C191" i="77"/>
  <c r="C192" i="77"/>
  <c r="C193" i="77"/>
  <c r="C194" i="77"/>
  <c r="C195" i="77"/>
  <c r="C196" i="77"/>
  <c r="C197" i="77"/>
  <c r="C198" i="77"/>
  <c r="C199" i="77"/>
  <c r="C200" i="77"/>
  <c r="C202" i="77"/>
  <c r="C203" i="77"/>
  <c r="C204" i="77"/>
  <c r="C205" i="77"/>
  <c r="C206" i="77"/>
  <c r="C207" i="77"/>
  <c r="C208" i="77"/>
  <c r="C209" i="77"/>
  <c r="C210" i="77"/>
  <c r="C211" i="77"/>
  <c r="C213" i="77"/>
  <c r="C216" i="77"/>
  <c r="C217" i="77"/>
  <c r="C219" i="77"/>
  <c r="C221" i="77"/>
  <c r="C223" i="77"/>
  <c r="C224" i="77"/>
  <c r="C231" i="77"/>
  <c r="C232" i="77"/>
  <c r="C233" i="77"/>
  <c r="C234" i="77"/>
  <c r="C235" i="77"/>
  <c r="C236" i="77"/>
  <c r="C237" i="77"/>
  <c r="C239" i="77"/>
  <c r="C240" i="77"/>
  <c r="C241" i="77"/>
  <c r="C242" i="77"/>
  <c r="C243" i="77"/>
  <c r="C244" i="77"/>
  <c r="C245" i="77"/>
  <c r="C246" i="77"/>
  <c r="C247" i="77"/>
  <c r="C249" i="77"/>
  <c r="C250" i="77"/>
  <c r="C252" i="77"/>
  <c r="C253" i="77"/>
  <c r="C256" i="77"/>
  <c r="C258" i="77"/>
  <c r="C260" i="77"/>
  <c r="C261" i="77"/>
  <c r="C262" i="77"/>
  <c r="C263" i="77"/>
  <c r="C264" i="77"/>
  <c r="C265" i="77"/>
  <c r="C266" i="77"/>
  <c r="C269" i="77"/>
  <c r="C270" i="77"/>
  <c r="C271" i="77"/>
  <c r="C274" i="77"/>
  <c r="C275" i="77"/>
  <c r="C276" i="77"/>
  <c r="C277" i="77"/>
  <c r="C279" i="77"/>
  <c r="C280" i="77"/>
  <c r="C281" i="77"/>
  <c r="C282" i="77"/>
  <c r="C283" i="77"/>
  <c r="C284" i="77"/>
  <c r="C285" i="77"/>
  <c r="C286" i="77"/>
  <c r="C287" i="77"/>
  <c r="C289" i="77"/>
  <c r="C290" i="77"/>
  <c r="C291" i="77"/>
  <c r="C292" i="77"/>
  <c r="C294" i="77"/>
  <c r="C295" i="77"/>
  <c r="C296" i="77"/>
  <c r="C297" i="77"/>
  <c r="C298" i="77"/>
  <c r="C299" i="77"/>
  <c r="C300" i="77"/>
  <c r="C301" i="77"/>
  <c r="C302" i="77"/>
  <c r="C303" i="77"/>
  <c r="C304" i="77"/>
  <c r="C305" i="77"/>
  <c r="C307" i="77"/>
  <c r="C308" i="77"/>
  <c r="C309" i="77"/>
  <c r="C310" i="77"/>
  <c r="C312" i="77"/>
  <c r="C313" i="77"/>
  <c r="C314" i="77"/>
  <c r="C315" i="77"/>
  <c r="C316" i="77"/>
  <c r="C317" i="77"/>
  <c r="C318" i="77"/>
  <c r="C319" i="77"/>
  <c r="C320" i="77"/>
  <c r="C321" i="77"/>
  <c r="C322" i="77"/>
  <c r="C323" i="77"/>
  <c r="C324" i="77"/>
  <c r="C326" i="77"/>
  <c r="C327" i="77"/>
  <c r="C330" i="77"/>
  <c r="C331" i="77"/>
  <c r="C335" i="77"/>
  <c r="C336" i="77"/>
  <c r="C337" i="77"/>
  <c r="C339" i="77"/>
  <c r="C340" i="77"/>
  <c r="C341" i="77"/>
  <c r="C342" i="77"/>
  <c r="C343" i="77"/>
  <c r="C344" i="77"/>
  <c r="C345" i="77"/>
  <c r="C346" i="77"/>
  <c r="C347" i="77"/>
  <c r="C348" i="77"/>
  <c r="C349" i="77"/>
  <c r="C350" i="77"/>
  <c r="C351" i="77"/>
  <c r="C352" i="77"/>
  <c r="C353" i="77"/>
  <c r="C354" i="77"/>
  <c r="C355" i="77"/>
  <c r="C356" i="77"/>
  <c r="C357" i="77"/>
  <c r="C358" i="77"/>
  <c r="C359" i="77"/>
  <c r="C361" i="77"/>
  <c r="C362" i="77"/>
  <c r="C363" i="77"/>
  <c r="C364" i="77"/>
  <c r="C365" i="77"/>
  <c r="C366" i="77"/>
  <c r="C367" i="77"/>
  <c r="C368" i="77"/>
  <c r="C369" i="77"/>
  <c r="C370" i="77"/>
  <c r="C371" i="77"/>
  <c r="C372" i="77"/>
  <c r="C373" i="77"/>
  <c r="C374" i="77"/>
  <c r="C375" i="77"/>
  <c r="C376" i="77"/>
  <c r="C377" i="77"/>
  <c r="C379" i="77"/>
  <c r="C380" i="77"/>
  <c r="C382" i="77"/>
  <c r="C383" i="77"/>
  <c r="C384" i="77"/>
  <c r="C386" i="77"/>
  <c r="C387" i="77"/>
  <c r="C388" i="77"/>
  <c r="C389" i="77"/>
  <c r="C390" i="77"/>
  <c r="C392" i="77"/>
  <c r="C394" i="77"/>
  <c r="C395" i="77"/>
  <c r="C396" i="77"/>
  <c r="C397" i="77"/>
  <c r="C398" i="77"/>
  <c r="C399" i="77"/>
  <c r="C400" i="77"/>
  <c r="C401" i="77"/>
  <c r="C402" i="77"/>
  <c r="C404" i="77"/>
  <c r="C405" i="77"/>
  <c r="C407" i="77"/>
  <c r="C408" i="77"/>
  <c r="C409" i="77"/>
  <c r="C410" i="77"/>
  <c r="C411" i="77"/>
  <c r="C412" i="77"/>
  <c r="C413" i="77"/>
  <c r="C414" i="77"/>
  <c r="C416" i="77"/>
  <c r="C417" i="77"/>
  <c r="C418" i="77"/>
  <c r="C419" i="77"/>
  <c r="C420" i="77"/>
  <c r="C421" i="77"/>
  <c r="C422" i="77"/>
  <c r="C423" i="77"/>
  <c r="C424" i="77"/>
  <c r="C425" i="77"/>
  <c r="C426" i="77"/>
  <c r="C427" i="77"/>
  <c r="C428" i="77"/>
  <c r="C429" i="77"/>
  <c r="C430" i="77"/>
  <c r="C431" i="77"/>
  <c r="C432" i="77"/>
  <c r="C433" i="77"/>
  <c r="C434" i="77"/>
  <c r="C435" i="77"/>
  <c r="C439" i="77"/>
  <c r="C440" i="77"/>
  <c r="C441" i="77"/>
  <c r="C442" i="77"/>
  <c r="C443" i="77"/>
  <c r="C446" i="77"/>
  <c r="C447" i="77"/>
  <c r="C448" i="77"/>
  <c r="C449" i="77"/>
  <c r="C450" i="77"/>
  <c r="C451" i="77"/>
  <c r="C452" i="77"/>
  <c r="C453" i="77"/>
  <c r="C454" i="77"/>
  <c r="C455" i="77"/>
  <c r="C456" i="77"/>
  <c r="C457" i="77"/>
  <c r="C458" i="77"/>
  <c r="C459" i="77"/>
  <c r="C460" i="77"/>
  <c r="C461" i="77"/>
  <c r="C463" i="77"/>
  <c r="C464" i="77"/>
  <c r="C465" i="77"/>
  <c r="C466" i="77"/>
  <c r="C470" i="77"/>
  <c r="C471" i="77"/>
  <c r="C472" i="77"/>
  <c r="C473" i="77"/>
  <c r="C474" i="77"/>
  <c r="C475" i="77"/>
  <c r="C476" i="77"/>
  <c r="C478" i="77"/>
  <c r="C479" i="77"/>
  <c r="C480" i="77"/>
  <c r="C481" i="77"/>
  <c r="C482" i="77"/>
  <c r="C483" i="77"/>
  <c r="C484" i="77"/>
  <c r="C485" i="77"/>
  <c r="C486" i="77"/>
  <c r="C487" i="77"/>
  <c r="C489" i="77"/>
  <c r="C490" i="77"/>
  <c r="C491" i="77"/>
  <c r="C493" i="77"/>
  <c r="C494" i="77"/>
  <c r="C495" i="77"/>
  <c r="C496" i="77"/>
  <c r="C498" i="77"/>
  <c r="C499" i="77"/>
  <c r="C500" i="77"/>
  <c r="C501" i="77"/>
  <c r="C502" i="77"/>
  <c r="C503" i="77"/>
  <c r="C504" i="77"/>
  <c r="C506" i="77"/>
  <c r="C507" i="77"/>
  <c r="C508" i="77"/>
  <c r="C509" i="77"/>
  <c r="C510" i="77"/>
  <c r="C511" i="77"/>
  <c r="C512" i="77"/>
  <c r="C513" i="77"/>
  <c r="C514" i="77"/>
  <c r="C515" i="77"/>
  <c r="C516" i="77"/>
  <c r="C517" i="77"/>
  <c r="C518" i="77"/>
  <c r="C520" i="77"/>
  <c r="C521" i="77"/>
  <c r="C522" i="77"/>
  <c r="C523" i="77"/>
  <c r="C524" i="77"/>
  <c r="C525" i="77"/>
  <c r="C526" i="77"/>
  <c r="C527" i="77"/>
  <c r="C528" i="77"/>
  <c r="C529" i="77"/>
  <c r="C530" i="77"/>
  <c r="C531" i="77"/>
  <c r="C532" i="77"/>
  <c r="C534" i="77"/>
  <c r="C535" i="77"/>
  <c r="C536" i="77"/>
  <c r="C537" i="77"/>
  <c r="C538" i="77"/>
  <c r="C539" i="77"/>
  <c r="C540" i="77"/>
  <c r="C541" i="77"/>
  <c r="C544" i="77"/>
  <c r="C545" i="77"/>
  <c r="C546" i="77"/>
  <c r="C547" i="77"/>
  <c r="C550" i="77"/>
  <c r="C551" i="77"/>
  <c r="C554" i="77"/>
  <c r="C556" i="77"/>
  <c r="C558" i="77"/>
  <c r="C559" i="77"/>
  <c r="C560" i="77"/>
  <c r="C562" i="77"/>
  <c r="C563" i="77"/>
  <c r="C564" i="77"/>
  <c r="C565" i="77"/>
  <c r="C567" i="77"/>
  <c r="C568" i="77"/>
  <c r="C570" i="77"/>
  <c r="C3" i="77"/>
  <c r="L587" i="76" l="1"/>
  <c r="L194" i="76"/>
  <c r="L816" i="76"/>
  <c r="L485" i="76"/>
  <c r="L193" i="76"/>
  <c r="L897" i="76"/>
  <c r="L585" i="76"/>
  <c r="L192" i="76"/>
  <c r="L814" i="76"/>
  <c r="L991" i="76"/>
  <c r="L919" i="76"/>
  <c r="L895" i="76"/>
  <c r="L875" i="76"/>
  <c r="L855" i="76"/>
  <c r="L834" i="76"/>
  <c r="L813" i="76"/>
  <c r="L787" i="76"/>
  <c r="L766" i="76"/>
  <c r="L725" i="76"/>
  <c r="L705" i="76"/>
  <c r="L685" i="76"/>
  <c r="L665" i="76"/>
  <c r="L643" i="76"/>
  <c r="L623" i="76"/>
  <c r="L603" i="76"/>
  <c r="L583" i="76"/>
  <c r="L563" i="76"/>
  <c r="L543" i="76"/>
  <c r="L523" i="76"/>
  <c r="L503" i="76"/>
  <c r="L482" i="76"/>
  <c r="L462" i="76"/>
  <c r="L442" i="76"/>
  <c r="L422" i="76"/>
  <c r="L402" i="76"/>
  <c r="L382" i="76"/>
  <c r="L336" i="76"/>
  <c r="L314" i="76"/>
  <c r="L293" i="76"/>
  <c r="L270" i="76"/>
  <c r="L250" i="76"/>
  <c r="L230" i="76"/>
  <c r="L210" i="76"/>
  <c r="L190" i="76"/>
  <c r="L170" i="76"/>
  <c r="L150" i="76"/>
  <c r="L130" i="76"/>
  <c r="L110" i="76"/>
  <c r="L89" i="76"/>
  <c r="L40" i="76"/>
  <c r="L10" i="76"/>
  <c r="L975" i="76"/>
  <c r="L547" i="76"/>
  <c r="L174" i="76"/>
  <c r="L626" i="76"/>
  <c r="L233" i="76"/>
  <c r="L921" i="76"/>
  <c r="L525" i="76"/>
  <c r="L91" i="76"/>
  <c r="L876" i="76"/>
  <c r="L527" i="76"/>
  <c r="L319" i="76"/>
  <c r="L114" i="76"/>
  <c r="L646" i="76"/>
  <c r="L405" i="76"/>
  <c r="L213" i="76"/>
  <c r="M330" i="77"/>
  <c r="M338" i="77" s="1"/>
  <c r="L972" i="76"/>
  <c r="L727" i="76"/>
  <c r="L444" i="76"/>
  <c r="L132" i="76"/>
  <c r="L750" i="76"/>
  <c r="L365" i="76"/>
  <c r="L688" i="76"/>
  <c r="M401" i="77"/>
  <c r="M403" i="77" s="1"/>
  <c r="L748" i="76"/>
  <c r="L404" i="76"/>
  <c r="L70" i="76"/>
  <c r="L923" i="76"/>
  <c r="L627" i="76"/>
  <c r="L341" i="76"/>
  <c r="L93" i="76"/>
  <c r="L858" i="76"/>
  <c r="L586" i="76"/>
  <c r="L318" i="76"/>
  <c r="L768" i="76"/>
  <c r="L484" i="76"/>
  <c r="L788" i="76"/>
  <c r="L544" i="76"/>
  <c r="L362" i="76"/>
  <c r="L11" i="76"/>
  <c r="L879" i="76"/>
  <c r="L669" i="76"/>
  <c r="L466" i="76"/>
  <c r="L274" i="76"/>
  <c r="L922" i="76"/>
  <c r="L668" i="76"/>
  <c r="L465" i="76"/>
  <c r="L297" i="76"/>
  <c r="L92" i="76"/>
  <c r="L857" i="76"/>
  <c r="L645" i="76"/>
  <c r="L464" i="76"/>
  <c r="L252" i="76"/>
  <c r="L856" i="76"/>
  <c r="L706" i="76"/>
  <c r="L584" i="76"/>
  <c r="L443" i="76"/>
  <c r="L294" i="76"/>
  <c r="L988" i="76"/>
  <c r="L784" i="76"/>
  <c r="L620" i="76"/>
  <c r="L500" i="76"/>
  <c r="L333" i="76"/>
  <c r="L247" i="76"/>
  <c r="L86" i="76"/>
  <c r="M378" i="77"/>
  <c r="L985" i="76"/>
  <c r="L962" i="76"/>
  <c r="L912" i="76"/>
  <c r="L889" i="76"/>
  <c r="L869" i="76"/>
  <c r="L849" i="76"/>
  <c r="L827" i="76"/>
  <c r="L805" i="76"/>
  <c r="L780" i="76"/>
  <c r="L760" i="76"/>
  <c r="L739" i="76"/>
  <c r="L719" i="76"/>
  <c r="L699" i="76"/>
  <c r="L679" i="76"/>
  <c r="L658" i="76"/>
  <c r="L637" i="76"/>
  <c r="L617" i="76"/>
  <c r="L597" i="76"/>
  <c r="L577" i="76"/>
  <c r="L557" i="76"/>
  <c r="L537" i="76"/>
  <c r="L517" i="76"/>
  <c r="L497" i="76"/>
  <c r="L476" i="76"/>
  <c r="L456" i="76"/>
  <c r="L436" i="76"/>
  <c r="L416" i="76"/>
  <c r="L396" i="76"/>
  <c r="L375" i="76"/>
  <c r="L354" i="76"/>
  <c r="L330" i="76"/>
  <c r="L308" i="76"/>
  <c r="M415" i="77"/>
  <c r="L729" i="76"/>
  <c r="L406" i="76"/>
  <c r="L134" i="76"/>
  <c r="L878" i="76"/>
  <c r="L566" i="76"/>
  <c r="L273" i="76"/>
  <c r="L993" i="76"/>
  <c r="L687" i="76"/>
  <c r="L339" i="76"/>
  <c r="L172" i="76"/>
  <c r="L946" i="76"/>
  <c r="L726" i="76"/>
  <c r="L604" i="76"/>
  <c r="L463" i="76"/>
  <c r="L315" i="76"/>
  <c r="L111" i="76"/>
  <c r="L965" i="76"/>
  <c r="L661" i="76"/>
  <c r="L520" i="76"/>
  <c r="L378" i="76"/>
  <c r="L227" i="76"/>
  <c r="L859" i="76"/>
  <c r="L709" i="76"/>
  <c r="L507" i="76"/>
  <c r="L298" i="76"/>
  <c r="L46" i="76"/>
  <c r="L994" i="76"/>
  <c r="L749" i="76"/>
  <c r="L425" i="76"/>
  <c r="L877" i="76"/>
  <c r="L667" i="76"/>
  <c r="L505" i="76"/>
  <c r="L992" i="76"/>
  <c r="L835" i="76"/>
  <c r="L644" i="76"/>
  <c r="L483" i="76"/>
  <c r="L211" i="76"/>
  <c r="L872" i="76"/>
  <c r="L722" i="76"/>
  <c r="L580" i="76"/>
  <c r="L419" i="76"/>
  <c r="L311" i="76"/>
  <c r="L6" i="76"/>
  <c r="M297" i="77"/>
  <c r="M377" i="77"/>
  <c r="L900" i="76"/>
  <c r="L689" i="76"/>
  <c r="L486" i="76"/>
  <c r="L214" i="76"/>
  <c r="L948" i="76"/>
  <c r="L708" i="76"/>
  <c r="L506" i="76"/>
  <c r="L340" i="76"/>
  <c r="L836" i="76"/>
  <c r="L625" i="76"/>
  <c r="L424" i="76"/>
  <c r="L212" i="76"/>
  <c r="L383" i="76"/>
  <c r="L231" i="76"/>
  <c r="L171" i="76"/>
  <c r="L831" i="76"/>
  <c r="L682" i="76"/>
  <c r="L540" i="76"/>
  <c r="L399" i="76"/>
  <c r="L207" i="76"/>
  <c r="M802" i="76"/>
  <c r="L817" i="76"/>
  <c r="L607" i="76"/>
  <c r="L426" i="76"/>
  <c r="L234" i="76"/>
  <c r="L769" i="76"/>
  <c r="L606" i="76"/>
  <c r="L385" i="76"/>
  <c r="L133" i="76"/>
  <c r="L815" i="76"/>
  <c r="L605" i="76"/>
  <c r="L363" i="76"/>
  <c r="L272" i="76"/>
  <c r="L896" i="76"/>
  <c r="L747" i="76"/>
  <c r="L564" i="76"/>
  <c r="L423" i="76"/>
  <c r="L271" i="76"/>
  <c r="L90" i="76"/>
  <c r="L892" i="76"/>
  <c r="L742" i="76"/>
  <c r="L560" i="76"/>
  <c r="L357" i="76"/>
  <c r="L267" i="76"/>
  <c r="L127" i="76"/>
  <c r="M408" i="77"/>
  <c r="L140" i="76"/>
  <c r="L120" i="76"/>
  <c r="L79" i="76"/>
  <c r="L54" i="76"/>
  <c r="L25" i="76"/>
  <c r="L949" i="76"/>
  <c r="L567" i="76"/>
  <c r="L154" i="76"/>
  <c r="L445" i="76"/>
  <c r="L153" i="76"/>
  <c r="L947" i="76"/>
  <c r="L565" i="76"/>
  <c r="L112" i="76"/>
  <c r="L666" i="76"/>
  <c r="L403" i="76"/>
  <c r="L151" i="76"/>
  <c r="L702" i="76"/>
  <c r="L439" i="76"/>
  <c r="L147" i="76"/>
  <c r="M261" i="77"/>
  <c r="L770" i="76"/>
  <c r="L386" i="76"/>
  <c r="L73" i="76"/>
  <c r="L837" i="76"/>
  <c r="L546" i="76"/>
  <c r="L253" i="76"/>
  <c r="L707" i="76"/>
  <c r="L384" i="76"/>
  <c r="L152" i="76"/>
  <c r="L686" i="76"/>
  <c r="L524" i="76"/>
  <c r="L852" i="76"/>
  <c r="L640" i="76"/>
  <c r="L479" i="76"/>
  <c r="L290" i="76"/>
  <c r="L64" i="76"/>
  <c r="M499" i="77"/>
  <c r="M505" i="77" s="1"/>
  <c r="L838" i="76"/>
  <c r="L647" i="76"/>
  <c r="L446" i="76"/>
  <c r="L254" i="76"/>
  <c r="L728" i="76"/>
  <c r="L526" i="76"/>
  <c r="L364" i="76"/>
  <c r="L789" i="76"/>
  <c r="L545" i="76"/>
  <c r="L232" i="76"/>
  <c r="L920" i="76"/>
  <c r="L767" i="76"/>
  <c r="L624" i="76"/>
  <c r="L504" i="76"/>
  <c r="L916" i="76"/>
  <c r="L763" i="76"/>
  <c r="L600" i="76"/>
  <c r="L459" i="76"/>
  <c r="L187" i="76"/>
  <c r="M364" i="77"/>
  <c r="K20" i="4"/>
  <c r="K23" i="4" s="1"/>
  <c r="K25" i="4" s="1"/>
  <c r="K42" i="4"/>
  <c r="K45" i="4" s="1"/>
  <c r="K47" i="4" s="1"/>
  <c r="K48" i="4" s="1"/>
  <c r="K549" i="77"/>
  <c r="K438" i="77"/>
  <c r="L964" i="76"/>
  <c r="L720" i="76"/>
  <c r="M260" i="77"/>
  <c r="M446" i="77"/>
  <c r="L38" i="76"/>
  <c r="L7" i="76"/>
  <c r="L660" i="76"/>
  <c r="L418" i="76"/>
  <c r="L166" i="76"/>
  <c r="L870" i="76"/>
  <c r="L659" i="76"/>
  <c r="L638" i="76"/>
  <c r="L618" i="76"/>
  <c r="L598" i="76"/>
  <c r="L578" i="76"/>
  <c r="L558" i="76"/>
  <c r="L538" i="76"/>
  <c r="L518" i="76"/>
  <c r="L498" i="76"/>
  <c r="L477" i="76"/>
  <c r="L457" i="76"/>
  <c r="L437" i="76"/>
  <c r="L417" i="76"/>
  <c r="L397" i="76"/>
  <c r="L376" i="76"/>
  <c r="L355" i="76"/>
  <c r="L331" i="76"/>
  <c r="L309" i="76"/>
  <c r="L265" i="76"/>
  <c r="L245" i="76"/>
  <c r="L225" i="76"/>
  <c r="L205" i="76"/>
  <c r="L165" i="76"/>
  <c r="L145" i="76"/>
  <c r="L125" i="76"/>
  <c r="L105" i="76"/>
  <c r="L84" i="76"/>
  <c r="L3" i="76"/>
  <c r="L915" i="76"/>
  <c r="L264" i="76"/>
  <c r="L244" i="76"/>
  <c r="L224" i="76"/>
  <c r="L204" i="76"/>
  <c r="L184" i="76"/>
  <c r="L164" i="76"/>
  <c r="L144" i="76"/>
  <c r="L124" i="76"/>
  <c r="L104" i="76"/>
  <c r="L83" i="76"/>
  <c r="L31" i="76"/>
  <c r="L458" i="76"/>
  <c r="L226" i="76"/>
  <c r="L850" i="76"/>
  <c r="L435" i="76"/>
  <c r="L415" i="76"/>
  <c r="L395" i="76"/>
  <c r="L374" i="76"/>
  <c r="L329" i="76"/>
  <c r="L307" i="76"/>
  <c r="L243" i="76"/>
  <c r="L223" i="76"/>
  <c r="L183" i="76"/>
  <c r="L163" i="76"/>
  <c r="L123" i="76"/>
  <c r="L103" i="76"/>
  <c r="L58" i="76"/>
  <c r="M289" i="77"/>
  <c r="L871" i="76"/>
  <c r="L519" i="76"/>
  <c r="L206" i="76"/>
  <c r="L963" i="76"/>
  <c r="L987" i="76"/>
  <c r="L781" i="76"/>
  <c r="L741" i="76"/>
  <c r="L639" i="76"/>
  <c r="L398" i="76"/>
  <c r="L85" i="76"/>
  <c r="L740" i="76"/>
  <c r="M376" i="77"/>
  <c r="L937" i="76"/>
  <c r="L681" i="76"/>
  <c r="L438" i="76"/>
  <c r="L186" i="76"/>
  <c r="L78" i="76"/>
  <c r="L24" i="76"/>
  <c r="M305" i="77"/>
  <c r="M476" i="77"/>
  <c r="M477" i="77" s="1"/>
  <c r="L830" i="76"/>
  <c r="L619" i="76"/>
  <c r="L356" i="76"/>
  <c r="L126" i="76"/>
  <c r="L936" i="76"/>
  <c r="L701" i="76"/>
  <c r="L499" i="76"/>
  <c r="L266" i="76"/>
  <c r="L590" i="76"/>
  <c r="L570" i="76"/>
  <c r="L550" i="76"/>
  <c r="L530" i="76"/>
  <c r="L510" i="76"/>
  <c r="L489" i="76"/>
  <c r="L469" i="76"/>
  <c r="L449" i="76"/>
  <c r="L429" i="76"/>
  <c r="L409" i="76"/>
  <c r="L389" i="76"/>
  <c r="L368" i="76"/>
  <c r="L344" i="76"/>
  <c r="L322" i="76"/>
  <c r="L301" i="76"/>
  <c r="L277" i="76"/>
  <c r="L237" i="76"/>
  <c r="L217" i="76"/>
  <c r="L177" i="76"/>
  <c r="L157" i="76"/>
  <c r="L137" i="76"/>
  <c r="L117" i="76"/>
  <c r="L96" i="76"/>
  <c r="L21" i="76"/>
  <c r="L762" i="76"/>
  <c r="L539" i="76"/>
  <c r="L310" i="76"/>
  <c r="L63" i="76"/>
  <c r="L890" i="76"/>
  <c r="L891" i="76"/>
  <c r="L559" i="76"/>
  <c r="L377" i="76"/>
  <c r="L106" i="76"/>
  <c r="L700" i="76"/>
  <c r="L588" i="76"/>
  <c r="L568" i="76"/>
  <c r="L548" i="76"/>
  <c r="L528" i="76"/>
  <c r="L508" i="76"/>
  <c r="L487" i="76"/>
  <c r="L467" i="76"/>
  <c r="L447" i="76"/>
  <c r="L427" i="76"/>
  <c r="L407" i="76"/>
  <c r="L387" i="76"/>
  <c r="L366" i="76"/>
  <c r="L342" i="76"/>
  <c r="L320" i="76"/>
  <c r="L299" i="76"/>
  <c r="L255" i="76"/>
  <c r="L235" i="76"/>
  <c r="L215" i="76"/>
  <c r="L195" i="76"/>
  <c r="L175" i="76"/>
  <c r="L135" i="76"/>
  <c r="L115" i="76"/>
  <c r="L74" i="76"/>
  <c r="L47" i="76"/>
  <c r="L807" i="76"/>
  <c r="L478" i="76"/>
  <c r="L246" i="76"/>
  <c r="L806" i="76"/>
  <c r="L16" i="76"/>
  <c r="L851" i="76"/>
  <c r="L579" i="76"/>
  <c r="L289" i="76"/>
  <c r="L761" i="76"/>
  <c r="L20" i="4"/>
  <c r="L23" i="4" s="1"/>
  <c r="L25" i="4" s="1"/>
  <c r="M249" i="77"/>
  <c r="M251" i="77" s="1"/>
  <c r="L721" i="76"/>
  <c r="L599" i="76"/>
  <c r="L332" i="76"/>
  <c r="L146" i="76"/>
  <c r="L680" i="76"/>
  <c r="M439" i="77"/>
  <c r="L986" i="76"/>
  <c r="J329" i="77"/>
  <c r="O329" i="77"/>
  <c r="G329" i="77"/>
  <c r="N329" i="77"/>
  <c r="F329" i="77"/>
  <c r="E329" i="77"/>
  <c r="L215" i="77"/>
  <c r="O215" i="77"/>
  <c r="D215" i="77"/>
  <c r="N215" i="77"/>
  <c r="J215" i="77"/>
  <c r="G215" i="77"/>
  <c r="F215" i="77"/>
  <c r="M215" i="77"/>
  <c r="E215" i="77"/>
  <c r="E131" i="77"/>
  <c r="G131" i="77"/>
  <c r="D131" i="77"/>
  <c r="J131" i="77"/>
  <c r="M131" i="77"/>
  <c r="N131" i="77"/>
  <c r="L131" i="77"/>
  <c r="O131" i="77"/>
  <c r="F131" i="77"/>
  <c r="G28" i="77"/>
  <c r="N28" i="77"/>
  <c r="F28" i="77"/>
  <c r="O28" i="77"/>
  <c r="J28" i="77"/>
  <c r="D28" i="77"/>
  <c r="E28" i="77"/>
  <c r="M28" i="77"/>
  <c r="M1009" i="76"/>
  <c r="M973" i="76"/>
  <c r="M811" i="76"/>
  <c r="M22" i="76"/>
  <c r="M67" i="76"/>
  <c r="M41" i="76"/>
  <c r="M12" i="76"/>
  <c r="I953" i="76"/>
  <c r="M953" i="76"/>
  <c r="M902" i="76"/>
  <c r="M27" i="76"/>
  <c r="M17" i="76"/>
  <c r="M8" i="76"/>
  <c r="J33" i="76"/>
  <c r="M99" i="76"/>
  <c r="M32" i="76"/>
  <c r="M326" i="76"/>
  <c r="G1010" i="76"/>
  <c r="J662" i="76"/>
  <c r="L649" i="76"/>
  <c r="J950" i="76"/>
  <c r="L945" i="76"/>
  <c r="J782" i="76"/>
  <c r="L746" i="76"/>
  <c r="J352" i="76"/>
  <c r="L349" i="76"/>
  <c r="J4" i="76"/>
  <c r="L2" i="76"/>
  <c r="J925" i="76"/>
  <c r="L914" i="76"/>
  <c r="J902" i="76"/>
  <c r="L899" i="76"/>
  <c r="J1002" i="76"/>
  <c r="L1000" i="76"/>
  <c r="J968" i="76"/>
  <c r="L958" i="76"/>
  <c r="J379" i="76"/>
  <c r="L361" i="76"/>
  <c r="I1009" i="76"/>
  <c r="I999" i="76"/>
  <c r="J998" i="76"/>
  <c r="I973" i="76"/>
  <c r="I913" i="76"/>
  <c r="I842" i="76"/>
  <c r="I811" i="76"/>
  <c r="I360" i="76"/>
  <c r="I346" i="76"/>
  <c r="J338" i="76"/>
  <c r="I285" i="76"/>
  <c r="J284" i="76"/>
  <c r="I99" i="76"/>
  <c r="J72" i="76"/>
  <c r="I32" i="76"/>
  <c r="J30" i="76"/>
  <c r="J791" i="76"/>
  <c r="J50" i="76"/>
  <c r="I997" i="76"/>
  <c r="J996" i="76"/>
  <c r="I970" i="76"/>
  <c r="J969" i="76"/>
  <c r="I904" i="76"/>
  <c r="J903" i="76"/>
  <c r="I798" i="76"/>
  <c r="J793" i="76"/>
  <c r="I745" i="76"/>
  <c r="J663" i="76"/>
  <c r="I326" i="76"/>
  <c r="J317" i="76"/>
  <c r="I29" i="76"/>
  <c r="J28" i="76"/>
  <c r="I272" i="77" s="1"/>
  <c r="I22" i="76"/>
  <c r="J20" i="76"/>
  <c r="J905" i="76"/>
  <c r="J353" i="76"/>
  <c r="I378" i="77" s="1"/>
  <c r="I957" i="76"/>
  <c r="I802" i="76"/>
  <c r="I662" i="76"/>
  <c r="L275" i="76"/>
  <c r="L263" i="76"/>
  <c r="L257" i="76"/>
  <c r="L251" i="76"/>
  <c r="L239" i="76"/>
  <c r="L221" i="76"/>
  <c r="L209" i="76"/>
  <c r="L203" i="76"/>
  <c r="L197" i="76"/>
  <c r="L191" i="76"/>
  <c r="L185" i="76"/>
  <c r="L179" i="76"/>
  <c r="L173" i="76"/>
  <c r="L167" i="76"/>
  <c r="L161" i="76"/>
  <c r="L155" i="76"/>
  <c r="L149" i="76"/>
  <c r="L143" i="76"/>
  <c r="L131" i="76"/>
  <c r="L119" i="76"/>
  <c r="L113" i="76"/>
  <c r="L107" i="76"/>
  <c r="L101" i="76"/>
  <c r="L94" i="76"/>
  <c r="L82" i="76"/>
  <c r="L76" i="76"/>
  <c r="L69" i="76"/>
  <c r="I67" i="76"/>
  <c r="J62" i="76"/>
  <c r="L53" i="76"/>
  <c r="L45" i="76"/>
  <c r="I41" i="76"/>
  <c r="J37" i="76"/>
  <c r="L26" i="76"/>
  <c r="J1007" i="76"/>
  <c r="J954" i="76"/>
  <c r="J943" i="76"/>
  <c r="J799" i="76"/>
  <c r="L9" i="76"/>
  <c r="J12" i="76"/>
  <c r="I1006" i="76"/>
  <c r="I950" i="76"/>
  <c r="I938" i="76"/>
  <c r="J935" i="76"/>
  <c r="I436" i="77" s="1"/>
  <c r="I790" i="76"/>
  <c r="I782" i="76"/>
  <c r="I648" i="76"/>
  <c r="J491" i="76"/>
  <c r="I352" i="76"/>
  <c r="I316" i="76"/>
  <c r="J296" i="76"/>
  <c r="I283" i="76"/>
  <c r="J100" i="76"/>
  <c r="I71" i="76"/>
  <c r="J68" i="76"/>
  <c r="I61" i="76"/>
  <c r="J60" i="76"/>
  <c r="I56" i="76"/>
  <c r="J52" i="76"/>
  <c r="I49" i="76"/>
  <c r="J44" i="76"/>
  <c r="I36" i="76"/>
  <c r="J35" i="76"/>
  <c r="J941" i="76"/>
  <c r="J829" i="76"/>
  <c r="J809" i="76"/>
  <c r="I4" i="76"/>
  <c r="I995" i="76"/>
  <c r="J974" i="76"/>
  <c r="I925" i="76"/>
  <c r="I902" i="76"/>
  <c r="I828" i="76"/>
  <c r="J812" i="76"/>
  <c r="I348" i="76"/>
  <c r="J347" i="76"/>
  <c r="I337" i="76"/>
  <c r="I295" i="76"/>
  <c r="J288" i="76"/>
  <c r="I43" i="76"/>
  <c r="J42" i="76"/>
  <c r="I17" i="76"/>
  <c r="J15" i="76"/>
  <c r="J1003" i="76"/>
  <c r="J951" i="76"/>
  <c r="J939" i="76"/>
  <c r="I1002" i="76"/>
  <c r="I968" i="76"/>
  <c r="I934" i="76"/>
  <c r="I898" i="76"/>
  <c r="J843" i="76"/>
  <c r="I808" i="76"/>
  <c r="J803" i="76"/>
  <c r="I415" i="77" s="1"/>
  <c r="I490" i="76"/>
  <c r="J380" i="76"/>
  <c r="I379" i="76"/>
  <c r="I287" i="76"/>
  <c r="J286" i="76"/>
  <c r="I59" i="76"/>
  <c r="J57" i="76"/>
  <c r="I27" i="76"/>
  <c r="J23" i="76"/>
  <c r="I14" i="76"/>
  <c r="J13" i="76"/>
  <c r="I8" i="76"/>
  <c r="J5" i="76"/>
  <c r="J971" i="76"/>
  <c r="J926" i="76"/>
  <c r="J783" i="76"/>
  <c r="J327" i="76"/>
  <c r="I19" i="76"/>
  <c r="J18" i="76"/>
  <c r="I12" i="76"/>
  <c r="M4" i="76"/>
  <c r="M995" i="76"/>
  <c r="M925" i="76"/>
  <c r="M828" i="76"/>
  <c r="M337" i="76"/>
  <c r="M1002" i="76"/>
  <c r="M968" i="76"/>
  <c r="M934" i="76"/>
  <c r="M898" i="76"/>
  <c r="M808" i="76"/>
  <c r="M490" i="76"/>
  <c r="M798" i="76"/>
  <c r="M745" i="76"/>
  <c r="M957" i="76"/>
  <c r="H1010" i="76"/>
  <c r="M295" i="76"/>
  <c r="M379" i="76"/>
  <c r="M913" i="76"/>
  <c r="M842" i="76"/>
  <c r="M360" i="76"/>
  <c r="M346" i="76"/>
  <c r="M1006" i="76"/>
  <c r="M950" i="76"/>
  <c r="M938" i="76"/>
  <c r="M790" i="76"/>
  <c r="M782" i="76"/>
  <c r="M648" i="76"/>
  <c r="M352" i="76"/>
  <c r="M316" i="76"/>
  <c r="M283" i="76"/>
  <c r="M71" i="76"/>
  <c r="M56" i="76"/>
  <c r="M49" i="76"/>
  <c r="M662" i="76"/>
  <c r="O8" i="4"/>
  <c r="N32" i="4"/>
  <c r="O13" i="4"/>
  <c r="N24" i="4"/>
  <c r="N15" i="4"/>
  <c r="N8" i="4"/>
  <c r="N40" i="4"/>
  <c r="O22" i="4"/>
  <c r="O14" i="4"/>
  <c r="O7" i="4"/>
  <c r="N22" i="4"/>
  <c r="N7" i="4"/>
  <c r="N38" i="4"/>
  <c r="N29" i="4"/>
  <c r="O21" i="4"/>
  <c r="N21" i="4"/>
  <c r="N13" i="4"/>
  <c r="N46" i="4"/>
  <c r="N37" i="4"/>
  <c r="N28" i="4"/>
  <c r="O19" i="4"/>
  <c r="O12" i="4"/>
  <c r="N19" i="4"/>
  <c r="N12" i="4"/>
  <c r="N44" i="4"/>
  <c r="N35" i="4"/>
  <c r="N6" i="4"/>
  <c r="O18" i="4"/>
  <c r="O10" i="4"/>
  <c r="N18" i="4"/>
  <c r="N10" i="4"/>
  <c r="N43" i="4"/>
  <c r="O6" i="4"/>
  <c r="O16" i="4"/>
  <c r="O9" i="4"/>
  <c r="N16" i="4"/>
  <c r="N9" i="4"/>
  <c r="N41" i="4"/>
  <c r="O24" i="4"/>
  <c r="O15" i="4"/>
  <c r="M549" i="77" l="1"/>
  <c r="M437" i="77"/>
  <c r="M273" i="77"/>
  <c r="M462" i="77"/>
  <c r="M385" i="77"/>
  <c r="M438" i="77" s="1"/>
  <c r="M306" i="77"/>
  <c r="O34" i="4"/>
  <c r="O36" i="4" s="1"/>
  <c r="O27" i="4"/>
  <c r="O30" i="4" s="1"/>
  <c r="O31" i="4"/>
  <c r="O33" i="4" s="1"/>
  <c r="O572" i="77"/>
  <c r="E572" i="77"/>
  <c r="N572" i="77"/>
  <c r="F572" i="77"/>
  <c r="G572" i="77"/>
  <c r="J572" i="77"/>
  <c r="N226" i="77"/>
  <c r="D226" i="77"/>
  <c r="O226" i="77"/>
  <c r="J226" i="77"/>
  <c r="M226" i="77"/>
  <c r="E226" i="77"/>
  <c r="F226" i="77"/>
  <c r="G226" i="77"/>
  <c r="N39" i="4"/>
  <c r="L1002" i="76"/>
  <c r="L950" i="76"/>
  <c r="L12" i="76"/>
  <c r="L379" i="76"/>
  <c r="L902" i="76"/>
  <c r="L352" i="76"/>
  <c r="L662" i="76"/>
  <c r="L33" i="76"/>
  <c r="L968" i="76"/>
  <c r="L925" i="76"/>
  <c r="L782" i="76"/>
  <c r="J34" i="76"/>
  <c r="M1010" i="76"/>
  <c r="I1010" i="76"/>
  <c r="J808" i="76"/>
  <c r="L803" i="76"/>
  <c r="J337" i="76"/>
  <c r="L327" i="76"/>
  <c r="J802" i="76"/>
  <c r="L799" i="76"/>
  <c r="J51" i="76"/>
  <c r="L50" i="76"/>
  <c r="J934" i="76"/>
  <c r="L926" i="76"/>
  <c r="J27" i="76"/>
  <c r="L27" i="76"/>
  <c r="J1006" i="76"/>
  <c r="L1003" i="76"/>
  <c r="L18" i="76"/>
  <c r="J19" i="76"/>
  <c r="J8" i="76"/>
  <c r="L5" i="76"/>
  <c r="J59" i="76"/>
  <c r="L57" i="76"/>
  <c r="J348" i="76"/>
  <c r="L347" i="76"/>
  <c r="J995" i="76"/>
  <c r="L974" i="76"/>
  <c r="J942" i="76"/>
  <c r="L941" i="76"/>
  <c r="J999" i="76"/>
  <c r="L998" i="76"/>
  <c r="J43" i="76"/>
  <c r="L42" i="76"/>
  <c r="J36" i="76"/>
  <c r="L35" i="76"/>
  <c r="J61" i="76"/>
  <c r="L60" i="76"/>
  <c r="J316" i="76"/>
  <c r="L296" i="76"/>
  <c r="L37" i="76"/>
  <c r="J41" i="76"/>
  <c r="J29" i="76"/>
  <c r="L29" i="76"/>
  <c r="J798" i="76"/>
  <c r="L793" i="76"/>
  <c r="J997" i="76"/>
  <c r="L996" i="76"/>
  <c r="J99" i="76"/>
  <c r="L72" i="76"/>
  <c r="L4" i="76"/>
  <c r="J14" i="76"/>
  <c r="L13" i="76"/>
  <c r="J940" i="76"/>
  <c r="L939" i="76"/>
  <c r="J295" i="76"/>
  <c r="L288" i="76"/>
  <c r="J944" i="76"/>
  <c r="L943" i="76"/>
  <c r="J828" i="76"/>
  <c r="L812" i="76"/>
  <c r="J938" i="76"/>
  <c r="L935" i="76"/>
  <c r="J287" i="76"/>
  <c r="L286" i="76"/>
  <c r="J790" i="76"/>
  <c r="L783" i="76"/>
  <c r="J898" i="76"/>
  <c r="L843" i="76"/>
  <c r="J953" i="76"/>
  <c r="L951" i="76"/>
  <c r="J49" i="76"/>
  <c r="L44" i="76"/>
  <c r="J71" i="76"/>
  <c r="L68" i="76"/>
  <c r="J360" i="76"/>
  <c r="L353" i="76"/>
  <c r="J326" i="76"/>
  <c r="L317" i="76"/>
  <c r="J904" i="76"/>
  <c r="L903" i="76"/>
  <c r="J285" i="76"/>
  <c r="L284" i="76"/>
  <c r="J811" i="76"/>
  <c r="L809" i="76"/>
  <c r="J648" i="76"/>
  <c r="L491" i="76"/>
  <c r="J957" i="76"/>
  <c r="L954" i="76"/>
  <c r="J913" i="76"/>
  <c r="L905" i="76"/>
  <c r="J792" i="76"/>
  <c r="L791" i="76"/>
  <c r="J973" i="76"/>
  <c r="L971" i="76"/>
  <c r="J490" i="76"/>
  <c r="L380" i="76"/>
  <c r="J17" i="76"/>
  <c r="L15" i="76"/>
  <c r="J842" i="76"/>
  <c r="L829" i="76"/>
  <c r="J56" i="76"/>
  <c r="L52" i="76"/>
  <c r="J283" i="76"/>
  <c r="L100" i="76"/>
  <c r="J1009" i="76"/>
  <c r="L1007" i="76"/>
  <c r="L62" i="76"/>
  <c r="J67" i="76"/>
  <c r="J22" i="76"/>
  <c r="L20" i="76"/>
  <c r="J745" i="76"/>
  <c r="L663" i="76"/>
  <c r="J970" i="76"/>
  <c r="L969" i="76"/>
  <c r="J32" i="76"/>
  <c r="L30" i="76"/>
  <c r="J346" i="76"/>
  <c r="L338" i="76"/>
  <c r="O11" i="4"/>
  <c r="N11" i="4"/>
  <c r="O17" i="4"/>
  <c r="M329" i="77" l="1"/>
  <c r="M572" i="77" s="1"/>
  <c r="M573" i="77" s="1"/>
  <c r="O42" i="4"/>
  <c r="O45" i="4" s="1"/>
  <c r="O47" i="4" s="1"/>
  <c r="D573" i="77"/>
  <c r="D575" i="77" s="1"/>
  <c r="F573" i="77"/>
  <c r="G573" i="77"/>
  <c r="O573" i="77"/>
  <c r="E573" i="77"/>
  <c r="J573" i="77"/>
  <c r="N573" i="77"/>
  <c r="L970" i="76"/>
  <c r="L944" i="76"/>
  <c r="L360" i="76"/>
  <c r="L938" i="76"/>
  <c r="L808" i="76"/>
  <c r="L798" i="76"/>
  <c r="L316" i="76"/>
  <c r="L43" i="76"/>
  <c r="L995" i="76"/>
  <c r="L8" i="76"/>
  <c r="L802" i="76"/>
  <c r="L22" i="76"/>
  <c r="L283" i="76"/>
  <c r="L792" i="76"/>
  <c r="L648" i="76"/>
  <c r="L904" i="76"/>
  <c r="L71" i="76"/>
  <c r="L295" i="76"/>
  <c r="L67" i="76"/>
  <c r="L997" i="76"/>
  <c r="L36" i="76"/>
  <c r="L942" i="76"/>
  <c r="L59" i="76"/>
  <c r="L1006" i="76"/>
  <c r="L51" i="76"/>
  <c r="L346" i="76"/>
  <c r="L745" i="76"/>
  <c r="L1009" i="76"/>
  <c r="L569" i="77"/>
  <c r="L571" i="77" s="1"/>
  <c r="L842" i="76"/>
  <c r="L973" i="76"/>
  <c r="L957" i="76"/>
  <c r="L285" i="76"/>
  <c r="L953" i="76"/>
  <c r="L287" i="76"/>
  <c r="L14" i="76"/>
  <c r="L41" i="76"/>
  <c r="L34" i="76"/>
  <c r="L32" i="76"/>
  <c r="L17" i="76"/>
  <c r="L898" i="76"/>
  <c r="L99" i="76"/>
  <c r="L61" i="76"/>
  <c r="L999" i="76"/>
  <c r="L348" i="76"/>
  <c r="L934" i="76"/>
  <c r="L337" i="76"/>
  <c r="L56" i="76"/>
  <c r="L490" i="76"/>
  <c r="L913" i="76"/>
  <c r="L811" i="76"/>
  <c r="L326" i="76"/>
  <c r="L49" i="76"/>
  <c r="L790" i="76"/>
  <c r="L828" i="76"/>
  <c r="L940" i="76"/>
  <c r="L19" i="76"/>
  <c r="J1010" i="76"/>
  <c r="O20" i="4"/>
  <c r="O23" i="4" s="1"/>
  <c r="O25" i="4" s="1"/>
  <c r="M575" i="77" l="1"/>
  <c r="L1010" i="76"/>
  <c r="L21" i="77"/>
  <c r="L27" i="77"/>
  <c r="N14" i="4"/>
  <c r="N17" i="4" s="1"/>
  <c r="N20" i="4" s="1"/>
  <c r="N23" i="4" s="1"/>
  <c r="N25" i="4" s="1"/>
  <c r="N31" i="4"/>
  <c r="N33" i="4" s="1"/>
  <c r="N50" i="4" s="1"/>
  <c r="N27" i="4"/>
  <c r="N30" i="4" s="1"/>
  <c r="N34" i="4"/>
  <c r="N36" i="4" s="1"/>
  <c r="L329" i="77" l="1"/>
  <c r="L28" i="77"/>
  <c r="N51" i="4"/>
  <c r="N42" i="4"/>
  <c r="N45" i="4" s="1"/>
  <c r="N47" i="4" s="1"/>
  <c r="N48" i="4" s="1"/>
  <c r="L572" i="77" l="1"/>
  <c r="L226" i="77"/>
  <c r="H4" i="77"/>
  <c r="H5" i="77"/>
  <c r="H6" i="77"/>
  <c r="H13" i="77"/>
  <c r="H14" i="77"/>
  <c r="H8" i="77"/>
  <c r="H9" i="77"/>
  <c r="H10" i="77"/>
  <c r="M24" i="4" s="1"/>
  <c r="H11" i="77"/>
  <c r="H15" i="77"/>
  <c r="H22" i="77"/>
  <c r="H23" i="77"/>
  <c r="H24" i="77"/>
  <c r="H25" i="77"/>
  <c r="H16" i="77"/>
  <c r="H17" i="77"/>
  <c r="H18" i="77"/>
  <c r="H26" i="77"/>
  <c r="H19" i="77"/>
  <c r="H20" i="77"/>
  <c r="H29" i="77"/>
  <c r="H30" i="77"/>
  <c r="H31" i="77"/>
  <c r="H32" i="77"/>
  <c r="H33" i="77"/>
  <c r="H34" i="77"/>
  <c r="H36" i="77"/>
  <c r="H37" i="77"/>
  <c r="H38" i="77"/>
  <c r="H39" i="77"/>
  <c r="H40" i="77"/>
  <c r="H41" i="77"/>
  <c r="H42" i="77"/>
  <c r="H43" i="77"/>
  <c r="H45" i="77"/>
  <c r="H46" i="77"/>
  <c r="H47" i="77"/>
  <c r="H48" i="77"/>
  <c r="H49" i="77"/>
  <c r="H50" i="77"/>
  <c r="H51" i="77"/>
  <c r="H52" i="77"/>
  <c r="H53" i="77"/>
  <c r="H54" i="77"/>
  <c r="H55" i="77"/>
  <c r="H56" i="77"/>
  <c r="H57" i="77"/>
  <c r="H58" i="77"/>
  <c r="H59" i="77"/>
  <c r="H60" i="77"/>
  <c r="H61" i="77"/>
  <c r="H62" i="77"/>
  <c r="H63" i="77"/>
  <c r="H64" i="77"/>
  <c r="H65" i="77"/>
  <c r="H66" i="77"/>
  <c r="H67" i="77"/>
  <c r="H68" i="77"/>
  <c r="H69" i="77"/>
  <c r="H70" i="77"/>
  <c r="H71" i="77"/>
  <c r="H72" i="77"/>
  <c r="H73" i="77"/>
  <c r="H74" i="77"/>
  <c r="H75" i="77"/>
  <c r="H77" i="77"/>
  <c r="H78" i="77"/>
  <c r="H80" i="77"/>
  <c r="H81" i="77"/>
  <c r="H82" i="77"/>
  <c r="H83" i="77"/>
  <c r="H84" i="77"/>
  <c r="H85" i="77"/>
  <c r="H86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H101" i="77"/>
  <c r="H102" i="77"/>
  <c r="H103" i="77"/>
  <c r="H104" i="77"/>
  <c r="H105" i="77"/>
  <c r="H106" i="77"/>
  <c r="H107" i="77"/>
  <c r="H108" i="77"/>
  <c r="H109" i="77"/>
  <c r="H111" i="77"/>
  <c r="H112" i="77"/>
  <c r="H113" i="77"/>
  <c r="H114" i="77"/>
  <c r="H115" i="77"/>
  <c r="H116" i="77"/>
  <c r="H117" i="77"/>
  <c r="H118" i="77"/>
  <c r="H119" i="77"/>
  <c r="H120" i="77"/>
  <c r="H121" i="77"/>
  <c r="H122" i="77"/>
  <c r="H123" i="77"/>
  <c r="H124" i="77"/>
  <c r="H125" i="77"/>
  <c r="H126" i="77"/>
  <c r="H128" i="77"/>
  <c r="H129" i="77"/>
  <c r="H132" i="77"/>
  <c r="H134" i="77"/>
  <c r="H135" i="77"/>
  <c r="H136" i="77"/>
  <c r="H137" i="77"/>
  <c r="H138" i="77"/>
  <c r="H139" i="77"/>
  <c r="H140" i="77"/>
  <c r="H142" i="77"/>
  <c r="H143" i="77"/>
  <c r="H144" i="77"/>
  <c r="H145" i="77"/>
  <c r="H146" i="77"/>
  <c r="H147" i="77"/>
  <c r="H148" i="77"/>
  <c r="H149" i="77"/>
  <c r="H151" i="77"/>
  <c r="H152" i="77"/>
  <c r="H153" i="77"/>
  <c r="H154" i="77"/>
  <c r="H157" i="77"/>
  <c r="H158" i="77"/>
  <c r="H159" i="77"/>
  <c r="H160" i="77"/>
  <c r="H161" i="77"/>
  <c r="H163" i="77"/>
  <c r="H164" i="77"/>
  <c r="H165" i="77"/>
  <c r="H166" i="77"/>
  <c r="H167" i="77"/>
  <c r="H168" i="77"/>
  <c r="H169" i="77"/>
  <c r="H170" i="77"/>
  <c r="H172" i="77"/>
  <c r="H173" i="77"/>
  <c r="H174" i="77"/>
  <c r="H175" i="77"/>
  <c r="H177" i="77"/>
  <c r="H178" i="77"/>
  <c r="H179" i="77"/>
  <c r="H180" i="77"/>
  <c r="H181" i="77"/>
  <c r="H182" i="77"/>
  <c r="H183" i="77"/>
  <c r="H184" i="77"/>
  <c r="H185" i="77"/>
  <c r="H186" i="77"/>
  <c r="H187" i="77"/>
  <c r="H189" i="77"/>
  <c r="H190" i="77"/>
  <c r="H191" i="77"/>
  <c r="H192" i="77"/>
  <c r="H193" i="77"/>
  <c r="H194" i="77"/>
  <c r="H195" i="77"/>
  <c r="H196" i="77"/>
  <c r="H197" i="77"/>
  <c r="H198" i="77"/>
  <c r="H199" i="77"/>
  <c r="H200" i="77"/>
  <c r="H202" i="77"/>
  <c r="H203" i="77"/>
  <c r="H204" i="77"/>
  <c r="H205" i="77"/>
  <c r="H206" i="77"/>
  <c r="H207" i="77"/>
  <c r="H208" i="77"/>
  <c r="H209" i="77"/>
  <c r="H210" i="77"/>
  <c r="H211" i="77"/>
  <c r="H212" i="77"/>
  <c r="H213" i="77"/>
  <c r="H216" i="77"/>
  <c r="H217" i="77"/>
  <c r="H219" i="77"/>
  <c r="H221" i="77"/>
  <c r="H222" i="77"/>
  <c r="M19" i="4" s="1"/>
  <c r="H223" i="77"/>
  <c r="H224" i="77"/>
  <c r="H231" i="77"/>
  <c r="H232" i="77"/>
  <c r="H233" i="77"/>
  <c r="H234" i="77"/>
  <c r="H235" i="77"/>
  <c r="H236" i="77"/>
  <c r="H237" i="77"/>
  <c r="H239" i="77"/>
  <c r="H240" i="77"/>
  <c r="H241" i="77"/>
  <c r="H242" i="77"/>
  <c r="H243" i="77"/>
  <c r="H244" i="77"/>
  <c r="H245" i="77"/>
  <c r="H246" i="77"/>
  <c r="H247" i="77"/>
  <c r="H249" i="77"/>
  <c r="H250" i="77"/>
  <c r="H252" i="77"/>
  <c r="H253" i="77"/>
  <c r="H256" i="77"/>
  <c r="H257" i="77" s="1"/>
  <c r="H258" i="77"/>
  <c r="H259" i="77" s="1"/>
  <c r="H260" i="77"/>
  <c r="H261" i="77"/>
  <c r="H262" i="77"/>
  <c r="H263" i="77"/>
  <c r="H264" i="77"/>
  <c r="H265" i="77"/>
  <c r="H266" i="77"/>
  <c r="H269" i="77"/>
  <c r="H270" i="77"/>
  <c r="H271" i="77"/>
  <c r="H274" i="77"/>
  <c r="H275" i="77"/>
  <c r="H276" i="77"/>
  <c r="H277" i="77"/>
  <c r="H279" i="77"/>
  <c r="H280" i="77"/>
  <c r="H281" i="77"/>
  <c r="H282" i="77"/>
  <c r="H283" i="77"/>
  <c r="H284" i="77"/>
  <c r="H285" i="77"/>
  <c r="H286" i="77"/>
  <c r="H287" i="77"/>
  <c r="H289" i="77"/>
  <c r="H290" i="77"/>
  <c r="H291" i="77"/>
  <c r="H292" i="77"/>
  <c r="H293" i="77"/>
  <c r="H294" i="77"/>
  <c r="H295" i="77"/>
  <c r="H296" i="77"/>
  <c r="H297" i="77"/>
  <c r="H298" i="77"/>
  <c r="H299" i="77"/>
  <c r="H300" i="77"/>
  <c r="H301" i="77"/>
  <c r="H302" i="77"/>
  <c r="H303" i="77"/>
  <c r="H304" i="77"/>
  <c r="H305" i="77"/>
  <c r="H307" i="77"/>
  <c r="H308" i="77"/>
  <c r="H309" i="77"/>
  <c r="H310" i="77"/>
  <c r="H312" i="77"/>
  <c r="H313" i="77"/>
  <c r="H314" i="77"/>
  <c r="H315" i="77"/>
  <c r="H316" i="77"/>
  <c r="H317" i="77"/>
  <c r="H318" i="77"/>
  <c r="H319" i="77"/>
  <c r="H320" i="77"/>
  <c r="H321" i="77"/>
  <c r="H322" i="77"/>
  <c r="H323" i="77"/>
  <c r="H324" i="77"/>
  <c r="H326" i="77"/>
  <c r="H327" i="77"/>
  <c r="H330" i="77"/>
  <c r="H331" i="77"/>
  <c r="H332" i="77"/>
  <c r="H333" i="77"/>
  <c r="H334" i="77"/>
  <c r="H335" i="77"/>
  <c r="H336" i="77"/>
  <c r="H337" i="77"/>
  <c r="H339" i="77"/>
  <c r="H340" i="77"/>
  <c r="H341" i="77"/>
  <c r="H342" i="77"/>
  <c r="H343" i="77"/>
  <c r="H344" i="77"/>
  <c r="H345" i="77"/>
  <c r="H346" i="77"/>
  <c r="H347" i="77"/>
  <c r="H348" i="77"/>
  <c r="H349" i="77"/>
  <c r="H350" i="77"/>
  <c r="H351" i="77"/>
  <c r="H352" i="77"/>
  <c r="H353" i="77"/>
  <c r="H354" i="77"/>
  <c r="H355" i="77"/>
  <c r="H356" i="77"/>
  <c r="H357" i="77"/>
  <c r="H358" i="77"/>
  <c r="H359" i="77"/>
  <c r="H361" i="77"/>
  <c r="H362" i="77"/>
  <c r="H363" i="77"/>
  <c r="H364" i="77"/>
  <c r="H365" i="77"/>
  <c r="H366" i="77"/>
  <c r="H367" i="77"/>
  <c r="H368" i="77"/>
  <c r="H369" i="77"/>
  <c r="H370" i="77"/>
  <c r="H371" i="77"/>
  <c r="H372" i="77"/>
  <c r="H373" i="77"/>
  <c r="H374" i="77"/>
  <c r="H375" i="77"/>
  <c r="H376" i="77"/>
  <c r="H377" i="77"/>
  <c r="H379" i="77"/>
  <c r="H380" i="77"/>
  <c r="H381" i="77"/>
  <c r="H382" i="77"/>
  <c r="H383" i="77"/>
  <c r="H384" i="77"/>
  <c r="H386" i="77"/>
  <c r="H387" i="77"/>
  <c r="H388" i="77"/>
  <c r="H389" i="77"/>
  <c r="H390" i="77"/>
  <c r="H392" i="77"/>
  <c r="H394" i="77"/>
  <c r="H395" i="77"/>
  <c r="H396" i="77"/>
  <c r="H397" i="77"/>
  <c r="H398" i="77"/>
  <c r="H399" i="77"/>
  <c r="H400" i="77"/>
  <c r="H401" i="77"/>
  <c r="H402" i="77"/>
  <c r="H404" i="77"/>
  <c r="H405" i="77"/>
  <c r="H407" i="77"/>
  <c r="H408" i="77"/>
  <c r="H409" i="77"/>
  <c r="H410" i="77"/>
  <c r="H411" i="77"/>
  <c r="H412" i="77"/>
  <c r="H413" i="77"/>
  <c r="H414" i="77"/>
  <c r="H416" i="77"/>
  <c r="H417" i="77"/>
  <c r="H418" i="77"/>
  <c r="H419" i="77"/>
  <c r="H420" i="77"/>
  <c r="H421" i="77"/>
  <c r="H422" i="77"/>
  <c r="H423" i="77"/>
  <c r="H424" i="77"/>
  <c r="H425" i="77"/>
  <c r="H426" i="77"/>
  <c r="H427" i="77"/>
  <c r="H428" i="77"/>
  <c r="H429" i="77"/>
  <c r="H430" i="77"/>
  <c r="H431" i="77"/>
  <c r="H432" i="77"/>
  <c r="H433" i="77"/>
  <c r="H434" i="77"/>
  <c r="H435" i="77"/>
  <c r="H439" i="77"/>
  <c r="H440" i="77"/>
  <c r="H441" i="77"/>
  <c r="H442" i="77"/>
  <c r="H443" i="77"/>
  <c r="H446" i="77"/>
  <c r="H447" i="77"/>
  <c r="H448" i="77"/>
  <c r="H449" i="77"/>
  <c r="H450" i="77"/>
  <c r="H451" i="77"/>
  <c r="H452" i="77"/>
  <c r="H453" i="77"/>
  <c r="H454" i="77"/>
  <c r="H455" i="77"/>
  <c r="H456" i="77"/>
  <c r="H457" i="77"/>
  <c r="H458" i="77"/>
  <c r="H459" i="77"/>
  <c r="H460" i="77"/>
  <c r="H461" i="77"/>
  <c r="H463" i="77"/>
  <c r="H464" i="77"/>
  <c r="H465" i="77"/>
  <c r="H466" i="77"/>
  <c r="H467" i="77"/>
  <c r="H469" i="77"/>
  <c r="H470" i="77"/>
  <c r="H471" i="77"/>
  <c r="H472" i="77"/>
  <c r="H473" i="77"/>
  <c r="H474" i="77"/>
  <c r="H475" i="77"/>
  <c r="H476" i="77"/>
  <c r="H478" i="77"/>
  <c r="H479" i="77"/>
  <c r="H480" i="77"/>
  <c r="H481" i="77"/>
  <c r="H482" i="77"/>
  <c r="H483" i="77"/>
  <c r="H484" i="77"/>
  <c r="H485" i="77"/>
  <c r="H486" i="77"/>
  <c r="H487" i="77"/>
  <c r="H489" i="77"/>
  <c r="H490" i="77"/>
  <c r="H491" i="77"/>
  <c r="H492" i="77"/>
  <c r="H493" i="77"/>
  <c r="H494" i="77"/>
  <c r="H495" i="77"/>
  <c r="H496" i="77"/>
  <c r="H498" i="77"/>
  <c r="H499" i="77"/>
  <c r="H500" i="77"/>
  <c r="H501" i="77"/>
  <c r="H502" i="77"/>
  <c r="H503" i="77"/>
  <c r="H504" i="77"/>
  <c r="H506" i="77"/>
  <c r="H507" i="77"/>
  <c r="H508" i="77"/>
  <c r="H509" i="77"/>
  <c r="H510" i="77"/>
  <c r="H511" i="77"/>
  <c r="H512" i="77"/>
  <c r="H513" i="77"/>
  <c r="H514" i="77"/>
  <c r="H515" i="77"/>
  <c r="H516" i="77"/>
  <c r="H517" i="77"/>
  <c r="H518" i="77"/>
  <c r="H520" i="77"/>
  <c r="H521" i="77"/>
  <c r="H522" i="77"/>
  <c r="H523" i="77"/>
  <c r="H524" i="77"/>
  <c r="H525" i="77"/>
  <c r="H526" i="77"/>
  <c r="H527" i="77"/>
  <c r="H528" i="77"/>
  <c r="H529" i="77"/>
  <c r="H530" i="77"/>
  <c r="H531" i="77"/>
  <c r="H532" i="77"/>
  <c r="H534" i="77"/>
  <c r="H535" i="77"/>
  <c r="H536" i="77"/>
  <c r="H537" i="77"/>
  <c r="H538" i="77"/>
  <c r="H539" i="77"/>
  <c r="H540" i="77"/>
  <c r="H541" i="77"/>
  <c r="H544" i="77"/>
  <c r="H545" i="77"/>
  <c r="H546" i="77"/>
  <c r="H547" i="77"/>
  <c r="H550" i="77"/>
  <c r="H551" i="77"/>
  <c r="H554" i="77"/>
  <c r="H555" i="77" s="1"/>
  <c r="H556" i="77"/>
  <c r="H557" i="77"/>
  <c r="M29" i="4" s="1"/>
  <c r="H558" i="77"/>
  <c r="H559" i="77"/>
  <c r="H560" i="77"/>
  <c r="H562" i="77"/>
  <c r="H563" i="77"/>
  <c r="H564" i="77"/>
  <c r="H565" i="77"/>
  <c r="H567" i="77"/>
  <c r="H568" i="77"/>
  <c r="H569" i="77"/>
  <c r="M44" i="4"/>
  <c r="H570" i="77"/>
  <c r="M46" i="4" s="1"/>
  <c r="H3" i="77"/>
  <c r="D51" i="67"/>
  <c r="C51" i="67"/>
  <c r="D50" i="67"/>
  <c r="C50" i="67"/>
  <c r="B34" i="67"/>
  <c r="B33" i="67"/>
  <c r="B32" i="67"/>
  <c r="B31" i="67"/>
  <c r="C4" i="67"/>
  <c r="D4" i="67"/>
  <c r="B4" i="67"/>
  <c r="G62" i="63"/>
  <c r="E62" i="63"/>
  <c r="C62" i="63"/>
  <c r="H254" i="77" l="1"/>
  <c r="H328" i="77"/>
  <c r="H571" i="77"/>
  <c r="H553" i="77"/>
  <c r="H519" i="77"/>
  <c r="H338" i="77"/>
  <c r="H566" i="77"/>
  <c r="H468" i="77"/>
  <c r="H391" i="77"/>
  <c r="H248" i="77"/>
  <c r="H306" i="77"/>
  <c r="H497" i="77"/>
  <c r="H477" i="77"/>
  <c r="H437" i="77"/>
  <c r="H403" i="77"/>
  <c r="H325" i="77"/>
  <c r="H288" i="77"/>
  <c r="H238" i="77"/>
  <c r="H548" i="77"/>
  <c r="H360" i="77"/>
  <c r="H533" i="77"/>
  <c r="H462" i="77"/>
  <c r="H406" i="77"/>
  <c r="H273" i="77"/>
  <c r="H251" i="77"/>
  <c r="H561" i="77"/>
  <c r="H505" i="77"/>
  <c r="H488" i="77"/>
  <c r="H385" i="77"/>
  <c r="H311" i="77"/>
  <c r="H278" i="77"/>
  <c r="L573" i="77"/>
  <c r="L575" i="77" s="1"/>
  <c r="M40" i="4"/>
  <c r="I231" i="77"/>
  <c r="K225" i="77"/>
  <c r="H225" i="77"/>
  <c r="H218" i="77"/>
  <c r="H220" i="77"/>
  <c r="K214" i="77"/>
  <c r="H214" i="77"/>
  <c r="K201" i="77"/>
  <c r="H201" i="77"/>
  <c r="K188" i="77"/>
  <c r="H188" i="77"/>
  <c r="K176" i="77"/>
  <c r="H176" i="77"/>
  <c r="H171" i="77"/>
  <c r="K162" i="77"/>
  <c r="H162" i="77"/>
  <c r="K150" i="77"/>
  <c r="H150" i="77"/>
  <c r="K141" i="77"/>
  <c r="H141" i="77"/>
  <c r="H130" i="77"/>
  <c r="K110" i="77"/>
  <c r="H110" i="77"/>
  <c r="K79" i="77"/>
  <c r="H79" i="77"/>
  <c r="K76" i="77"/>
  <c r="H76" i="77"/>
  <c r="H44" i="77"/>
  <c r="H27" i="77"/>
  <c r="H21" i="77"/>
  <c r="H12" i="77"/>
  <c r="H7" i="77"/>
  <c r="I111" i="77"/>
  <c r="I165" i="77"/>
  <c r="I465" i="77"/>
  <c r="I342" i="77"/>
  <c r="I322" i="77"/>
  <c r="I453" i="77"/>
  <c r="I551" i="77"/>
  <c r="I553" i="77" s="1"/>
  <c r="I441" i="77"/>
  <c r="I219" i="77"/>
  <c r="I216" i="77"/>
  <c r="I217" i="77"/>
  <c r="I43" i="77"/>
  <c r="I568" i="77"/>
  <c r="I3" i="77"/>
  <c r="I5" i="77"/>
  <c r="I4" i="77"/>
  <c r="I277" i="77"/>
  <c r="I276" i="77"/>
  <c r="I275" i="77"/>
  <c r="I349" i="77"/>
  <c r="I460" i="77"/>
  <c r="I413" i="77"/>
  <c r="I384" i="77"/>
  <c r="I373" i="77"/>
  <c r="I347" i="77"/>
  <c r="I330" i="77"/>
  <c r="I338" i="77" s="1"/>
  <c r="I315" i="77"/>
  <c r="I302" i="77"/>
  <c r="I22" i="77" s="1"/>
  <c r="I250" i="77"/>
  <c r="I509" i="77"/>
  <c r="I519" i="77" s="1"/>
  <c r="I472" i="77"/>
  <c r="I446" i="77"/>
  <c r="I439" i="77"/>
  <c r="I425" i="77"/>
  <c r="I419" i="77"/>
  <c r="I383" i="77"/>
  <c r="I379" i="77"/>
  <c r="I356" i="77"/>
  <c r="I320" i="77"/>
  <c r="I289" i="77"/>
  <c r="I269" i="77"/>
  <c r="I249" i="77"/>
  <c r="I476" i="77"/>
  <c r="I435" i="77"/>
  <c r="I430" i="77"/>
  <c r="I128" i="77" s="1"/>
  <c r="I424" i="77"/>
  <c r="I404" i="77"/>
  <c r="I406" i="77" s="1"/>
  <c r="I377" i="77"/>
  <c r="I371" i="77"/>
  <c r="I339" i="77"/>
  <c r="I307" i="77"/>
  <c r="I311" i="77" s="1"/>
  <c r="I294" i="77"/>
  <c r="I237" i="77"/>
  <c r="I569" i="77"/>
  <c r="I463" i="77"/>
  <c r="I468" i="77" s="1"/>
  <c r="I449" i="77"/>
  <c r="I434" i="77"/>
  <c r="I423" i="77"/>
  <c r="I417" i="77"/>
  <c r="I376" i="77"/>
  <c r="I354" i="77"/>
  <c r="I312" i="77"/>
  <c r="I305" i="77"/>
  <c r="I24" i="77" s="1"/>
  <c r="I499" i="77"/>
  <c r="I505" i="77" s="1"/>
  <c r="I451" i="77"/>
  <c r="I433" i="77"/>
  <c r="I422" i="77"/>
  <c r="I375" i="77"/>
  <c r="I369" i="77"/>
  <c r="I364" i="77"/>
  <c r="I261" i="77"/>
  <c r="I480" i="77"/>
  <c r="I488" i="77" s="1"/>
  <c r="I448" i="77"/>
  <c r="I427" i="77"/>
  <c r="I414" i="77"/>
  <c r="I408" i="77"/>
  <c r="I401" i="77"/>
  <c r="I392" i="77"/>
  <c r="I386" i="77"/>
  <c r="I391" i="77" s="1"/>
  <c r="I358" i="77"/>
  <c r="I297" i="77"/>
  <c r="I279" i="77"/>
  <c r="I288" i="77" s="1"/>
  <c r="I260" i="77"/>
  <c r="I252" i="77"/>
  <c r="I254" i="77" s="1"/>
  <c r="I241" i="77"/>
  <c r="I248" i="77" s="1"/>
  <c r="M22" i="4"/>
  <c r="M18" i="4"/>
  <c r="M37" i="4"/>
  <c r="M8" i="4"/>
  <c r="M16" i="4"/>
  <c r="I273" i="77" l="1"/>
  <c r="I325" i="77"/>
  <c r="I238" i="77"/>
  <c r="I437" i="77"/>
  <c r="I306" i="77"/>
  <c r="I462" i="77"/>
  <c r="H438" i="77"/>
  <c r="I360" i="77"/>
  <c r="H549" i="77"/>
  <c r="I477" i="77"/>
  <c r="I549" i="77" s="1"/>
  <c r="I278" i="77"/>
  <c r="I571" i="77"/>
  <c r="I403" i="77"/>
  <c r="I251" i="77"/>
  <c r="M9" i="4"/>
  <c r="M41" i="4"/>
  <c r="I6" i="77"/>
  <c r="M21" i="4" s="1"/>
  <c r="M35" i="4"/>
  <c r="H329" i="77"/>
  <c r="K218" i="77"/>
  <c r="I218" i="77"/>
  <c r="K220" i="77"/>
  <c r="I220" i="77"/>
  <c r="H215" i="77"/>
  <c r="M13" i="4"/>
  <c r="I171" i="77"/>
  <c r="I215" i="77" s="1"/>
  <c r="H131" i="77"/>
  <c r="I362" i="77"/>
  <c r="I385" i="77" s="1"/>
  <c r="I44" i="77"/>
  <c r="H28" i="77"/>
  <c r="M15" i="4"/>
  <c r="K12" i="77"/>
  <c r="K7" i="77"/>
  <c r="M28" i="4"/>
  <c r="I129" i="77"/>
  <c r="I126" i="77"/>
  <c r="M32" i="4"/>
  <c r="K44" i="77"/>
  <c r="M43" i="4"/>
  <c r="M34" i="4"/>
  <c r="J19" i="4"/>
  <c r="J46" i="4"/>
  <c r="J44" i="4"/>
  <c r="J43" i="4"/>
  <c r="J24" i="4"/>
  <c r="J21" i="4"/>
  <c r="J29" i="4"/>
  <c r="I17" i="4"/>
  <c r="I11" i="4"/>
  <c r="I438" i="77" l="1"/>
  <c r="M36" i="4"/>
  <c r="M51" i="4" s="1"/>
  <c r="M7" i="4"/>
  <c r="I7" i="77"/>
  <c r="H572" i="77"/>
  <c r="M38" i="4"/>
  <c r="M39" i="4" s="1"/>
  <c r="M31" i="4"/>
  <c r="M33" i="4" s="1"/>
  <c r="I329" i="77"/>
  <c r="I17" i="77"/>
  <c r="M10" i="4" s="1"/>
  <c r="H226" i="77"/>
  <c r="K171" i="77"/>
  <c r="K215" i="77" s="1"/>
  <c r="I130" i="77"/>
  <c r="I131" i="77" s="1"/>
  <c r="K130" i="77"/>
  <c r="K131" i="77" s="1"/>
  <c r="M6" i="4"/>
  <c r="M27" i="4"/>
  <c r="M30" i="4" s="1"/>
  <c r="I25" i="77"/>
  <c r="I27" i="77" s="1"/>
  <c r="M12" i="4"/>
  <c r="I20" i="4"/>
  <c r="I23" i="4" s="1"/>
  <c r="I25" i="4" s="1"/>
  <c r="J41" i="4"/>
  <c r="J15" i="4"/>
  <c r="J40" i="4"/>
  <c r="J6" i="4"/>
  <c r="J38" i="4"/>
  <c r="J13" i="4"/>
  <c r="J10" i="4"/>
  <c r="J16" i="4"/>
  <c r="J14" i="4"/>
  <c r="J12" i="4"/>
  <c r="J9" i="4"/>
  <c r="J31" i="4"/>
  <c r="J28" i="4"/>
  <c r="J8" i="4"/>
  <c r="J32" i="4"/>
  <c r="J18" i="4"/>
  <c r="J7" i="4"/>
  <c r="J35" i="4"/>
  <c r="J34" i="4"/>
  <c r="J37" i="4"/>
  <c r="J22" i="4"/>
  <c r="J27" i="4"/>
  <c r="I572" i="77" l="1"/>
  <c r="H573" i="77"/>
  <c r="K329" i="77"/>
  <c r="K572" i="77" s="1"/>
  <c r="M11" i="4"/>
  <c r="K27" i="77"/>
  <c r="I21" i="77"/>
  <c r="I28" i="77" s="1"/>
  <c r="I226" i="77" s="1"/>
  <c r="M42" i="4"/>
  <c r="M45" i="4" s="1"/>
  <c r="M47" i="4" s="1"/>
  <c r="M50" i="4"/>
  <c r="J17" i="4"/>
  <c r="J36" i="4"/>
  <c r="J51" i="4" s="1"/>
  <c r="J11" i="4"/>
  <c r="J30" i="4"/>
  <c r="J33" i="4"/>
  <c r="J50" i="4" s="1"/>
  <c r="J39" i="4"/>
  <c r="I573" i="77" l="1"/>
  <c r="M14" i="4"/>
  <c r="M17" i="4" s="1"/>
  <c r="M20" i="4" s="1"/>
  <c r="M23" i="4" s="1"/>
  <c r="M25" i="4" s="1"/>
  <c r="M48" i="4" s="1"/>
  <c r="K21" i="77"/>
  <c r="B50" i="67"/>
  <c r="J20" i="4"/>
  <c r="J23" i="4" s="1"/>
  <c r="J25" i="4" s="1"/>
  <c r="J42" i="4"/>
  <c r="J45" i="4" s="1"/>
  <c r="J47" i="4" s="1"/>
  <c r="K28" i="77" l="1"/>
  <c r="B51" i="67"/>
  <c r="G7" i="4"/>
  <c r="J48" i="4"/>
  <c r="G16" i="4"/>
  <c r="G24" i="4"/>
  <c r="G8" i="4"/>
  <c r="G40" i="4"/>
  <c r="G38" i="4"/>
  <c r="G31" i="4"/>
  <c r="G41" i="4"/>
  <c r="G34" i="4"/>
  <c r="G43" i="4"/>
  <c r="G44" i="4"/>
  <c r="G27" i="4"/>
  <c r="G37" i="4"/>
  <c r="G46" i="4"/>
  <c r="G15" i="4"/>
  <c r="G32" i="4"/>
  <c r="K226" i="77" l="1"/>
  <c r="K573" i="77" s="1"/>
  <c r="K575" i="77" s="1"/>
  <c r="G14" i="4"/>
  <c r="G10" i="4"/>
  <c r="G18" i="4"/>
  <c r="G9" i="4"/>
  <c r="G13" i="4"/>
  <c r="G12" i="4"/>
  <c r="G35" i="4"/>
  <c r="G6" i="4"/>
  <c r="G21" i="4" l="1"/>
  <c r="G28" i="4"/>
  <c r="I28" i="4" l="1"/>
  <c r="I29" i="4"/>
  <c r="I31" i="4"/>
  <c r="I32" i="4"/>
  <c r="I34" i="4"/>
  <c r="I35" i="4"/>
  <c r="I37" i="4"/>
  <c r="I38" i="4"/>
  <c r="I40" i="4"/>
  <c r="I41" i="4"/>
  <c r="I43" i="4"/>
  <c r="I44" i="4"/>
  <c r="I46" i="4"/>
  <c r="I27" i="4"/>
  <c r="H27" i="4"/>
  <c r="H29" i="4"/>
  <c r="H31" i="4"/>
  <c r="H32" i="4"/>
  <c r="H34" i="4"/>
  <c r="H35" i="4"/>
  <c r="H37" i="4"/>
  <c r="H38" i="4"/>
  <c r="H40" i="4"/>
  <c r="H41" i="4"/>
  <c r="H43" i="4"/>
  <c r="H44" i="4"/>
  <c r="H46" i="4"/>
  <c r="H28" i="4"/>
  <c r="G29" i="4"/>
  <c r="F27" i="4"/>
  <c r="F17" i="4"/>
  <c r="F11" i="4"/>
  <c r="H7" i="4"/>
  <c r="H8" i="4"/>
  <c r="H9" i="4"/>
  <c r="H12" i="4"/>
  <c r="H13" i="4"/>
  <c r="H14" i="4"/>
  <c r="H15" i="4"/>
  <c r="H16" i="4"/>
  <c r="H18" i="4"/>
  <c r="G19" i="4"/>
  <c r="H19" i="4"/>
  <c r="H21" i="4"/>
  <c r="H22" i="4"/>
  <c r="H24" i="4"/>
  <c r="H6" i="4"/>
  <c r="I30" i="4" l="1"/>
  <c r="I39" i="4"/>
  <c r="I36" i="4"/>
  <c r="I33" i="4"/>
  <c r="F20" i="4"/>
  <c r="F23" i="4" s="1"/>
  <c r="F25" i="4" s="1"/>
  <c r="H33" i="4"/>
  <c r="H50" i="4" s="1"/>
  <c r="H36" i="4"/>
  <c r="H51" i="4" s="1"/>
  <c r="H30" i="4"/>
  <c r="H39" i="4"/>
  <c r="H17" i="4"/>
  <c r="G22" i="4"/>
  <c r="I42" i="4" l="1"/>
  <c r="I45" i="4" s="1"/>
  <c r="I47" i="4" s="1"/>
  <c r="H10" i="4"/>
  <c r="H11" i="4" s="1"/>
  <c r="H20" i="4" s="1"/>
  <c r="H23" i="4" s="1"/>
  <c r="H25" i="4" s="1"/>
  <c r="G11" i="4"/>
  <c r="G36" i="4"/>
  <c r="G51" i="4" s="1"/>
  <c r="H42" i="4"/>
  <c r="H45" i="4" s="1"/>
  <c r="H47" i="4" s="1"/>
  <c r="G33" i="4"/>
  <c r="G50" i="4" s="1"/>
  <c r="G30" i="4"/>
  <c r="G39" i="4"/>
  <c r="E6" i="4"/>
  <c r="H48" i="4" l="1"/>
  <c r="G42" i="4"/>
  <c r="G45" i="4" s="1"/>
  <c r="G47" i="4" s="1"/>
  <c r="G17" i="4"/>
  <c r="G20" i="4" s="1"/>
  <c r="G23" i="4" s="1"/>
  <c r="G25" i="4" s="1"/>
  <c r="E28" i="4"/>
  <c r="D29" i="4"/>
  <c r="E29" i="4"/>
  <c r="E31" i="4"/>
  <c r="E32" i="4"/>
  <c r="E34" i="4"/>
  <c r="E35" i="4"/>
  <c r="E37" i="4"/>
  <c r="E38" i="4"/>
  <c r="E40" i="4"/>
  <c r="E41" i="4"/>
  <c r="E43" i="4"/>
  <c r="E44" i="4"/>
  <c r="E46" i="4"/>
  <c r="E27" i="4"/>
  <c r="E7" i="4"/>
  <c r="E8" i="4"/>
  <c r="E9" i="4"/>
  <c r="E10" i="4"/>
  <c r="E12" i="4"/>
  <c r="E13" i="4"/>
  <c r="E14" i="4"/>
  <c r="E15" i="4"/>
  <c r="E16" i="4"/>
  <c r="E18" i="4"/>
  <c r="D19" i="4"/>
  <c r="E19" i="4"/>
  <c r="E21" i="4"/>
  <c r="E22" i="4"/>
  <c r="E24" i="4"/>
  <c r="C6" i="4"/>
  <c r="D22" i="4"/>
  <c r="G48" i="4" l="1"/>
  <c r="E30" i="4"/>
  <c r="E36" i="4"/>
  <c r="E51" i="4" s="1"/>
  <c r="E39" i="4"/>
  <c r="E33" i="4"/>
  <c r="E50" i="4" s="1"/>
  <c r="D41" i="4"/>
  <c r="D44" i="4"/>
  <c r="D46" i="4"/>
  <c r="E11" i="4"/>
  <c r="E17" i="4"/>
  <c r="D15" i="4"/>
  <c r="D24" i="4"/>
  <c r="D21" i="4"/>
  <c r="D18" i="4"/>
  <c r="D8" i="4"/>
  <c r="E42" i="4" l="1"/>
  <c r="E45" i="4" s="1"/>
  <c r="E47" i="4" s="1"/>
  <c r="D37" i="4"/>
  <c r="D34" i="4"/>
  <c r="D38" i="4"/>
  <c r="D32" i="4"/>
  <c r="D40" i="4"/>
  <c r="D28" i="4"/>
  <c r="D35" i="4"/>
  <c r="D6" i="4"/>
  <c r="E20" i="4"/>
  <c r="E23" i="4" s="1"/>
  <c r="E25" i="4" s="1"/>
  <c r="D9" i="4"/>
  <c r="D7" i="4"/>
  <c r="D12" i="4"/>
  <c r="D14" i="4"/>
  <c r="D16" i="4"/>
  <c r="D13" i="4"/>
  <c r="D31" i="4" l="1"/>
  <c r="D33" i="4" s="1"/>
  <c r="E48" i="4"/>
  <c r="D39" i="4"/>
  <c r="D36" i="4"/>
  <c r="D27" i="4"/>
  <c r="D30" i="4" s="1"/>
  <c r="D43" i="4"/>
  <c r="D17" i="4"/>
  <c r="D42" i="4" l="1"/>
  <c r="D45" i="4" s="1"/>
  <c r="D47" i="4" s="1"/>
  <c r="D10" i="4"/>
  <c r="D11" i="4" s="1"/>
  <c r="D20" i="4" s="1"/>
  <c r="D23" i="4" s="1"/>
  <c r="D25" i="4" s="1"/>
  <c r="D48" i="4" l="1"/>
  <c r="C27" i="4" l="1"/>
  <c r="C19" i="4" l="1"/>
  <c r="F46" i="4" l="1"/>
  <c r="F44" i="4"/>
  <c r="F43" i="4"/>
  <c r="F41" i="4"/>
  <c r="F40" i="4"/>
  <c r="F38" i="4"/>
  <c r="F37" i="4"/>
  <c r="F35" i="4"/>
  <c r="F34" i="4"/>
  <c r="F32" i="4"/>
  <c r="F31" i="4"/>
  <c r="F28" i="4"/>
  <c r="F29" i="4"/>
  <c r="F30" i="4" l="1"/>
  <c r="F39" i="4" l="1"/>
  <c r="F36" i="4"/>
  <c r="F33" i="4"/>
  <c r="C46" i="4"/>
  <c r="C44" i="4"/>
  <c r="C43" i="4"/>
  <c r="C41" i="4"/>
  <c r="C40" i="4"/>
  <c r="C38" i="4"/>
  <c r="C37" i="4"/>
  <c r="C35" i="4"/>
  <c r="C34" i="4"/>
  <c r="C32" i="4"/>
  <c r="C31" i="4"/>
  <c r="C28" i="4"/>
  <c r="C29" i="4"/>
  <c r="C24" i="4"/>
  <c r="C22" i="4"/>
  <c r="C21" i="4"/>
  <c r="C18" i="4"/>
  <c r="C16" i="4"/>
  <c r="C15" i="4"/>
  <c r="C14" i="4"/>
  <c r="C13" i="4"/>
  <c r="C12" i="4"/>
  <c r="C7" i="4"/>
  <c r="C8" i="4"/>
  <c r="C10" i="4"/>
  <c r="C30" i="4" l="1"/>
  <c r="F42" i="4"/>
  <c r="F45" i="4" s="1"/>
  <c r="F47" i="4" s="1"/>
  <c r="C36" i="4"/>
  <c r="C33" i="4"/>
  <c r="C39" i="4"/>
  <c r="C17" i="4"/>
  <c r="C11" i="4"/>
  <c r="C42" i="4" l="1"/>
  <c r="C45" i="4" s="1"/>
  <c r="C47" i="4" s="1"/>
  <c r="C20" i="4"/>
  <c r="C23" i="4" s="1"/>
  <c r="C25" i="4" s="1"/>
  <c r="C48" i="4" l="1"/>
</calcChain>
</file>

<file path=xl/sharedStrings.xml><?xml version="1.0" encoding="utf-8"?>
<sst xmlns="http://schemas.openxmlformats.org/spreadsheetml/2006/main" count="9596" uniqueCount="2255">
  <si>
    <t>חשבון</t>
  </si>
  <si>
    <t>שם חשבון</t>
  </si>
  <si>
    <t>נבחרים-שכר</t>
  </si>
  <si>
    <t>אירוח וכיבוד</t>
  </si>
  <si>
    <t>מתנות נבחרים</t>
  </si>
  <si>
    <t>השתלמיות</t>
  </si>
  <si>
    <t>ספרות מקצועית ועתונים</t>
  </si>
  <si>
    <t>דמי חבר סגני ראשי רשויות</t>
  </si>
  <si>
    <t>הוצאות רכב ראש המועצה</t>
  </si>
  <si>
    <t>רכב ראש המועצה-דלק ושמנים</t>
  </si>
  <si>
    <t>צרכי משרד</t>
  </si>
  <si>
    <t>יעוץ מוניציפלי</t>
  </si>
  <si>
    <t>בחירות</t>
  </si>
  <si>
    <t>הוצאות שונות</t>
  </si>
  <si>
    <t>ציוד יסודי</t>
  </si>
  <si>
    <t>לשכת ר"המועצה שכר</t>
  </si>
  <si>
    <t>דמי חבר -מבקר הרשות</t>
  </si>
  <si>
    <t>פרסומים</t>
  </si>
  <si>
    <t>מבקר הרשות-ציוד יסודי</t>
  </si>
  <si>
    <t>פיצויים</t>
  </si>
  <si>
    <t>חשמל</t>
  </si>
  <si>
    <t>כיבוד</t>
  </si>
  <si>
    <t>דמי חבר בארגונים</t>
  </si>
  <si>
    <t>דאר טלפון ותקשורת</t>
  </si>
  <si>
    <t>הוצאות פרסום</t>
  </si>
  <si>
    <t>חומרים</t>
  </si>
  <si>
    <t>כלים וציוד</t>
  </si>
  <si>
    <t>קבלניות</t>
  </si>
  <si>
    <t>מרכז השלטון המקומי-ד.חבר</t>
  </si>
  <si>
    <t>מבקר פנים-שכר</t>
  </si>
  <si>
    <t>כח אדם</t>
  </si>
  <si>
    <t>השתלמויות ע. מועצה</t>
  </si>
  <si>
    <t>הוצאות משפטיות-אגרות</t>
  </si>
  <si>
    <t>הוצאות משפטיות</t>
  </si>
  <si>
    <t>משפטיות- שכ"ט יעוץ</t>
  </si>
  <si>
    <t>שכ"ט עו"ד-גבייה</t>
  </si>
  <si>
    <t>הוצאות בחירות</t>
  </si>
  <si>
    <t>הפרשה להבראה</t>
  </si>
  <si>
    <t>מינהל רכש ואספקה</t>
  </si>
  <si>
    <t>גזברות והנה"ח שכר</t>
  </si>
  <si>
    <t>דואר וטלפון</t>
  </si>
  <si>
    <t>משרדיות</t>
  </si>
  <si>
    <t>מיכון-אוטומציה</t>
  </si>
  <si>
    <t>הוצאות מחשוב</t>
  </si>
  <si>
    <t>מינהל הרכש</t>
  </si>
  <si>
    <t>עבודות קבלניות שכ"ט</t>
  </si>
  <si>
    <t>שונות</t>
  </si>
  <si>
    <t>גבייה-משכורת</t>
  </si>
  <si>
    <t>משפטיות גבייה(שכ"ט)</t>
  </si>
  <si>
    <t>עבודות קבלניות</t>
  </si>
  <si>
    <t>שכ"ט עו"ד</t>
  </si>
  <si>
    <t>עמלות בנק</t>
  </si>
  <si>
    <t>הוצאות מימון-ריבית</t>
  </si>
  <si>
    <t>קרן</t>
  </si>
  <si>
    <t>ריבית</t>
  </si>
  <si>
    <t>הצמדה</t>
  </si>
  <si>
    <t>פינוי פסולת בנייה</t>
  </si>
  <si>
    <t>פנוי אשפה-שמוש בתחנה</t>
  </si>
  <si>
    <t>פיקוח תברואי-משכורת</t>
  </si>
  <si>
    <t>אגוד ערים וטרינרי</t>
  </si>
  <si>
    <t>הדברת מזיקים-חומרים</t>
  </si>
  <si>
    <t>הדברת מזיקים-קבלניות</t>
  </si>
  <si>
    <t>רכבי מועצה-דלק ושמנים</t>
  </si>
  <si>
    <t>רכבי המועצה-תיקונים</t>
  </si>
  <si>
    <t>רכבי  המועצה-רישוי וביטוח</t>
  </si>
  <si>
    <t>השתתפות בהג"א ארצי</t>
  </si>
  <si>
    <t>עיר ללא אלימות</t>
  </si>
  <si>
    <t>בטיחות בדרכים</t>
  </si>
  <si>
    <t>מהנדס-משכורת</t>
  </si>
  <si>
    <t>בטוח מהנדסים</t>
  </si>
  <si>
    <t>עבודות קבלניות-מדידות</t>
  </si>
  <si>
    <t>הוצ' ועדה לתכנון ובניה</t>
  </si>
  <si>
    <t>נכסים ציבוריים-משכורת</t>
  </si>
  <si>
    <t>טלפון</t>
  </si>
  <si>
    <t>חומרים -אחזקה כללית</t>
  </si>
  <si>
    <t>טרקטור-דלק ושמנים</t>
  </si>
  <si>
    <t>טרקטור-תיקונים</t>
  </si>
  <si>
    <t>טרקטור-רישוי ובטוח</t>
  </si>
  <si>
    <t>תאורת רחובו ע.קבלניות</t>
  </si>
  <si>
    <t>תאורת רחוב-חשמל</t>
  </si>
  <si>
    <t>בטיחות בדרכים-שונות</t>
  </si>
  <si>
    <t>אגוד ערים-רשות ניקוז</t>
  </si>
  <si>
    <t>חוף רחצה-משכורת</t>
  </si>
  <si>
    <t>חוף רחצה-חשמל</t>
  </si>
  <si>
    <t>חוף רחצה-מים</t>
  </si>
  <si>
    <t>ביטוח</t>
  </si>
  <si>
    <t>בית עלמין-מים</t>
  </si>
  <si>
    <t>חגיגות וטכסים</t>
  </si>
  <si>
    <t>ועד עובדים השת' מועצה</t>
  </si>
  <si>
    <t>בטוח אלמנטרי לרשות</t>
  </si>
  <si>
    <t>שיטור קהילתי-טלפון</t>
  </si>
  <si>
    <t>שיטור קהילתי-חומרים</t>
  </si>
  <si>
    <t>מנהל חינוך-משכורת</t>
  </si>
  <si>
    <t>הוצאות תקשורת וטלפון</t>
  </si>
  <si>
    <t>ציוד ורהוט מוסדות חינוך</t>
  </si>
  <si>
    <t>שיפוצים מוסדות חינוך</t>
  </si>
  <si>
    <t>גני"י חובה-משכורת</t>
  </si>
  <si>
    <t>אחזקת מבנה</t>
  </si>
  <si>
    <t>צ. מים גני ילדים</t>
  </si>
  <si>
    <t>חומרי ניקוי</t>
  </si>
  <si>
    <t>חומרים גני חובה</t>
  </si>
  <si>
    <t>גנים ט.חובה-משכורת</t>
  </si>
  <si>
    <t>גנים-פיצויים</t>
  </si>
  <si>
    <t>גנים ט.חובה-שכ"ד</t>
  </si>
  <si>
    <t>שיפוץ מושכר שהתפנה גנ"י</t>
  </si>
  <si>
    <t>אחזקת מבנים</t>
  </si>
  <si>
    <t>טרום חובה גנים</t>
  </si>
  <si>
    <t>טרום חובה</t>
  </si>
  <si>
    <t>ציוד משרדי גנ"י חובה</t>
  </si>
  <si>
    <t>חומרים לפעולות</t>
  </si>
  <si>
    <t>כלים מכשירים וציוד</t>
  </si>
  <si>
    <t>גננות עובדות מדינה</t>
  </si>
  <si>
    <t>שכר</t>
  </si>
  <si>
    <t>גנים טיפוליים-משכורת</t>
  </si>
  <si>
    <t>גנים טיפוליים-שכ"ד</t>
  </si>
  <si>
    <t>מים</t>
  </si>
  <si>
    <t>שרותי הפעלה קייטנות קיץ</t>
  </si>
  <si>
    <t>הוצ' שונות -מפעל הזנה</t>
  </si>
  <si>
    <t>ב"ס א -משכורת</t>
  </si>
  <si>
    <t>ב"ס א-אחזקת מבנה</t>
  </si>
  <si>
    <t>ב"ס א-חשמל</t>
  </si>
  <si>
    <t>ב"ס א -מים</t>
  </si>
  <si>
    <t>ב"ס א -טלפון</t>
  </si>
  <si>
    <t>ניהול עצמי יסודי א</t>
  </si>
  <si>
    <t>ב"ס א -ציוד יסודי</t>
  </si>
  <si>
    <t>ב"ס ב -משכורת</t>
  </si>
  <si>
    <t>ב"ס ב -חשמל</t>
  </si>
  <si>
    <t>מים ב"ס ב</t>
  </si>
  <si>
    <t>ב"ס ב -טלפון</t>
  </si>
  <si>
    <t>ב"ס ב -ע.קבלניות</t>
  </si>
  <si>
    <t>ניהול עצמי יסודי ב</t>
  </si>
  <si>
    <t>ב"ס ב -ציוד יסודי</t>
  </si>
  <si>
    <t>ב"ס ג חדשני-משכורת</t>
  </si>
  <si>
    <t>ב"ס ג -חשמל</t>
  </si>
  <si>
    <t>ב"ס ג -טלפון</t>
  </si>
  <si>
    <t>ב"ס ג -ע.קבלניות</t>
  </si>
  <si>
    <t>ב"ס ג- החזר הוצאות</t>
  </si>
  <si>
    <t>ניהול עצמי יסודי ג</t>
  </si>
  <si>
    <t>ב"ס ג -ציוד יסודי</t>
  </si>
  <si>
    <t>משכורת ב"ס יסודי ד</t>
  </si>
  <si>
    <t>בי"ס יסודי ד חשמל</t>
  </si>
  <si>
    <t>בי"ס יסודי ד-מים</t>
  </si>
  <si>
    <t>בי"ס יסודי ד טלפון</t>
  </si>
  <si>
    <t>ב"ס ד עבודות קבלניות</t>
  </si>
  <si>
    <t>ב"ס ד ניהול עמי</t>
  </si>
  <si>
    <t>משכורתב"ס לחינוך מיוחד</t>
  </si>
  <si>
    <t>תקשורת</t>
  </si>
  <si>
    <t>בי"ס אלוופא-מזון</t>
  </si>
  <si>
    <t>הקצבות יעודיות</t>
  </si>
  <si>
    <t>אג"ח חינוך מיוחד</t>
  </si>
  <si>
    <t>חט"ב-משכורת</t>
  </si>
  <si>
    <t>חט"ב-חשמל</t>
  </si>
  <si>
    <t>חט"ב-מים</t>
  </si>
  <si>
    <t>חט"ב-טלפון</t>
  </si>
  <si>
    <t>חט"ב-משרדיות</t>
  </si>
  <si>
    <t>חט"ב- ע.קבלניות</t>
  </si>
  <si>
    <t>חט"ב-החזר הוצאות</t>
  </si>
  <si>
    <t>ב"ס תיכון-משכורת</t>
  </si>
  <si>
    <t>ב"ס תיכון-אחזקת מבנים</t>
  </si>
  <si>
    <t>ב"ס תיכון-חשמל</t>
  </si>
  <si>
    <t>ב"ס תיכון- מים</t>
  </si>
  <si>
    <t>ב"ס תיכון- טלפון</t>
  </si>
  <si>
    <t>ב"ס תיכון-משרדיות</t>
  </si>
  <si>
    <t>בתי ספר- ע.קבלניות</t>
  </si>
  <si>
    <t>יעוץ פיננסי לחינוך</t>
  </si>
  <si>
    <t>ב"ס תיכון-הוצאות שונות</t>
  </si>
  <si>
    <t>ב"ס תיכון -החזר הוצאות</t>
  </si>
  <si>
    <t>שפ"י - משכורת</t>
  </si>
  <si>
    <t>פיצויים-פסיכולוגים</t>
  </si>
  <si>
    <t>השתלמיות -שפ"י</t>
  </si>
  <si>
    <t>ציוד יסודי-פסיכולוג</t>
  </si>
  <si>
    <t>שפ"י - הדרכה</t>
  </si>
  <si>
    <t>ביטוח תלמידים</t>
  </si>
  <si>
    <t>שיקום שכונות-שונות</t>
  </si>
  <si>
    <t>שכר אומץ</t>
  </si>
  <si>
    <t>קב"סים-משכורת</t>
  </si>
  <si>
    <t>חומרי לימוד</t>
  </si>
  <si>
    <t>שונות מועדוניות</t>
  </si>
  <si>
    <t>מלווים -משכורת</t>
  </si>
  <si>
    <t>הסעות תלמידים</t>
  </si>
  <si>
    <t>פר"ח-הסעות</t>
  </si>
  <si>
    <t>השת.בפעילות חינוך בלתי פורמאלי</t>
  </si>
  <si>
    <t>מים שכירות מתנ"ס</t>
  </si>
  <si>
    <t>תרבות ואומנות</t>
  </si>
  <si>
    <t>חוגי נוער-שכר</t>
  </si>
  <si>
    <t>קייטנות</t>
  </si>
  <si>
    <t>חשמל אולם ספורט</t>
  </si>
  <si>
    <t>מנהל ספורט_-משכורת</t>
  </si>
  <si>
    <t>מדריכי ספורט-שכר</t>
  </si>
  <si>
    <t>מגרש ספורט- חשמל</t>
  </si>
  <si>
    <t>צ. מים מגרש כדורגל</t>
  </si>
  <si>
    <t>הוצאות טלפון</t>
  </si>
  <si>
    <t>חומרים מח' ספורט</t>
  </si>
  <si>
    <t>מגרש ספורט</t>
  </si>
  <si>
    <t>תמיכות ספורט</t>
  </si>
  <si>
    <t>שכר מדריכי ספורט</t>
  </si>
  <si>
    <t>פעולות ספורט</t>
  </si>
  <si>
    <t>מרפאת שניים-טלפון</t>
  </si>
  <si>
    <t>בריאות המשפחה-משכורת</t>
  </si>
  <si>
    <t>בריאות המשפחה-חשמל</t>
  </si>
  <si>
    <t>בריאות המשפחה-מים</t>
  </si>
  <si>
    <t>בריאות המשפחה - ע.קבלניות</t>
  </si>
  <si>
    <t>בריאות המשפחה-שונות</t>
  </si>
  <si>
    <t>איגוד ערים-מד"א</t>
  </si>
  <si>
    <t>תחזוקת מבנים</t>
  </si>
  <si>
    <t>מינהל הרווחה/חשמל</t>
  </si>
  <si>
    <t>שכר עובדי מחלקה</t>
  </si>
  <si>
    <t>רווחה-שכ"ד</t>
  </si>
  <si>
    <t>הוצאות משרדיות</t>
  </si>
  <si>
    <t>משפחות במצוקה בקהילה</t>
  </si>
  <si>
    <t>טיפול בפרט ובמשפחה</t>
  </si>
  <si>
    <t>מרכזי טיפול באלימות</t>
  </si>
  <si>
    <t>רכזות משפחתונים</t>
  </si>
  <si>
    <t>טיפול במשפחות אומנה</t>
  </si>
  <si>
    <t>טיפול בילד בקהילה</t>
  </si>
  <si>
    <t>מועדוניות-מזון</t>
  </si>
  <si>
    <t>מועדוניות משותפות</t>
  </si>
  <si>
    <t>אחזקת ילדים בפנימיות</t>
  </si>
  <si>
    <t>ילדים במעונות יום</t>
  </si>
  <si>
    <t>אחזקת זקנים במעונות</t>
  </si>
  <si>
    <t>מועדונים לזקנים-שכר</t>
  </si>
  <si>
    <t>מועדונים לזקנים-חשמל</t>
  </si>
  <si>
    <t>טיפול בזקן בקהילה</t>
  </si>
  <si>
    <t>סדור מפגרים במוסדות</t>
  </si>
  <si>
    <t>משפחות אומנה למפגר</t>
  </si>
  <si>
    <t>מסגרות יום ארוך</t>
  </si>
  <si>
    <t>מפגרים במעון אמוני</t>
  </si>
  <si>
    <t>מעש"ים</t>
  </si>
  <si>
    <t>שרותים תומכים למפגר</t>
  </si>
  <si>
    <t>נופשונים למפגר</t>
  </si>
  <si>
    <t>אחזקת נכים בפנימיות</t>
  </si>
  <si>
    <t>הדרכה עוור ובני ביתו</t>
  </si>
  <si>
    <t>מפעלי שיקום לעיוור</t>
  </si>
  <si>
    <t>תעסוקה מוגנת למוגבל</t>
  </si>
  <si>
    <t>מ. יום שיקומי לנכים</t>
  </si>
  <si>
    <t>תוכניות לילד החריג</t>
  </si>
  <si>
    <t>הסעות למ. יום שיקומי</t>
  </si>
  <si>
    <t>ליווי למ.יום שיקומי</t>
  </si>
  <si>
    <t>מרכזי איבחון ושיקום</t>
  </si>
  <si>
    <t>טפול בנשים ובנערות-כ"א</t>
  </si>
  <si>
    <t>שהות במקלט לנערות</t>
  </si>
  <si>
    <t>מקלטים לנשים מוכות</t>
  </si>
  <si>
    <t>מעונות חסות</t>
  </si>
  <si>
    <t>סמים-טפול בקהילה</t>
  </si>
  <si>
    <t>מפת"ן מקומי-ממשלה</t>
  </si>
  <si>
    <t>שיקום שכונות</t>
  </si>
  <si>
    <t>מסגד- מים</t>
  </si>
  <si>
    <t>איגוד ערים -אכות הסביבה</t>
  </si>
  <si>
    <t>מנהל המים-משכורת</t>
  </si>
  <si>
    <t>כיבוד ע. מועצה</t>
  </si>
  <si>
    <t>ע"ח קרן הלואות ביוב</t>
  </si>
  <si>
    <t>ע"ח ריבית הלואות ביוב</t>
  </si>
  <si>
    <t>ע"ח הצמדה הלואות ביוב</t>
  </si>
  <si>
    <t>ביוב-עבודות קבלניות</t>
  </si>
  <si>
    <t>הוצאות שנים קודמות</t>
  </si>
  <si>
    <t>הנחות ממסים-מצב סוציאלי</t>
  </si>
  <si>
    <t>פנסיה נבחרים</t>
  </si>
  <si>
    <t>פנסיונרים-משכורת</t>
  </si>
  <si>
    <t>שמירה מ.הפנים</t>
  </si>
  <si>
    <t>הערות</t>
  </si>
  <si>
    <t>ארנונה שוטפת</t>
  </si>
  <si>
    <t>ארנונה פיגורים</t>
  </si>
  <si>
    <t>הנחות מצב סוציאלי</t>
  </si>
  <si>
    <t>הכנסות ממכרזים</t>
  </si>
  <si>
    <t>מענק כללי לאיזון</t>
  </si>
  <si>
    <t>מענק מיוחד מ.הפנים</t>
  </si>
  <si>
    <t>מענק מותנה גביה</t>
  </si>
  <si>
    <t>השתת' תושבים בפינוי אשפה</t>
  </si>
  <si>
    <t>אגרות הועדה</t>
  </si>
  <si>
    <t>הכנסות שונות</t>
  </si>
  <si>
    <t>עוזרות גננות</t>
  </si>
  <si>
    <t>שכל"ם גנים טרום חובה</t>
  </si>
  <si>
    <t>תשלומי הורים חומרים</t>
  </si>
  <si>
    <t>הכנסות חינוך</t>
  </si>
  <si>
    <t>ניהול עצמי בתי ספר יסודיים</t>
  </si>
  <si>
    <t>סייעות חריגות</t>
  </si>
  <si>
    <t>ב"ס א שרתים</t>
  </si>
  <si>
    <t>ב"ס א -מזכירים</t>
  </si>
  <si>
    <t>ב"ס א- אגרת שכפול</t>
  </si>
  <si>
    <t>ב"ס א-סייעות</t>
  </si>
  <si>
    <t>אגרת שכפול יוח"א</t>
  </si>
  <si>
    <t>ב"ס א- יוח"א</t>
  </si>
  <si>
    <t>אגרת תלמידי חוץ</t>
  </si>
  <si>
    <t>סל תלמיד חט"ב</t>
  </si>
  <si>
    <t>אגרת שכפול</t>
  </si>
  <si>
    <t>דמי שתיה</t>
  </si>
  <si>
    <t>גמול טיולים</t>
  </si>
  <si>
    <t>השלמת בגרות</t>
  </si>
  <si>
    <t>הכנסות מדמי בחינות</t>
  </si>
  <si>
    <t>שכ"ל על יסודי</t>
  </si>
  <si>
    <t>הבראה וביגוד-שכ"ל</t>
  </si>
  <si>
    <t>החזר שכ"ל למורים</t>
  </si>
  <si>
    <t>שחיקת שכ"ל ונלוות</t>
  </si>
  <si>
    <t>מענקי תשלומים - מקיף</t>
  </si>
  <si>
    <t>אבטחת מוסדות חינוך</t>
  </si>
  <si>
    <t>שפ"י</t>
  </si>
  <si>
    <t>שפ"י הדרכה</t>
  </si>
  <si>
    <t>רווחה חינוכית</t>
  </si>
  <si>
    <t>אומץ</t>
  </si>
  <si>
    <t>מועדניות ברשיות</t>
  </si>
  <si>
    <t>קב"סים</t>
  </si>
  <si>
    <t>הסעות חינוך מיוחד</t>
  </si>
  <si>
    <t>השתתפות קרן קיסריה</t>
  </si>
  <si>
    <t>ליווי הסעות ח. מיוחד</t>
  </si>
  <si>
    <t>השת תלמ' בחוגי ספורט</t>
  </si>
  <si>
    <t>הכנסות משרדי ממשלה</t>
  </si>
  <si>
    <t>השתת' תושבים ברווחה</t>
  </si>
  <si>
    <t>שכר עובדי לשכות</t>
  </si>
  <si>
    <t>כ"א לחינוך מיוחד</t>
  </si>
  <si>
    <t>משפחת במצוקה-בקהילה</t>
  </si>
  <si>
    <t>רכזות משפחות</t>
  </si>
  <si>
    <t>טיפול במשפחות אמנה</t>
  </si>
  <si>
    <t>מרכזי ועדות-חוק סעוד</t>
  </si>
  <si>
    <t>מע"שים</t>
  </si>
  <si>
    <t>הסעות למ.יום למפגר .</t>
  </si>
  <si>
    <t>הדרכת עוור ובי ביתו</t>
  </si>
  <si>
    <t>מפעלי שיקום לעוור</t>
  </si>
  <si>
    <t>מ.יום שיקומי לנכים</t>
  </si>
  <si>
    <t>טפול בנערות במצוקה</t>
  </si>
  <si>
    <t>מעונות חסות ממשלתי</t>
  </si>
  <si>
    <t>סמים-טיפול בקהילה</t>
  </si>
  <si>
    <t>מפת"ן מקומי</t>
  </si>
  <si>
    <t>שיקום שכונות-פעולות</t>
  </si>
  <si>
    <t>אגרות מים פגורים</t>
  </si>
  <si>
    <t>רשיונות עסקים</t>
  </si>
  <si>
    <t>אגרות ביוב</t>
  </si>
  <si>
    <t>משכורת -תוכנית יסודי</t>
  </si>
  <si>
    <t>משכורת- חינוך בלתי מפורמלי</t>
  </si>
  <si>
    <t>הש.ברכישת רכב</t>
  </si>
  <si>
    <t>קוד</t>
  </si>
  <si>
    <t>פרק</t>
  </si>
  <si>
    <t>סעיף תקציבי</t>
  </si>
  <si>
    <t>ארנונה  כללית</t>
  </si>
  <si>
    <t>מפעל המים</t>
  </si>
  <si>
    <t xml:space="preserve"> עצמיות חינוך</t>
  </si>
  <si>
    <t xml:space="preserve"> עצמיות רווחה</t>
  </si>
  <si>
    <t xml:space="preserve"> עצמיות אחר</t>
  </si>
  <si>
    <t>סה"כ הכנסות עצמיות</t>
  </si>
  <si>
    <t>משרד החינוך</t>
  </si>
  <si>
    <t>משרד הרווחה</t>
  </si>
  <si>
    <t xml:space="preserve"> תקבולים ממשלתיים אחרים</t>
  </si>
  <si>
    <t>מענקים אחרים ממשרד הפנים</t>
  </si>
  <si>
    <t>סה"כ תקבולי ממשלה</t>
  </si>
  <si>
    <t xml:space="preserve">תקבולים אחרים </t>
  </si>
  <si>
    <t>הכנסות משנים קודמות</t>
  </si>
  <si>
    <t>סה"כ הכנסות לפני הנחות בארנונה וכיסוי גרעון נצבר</t>
  </si>
  <si>
    <t>הנחות ארנונה</t>
  </si>
  <si>
    <t>הכנסה  לכיסוי גרעון נצבר</t>
  </si>
  <si>
    <t>סה"כ הכנסות ללא מותנה</t>
  </si>
  <si>
    <t>הכנסה מותנה</t>
  </si>
  <si>
    <t>סה"כ הכנסות כולל מותנה</t>
  </si>
  <si>
    <t>הוצאות</t>
  </si>
  <si>
    <t>שכר כללי</t>
  </si>
  <si>
    <t>פעולות כלליות</t>
  </si>
  <si>
    <t>סה"כ הוצאות כלליות</t>
  </si>
  <si>
    <t xml:space="preserve">שכר חינוך </t>
  </si>
  <si>
    <t xml:space="preserve">פעולות חינוך </t>
  </si>
  <si>
    <t>סה"כ חינוך</t>
  </si>
  <si>
    <t>שכר רווחה</t>
  </si>
  <si>
    <t>פעולות רווחה</t>
  </si>
  <si>
    <t>סה"כ רווחה</t>
  </si>
  <si>
    <t>פרעון מילוות מים וביוב</t>
  </si>
  <si>
    <t>פרעון מילוות אחר</t>
  </si>
  <si>
    <t>סה"כ פרעון מלוות</t>
  </si>
  <si>
    <t>הוצאות מימון</t>
  </si>
  <si>
    <t>הוצאה  שנים קודמות</t>
  </si>
  <si>
    <t>סה"כ הוצאות לפני הנחות בארנונה וכיסוי גרעון נצבר</t>
  </si>
  <si>
    <t>הוצאה לכיסוי גרעון נצבר</t>
  </si>
  <si>
    <t>סה"כ הוצאות ללא מותנה</t>
  </si>
  <si>
    <t>הוצאה מותנה</t>
  </si>
  <si>
    <t>סה"כ הוצאות כולל מותנה</t>
  </si>
  <si>
    <t>עודף (גרעון)</t>
  </si>
  <si>
    <t>מיסים ומענק כללי</t>
  </si>
  <si>
    <t>סה"כ 11 -  ארנונה</t>
  </si>
  <si>
    <t>סה"כ 12 -  אגרות</t>
  </si>
  <si>
    <t>סה"כ 19 -  מענקים כלליים</t>
  </si>
  <si>
    <t>סה"כ 1 -  מיסים ומענק כללי</t>
  </si>
  <si>
    <t>שירותים מקומיים</t>
  </si>
  <si>
    <t>סה"כ 22 -  שמירה ובטחון</t>
  </si>
  <si>
    <t>סה"כ 23 -  תכנון ובנין עיר</t>
  </si>
  <si>
    <t>סה"כ 24 -  נכסים ציבוריים</t>
  </si>
  <si>
    <t>סה"כ 26 -  שירותים עירוניים שונים</t>
  </si>
  <si>
    <t>סה"כ 2 -  שירותים מקומיים</t>
  </si>
  <si>
    <t>שירותים ממלכתיים</t>
  </si>
  <si>
    <t>סה"כ 31 -  חינוך</t>
  </si>
  <si>
    <t>סה"כ 32 -  תרבות</t>
  </si>
  <si>
    <t>סה"כ 33 - בריאות</t>
  </si>
  <si>
    <t>סה"כ 34 -  רווחה</t>
  </si>
  <si>
    <t>סה"כ 37 - איכות הסביבה</t>
  </si>
  <si>
    <t>סה"כ 3 -  שירותים ממלכתיים</t>
  </si>
  <si>
    <t>מפעלים</t>
  </si>
  <si>
    <t>סה"כ 41 -  מים</t>
  </si>
  <si>
    <t>סה"כ 47 -  מפעל הביוב</t>
  </si>
  <si>
    <t>סה"כ 4 -  מפעלים</t>
  </si>
  <si>
    <t>תקבולים בלתי רגילים</t>
  </si>
  <si>
    <t>סה"כ 51 -  ריבית והחזר הוצאות שנים קודמות</t>
  </si>
  <si>
    <t>סה"כ 59 -  החזר מקרנות והכנסות מיוחדות</t>
  </si>
  <si>
    <t>סה"כ 5 -  תקבולים בלתי רגילים</t>
  </si>
  <si>
    <t>ס ה " כ   ת ק ב ו ל י ם</t>
  </si>
  <si>
    <t>התפלגות הוצאות לפי פרקים</t>
  </si>
  <si>
    <t>הנהלה וכלליות</t>
  </si>
  <si>
    <t>סה"כ 61 -  מינהל כללי</t>
  </si>
  <si>
    <t>סה"כ 62 -  מינהל כספי</t>
  </si>
  <si>
    <t>סה"כ 63 -  הוצאות מימון</t>
  </si>
  <si>
    <t>סה"כ 64 -  פרעון מלוות</t>
  </si>
  <si>
    <t>סה"כ 6 -  הנהלה וכלליות</t>
  </si>
  <si>
    <t>סה"כ 71 -  תברואה</t>
  </si>
  <si>
    <t>סה"כ 72 -  שמירה ובטחון</t>
  </si>
  <si>
    <t>סה"כ 73 -  תכנון ובנין עיר</t>
  </si>
  <si>
    <t>סה"כ 74 -  נכסים ציבוריים</t>
  </si>
  <si>
    <t>סה"כ 75 - חגיגות וטכסים</t>
  </si>
  <si>
    <t>סה"כ 76 -  שירותים עירוניים שונים</t>
  </si>
  <si>
    <t>סה"כ 7 -  שירותים מקומיים</t>
  </si>
  <si>
    <t>סה"כ 81 -  חינוך</t>
  </si>
  <si>
    <t>סה"כ 82 -  תרבות</t>
  </si>
  <si>
    <t>סה"כ 83 -  בריאות</t>
  </si>
  <si>
    <t>סה"כ 84 -  רווחה</t>
  </si>
  <si>
    <t>סה"כ 85 -  דת</t>
  </si>
  <si>
    <t>סה"כ 8 -  שירותים ממלכתיים</t>
  </si>
  <si>
    <t>מפעלים ותשלומים בלתי רגילים</t>
  </si>
  <si>
    <t>סה"כ 91 -  מים</t>
  </si>
  <si>
    <t>סה"כ 99 -  תשלומים בלתי רגילים</t>
  </si>
  <si>
    <t>סה"כ 9 -  מפעלים ותשלומים בלתי רגילים</t>
  </si>
  <si>
    <t>ס ה " כ   ת ש ל ו מ י ם</t>
  </si>
  <si>
    <t>ס ה " כ   עודף / גרעון</t>
  </si>
  <si>
    <t>סה"כ 21 - שירותים מקומיים שונים</t>
  </si>
  <si>
    <t>סה"כ תקבולים</t>
  </si>
  <si>
    <t>סה"כ הנהלה וכלליות</t>
  </si>
  <si>
    <t>סה"כ תרבות וספורט</t>
  </si>
  <si>
    <t>בריאות</t>
  </si>
  <si>
    <t>סה"כ שירותי דת</t>
  </si>
  <si>
    <t>הוצאות מותנה</t>
  </si>
  <si>
    <t>סכום כולל</t>
  </si>
  <si>
    <t xml:space="preserve"> </t>
  </si>
  <si>
    <t xml:space="preserve">עמאש </t>
  </si>
  <si>
    <t xml:space="preserve">נסרה </t>
  </si>
  <si>
    <t xml:space="preserve">לילא </t>
  </si>
  <si>
    <t xml:space="preserve">עמאש)חסן( </t>
  </si>
  <si>
    <t xml:space="preserve">חנאן </t>
  </si>
  <si>
    <t xml:space="preserve">אבו זרד </t>
  </si>
  <si>
    <t xml:space="preserve">מחמוד </t>
  </si>
  <si>
    <t xml:space="preserve">מרים </t>
  </si>
  <si>
    <t xml:space="preserve">גרבאן </t>
  </si>
  <si>
    <t xml:space="preserve">מוחמד </t>
  </si>
  <si>
    <t xml:space="preserve">מחאמיד </t>
  </si>
  <si>
    <t xml:space="preserve">גמילה </t>
  </si>
  <si>
    <t xml:space="preserve">רשואן </t>
  </si>
  <si>
    <t xml:space="preserve">סאבר </t>
  </si>
  <si>
    <t xml:space="preserve">שהאב </t>
  </si>
  <si>
    <t xml:space="preserve">אמנה </t>
  </si>
  <si>
    <t xml:space="preserve">ראסם </t>
  </si>
  <si>
    <t xml:space="preserve">סעד </t>
  </si>
  <si>
    <t xml:space="preserve">ג'ראיסי </t>
  </si>
  <si>
    <t xml:space="preserve">תחריר </t>
  </si>
  <si>
    <t xml:space="preserve">ותד </t>
  </si>
  <si>
    <t xml:space="preserve">אסואן </t>
  </si>
  <si>
    <t xml:space="preserve">ברייה </t>
  </si>
  <si>
    <t xml:space="preserve">זהייה </t>
  </si>
  <si>
    <t xml:space="preserve">רמדאן </t>
  </si>
  <si>
    <t xml:space="preserve">פאטמה </t>
  </si>
  <si>
    <t xml:space="preserve">חסן </t>
  </si>
  <si>
    <t xml:space="preserve">יוסף </t>
  </si>
  <si>
    <t xml:space="preserve">מסארווה </t>
  </si>
  <si>
    <t xml:space="preserve">נעימה </t>
  </si>
  <si>
    <t xml:space="preserve">טואטחה </t>
  </si>
  <si>
    <t xml:space="preserve">רדואן </t>
  </si>
  <si>
    <t xml:space="preserve">ח'ליל </t>
  </si>
  <si>
    <t xml:space="preserve">פתחי </t>
  </si>
  <si>
    <t xml:space="preserve">גיסר </t>
  </si>
  <si>
    <t xml:space="preserve">חסיב </t>
  </si>
  <si>
    <t xml:space="preserve">הדיל </t>
  </si>
  <si>
    <t xml:space="preserve">ראונק </t>
  </si>
  <si>
    <t xml:space="preserve">מסרי </t>
  </si>
  <si>
    <t xml:space="preserve">אימאן </t>
  </si>
  <si>
    <t>סנאביל</t>
  </si>
  <si>
    <t xml:space="preserve">ורדה </t>
  </si>
  <si>
    <t xml:space="preserve">הלא </t>
  </si>
  <si>
    <t xml:space="preserve">מרוא </t>
  </si>
  <si>
    <t xml:space="preserve">יסמה </t>
  </si>
  <si>
    <t xml:space="preserve">שרוק </t>
  </si>
  <si>
    <t xml:space="preserve">שורוק </t>
  </si>
  <si>
    <t xml:space="preserve">שרין </t>
  </si>
  <si>
    <t xml:space="preserve">חמיסה </t>
  </si>
  <si>
    <t>סודקיה</t>
  </si>
  <si>
    <t>גרבאן )עיס</t>
  </si>
  <si>
    <t xml:space="preserve">סאחרה </t>
  </si>
  <si>
    <t xml:space="preserve">נגאר </t>
  </si>
  <si>
    <t xml:space="preserve">יוסרה </t>
  </si>
  <si>
    <t xml:space="preserve">חיר </t>
  </si>
  <si>
    <t>אסמאעי</t>
  </si>
  <si>
    <t xml:space="preserve">ג'רבאן </t>
  </si>
  <si>
    <t xml:space="preserve">זייד </t>
  </si>
  <si>
    <t xml:space="preserve">באקר </t>
  </si>
  <si>
    <t xml:space="preserve">איית </t>
  </si>
  <si>
    <t xml:space="preserve">חלימה </t>
  </si>
  <si>
    <t xml:space="preserve">גורבאן </t>
  </si>
  <si>
    <t xml:space="preserve">חאלד </t>
  </si>
  <si>
    <t>עבד אל רחמ</t>
  </si>
  <si>
    <t xml:space="preserve">סוניה </t>
  </si>
  <si>
    <t xml:space="preserve">מסארוה </t>
  </si>
  <si>
    <t xml:space="preserve">מוסלם </t>
  </si>
  <si>
    <t xml:space="preserve">פארח </t>
  </si>
  <si>
    <t xml:space="preserve">אבו סייף </t>
  </si>
  <si>
    <t xml:space="preserve">עלי </t>
  </si>
  <si>
    <t xml:space="preserve">גבארין </t>
  </si>
  <si>
    <t xml:space="preserve">אסיה </t>
  </si>
  <si>
    <t xml:space="preserve">מרעי </t>
  </si>
  <si>
    <t xml:space="preserve">גומעה </t>
  </si>
  <si>
    <t xml:space="preserve">נאסר </t>
  </si>
  <si>
    <t xml:space="preserve">מועין </t>
  </si>
  <si>
    <t xml:space="preserve">אחמד </t>
  </si>
  <si>
    <t>מסארוה)ראת</t>
  </si>
  <si>
    <t xml:space="preserve">עסלי </t>
  </si>
  <si>
    <t xml:space="preserve">יאסין </t>
  </si>
  <si>
    <t>ג'מילה</t>
  </si>
  <si>
    <t xml:space="preserve">אבו שהאב </t>
  </si>
  <si>
    <t xml:space="preserve">מחאג'נה </t>
  </si>
  <si>
    <t xml:space="preserve">אמאני </t>
  </si>
  <si>
    <t xml:space="preserve">הלאל </t>
  </si>
  <si>
    <t xml:space="preserve">זיינה </t>
  </si>
  <si>
    <t xml:space="preserve">זאייט </t>
  </si>
  <si>
    <t xml:space="preserve">רולא </t>
  </si>
  <si>
    <t xml:space="preserve">מלחם </t>
  </si>
  <si>
    <t xml:space="preserve">הודא </t>
  </si>
  <si>
    <t xml:space="preserve">הנא </t>
  </si>
  <si>
    <t xml:space="preserve">פאדי </t>
  </si>
  <si>
    <t xml:space="preserve">אגבאריה </t>
  </si>
  <si>
    <t xml:space="preserve">מרוות </t>
  </si>
  <si>
    <t xml:space="preserve">חמוד </t>
  </si>
  <si>
    <t xml:space="preserve">לילה </t>
  </si>
  <si>
    <t xml:space="preserve">שאדי </t>
  </si>
  <si>
    <t xml:space="preserve">גרה </t>
  </si>
  <si>
    <t xml:space="preserve">נוהא </t>
  </si>
  <si>
    <t xml:space="preserve">כבהא </t>
  </si>
  <si>
    <t xml:space="preserve">אינאס </t>
  </si>
  <si>
    <t xml:space="preserve">מועטי </t>
  </si>
  <si>
    <t xml:space="preserve">סוהיר </t>
  </si>
  <si>
    <t xml:space="preserve">ואפי </t>
  </si>
  <si>
    <t xml:space="preserve">נג'אר </t>
  </si>
  <si>
    <t xml:space="preserve">סעדה </t>
  </si>
  <si>
    <t xml:space="preserve">מוחסן </t>
  </si>
  <si>
    <t xml:space="preserve">ביאדסי </t>
  </si>
  <si>
    <t xml:space="preserve">נסרין </t>
  </si>
  <si>
    <t xml:space="preserve">דועא </t>
  </si>
  <si>
    <t xml:space="preserve">אמינה </t>
  </si>
  <si>
    <t xml:space="preserve">זאיט </t>
  </si>
  <si>
    <t>עמאש)גמאל(</t>
  </si>
  <si>
    <t xml:space="preserve">חנין </t>
  </si>
  <si>
    <t xml:space="preserve">טוריז </t>
  </si>
  <si>
    <t xml:space="preserve">עסאם </t>
  </si>
  <si>
    <t xml:space="preserve">היאם </t>
  </si>
  <si>
    <t xml:space="preserve">למיס </t>
  </si>
  <si>
    <t xml:space="preserve">היבאת </t>
  </si>
  <si>
    <t xml:space="preserve">אניסה </t>
  </si>
  <si>
    <t xml:space="preserve">אמאל </t>
  </si>
  <si>
    <t>רימונד</t>
  </si>
  <si>
    <t xml:space="preserve">חדיגה </t>
  </si>
  <si>
    <t xml:space="preserve">פריאל </t>
  </si>
  <si>
    <t xml:space="preserve">חמדה </t>
  </si>
  <si>
    <t xml:space="preserve">למיא </t>
  </si>
  <si>
    <t xml:space="preserve">רדייה </t>
  </si>
  <si>
    <t xml:space="preserve">אבו חאמד </t>
  </si>
  <si>
    <t xml:space="preserve">האג'ר </t>
  </si>
  <si>
    <t xml:space="preserve">אבו מוך </t>
  </si>
  <si>
    <t xml:space="preserve">ריאד </t>
  </si>
  <si>
    <t xml:space="preserve">חאמד </t>
  </si>
  <si>
    <t>אומימה</t>
  </si>
  <si>
    <t xml:space="preserve">עריפה </t>
  </si>
  <si>
    <t xml:space="preserve">בושרה </t>
  </si>
  <si>
    <t xml:space="preserve">סמר </t>
  </si>
  <si>
    <t xml:space="preserve">מירבד </t>
  </si>
  <si>
    <t>סובחיה</t>
  </si>
  <si>
    <t xml:space="preserve">מנאל </t>
  </si>
  <si>
    <t xml:space="preserve">נעים </t>
  </si>
  <si>
    <t xml:space="preserve">חרבאוי </t>
  </si>
  <si>
    <t xml:space="preserve">סנאא </t>
  </si>
  <si>
    <t xml:space="preserve">וחיד </t>
  </si>
  <si>
    <t xml:space="preserve">סעידי </t>
  </si>
  <si>
    <t xml:space="preserve">אריג </t>
  </si>
  <si>
    <t xml:space="preserve">תגריד </t>
  </si>
  <si>
    <t xml:space="preserve">עולה </t>
  </si>
  <si>
    <t xml:space="preserve">סובחה </t>
  </si>
  <si>
    <t xml:space="preserve">אחלאם </t>
  </si>
  <si>
    <t xml:space="preserve">מונא </t>
  </si>
  <si>
    <t xml:space="preserve">ראנין </t>
  </si>
  <si>
    <t>עמאש)חמיס(</t>
  </si>
  <si>
    <t xml:space="preserve">איבה </t>
  </si>
  <si>
    <t xml:space="preserve">עזייה </t>
  </si>
  <si>
    <t xml:space="preserve">הלילה </t>
  </si>
  <si>
    <t>ג'ואהר</t>
  </si>
  <si>
    <t xml:space="preserve">רנדה </t>
  </si>
  <si>
    <t xml:space="preserve">דיבה </t>
  </si>
  <si>
    <t xml:space="preserve">אולפת </t>
  </si>
  <si>
    <t xml:space="preserve">בהגה </t>
  </si>
  <si>
    <t xml:space="preserve">סוזאן </t>
  </si>
  <si>
    <t>עמאש )מנסו</t>
  </si>
  <si>
    <t>עמאש )אחמד</t>
  </si>
  <si>
    <t xml:space="preserve">קאוסר </t>
  </si>
  <si>
    <t xml:space="preserve">נגלא </t>
  </si>
  <si>
    <t>גרבאן )נעי</t>
  </si>
  <si>
    <t xml:space="preserve">ראוחי </t>
  </si>
  <si>
    <t>גרבאן)יונס</t>
  </si>
  <si>
    <t>עמאש)אניס(</t>
  </si>
  <si>
    <t xml:space="preserve">סונה </t>
  </si>
  <si>
    <t xml:space="preserve">זעים </t>
  </si>
  <si>
    <t xml:space="preserve">מוראד </t>
  </si>
  <si>
    <t xml:space="preserve">מספר הנהלת חשבונות </t>
  </si>
  <si>
    <t xml:space="preserve">ועד הפרשת מעביד </t>
  </si>
  <si>
    <t xml:space="preserve">מס שכר הפרשת מעביד </t>
  </si>
  <si>
    <t xml:space="preserve">טור 1 </t>
  </si>
  <si>
    <t xml:space="preserve">טור 2 </t>
  </si>
  <si>
    <t xml:space="preserve">טור 3 </t>
  </si>
  <si>
    <t xml:space="preserve">טור 4 </t>
  </si>
  <si>
    <t xml:space="preserve">טור 5 </t>
  </si>
  <si>
    <t xml:space="preserve">טור 6 </t>
  </si>
  <si>
    <t xml:space="preserve">טור 7 </t>
  </si>
  <si>
    <t xml:space="preserve">סהכ שכר ברוטו לעובד </t>
  </si>
  <si>
    <t xml:space="preserve">ב.לאומי הפרשת מעביד </t>
  </si>
  <si>
    <t xml:space="preserve">קופות גמל עלות מעביד </t>
  </si>
  <si>
    <t xml:space="preserve">סהכ כללי עלות מעביד </t>
  </si>
  <si>
    <t xml:space="preserve">היקף משרה </t>
  </si>
  <si>
    <t xml:space="preserve">רמה </t>
  </si>
  <si>
    <t xml:space="preserve">דרגה </t>
  </si>
  <si>
    <t xml:space="preserve">דרוג </t>
  </si>
  <si>
    <t xml:space="preserve">סטאטוס עובד </t>
  </si>
  <si>
    <t xml:space="preserve">רשות הנהלת חשבונות </t>
  </si>
  <si>
    <t xml:space="preserve">תקופה </t>
  </si>
  <si>
    <t xml:space="preserve">מחלקה </t>
  </si>
  <si>
    <t xml:space="preserve">שם פרטי </t>
  </si>
  <si>
    <t xml:space="preserve">שם משפחה </t>
  </si>
  <si>
    <t xml:space="preserve">זהות כולל ביקורת </t>
  </si>
  <si>
    <t xml:space="preserve">ת.זהות </t>
  </si>
  <si>
    <t xml:space="preserve">מפעל </t>
  </si>
  <si>
    <t>תברואה</t>
  </si>
  <si>
    <t>נכסים ציבוריים</t>
  </si>
  <si>
    <t>מזכירות</t>
  </si>
  <si>
    <t>שמירה ובטחון</t>
  </si>
  <si>
    <t>חט"ב</t>
  </si>
  <si>
    <t>קיטנות קיץ</t>
  </si>
  <si>
    <t>מנהל בית נוער</t>
  </si>
  <si>
    <t>מעונות חסות ממשלתיים</t>
  </si>
  <si>
    <t>אבטחה בענף הספורט</t>
  </si>
  <si>
    <t>הסעות בענף ספורט</t>
  </si>
  <si>
    <t>מית"ר</t>
  </si>
  <si>
    <t>נושמים לרווחה</t>
  </si>
  <si>
    <t>אחזקת מתקני ספורט</t>
  </si>
  <si>
    <t>אולם פיס</t>
  </si>
  <si>
    <t>השתלמויות ט.חובה</t>
  </si>
  <si>
    <t>יועצת למעמד האישה</t>
  </si>
  <si>
    <t>מרכז לגיל הרך השתתפות מועצה</t>
  </si>
  <si>
    <t>מרכז לגיל הרך קרן קיסריה</t>
  </si>
  <si>
    <t>שיקום שכונות תוכניות</t>
  </si>
  <si>
    <t>חדר שלווה - ת.לאומית</t>
  </si>
  <si>
    <t>פרויקטים מאושרים מ.נוער</t>
  </si>
  <si>
    <t>תוכנית אתגרים שכר</t>
  </si>
  <si>
    <t>תוכנית אתגרים פעיליות</t>
  </si>
  <si>
    <t>תוכנית מנ"ע</t>
  </si>
  <si>
    <t>תשלומי הורים חומרים (גנים</t>
  </si>
  <si>
    <t>חינוך משלים- חוגים</t>
  </si>
  <si>
    <t>קיטנת קיץ</t>
  </si>
  <si>
    <t>משרות קידום נוער-מ/חינוך</t>
  </si>
  <si>
    <t>השכרת מתקני ספורט-146</t>
  </si>
  <si>
    <t>פעולות ארגוניות</t>
  </si>
  <si>
    <t>תוכניות מעבר</t>
  </si>
  <si>
    <t>ריבית מפקדונות</t>
  </si>
  <si>
    <t>מענק מיוחד כסוי גרעון</t>
  </si>
  <si>
    <t>ציוד ומשרדיות</t>
  </si>
  <si>
    <t>משכורת-מנהל תברואה</t>
  </si>
  <si>
    <t>דמי חבר תברואן</t>
  </si>
  <si>
    <t>פיקוח תברואי-פיצויים</t>
  </si>
  <si>
    <t>קב"ט-משכורת</t>
  </si>
  <si>
    <t>שמירה משכורת</t>
  </si>
  <si>
    <t>עבודות קבלניות הנדסיות</t>
  </si>
  <si>
    <t>אח.כבישים פנימיים-שכר</t>
  </si>
  <si>
    <t>תאורת רחוב-חומרים</t>
  </si>
  <si>
    <t>אחזקת מבנה גנים</t>
  </si>
  <si>
    <t>קבלניות גנים</t>
  </si>
  <si>
    <t>גנים שונות</t>
  </si>
  <si>
    <t>מדרכות קייטנת גיל רך</t>
  </si>
  <si>
    <t>אלופא- חשמל</t>
  </si>
  <si>
    <t>אגרת תלמידי חוץ חינוך מיוחד</t>
  </si>
  <si>
    <t>חט"ב שונות</t>
  </si>
  <si>
    <t>אגרות תלמידי חוץ</t>
  </si>
  <si>
    <t>מחשבים חינוך מיוחד</t>
  </si>
  <si>
    <t>משכורת 360 דלת פתוחה</t>
  </si>
  <si>
    <t>פיצוים</t>
  </si>
  <si>
    <t>משכורת 360 תוכנית אור</t>
  </si>
  <si>
    <t>חדר שלווה-ת.לאומית</t>
  </si>
  <si>
    <t>משכורת 360נוער ישובי</t>
  </si>
  <si>
    <t>נוער ישובי-ת.לאוית</t>
  </si>
  <si>
    <t>מתנ"ס-פיצויים</t>
  </si>
  <si>
    <t>מתנ"ס ג'סר-חשמל</t>
  </si>
  <si>
    <t>הקצבות יעודיות-אירועי תרבות</t>
  </si>
  <si>
    <t>הסעות בענף הספורט</t>
  </si>
  <si>
    <t>משפחות במצוקה</t>
  </si>
  <si>
    <t>מועדונים לזקנים-הסעות</t>
  </si>
  <si>
    <t>מועדונים לזקנים-מזון</t>
  </si>
  <si>
    <t>מועדון מועשר לזקנים</t>
  </si>
  <si>
    <t>שכר מעון יום למפגרים</t>
  </si>
  <si>
    <t>מזון</t>
  </si>
  <si>
    <t>אלוופה-ע.קבלניות</t>
  </si>
  <si>
    <t>מסגד -חשמל</t>
  </si>
  <si>
    <t>מח' מים פיצויים</t>
  </si>
  <si>
    <t>הוצאה מותנית</t>
  </si>
  <si>
    <t>תוכנית ניצנים</t>
  </si>
  <si>
    <t>העשרה ח.מיוחד ערבי</t>
  </si>
  <si>
    <t>ה.נלוות ח.מיוחד ערבי</t>
  </si>
  <si>
    <t xml:space="preserve">ש.תומכות נוספות עוז </t>
  </si>
  <si>
    <t>קרן השתלמות שכ"ל</t>
  </si>
  <si>
    <t>סל שע.לתפקיד עוז לתמורה</t>
  </si>
  <si>
    <t>מוחזקות עוז לתמורה</t>
  </si>
  <si>
    <t>קבטים</t>
  </si>
  <si>
    <t xml:space="preserve">אוריינות מדעית </t>
  </si>
  <si>
    <t>מוחזקות חדש פריראלי</t>
  </si>
  <si>
    <t xml:space="preserve">מילוי מקום מוסדות </t>
  </si>
  <si>
    <t>אור שפתי 360</t>
  </si>
  <si>
    <t>חדרי שלווה 360</t>
  </si>
  <si>
    <t>מג"ר 360</t>
  </si>
  <si>
    <t>התפתחות ויצירת קשר 360</t>
  </si>
  <si>
    <t>ניצנים שכר</t>
  </si>
  <si>
    <t>חדר שלווה שכר 360</t>
  </si>
  <si>
    <t>נוער ישובי 360 שכר</t>
  </si>
  <si>
    <t>שכר מרכז גיל רך 360</t>
  </si>
  <si>
    <t>פעילות ניצנים</t>
  </si>
  <si>
    <t>סה"כ מיסים</t>
  </si>
  <si>
    <t>סה"כ גני ילדים</t>
  </si>
  <si>
    <t>סה"כ חט"ב</t>
  </si>
  <si>
    <t>סה"כ חינוך על יסודי</t>
  </si>
  <si>
    <t>סה"כ הנהלה</t>
  </si>
  <si>
    <t>סה"כ טיפול במשפחה</t>
  </si>
  <si>
    <t>מועצה והנהלה</t>
  </si>
  <si>
    <t>מחלקת הנדסה</t>
  </si>
  <si>
    <t>הנהלה</t>
  </si>
  <si>
    <t>שיקום שכונות תוכנית מלא</t>
  </si>
  <si>
    <t>שיקום שכונות גיל רך שיכון</t>
  </si>
  <si>
    <t>שיקום שכונות שיכון</t>
  </si>
  <si>
    <t>פיצויים מנהל מחלקת ספורט</t>
  </si>
  <si>
    <t>היטל השבחה-ועדה לתכ ובניה</t>
  </si>
  <si>
    <t>חינוך משלים חוגים</t>
  </si>
  <si>
    <t>בי"ס א - חומרים</t>
  </si>
  <si>
    <t>בי"ס ב-חומרים</t>
  </si>
  <si>
    <t>ב"ס ג - חומרים</t>
  </si>
  <si>
    <t>בי"ס תיכון- חומרים</t>
  </si>
  <si>
    <t>שפ"י- הדרכה</t>
  </si>
  <si>
    <t>תכנית מנ"ע</t>
  </si>
  <si>
    <t>שיקום שכונות תנופה</t>
  </si>
  <si>
    <t>מתנ"ס חשמל</t>
  </si>
  <si>
    <t>פרויקט האיחוד האירופי</t>
  </si>
  <si>
    <t>הכנסות מאכיפה</t>
  </si>
  <si>
    <t>סייעות רפואיות</t>
  </si>
  <si>
    <t>מדעטק</t>
  </si>
  <si>
    <t>יוזמות תקנת סל"ע 2017 פיסול</t>
  </si>
  <si>
    <t>קרן השתלמות לשכ"ל</t>
  </si>
  <si>
    <t>רכב מנהלים בת"ס</t>
  </si>
  <si>
    <t>ש.תומכות נוספות עוז</t>
  </si>
  <si>
    <t>אוריינות מדעית</t>
  </si>
  <si>
    <t>ש.פרטניות עוז לתמורה</t>
  </si>
  <si>
    <t>גמול רכז הל"ל</t>
  </si>
  <si>
    <t>ש.פרטניות נוספות-עוז</t>
  </si>
  <si>
    <t>מילוי מקום מוסדות</t>
  </si>
  <si>
    <t>מנהל עוז לתמורה</t>
  </si>
  <si>
    <t>רכז מעורבות חברתית</t>
  </si>
  <si>
    <t>ש.תומכות -עוז לתמורה</t>
  </si>
  <si>
    <t>שפ"י- פסיכולוגים חינוכים</t>
  </si>
  <si>
    <t>קבטי"ם</t>
  </si>
  <si>
    <t>טיפול בקהילה -א ותיק</t>
  </si>
  <si>
    <t>נערות חוץ ביתי</t>
  </si>
  <si>
    <t>צעירים חוץ ביתי</t>
  </si>
  <si>
    <t>חלופה למ.יום שיקומי</t>
  </si>
  <si>
    <t>ביוב פיגורים</t>
  </si>
  <si>
    <t>עיר ללא אלימות מצלמות</t>
  </si>
  <si>
    <t>עבודות קבלניות יעודיות</t>
  </si>
  <si>
    <t>ניצנים פרוייקט</t>
  </si>
  <si>
    <t>תוכנית ניצנים- שכר</t>
  </si>
  <si>
    <t>קיטנות אביב משכורת</t>
  </si>
  <si>
    <t>קיטנות קיץ משכורת</t>
  </si>
  <si>
    <t>חדר שלווה 160</t>
  </si>
  <si>
    <t>עיר ילדים ונוער</t>
  </si>
  <si>
    <t>מנב"ס</t>
  </si>
  <si>
    <t>שכר קב"ס</t>
  </si>
  <si>
    <t>שכר רווחה חינוכית</t>
  </si>
  <si>
    <t>שיקום שכונות חינוך</t>
  </si>
  <si>
    <t>אור  משכורות 360</t>
  </si>
  <si>
    <t>תכנית אור שפתי משכורת</t>
  </si>
  <si>
    <t>תוכנית אומץ-</t>
  </si>
  <si>
    <t>מנהל שפ"ע</t>
  </si>
  <si>
    <t>משכורת ב"ס לחינוך מיוחד</t>
  </si>
  <si>
    <t>פיצויים  מהנדס</t>
  </si>
  <si>
    <t>בתי ספר- שמירה</t>
  </si>
  <si>
    <t>בתי ספר-  שרותי נקיון</t>
  </si>
  <si>
    <t>מרכז עוצמה</t>
  </si>
  <si>
    <t>קייטנת גיל הרך-פריפיריה</t>
  </si>
  <si>
    <t xml:space="preserve">ניצנים  </t>
  </si>
  <si>
    <t>שעות פרטניות עוז לתמורה</t>
  </si>
  <si>
    <t>פקח סביבתי משכורת</t>
  </si>
  <si>
    <t>נוער ישובי- ת.לאמוית</t>
  </si>
  <si>
    <t>ניידת סיור</t>
  </si>
  <si>
    <t>שמירה ופיקוח משכורת</t>
  </si>
  <si>
    <t>צמצום פערים</t>
  </si>
  <si>
    <t>מסיבות כיתתיות</t>
  </si>
  <si>
    <t>הכנסות שנים קודמות</t>
  </si>
  <si>
    <t>קרן חילוט עיר ללא אלימות</t>
  </si>
  <si>
    <t>חותם</t>
  </si>
  <si>
    <t>משכורת תוכנית מלא</t>
  </si>
  <si>
    <t>אתגרים 2019-2020</t>
  </si>
  <si>
    <t>פיצויים תיכון</t>
  </si>
  <si>
    <t>מותנות רווחה</t>
  </si>
  <si>
    <t>מיצוי משאבים</t>
  </si>
  <si>
    <t>הפרשה עד גובה ההוצאה בפועל</t>
  </si>
  <si>
    <t>מענק פנים לכיסוי גרעון</t>
  </si>
  <si>
    <t>תקציב קורונה עמותת בני חייל</t>
  </si>
  <si>
    <t>הוצאות תגבור פיקוח קורונה שכר</t>
  </si>
  <si>
    <t>ציוד מיגון והצטידות קורונה</t>
  </si>
  <si>
    <t>תוכנית עוזרי הוראה</t>
  </si>
  <si>
    <t>עוזרי הוראה העשרה והכשרה</t>
  </si>
  <si>
    <t>תוכנית הפעלה  מפעל הפיס</t>
  </si>
  <si>
    <t>קרן קיסריה משכורות</t>
  </si>
  <si>
    <t>גרעון</t>
  </si>
  <si>
    <t xml:space="preserve">אחוז בפועל </t>
  </si>
  <si>
    <t xml:space="preserve">0 - </t>
  </si>
  <si>
    <t xml:space="preserve">ראודה </t>
  </si>
  <si>
    <t xml:space="preserve">1 - </t>
  </si>
  <si>
    <t xml:space="preserve">הנד </t>
  </si>
  <si>
    <t xml:space="preserve">עמאש סלים </t>
  </si>
  <si>
    <t xml:space="preserve">זכיה </t>
  </si>
  <si>
    <t>בהאג'ה</t>
  </si>
  <si>
    <t xml:space="preserve">היא </t>
  </si>
  <si>
    <t xml:space="preserve">סועאד </t>
  </si>
  <si>
    <t xml:space="preserve">רגאא </t>
  </si>
  <si>
    <t>נזמייה</t>
  </si>
  <si>
    <t xml:space="preserve">נואל </t>
  </si>
  <si>
    <t xml:space="preserve">תסנים </t>
  </si>
  <si>
    <t xml:space="preserve">דבי </t>
  </si>
  <si>
    <t xml:space="preserve">חלב </t>
  </si>
  <si>
    <t xml:space="preserve">אכלאס </t>
  </si>
  <si>
    <t xml:space="preserve">חרבאיא </t>
  </si>
  <si>
    <t xml:space="preserve">סומעה </t>
  </si>
  <si>
    <t xml:space="preserve">נגנאגיה </t>
  </si>
  <si>
    <t>פאוזיה</t>
  </si>
  <si>
    <t xml:space="preserve">נהאיה </t>
  </si>
  <si>
    <t xml:space="preserve">אנואר </t>
  </si>
  <si>
    <t xml:space="preserve">ואלאא </t>
  </si>
  <si>
    <t xml:space="preserve">ראניה </t>
  </si>
  <si>
    <t xml:space="preserve">קפאיה </t>
  </si>
  <si>
    <t xml:space="preserve">מלאק </t>
  </si>
  <si>
    <t xml:space="preserve">נזמיה </t>
  </si>
  <si>
    <t xml:space="preserve">אבו ערישה </t>
  </si>
  <si>
    <t xml:space="preserve">יוסרא </t>
  </si>
  <si>
    <t xml:space="preserve">חדרה </t>
  </si>
  <si>
    <t xml:space="preserve">אמיר </t>
  </si>
  <si>
    <t xml:space="preserve">רג'ב </t>
  </si>
  <si>
    <t xml:space="preserve">עידה </t>
  </si>
  <si>
    <t xml:space="preserve">פדוא </t>
  </si>
  <si>
    <t xml:space="preserve">רמי </t>
  </si>
  <si>
    <t xml:space="preserve">אלשאמי </t>
  </si>
  <si>
    <t xml:space="preserve">נסימה </t>
  </si>
  <si>
    <t xml:space="preserve">עבדו </t>
  </si>
  <si>
    <t xml:space="preserve">ג'בארין </t>
  </si>
  <si>
    <t xml:space="preserve">עביר </t>
  </si>
  <si>
    <t>בויראת אבו</t>
  </si>
  <si>
    <t xml:space="preserve">אומיה </t>
  </si>
  <si>
    <t xml:space="preserve">ראיד </t>
  </si>
  <si>
    <t xml:space="preserve">בדחי </t>
  </si>
  <si>
    <t xml:space="preserve">נדאף </t>
  </si>
  <si>
    <t xml:space="preserve">שידא </t>
  </si>
  <si>
    <t xml:space="preserve">סלאם </t>
  </si>
  <si>
    <t xml:space="preserve">חנדקלו </t>
  </si>
  <si>
    <t xml:space="preserve">וואם </t>
  </si>
  <si>
    <t xml:space="preserve">עמורי </t>
  </si>
  <si>
    <t xml:space="preserve">עוהוד </t>
  </si>
  <si>
    <t>אבו ריא בד</t>
  </si>
  <si>
    <t xml:space="preserve">רימה </t>
  </si>
  <si>
    <t xml:space="preserve">אלאא </t>
  </si>
  <si>
    <t xml:space="preserve">אבו פול </t>
  </si>
  <si>
    <t xml:space="preserve">דועאא </t>
  </si>
  <si>
    <t xml:space="preserve">עמאשי </t>
  </si>
  <si>
    <t xml:space="preserve">רשידה </t>
  </si>
  <si>
    <t xml:space="preserve">נסאר </t>
  </si>
  <si>
    <t xml:space="preserve">תאהר </t>
  </si>
  <si>
    <t xml:space="preserve">וויאם </t>
  </si>
  <si>
    <t xml:space="preserve">חאמדה </t>
  </si>
  <si>
    <t xml:space="preserve">שחידם </t>
  </si>
  <si>
    <t xml:space="preserve">דאר דיאב </t>
  </si>
  <si>
    <t xml:space="preserve">לינא </t>
  </si>
  <si>
    <t xml:space="preserve">אאלא </t>
  </si>
  <si>
    <t xml:space="preserve">גדיר </t>
  </si>
  <si>
    <t xml:space="preserve">נדא </t>
  </si>
  <si>
    <t xml:space="preserve">אסמא </t>
  </si>
  <si>
    <t xml:space="preserve">חאליל </t>
  </si>
  <si>
    <t>צדקה)פקיסי</t>
  </si>
  <si>
    <t xml:space="preserve">וולא </t>
  </si>
  <si>
    <t xml:space="preserve">אבו בכר </t>
  </si>
  <si>
    <t xml:space="preserve">קבהא </t>
  </si>
  <si>
    <t xml:space="preserve">אלא </t>
  </si>
  <si>
    <t xml:space="preserve">כיאל </t>
  </si>
  <si>
    <t xml:space="preserve">ראפת </t>
  </si>
  <si>
    <t xml:space="preserve">חורי פרח </t>
  </si>
  <si>
    <t>סוג'וד</t>
  </si>
  <si>
    <t xml:space="preserve">עודיי </t>
  </si>
  <si>
    <t xml:space="preserve">רוואן </t>
  </si>
  <si>
    <t xml:space="preserve">מייס </t>
  </si>
  <si>
    <t xml:space="preserve">מאי </t>
  </si>
  <si>
    <t xml:space="preserve">דאהר </t>
  </si>
  <si>
    <t xml:space="preserve">שאפע </t>
  </si>
  <si>
    <t xml:space="preserve">טלאל </t>
  </si>
  <si>
    <t xml:space="preserve">אסדי </t>
  </si>
  <si>
    <t>נוסייב</t>
  </si>
  <si>
    <t xml:space="preserve">הזאר </t>
  </si>
  <si>
    <t xml:space="preserve">סוהא </t>
  </si>
  <si>
    <t xml:space="preserve">איאת </t>
  </si>
  <si>
    <t xml:space="preserve">סמאח </t>
  </si>
  <si>
    <t xml:space="preserve">מוסטראחי </t>
  </si>
  <si>
    <t xml:space="preserve">עדית </t>
  </si>
  <si>
    <t xml:space="preserve">תמאם </t>
  </si>
  <si>
    <t xml:space="preserve">הדייה </t>
  </si>
  <si>
    <t xml:space="preserve">סאלי </t>
  </si>
  <si>
    <t xml:space="preserve">גארבאן </t>
  </si>
  <si>
    <t>סיהראב</t>
  </si>
  <si>
    <t xml:space="preserve">בדור </t>
  </si>
  <si>
    <t xml:space="preserve">נפוז </t>
  </si>
  <si>
    <t xml:space="preserve">סג'א </t>
  </si>
  <si>
    <t xml:space="preserve">אל זאיט </t>
  </si>
  <si>
    <t xml:space="preserve">יתרב </t>
  </si>
  <si>
    <t xml:space="preserve">נג'ום </t>
  </si>
  <si>
    <t xml:space="preserve">זמזם </t>
  </si>
  <si>
    <t xml:space="preserve">זרד </t>
  </si>
  <si>
    <t xml:space="preserve">וליד </t>
  </si>
  <si>
    <t xml:space="preserve">חסין </t>
  </si>
  <si>
    <t xml:space="preserve">רים </t>
  </si>
  <si>
    <t xml:space="preserve">מלא </t>
  </si>
  <si>
    <t xml:space="preserve">אנסאם </t>
  </si>
  <si>
    <t xml:space="preserve">דיבא </t>
  </si>
  <si>
    <t xml:space="preserve">גנאם </t>
  </si>
  <si>
    <t xml:space="preserve">היכל </t>
  </si>
  <si>
    <t xml:space="preserve">סמייה </t>
  </si>
  <si>
    <t xml:space="preserve">נגנאגייה </t>
  </si>
  <si>
    <t xml:space="preserve">אשכידם </t>
  </si>
  <si>
    <t>סווסאן</t>
  </si>
  <si>
    <t>נג'ואה</t>
  </si>
  <si>
    <t xml:space="preserve">חרדאן </t>
  </si>
  <si>
    <t xml:space="preserve">יחיא </t>
  </si>
  <si>
    <t xml:space="preserve">ספא </t>
  </si>
  <si>
    <t xml:space="preserve">ג'ארבן </t>
  </si>
  <si>
    <t xml:space="preserve">עבד </t>
  </si>
  <si>
    <t xml:space="preserve">כתאנה </t>
  </si>
  <si>
    <t xml:space="preserve">רנה </t>
  </si>
  <si>
    <t xml:space="preserve">חסנה </t>
  </si>
  <si>
    <t xml:space="preserve">נג'ם </t>
  </si>
  <si>
    <t xml:space="preserve">חליל </t>
  </si>
  <si>
    <t xml:space="preserve">היבא </t>
  </si>
  <si>
    <t xml:space="preserve">נור </t>
  </si>
  <si>
    <t>נג'אר ג'רב</t>
  </si>
  <si>
    <t xml:space="preserve">אמר </t>
  </si>
  <si>
    <t>רסמייה</t>
  </si>
  <si>
    <t xml:space="preserve">ג'ורבאן </t>
  </si>
  <si>
    <t xml:space="preserve">רזי </t>
  </si>
  <si>
    <t xml:space="preserve">מנסור </t>
  </si>
  <si>
    <t xml:space="preserve">היאג'ני </t>
  </si>
  <si>
    <t xml:space="preserve">נידאם </t>
  </si>
  <si>
    <t xml:space="preserve">דלאל </t>
  </si>
  <si>
    <t xml:space="preserve">בדראן </t>
  </si>
  <si>
    <t xml:space="preserve">סברין </t>
  </si>
  <si>
    <t xml:space="preserve">עמאש סאדק </t>
  </si>
  <si>
    <t xml:space="preserve">באדר </t>
  </si>
  <si>
    <t xml:space="preserve">אלבוויראת </t>
  </si>
  <si>
    <t xml:space="preserve">יומנא </t>
  </si>
  <si>
    <t xml:space="preserve">ערין </t>
  </si>
  <si>
    <t xml:space="preserve">קנז </t>
  </si>
  <si>
    <t xml:space="preserve">גל </t>
  </si>
  <si>
    <t xml:space="preserve">סוהד </t>
  </si>
  <si>
    <t xml:space="preserve">סגא </t>
  </si>
  <si>
    <t xml:space="preserve">3 - פנסיונר </t>
  </si>
  <si>
    <t>ניקוז-עבודות קבלניות</t>
  </si>
  <si>
    <t>סל ספורט</t>
  </si>
  <si>
    <t>פינוי גזם</t>
  </si>
  <si>
    <t>מים מתנ"ס</t>
  </si>
  <si>
    <t xml:space="preserve">שונות </t>
  </si>
  <si>
    <t>שכירות בניין מועצה</t>
  </si>
  <si>
    <t>נושמים לרווחה שכר</t>
  </si>
  <si>
    <t>בטחון עובדים ומאבטחים</t>
  </si>
  <si>
    <t>אחזקה במעונות א.ותיק</t>
  </si>
  <si>
    <t>סביבה תומכת</t>
  </si>
  <si>
    <t>בתים חמים לנערות</t>
  </si>
  <si>
    <t>שיקום בקהילה מוגבליות</t>
  </si>
  <si>
    <t>הסעות למ. יום משה</t>
  </si>
  <si>
    <t>מרכז יום לנכים קשים</t>
  </si>
  <si>
    <t>מ.יום אמוני</t>
  </si>
  <si>
    <t>מ.יום טיפולי משה</t>
  </si>
  <si>
    <t>נופשונים משה ושיקום</t>
  </si>
  <si>
    <t>תוכניות תעסוקה</t>
  </si>
  <si>
    <t>נפגעי התמכרויות</t>
  </si>
  <si>
    <t>טיפול בפגיעות מיניות</t>
  </si>
  <si>
    <t>פגיעות מיניות בגירים</t>
  </si>
  <si>
    <t>שכר ספריה</t>
  </si>
  <si>
    <t>מזכירת מהנדס</t>
  </si>
  <si>
    <t>התפתחות הילד</t>
  </si>
  <si>
    <t>תוכנית 360 פעילות והדרכה</t>
  </si>
  <si>
    <t>גני ילדים חובה חשמל</t>
  </si>
  <si>
    <t>העשרה עוזרי הוראה</t>
  </si>
  <si>
    <t>הסעות חינוך רגיל חיפה</t>
  </si>
  <si>
    <t>רכב מנהלים בת"ס וסגנים</t>
  </si>
  <si>
    <t>גמול בגרות אחוזי</t>
  </si>
  <si>
    <t>ש.פרטניות נוספות עוז</t>
  </si>
  <si>
    <t>חינוך תעבורתי</t>
  </si>
  <si>
    <t>מוביל ב"ס מניעת סמים</t>
  </si>
  <si>
    <t xml:space="preserve">גמול רכז הל"ל </t>
  </si>
  <si>
    <t>סל שע.לתפקיד עוז</t>
  </si>
  <si>
    <t>תוכנית 360</t>
  </si>
  <si>
    <t>יוזמות תקנת סל"ע</t>
  </si>
  <si>
    <t>ב"ס מזכירים יוח"א</t>
  </si>
  <si>
    <t>סייעות כיתתיות</t>
  </si>
  <si>
    <t>אגרת שכפול פר תלמיד יסודי</t>
  </si>
  <si>
    <t>חומרי היגיינה לכל המוסדות</t>
  </si>
  <si>
    <t xml:space="preserve">הקצבות יעודיות </t>
  </si>
  <si>
    <t>הכלה והשתלבות מוסדות חינוך</t>
  </si>
  <si>
    <t>עובד בית קברות</t>
  </si>
  <si>
    <t>התפתחות הילד פעולות</t>
  </si>
  <si>
    <t>תרבות ואומנות שכר</t>
  </si>
  <si>
    <t>מועצה מקומית ג'סר אלזרקא</t>
  </si>
  <si>
    <t>הצעת תקציב 2022</t>
  </si>
  <si>
    <t>משרות 2022</t>
  </si>
  <si>
    <t>אחר מ הפנים</t>
  </si>
  <si>
    <t>הכנסות מהשכרת דירה</t>
  </si>
  <si>
    <t>הכנסות גיל רך משרד הבריאות</t>
  </si>
  <si>
    <t>שילוב סייעות 345</t>
  </si>
  <si>
    <t>שעות שילוב עט"ע 456</t>
  </si>
  <si>
    <t>בטחון עובדים מאבטחים</t>
  </si>
  <si>
    <t>טפול בנערות במצוקה וצעירים</t>
  </si>
  <si>
    <t xml:space="preserve">שם חשבון </t>
  </si>
  <si>
    <t>רכבי המועצה-רישוי וביטוח</t>
  </si>
  <si>
    <t>הנדסה</t>
  </si>
  <si>
    <t>מזומן</t>
  </si>
  <si>
    <t>תיקונים</t>
  </si>
  <si>
    <t xml:space="preserve">תנועות מקובעות ותשלומים עתידיים </t>
  </si>
  <si>
    <t xml:space="preserve">נושא:3 </t>
  </si>
  <si>
    <t xml:space="preserve">משנת מקור :0 </t>
  </si>
  <si>
    <t xml:space="preserve">עד שנת מקור :0 </t>
  </si>
  <si>
    <t xml:space="preserve">משרות:0 </t>
  </si>
  <si>
    <t xml:space="preserve">עד שרות:999 </t>
  </si>
  <si>
    <t xml:space="preserve">ממשלם:0 </t>
  </si>
  <si>
    <t xml:space="preserve">עד משלם:999999999999999 </t>
  </si>
  <si>
    <t xml:space="preserve">ממעקב:0 </t>
  </si>
  <si>
    <t xml:space="preserve">עד מעקב:999 </t>
  </si>
  <si>
    <t>רשות</t>
  </si>
  <si>
    <t>פרופיל</t>
  </si>
  <si>
    <t>נושא</t>
  </si>
  <si>
    <t>תאור נושא</t>
  </si>
  <si>
    <t>סוג שרות</t>
  </si>
  <si>
    <t>שנת מקור</t>
  </si>
  <si>
    <t>תאור סוג שרות</t>
  </si>
  <si>
    <t>מיון</t>
  </si>
  <si>
    <t>יתרות פתיחה</t>
  </si>
  <si>
    <t>הנחות</t>
  </si>
  <si>
    <t>חובה גולמי</t>
  </si>
  <si>
    <t>סהכ חובה</t>
  </si>
  <si>
    <t>מזומן עתידי</t>
  </si>
  <si>
    <t>הנחת הסדר</t>
  </si>
  <si>
    <t>סהכ זכות</t>
  </si>
  <si>
    <t>יתרה נומינלית</t>
  </si>
  <si>
    <t>יתרה ראלית</t>
  </si>
  <si>
    <t>אחוז גביה</t>
  </si>
  <si>
    <t xml:space="preserve">אחוז גביה עתידי </t>
  </si>
  <si>
    <t>קובץ נכסים.</t>
  </si>
  <si>
    <t>ארנונה 2004</t>
  </si>
  <si>
    <t>ארנונה 2008</t>
  </si>
  <si>
    <t>ארנונה 2009</t>
  </si>
  <si>
    <t>ארנונה 2010</t>
  </si>
  <si>
    <t>ארנונה 2011</t>
  </si>
  <si>
    <t>ארנונה 2012</t>
  </si>
  <si>
    <t>ארנונה 2013</t>
  </si>
  <si>
    <t>ארנונה 2014</t>
  </si>
  <si>
    <t>ארנונה 2015</t>
  </si>
  <si>
    <t>ארנונה 2016</t>
  </si>
  <si>
    <t>ארנונה 2017</t>
  </si>
  <si>
    <t>ארנונה 2018</t>
  </si>
  <si>
    <t>ארנונה 2019</t>
  </si>
  <si>
    <t>ארנונה 2020</t>
  </si>
  <si>
    <t>ארנונה-מדידות 2009</t>
  </si>
  <si>
    <t>חובות מסופקים ארנונה</t>
  </si>
  <si>
    <t>ארנונה 2021</t>
  </si>
  <si>
    <t>ביוב שנים קודמות 005</t>
  </si>
  <si>
    <t>ביוב שנים קודמות 012</t>
  </si>
  <si>
    <t>ביוב שנים קודמות 013</t>
  </si>
  <si>
    <t>ביוב שנים קודמות 014</t>
  </si>
  <si>
    <t>ביוב שנים קודמות 015</t>
  </si>
  <si>
    <t>ביוב שנים קודמות 016</t>
  </si>
  <si>
    <t>ביוב שנים קודמות 018</t>
  </si>
  <si>
    <t>היטל ביוב 2020</t>
  </si>
  <si>
    <t>הוצאות א.מילגם 2020</t>
  </si>
  <si>
    <t>ה.אכיפה מ.ר 2020</t>
  </si>
  <si>
    <t>ה.אכיפה מ.ר 2021</t>
  </si>
  <si>
    <t>הוצאות אכיפה מ.ר.ע 0</t>
  </si>
  <si>
    <t>הוצאות אכיפה מ.ר.ע 1</t>
  </si>
  <si>
    <t>היטל צריכה עודפת 020</t>
  </si>
  <si>
    <t>מים 2002</t>
  </si>
  <si>
    <t>מים 2009</t>
  </si>
  <si>
    <t>מים 2010</t>
  </si>
  <si>
    <t>מים 2012</t>
  </si>
  <si>
    <t>מים 2013</t>
  </si>
  <si>
    <t>מים 2014</t>
  </si>
  <si>
    <t>מים 2015</t>
  </si>
  <si>
    <t>מים 2016</t>
  </si>
  <si>
    <t>מים 2017</t>
  </si>
  <si>
    <t>מים 2018</t>
  </si>
  <si>
    <t>מים 2019</t>
  </si>
  <si>
    <t>מים 2020</t>
  </si>
  <si>
    <t>אגרת חיבור מים 2020</t>
  </si>
  <si>
    <t>מדי מים 2020</t>
  </si>
  <si>
    <t>חובות מסופקים מים 20</t>
  </si>
  <si>
    <t>מים 2021</t>
  </si>
  <si>
    <t>אגרת ניתוק 2020</t>
  </si>
  <si>
    <t>שונות - בעלים 2020</t>
  </si>
  <si>
    <t>אגרות בית משפט 2020</t>
  </si>
  <si>
    <t>ה.מדידה 2021 2021</t>
  </si>
  <si>
    <t>חוב מסופק מ.ר.עולמית</t>
  </si>
  <si>
    <t>רוסתומ-שכ"ט 2020</t>
  </si>
  <si>
    <t>אבו ואסל-שכ"ט 2020</t>
  </si>
  <si>
    <t>שונות (עלימי ישן) 20</t>
  </si>
  <si>
    <t>נושמים לרווחה (100%)</t>
  </si>
  <si>
    <t>חליפת מיגון</t>
  </si>
  <si>
    <t>בטחון עובדים-מאבטחים</t>
  </si>
  <si>
    <t>ת. לאומית ילד ונוער  (100%)</t>
  </si>
  <si>
    <t>רכז מענים מגן זהב</t>
  </si>
  <si>
    <t>מרכזי עוצמה (100%)</t>
  </si>
  <si>
    <t xml:space="preserve">משפחות במצוקה בקהילה </t>
  </si>
  <si>
    <t xml:space="preserve">מרכזי טיפול באלימות </t>
  </si>
  <si>
    <t>תחנות לטיפול במשפחה</t>
  </si>
  <si>
    <t>יצירת קשר הורים ילדים</t>
  </si>
  <si>
    <t xml:space="preserve">אחזקת ילדים בפנימיות </t>
  </si>
  <si>
    <t xml:space="preserve">ילדים במעונות יום </t>
  </si>
  <si>
    <t>מועדונים אזרח ותיק</t>
  </si>
  <si>
    <t>טיפול  בקהילה א.וותיק</t>
  </si>
  <si>
    <t xml:space="preserve">מועדון מועשרים מופ"ת </t>
  </si>
  <si>
    <t>סדור במעונות מש"ה</t>
  </si>
  <si>
    <t>משפחות אומנה משה</t>
  </si>
  <si>
    <t xml:space="preserve">מ.יום טיפולי משה </t>
  </si>
  <si>
    <t xml:space="preserve">מ.יום אמוני משה </t>
  </si>
  <si>
    <t xml:space="preserve">מע"שים </t>
  </si>
  <si>
    <t xml:space="preserve">הדרכת עוור ובי ביתו </t>
  </si>
  <si>
    <t xml:space="preserve">אחזקת נכים בפנימיות </t>
  </si>
  <si>
    <t xml:space="preserve">תעסוקה מוגנת למוגבל </t>
  </si>
  <si>
    <t xml:space="preserve">מ.יום שיקומי לנכים </t>
  </si>
  <si>
    <t xml:space="preserve">הסעות למ. יום שיקומי </t>
  </si>
  <si>
    <t xml:space="preserve">ליווי למ.יום שיקומי </t>
  </si>
  <si>
    <t xml:space="preserve">חלופה למ.יום שיקומי </t>
  </si>
  <si>
    <t>מרכזי יום לנכים קשים</t>
  </si>
  <si>
    <t>שיקום בקהילה-מוגבלויות</t>
  </si>
  <si>
    <t>טפול בנוער וצעירים</t>
  </si>
  <si>
    <t>יתד תכניות לצעירים</t>
  </si>
  <si>
    <t>יתד סל גמיש</t>
  </si>
  <si>
    <t>נפגעי התמכרויות טיפול.</t>
  </si>
  <si>
    <t xml:space="preserve">מית"ר </t>
  </si>
  <si>
    <t xml:space="preserve"> מפתן כולל כ-א</t>
  </si>
  <si>
    <t>הכנסות</t>
  </si>
  <si>
    <t>תוכנית לאומית ילד ונוער</t>
  </si>
  <si>
    <t>מועדונים אזרח ותיק-מזון</t>
  </si>
  <si>
    <t>טיפול בנערות במצוקה</t>
  </si>
  <si>
    <t>טיפול בנוער וצעירים</t>
  </si>
  <si>
    <t>פע' התנדבות בקהילה</t>
  </si>
  <si>
    <t xml:space="preserve">הובלות והסעות </t>
  </si>
  <si>
    <t>אחזקת מקלטי הג"א מקומי</t>
  </si>
  <si>
    <t>רכש ואחזקת ציוד הג"א</t>
  </si>
  <si>
    <t>אחזקת מתקני הפעלה ברשות הג"א</t>
  </si>
  <si>
    <t>צריכים יוחודיים בתיאום המחוז הג"א</t>
  </si>
  <si>
    <t>ועד ארצי רשויות ערביות</t>
  </si>
  <si>
    <t>כח אדם אחזקת מקלטים</t>
  </si>
  <si>
    <t>בטיחות בדרכים 2020</t>
  </si>
  <si>
    <t>שכר מעורבות חברתית מ.ראש הממשלה</t>
  </si>
  <si>
    <t>הוצאות פעולות מ.ראש ההמשלה</t>
  </si>
  <si>
    <t xml:space="preserve">אתגרים </t>
  </si>
  <si>
    <t>תקציב מעודכן 2022</t>
  </si>
  <si>
    <t>ביצוע צפוי 2022</t>
  </si>
  <si>
    <t xml:space="preserve">מס. חשבון </t>
  </si>
  <si>
    <t xml:space="preserve">ארנונה שוטפת </t>
  </si>
  <si>
    <t xml:space="preserve">גבייה-מימוש עיקול </t>
  </si>
  <si>
    <t xml:space="preserve">הכנסות מאכיפה </t>
  </si>
  <si>
    <t xml:space="preserve">ארנונה פיגורים </t>
  </si>
  <si>
    <t xml:space="preserve">הנחות מצב סוציאלי </t>
  </si>
  <si>
    <t xml:space="preserve">הכנסות ממכרזים </t>
  </si>
  <si>
    <t xml:space="preserve">מענק כללי לאיזון </t>
  </si>
  <si>
    <t xml:space="preserve">מענק מותנה גביה </t>
  </si>
  <si>
    <t xml:space="preserve">אחר מ הפנים </t>
  </si>
  <si>
    <t xml:space="preserve">השתת' תושבים בפינוי אשפה </t>
  </si>
  <si>
    <t xml:space="preserve">עיר ללא אלימות </t>
  </si>
  <si>
    <t xml:space="preserve">אגרות הועדה </t>
  </si>
  <si>
    <t xml:space="preserve">בטיחות בדרכים </t>
  </si>
  <si>
    <t xml:space="preserve">הכנסות שונות </t>
  </si>
  <si>
    <t xml:space="preserve">החזר הוצאות משפטיות </t>
  </si>
  <si>
    <t xml:space="preserve">הכנסות מהשכרת דירה </t>
  </si>
  <si>
    <t xml:space="preserve">עוזרות גננות </t>
  </si>
  <si>
    <t>הכנסות גיל רך משרד הבריאו</t>
  </si>
  <si>
    <t xml:space="preserve">שכל"ם גנים טרום חובה </t>
  </si>
  <si>
    <t xml:space="preserve">ה.נלוות ח.מיוחד ערבי </t>
  </si>
  <si>
    <t xml:space="preserve">העשרה ח.מיוחד ערבי </t>
  </si>
  <si>
    <t xml:space="preserve">תוכנית ניצנים </t>
  </si>
  <si>
    <t xml:space="preserve">הכנסות חינוך </t>
  </si>
  <si>
    <t>ניהול עצמי בתי ספר יסודיי</t>
  </si>
  <si>
    <t xml:space="preserve">תשלומי הורים חומרים </t>
  </si>
  <si>
    <t xml:space="preserve">סייעות חריגות </t>
  </si>
  <si>
    <t xml:space="preserve">שילוב סייעות 543 </t>
  </si>
  <si>
    <t xml:space="preserve">שעות שילוב עט"ע 654 </t>
  </si>
  <si>
    <t xml:space="preserve">ב"ס א שרתים </t>
  </si>
  <si>
    <t xml:space="preserve">ב"ס א -מזכירים </t>
  </si>
  <si>
    <t xml:space="preserve">ב"ס א- אגרת שכפול </t>
  </si>
  <si>
    <t xml:space="preserve">ב"ס א-סייעות </t>
  </si>
  <si>
    <t xml:space="preserve">ב"ס א- יוח"א </t>
  </si>
  <si>
    <t xml:space="preserve">חינוך משלים- חוגים </t>
  </si>
  <si>
    <t xml:space="preserve">קיטנת קיץ </t>
  </si>
  <si>
    <t xml:space="preserve">סל תלמיד חט"ב </t>
  </si>
  <si>
    <t xml:space="preserve">אגרת שכפול </t>
  </si>
  <si>
    <t xml:space="preserve">שכ"ל על יסודי </t>
  </si>
  <si>
    <t xml:space="preserve">הבראה וביגוד-שכ"ל </t>
  </si>
  <si>
    <t xml:space="preserve">החזר שכ"ל למורים </t>
  </si>
  <si>
    <t xml:space="preserve">שחיקת שכ"ל ונלוות </t>
  </si>
  <si>
    <t xml:space="preserve">מענקי תשלומים - מקיף </t>
  </si>
  <si>
    <t xml:space="preserve">קרן השתלמות לשכ"ל </t>
  </si>
  <si>
    <t xml:space="preserve">דמי שתיה </t>
  </si>
  <si>
    <t xml:space="preserve">רכב מנהלים בת"ס </t>
  </si>
  <si>
    <t xml:space="preserve">גמול טיולים </t>
  </si>
  <si>
    <t xml:space="preserve">השלמת בגרות </t>
  </si>
  <si>
    <t xml:space="preserve">הכנסות מדמי בחינות </t>
  </si>
  <si>
    <t xml:space="preserve">ש.פרטניות עוז לתמורה </t>
  </si>
  <si>
    <t xml:space="preserve">ש.פרטניות נוספות-עוז </t>
  </si>
  <si>
    <t xml:space="preserve">מוחזקות חדש פריראלי </t>
  </si>
  <si>
    <t xml:space="preserve">סל שע.לתפקיד עוז לתמורה </t>
  </si>
  <si>
    <t xml:space="preserve">מוחזקות עוז לתמורה </t>
  </si>
  <si>
    <t xml:space="preserve">מנהל עוז לתמורה </t>
  </si>
  <si>
    <t xml:space="preserve">רכז מעורבות חברתית </t>
  </si>
  <si>
    <t xml:space="preserve">ש.תומכות -עוז לתמורה </t>
  </si>
  <si>
    <t xml:space="preserve">אבטחת מוסדות חינוך </t>
  </si>
  <si>
    <t xml:space="preserve">שפ"י- פסיכולוגים חינוכים </t>
  </si>
  <si>
    <t xml:space="preserve">שפ"י הדרכה </t>
  </si>
  <si>
    <t xml:space="preserve">תרבות ואומנות </t>
  </si>
  <si>
    <t xml:space="preserve">רווחה חינוכית </t>
  </si>
  <si>
    <t xml:space="preserve">שיקום שכונות </t>
  </si>
  <si>
    <t xml:space="preserve">קב"סים </t>
  </si>
  <si>
    <t xml:space="preserve">קבטי"ם </t>
  </si>
  <si>
    <t xml:space="preserve">הסעות תלמידים </t>
  </si>
  <si>
    <t xml:space="preserve">הסעות חינוך מיוחד </t>
  </si>
  <si>
    <t xml:space="preserve">השתתפות קרן קיסריה </t>
  </si>
  <si>
    <t xml:space="preserve">ליווי הסעות ח. מיוחד </t>
  </si>
  <si>
    <t xml:space="preserve">צמצום פערים </t>
  </si>
  <si>
    <t xml:space="preserve">אור שפתי 063 </t>
  </si>
  <si>
    <t xml:space="preserve">חדרי שלווה 063 </t>
  </si>
  <si>
    <t xml:space="preserve">מג"ר 063 </t>
  </si>
  <si>
    <t xml:space="preserve">משרות קידום נוער-מ/חינוך </t>
  </si>
  <si>
    <t xml:space="preserve">השת תלמ' בחוגי ספורט </t>
  </si>
  <si>
    <t xml:space="preserve">השכרת מתקני ספורט-641 </t>
  </si>
  <si>
    <t xml:space="preserve">הכנסות משרדי ממשלה </t>
  </si>
  <si>
    <t xml:space="preserve">השתת' תושבים ברווחה </t>
  </si>
  <si>
    <t xml:space="preserve">שכר עובדי לשכות </t>
  </si>
  <si>
    <t xml:space="preserve">כ"א לחינוך מיוחד </t>
  </si>
  <si>
    <t xml:space="preserve">פעולות ארגוניות </t>
  </si>
  <si>
    <t xml:space="preserve">נושמים לרווחה )%001( </t>
  </si>
  <si>
    <t xml:space="preserve">חליפת מיגון </t>
  </si>
  <si>
    <t xml:space="preserve">בטחון עובדים-מאבטחים </t>
  </si>
  <si>
    <t xml:space="preserve">רכז מענים מגן זהב </t>
  </si>
  <si>
    <t xml:space="preserve">מקלטים לנשים מוכות </t>
  </si>
  <si>
    <t xml:space="preserve">מרכזי עוצמה )%001( </t>
  </si>
  <si>
    <t xml:space="preserve">משפחת במצוקה-בקהילה </t>
  </si>
  <si>
    <t xml:space="preserve">טיפול בקהילה -א ותיק </t>
  </si>
  <si>
    <t xml:space="preserve">בטחון עובדים ומאבטחים </t>
  </si>
  <si>
    <t xml:space="preserve">טיפול בפרט ובמשפחה </t>
  </si>
  <si>
    <t xml:space="preserve">יצירת קשר הורים ילדים </t>
  </si>
  <si>
    <t xml:space="preserve">פגיעות מיניות בגירים </t>
  </si>
  <si>
    <t xml:space="preserve">רכזות משפחות </t>
  </si>
  <si>
    <t xml:space="preserve">טיפול במשפחות אמנה </t>
  </si>
  <si>
    <t xml:space="preserve">טיפול בילד בקהילה </t>
  </si>
  <si>
    <t xml:space="preserve">טיפול בפגיעות מיניות </t>
  </si>
  <si>
    <t xml:space="preserve">נערות חוץ ביתי </t>
  </si>
  <si>
    <t xml:space="preserve">אחזקת זקנים במעונות </t>
  </si>
  <si>
    <t xml:space="preserve">טיפול בזקן בקהילה </t>
  </si>
  <si>
    <t xml:space="preserve">מרכזי ועדות-חוק סעוד </t>
  </si>
  <si>
    <t xml:space="preserve">סדור מפגרים במוסדות </t>
  </si>
  <si>
    <t xml:space="preserve">משפחות אומנה למפגר </t>
  </si>
  <si>
    <t xml:space="preserve">מסגרות יום ארוך </t>
  </si>
  <si>
    <t xml:space="preserve">מפגרים במעון אמוני </t>
  </si>
  <si>
    <t xml:space="preserve">שרותים תומכים למפגר </t>
  </si>
  <si>
    <t xml:space="preserve">נופשונים למפגר </t>
  </si>
  <si>
    <t xml:space="preserve">הסעות למ.יום למפגר . </t>
  </si>
  <si>
    <t xml:space="preserve">מפעלי שיקום לעוור </t>
  </si>
  <si>
    <t xml:space="preserve">תוכניות מעבר </t>
  </si>
  <si>
    <t xml:space="preserve">מרכזי איבחון ושיקום </t>
  </si>
  <si>
    <t xml:space="preserve">טפול בנערות במצוקה </t>
  </si>
  <si>
    <t xml:space="preserve">טפול בנשים ובנערות-כ"א </t>
  </si>
  <si>
    <t xml:space="preserve">שהות במקלט לנערות </t>
  </si>
  <si>
    <t xml:space="preserve">מעונות חסות </t>
  </si>
  <si>
    <t xml:space="preserve">מעונות חסות ממשלתי </t>
  </si>
  <si>
    <t xml:space="preserve">שיקום בקהילה מוגבליות </t>
  </si>
  <si>
    <t xml:space="preserve">סמים-טיפול בקהילה </t>
  </si>
  <si>
    <t xml:space="preserve">מפת"ן מקומי </t>
  </si>
  <si>
    <t xml:space="preserve">נושמים לרווחה </t>
  </si>
  <si>
    <t xml:space="preserve">מותנות רווחה </t>
  </si>
  <si>
    <t xml:space="preserve">אגרות מים פגורים </t>
  </si>
  <si>
    <t xml:space="preserve">מדי מים </t>
  </si>
  <si>
    <t xml:space="preserve">אגרות צנרת </t>
  </si>
  <si>
    <t xml:space="preserve">רשיונות עסקים </t>
  </si>
  <si>
    <t xml:space="preserve">אגרות ביוב </t>
  </si>
  <si>
    <t xml:space="preserve">היטל ביוב </t>
  </si>
  <si>
    <t xml:space="preserve">ביוב פיגורים </t>
  </si>
  <si>
    <t xml:space="preserve">ריבית מפקדונות </t>
  </si>
  <si>
    <t xml:space="preserve">הכנסות שנים קודמות </t>
  </si>
  <si>
    <t xml:space="preserve">מענק מיוחד כסוי גרעון </t>
  </si>
  <si>
    <t xml:space="preserve">נבחרים-שכר </t>
  </si>
  <si>
    <t xml:space="preserve">אירוח וכיבוד </t>
  </si>
  <si>
    <t xml:space="preserve">השתלמיות </t>
  </si>
  <si>
    <t xml:space="preserve">דמי חבר סגני ראשי רשויות </t>
  </si>
  <si>
    <t xml:space="preserve">צרכי משרד </t>
  </si>
  <si>
    <t xml:space="preserve">יעוץ מוניציפלי </t>
  </si>
  <si>
    <t xml:space="preserve">הוצאות שונות </t>
  </si>
  <si>
    <t xml:space="preserve">דמי חבר -מבקר הרשות </t>
  </si>
  <si>
    <t xml:space="preserve">מבקר הרשות-ציוד יסודי </t>
  </si>
  <si>
    <t xml:space="preserve">מזכירות - שכר </t>
  </si>
  <si>
    <t xml:space="preserve">פיצויים </t>
  </si>
  <si>
    <t xml:space="preserve">חשמל </t>
  </si>
  <si>
    <t xml:space="preserve">דמי חבר בארגונים </t>
  </si>
  <si>
    <t xml:space="preserve">דאר טלפון ותקשורת </t>
  </si>
  <si>
    <t xml:space="preserve">ציוד ומשרדיות </t>
  </si>
  <si>
    <t xml:space="preserve">קבלניות </t>
  </si>
  <si>
    <t xml:space="preserve">מרכז השלטון המקומי-ד.חבר </t>
  </si>
  <si>
    <t xml:space="preserve">מבקר פנים-שכר </t>
  </si>
  <si>
    <t xml:space="preserve">צוערים </t>
  </si>
  <si>
    <t xml:space="preserve">השתלמויות ע. מועצה </t>
  </si>
  <si>
    <t xml:space="preserve">משפטיות- שכ"ט יעוץ </t>
  </si>
  <si>
    <t xml:space="preserve">מינהל רכש ואספקה </t>
  </si>
  <si>
    <t xml:space="preserve">גזברות והנה"ח שכר </t>
  </si>
  <si>
    <t xml:space="preserve">משרדיות </t>
  </si>
  <si>
    <t xml:space="preserve">מיכון-אוטומציה </t>
  </si>
  <si>
    <t xml:space="preserve">עבודות קבלניות שכ"ט </t>
  </si>
  <si>
    <t xml:space="preserve">ציוד יסודי </t>
  </si>
  <si>
    <t xml:space="preserve">גבייה-משכורת </t>
  </si>
  <si>
    <t xml:space="preserve">עבודות קבלניות </t>
  </si>
  <si>
    <t xml:space="preserve">עמלות בנק </t>
  </si>
  <si>
    <t xml:space="preserve">הוצאות מימון-ריבית </t>
  </si>
  <si>
    <t xml:space="preserve">קרן </t>
  </si>
  <si>
    <t xml:space="preserve">ריבית </t>
  </si>
  <si>
    <t xml:space="preserve">הצמדה </t>
  </si>
  <si>
    <t xml:space="preserve">משכורת-מנהל תברואה </t>
  </si>
  <si>
    <t xml:space="preserve">דמי חבר תברואן </t>
  </si>
  <si>
    <t xml:space="preserve">כלים וציוד </t>
  </si>
  <si>
    <t xml:space="preserve">פנוי אשפה-שמוש בתחנה </t>
  </si>
  <si>
    <t xml:space="preserve">פינוי גזם </t>
  </si>
  <si>
    <t xml:space="preserve">פיקוח תברואי-משכורת </t>
  </si>
  <si>
    <t xml:space="preserve">אגוד ערים וטרינרי </t>
  </si>
  <si>
    <t xml:space="preserve">הדברת מזיקים-קבלניות </t>
  </si>
  <si>
    <t xml:space="preserve">קב"ט-משכורת </t>
  </si>
  <si>
    <t xml:space="preserve">רכבי המועצה-תיקונים </t>
  </si>
  <si>
    <t xml:space="preserve">השתתפות בהג"א ארצי </t>
  </si>
  <si>
    <t xml:space="preserve">כח אדם אחזקת מקלטים </t>
  </si>
  <si>
    <t xml:space="preserve">אחזקת מקלטי הג"א מקומי </t>
  </si>
  <si>
    <t>אחזקת מתקני הפעלה ברשות ה</t>
  </si>
  <si>
    <t xml:space="preserve">רכש ואחזקת ציוד הג"א </t>
  </si>
  <si>
    <t>צריכים יוחודיים בתיאום המ</t>
  </si>
  <si>
    <t xml:space="preserve">עיר ללא אלימות מצלמות </t>
  </si>
  <si>
    <t xml:space="preserve">מהנדס-משכורת </t>
  </si>
  <si>
    <t xml:space="preserve">פיצויים מהנדס </t>
  </si>
  <si>
    <t xml:space="preserve">עבודות קבלניות הנדסיות </t>
  </si>
  <si>
    <t xml:space="preserve">הוצ' ועדה לתכנון ובניה </t>
  </si>
  <si>
    <t xml:space="preserve">נכסים ציבוריים-משכורת </t>
  </si>
  <si>
    <t xml:space="preserve">עבודות קבלניות יעודיות </t>
  </si>
  <si>
    <t xml:space="preserve">תאורת רחובו ע.קבלניות </t>
  </si>
  <si>
    <t xml:space="preserve">תאורת רחוב-חשמל </t>
  </si>
  <si>
    <t xml:space="preserve">אגוד ערים-רשות ניקוז </t>
  </si>
  <si>
    <t xml:space="preserve">חוף רחצה-משכורת </t>
  </si>
  <si>
    <t xml:space="preserve">חוף רחצה-חשמל </t>
  </si>
  <si>
    <t xml:space="preserve">חוף רחצה-מים </t>
  </si>
  <si>
    <t xml:space="preserve">חומרי ניקוי </t>
  </si>
  <si>
    <t xml:space="preserve">ועד עובדים השת' מועצה </t>
  </si>
  <si>
    <t xml:space="preserve">בטוח אלמנטרי לרשות </t>
  </si>
  <si>
    <t xml:space="preserve">מנהל חינוך-משכורת </t>
  </si>
  <si>
    <t xml:space="preserve">הוצאות תקשורת וטלפון </t>
  </si>
  <si>
    <t xml:space="preserve">גני"י חובה-משכורת </t>
  </si>
  <si>
    <t xml:space="preserve">אחזקת מבנה גנים </t>
  </si>
  <si>
    <t xml:space="preserve">גני ילדים חובה </t>
  </si>
  <si>
    <t xml:space="preserve">צ. מים גני ילדים </t>
  </si>
  <si>
    <t xml:space="preserve">קבלניות גנים </t>
  </si>
  <si>
    <t xml:space="preserve">גנים ט.חובה-משכורת </t>
  </si>
  <si>
    <t xml:space="preserve">גנים-פיצויים </t>
  </si>
  <si>
    <t xml:space="preserve">גנים ט.חובה-שכ"ד </t>
  </si>
  <si>
    <t xml:space="preserve">כלים מכשירים וציוד </t>
  </si>
  <si>
    <t xml:space="preserve">גננות עובדות מדינה </t>
  </si>
  <si>
    <t xml:space="preserve">ניצנים פרוייקט </t>
  </si>
  <si>
    <t xml:space="preserve">גנים טיפוליים-משכורת </t>
  </si>
  <si>
    <t xml:space="preserve">שרותי הפעלה קיטנות קיץ </t>
  </si>
  <si>
    <t xml:space="preserve">ב"ס א -משכורת </t>
  </si>
  <si>
    <t xml:space="preserve">ב"ס א-חשמל </t>
  </si>
  <si>
    <t xml:space="preserve">ניהול עצמי יסודי א </t>
  </si>
  <si>
    <t xml:space="preserve">הקצבות יעודיות סלע </t>
  </si>
  <si>
    <t xml:space="preserve">ב"ס ב -משכורת </t>
  </si>
  <si>
    <t xml:space="preserve">ב"ס ב -חשמל </t>
  </si>
  <si>
    <t xml:space="preserve">ב"ס ג חדשני-משכורת </t>
  </si>
  <si>
    <t xml:space="preserve">ב"ס ג -חשמל </t>
  </si>
  <si>
    <t xml:space="preserve">אירועי תרבות </t>
  </si>
  <si>
    <t xml:space="preserve">משכורת ב"ס יסודי ד </t>
  </si>
  <si>
    <t xml:space="preserve">תוכנית עוזרי הוראה </t>
  </si>
  <si>
    <t xml:space="preserve">משכורתב"ס לחינוך מיוחד </t>
  </si>
  <si>
    <t xml:space="preserve">אלופא- חשמל </t>
  </si>
  <si>
    <t xml:space="preserve">קיטנות אביב משכורת </t>
  </si>
  <si>
    <t xml:space="preserve">קיטנות קיץ משכורת </t>
  </si>
  <si>
    <t xml:space="preserve">חט"ב-משכורת </t>
  </si>
  <si>
    <t xml:space="preserve">חט"ב-חשמל </t>
  </si>
  <si>
    <t xml:space="preserve">חט"ב- ע.קבלניות </t>
  </si>
  <si>
    <t xml:space="preserve">חט"ב שונות </t>
  </si>
  <si>
    <t xml:space="preserve">חט"ב-החזר הוצאות </t>
  </si>
  <si>
    <t xml:space="preserve">ב"ס תיכון-משכורת </t>
  </si>
  <si>
    <t xml:space="preserve">שרותי נקיון </t>
  </si>
  <si>
    <t xml:space="preserve">בתי ספר- ע.קבלניות </t>
  </si>
  <si>
    <t xml:space="preserve">יעוץ פיננסי לחינוך </t>
  </si>
  <si>
    <t xml:space="preserve">ב"ס תיכון-הוצאות שונות </t>
  </si>
  <si>
    <t xml:space="preserve">אגרות תלמידי חוץ </t>
  </si>
  <si>
    <t xml:space="preserve">שפ"י - משכורת </t>
  </si>
  <si>
    <t xml:space="preserve">שפ"י - הדרכה </t>
  </si>
  <si>
    <t xml:space="preserve">ביטוח תלמידים </t>
  </si>
  <si>
    <t xml:space="preserve">שיקום שכונות-שונות </t>
  </si>
  <si>
    <t xml:space="preserve">תרבות ואומנות שכר </t>
  </si>
  <si>
    <t xml:space="preserve">שכר אומץ </t>
  </si>
  <si>
    <t xml:space="preserve">מלווים -משכורת </t>
  </si>
  <si>
    <t xml:space="preserve">שכר קב"ס </t>
  </si>
  <si>
    <t xml:space="preserve">שכר </t>
  </si>
  <si>
    <t xml:space="preserve">קרן קיסריה משכורות </t>
  </si>
  <si>
    <t xml:space="preserve">משכורת 063 דלת פתוחה </t>
  </si>
  <si>
    <t>השת.בפעילות חינוך בלתי פו</t>
  </si>
  <si>
    <t xml:space="preserve">משכורת תוכנית מלא </t>
  </si>
  <si>
    <t xml:space="preserve">חדר שלווה-ת.לאומית </t>
  </si>
  <si>
    <t xml:space="preserve">משכורת 063חדר שלווה </t>
  </si>
  <si>
    <t xml:space="preserve">התפתחות הילד פעולות </t>
  </si>
  <si>
    <t xml:space="preserve">תוכנית 063 פעילות והדרכה </t>
  </si>
  <si>
    <t xml:space="preserve">נוער ישובי 063 שכר </t>
  </si>
  <si>
    <t xml:space="preserve">חדר שלווה 061 </t>
  </si>
  <si>
    <t xml:space="preserve">מתנ"ס -משכורות </t>
  </si>
  <si>
    <t xml:space="preserve">מתנ"ס ג'סר-חשמל </t>
  </si>
  <si>
    <t xml:space="preserve">מים שכירות מתנ"ס </t>
  </si>
  <si>
    <t>פעילות ראש הממשלה מעורבות</t>
  </si>
  <si>
    <t>הקצבות יעודיות-אירועי תרב</t>
  </si>
  <si>
    <t xml:space="preserve">רווחה חינוכית-מעברים </t>
  </si>
  <si>
    <t xml:space="preserve">מנהל מחלקת נוער </t>
  </si>
  <si>
    <t xml:space="preserve">פרויקט האיחוד האירופי </t>
  </si>
  <si>
    <t xml:space="preserve">חוגי נוער-שכר </t>
  </si>
  <si>
    <t xml:space="preserve">חשמל אולם ספורט </t>
  </si>
  <si>
    <t xml:space="preserve">מנהל ספורט_-משכורת </t>
  </si>
  <si>
    <t xml:space="preserve">מגרש ספורט- חשמל </t>
  </si>
  <si>
    <t xml:space="preserve">צ. מים מגרש כדורגל </t>
  </si>
  <si>
    <t xml:space="preserve">מגרש ספורט </t>
  </si>
  <si>
    <t xml:space="preserve">אחזקת מתקני ספורט </t>
  </si>
  <si>
    <t xml:space="preserve">אבטחה בענף הספורט </t>
  </si>
  <si>
    <t xml:space="preserve">אולם פיס </t>
  </si>
  <si>
    <t xml:space="preserve">הסעות בענף הספורט </t>
  </si>
  <si>
    <t xml:space="preserve">שכר מדריכי ספורט </t>
  </si>
  <si>
    <t xml:space="preserve">פעולות ספורט </t>
  </si>
  <si>
    <t xml:space="preserve">בריאות המשפחה-משכורת </t>
  </si>
  <si>
    <t xml:space="preserve">בריאות המשפחה-חשמל </t>
  </si>
  <si>
    <t xml:space="preserve">בריאות המשפחה-מים </t>
  </si>
  <si>
    <t xml:space="preserve">מינהל הרווחה/חשמל </t>
  </si>
  <si>
    <t xml:space="preserve">שכר עובדי מחלקה </t>
  </si>
  <si>
    <t xml:space="preserve">הוצאות משרדיות </t>
  </si>
  <si>
    <t xml:space="preserve">בטחון עובדים מאבטחים </t>
  </si>
  <si>
    <t xml:space="preserve">משפחות במצוקה </t>
  </si>
  <si>
    <t xml:space="preserve">רכזות משפחתונים </t>
  </si>
  <si>
    <t xml:space="preserve">טיפול במשפחות אומנה </t>
  </si>
  <si>
    <t xml:space="preserve">מועדונים לזקנים-שכר </t>
  </si>
  <si>
    <t xml:space="preserve">מועדונים לזקנים-חשמל </t>
  </si>
  <si>
    <t xml:space="preserve">מועדונים לזקנים-מזון </t>
  </si>
  <si>
    <t xml:space="preserve">מועדון מועשר לזקנים </t>
  </si>
  <si>
    <t xml:space="preserve">כיבוד לנערות </t>
  </si>
  <si>
    <t xml:space="preserve">אלוופה-ע.קבלניות </t>
  </si>
  <si>
    <t xml:space="preserve">מעש"ים </t>
  </si>
  <si>
    <t xml:space="preserve">הדרכה עוור ובני ביתו </t>
  </si>
  <si>
    <t xml:space="preserve">מפעלי שיקום לעיוור </t>
  </si>
  <si>
    <t xml:space="preserve">מ. יום שיקומי לנכים </t>
  </si>
  <si>
    <t>טפול בנערות במצוקה וצעירי</t>
  </si>
  <si>
    <t xml:space="preserve">טיפול בנוער וצעירים </t>
  </si>
  <si>
    <t xml:space="preserve">יתד תכניות לצעירים </t>
  </si>
  <si>
    <t xml:space="preserve">מעונות חסות ממשלתיים </t>
  </si>
  <si>
    <t xml:space="preserve">טיפול בסמים-שכר </t>
  </si>
  <si>
    <t xml:space="preserve">סמים-טפול בקהילה </t>
  </si>
  <si>
    <t xml:space="preserve">מפת"ן מקומי-ממשלה </t>
  </si>
  <si>
    <t xml:space="preserve">מרכז עוצמה </t>
  </si>
  <si>
    <t xml:space="preserve">מסגד -חשמל </t>
  </si>
  <si>
    <t xml:space="preserve">מסגד- מים </t>
  </si>
  <si>
    <t xml:space="preserve">איגוד ערים -אכות הסביבה </t>
  </si>
  <si>
    <t xml:space="preserve">אחזקת מבנים </t>
  </si>
  <si>
    <t xml:space="preserve">מים </t>
  </si>
  <si>
    <t xml:space="preserve">צרכי משרד וריהוט </t>
  </si>
  <si>
    <t xml:space="preserve">שכירות בניין מועצה </t>
  </si>
  <si>
    <t xml:space="preserve">ע"ח קרן הלואות ביוב </t>
  </si>
  <si>
    <t xml:space="preserve">ע"ח ריבית הלואות ביוב </t>
  </si>
  <si>
    <t xml:space="preserve">ע"ח הצמדה הלואות ביוב </t>
  </si>
  <si>
    <t xml:space="preserve">ביוב-עבודות קבלניות </t>
  </si>
  <si>
    <t xml:space="preserve">חשמל תחנת שאיבה </t>
  </si>
  <si>
    <t xml:space="preserve">הוצאות שנים קודמות </t>
  </si>
  <si>
    <t xml:space="preserve">הנחות ממסים-מצב סוציאלי </t>
  </si>
  <si>
    <t xml:space="preserve">פנסיה נבחרים </t>
  </si>
  <si>
    <t xml:space="preserve">פנסיונרים-משכורת </t>
  </si>
  <si>
    <t xml:space="preserve">הוצאה מותנית </t>
  </si>
  <si>
    <t>השתתפות בתקציב בלתי רגיל בניין מועצה</t>
  </si>
  <si>
    <t>תקציב 2023</t>
  </si>
  <si>
    <t>משרות 2023</t>
  </si>
  <si>
    <t>צפי ביצוע 2022</t>
  </si>
  <si>
    <t>הכנסות גיך רך מקופות חולי</t>
  </si>
  <si>
    <t xml:space="preserve">סייעות רפואיות </t>
  </si>
  <si>
    <t xml:space="preserve">חינוך תעבורתי 613 </t>
  </si>
  <si>
    <t xml:space="preserve">באים בטוב </t>
  </si>
  <si>
    <t xml:space="preserve">סייעת לילד חולה בבית 096 </t>
  </si>
  <si>
    <t xml:space="preserve">חיזוק הכלה והשתלבות </t>
  </si>
  <si>
    <t xml:space="preserve">הכנסות ממעונות סלאם </t>
  </si>
  <si>
    <t xml:space="preserve">מענק יובל על יסודי 732 </t>
  </si>
  <si>
    <t xml:space="preserve">מניעת נשירה עכשיו 564 </t>
  </si>
  <si>
    <t xml:space="preserve">הזנת תלמיד 843 </t>
  </si>
  <si>
    <t xml:space="preserve">מועדניות ברשיות </t>
  </si>
  <si>
    <t xml:space="preserve">סל ספורט </t>
  </si>
  <si>
    <t xml:space="preserve">תוכניות לילד החריג </t>
  </si>
  <si>
    <t xml:space="preserve">מדרכות קייטנת גיל רך </t>
  </si>
  <si>
    <t xml:space="preserve">אפשרי בריא </t>
  </si>
  <si>
    <t xml:space="preserve">הוצ' שונות -מפעל הזנה </t>
  </si>
  <si>
    <t xml:space="preserve">משכורת -תוכנית הכח לצמוח </t>
  </si>
  <si>
    <t xml:space="preserve">שכר תוכנית מנ"ע </t>
  </si>
  <si>
    <t xml:space="preserve">תוכנית מנ"ע </t>
  </si>
  <si>
    <t xml:space="preserve">משפחות קלט רשות </t>
  </si>
  <si>
    <t xml:space="preserve">מועדונים לזקנים-הסעות </t>
  </si>
  <si>
    <t>מערכים טכנולוגיים עיר ללא אלימות</t>
  </si>
  <si>
    <t>עצירת הדימום משרד הבטחון</t>
  </si>
  <si>
    <t>עו"סית משטרה</t>
  </si>
  <si>
    <t>שוויון חברתי מעורבות חברתית</t>
  </si>
  <si>
    <t>רכז צעירים עם מוגבליות</t>
  </si>
  <si>
    <t>עיר ללא אלימות פעולות</t>
  </si>
  <si>
    <t>עו"סית משטרה משרד הבטחון</t>
  </si>
  <si>
    <t>מנכ"ל + מזכירות - שכר</t>
  </si>
  <si>
    <t>משרד הבטחון פיקוח עירוני</t>
  </si>
  <si>
    <t>בית חם</t>
  </si>
  <si>
    <t>שיקום שכונות אור</t>
  </si>
  <si>
    <t>רווחה חינוכית פעילות</t>
  </si>
  <si>
    <t>מנהל יחידת 360</t>
  </si>
  <si>
    <t>רכז צעירים עם מוגבלות</t>
  </si>
  <si>
    <t>שכר רכז צעירים</t>
  </si>
  <si>
    <t/>
  </si>
  <si>
    <t>גפן רשותי</t>
  </si>
  <si>
    <t>גפן מיצינג</t>
  </si>
  <si>
    <t>גפן חט"ב ותיכון</t>
  </si>
  <si>
    <t>גפן רשותי וחט"בים</t>
  </si>
  <si>
    <t xml:space="preserve">הוצאות מודד </t>
  </si>
  <si>
    <t xml:space="preserve">הכנסות גפ"ן </t>
  </si>
  <si>
    <t xml:space="preserve">מסיבות כיתתיות </t>
  </si>
  <si>
    <t xml:space="preserve">הוצאות מחשוב </t>
  </si>
  <si>
    <t xml:space="preserve">תוכנית אתגרים פעיליות </t>
  </si>
  <si>
    <t>סה"כ תשלומים</t>
  </si>
  <si>
    <t>סבסוד חינוך</t>
  </si>
  <si>
    <t>סבסוד רווחה</t>
  </si>
  <si>
    <t>הוצאות מודד</t>
  </si>
  <si>
    <t>בתי ספר מקדמי בריאות</t>
  </si>
  <si>
    <t>גפן סל מוסדי הכנסות- מקביל</t>
  </si>
  <si>
    <t>משרות דרגות קידום 606</t>
  </si>
  <si>
    <t>ימי מחלה שלא נוצלו 093</t>
  </si>
  <si>
    <t>הכנסות גיך רך מקופות חולים פיז</t>
  </si>
  <si>
    <t>תכנית ניצנים -הזנה  633</t>
  </si>
  <si>
    <t>הכנסות גפ"ן</t>
  </si>
  <si>
    <t>מב"ר אתגר</t>
  </si>
  <si>
    <t>חינוך תעבורתי 316</t>
  </si>
  <si>
    <t>באים בטוב</t>
  </si>
  <si>
    <t>סייעת לילד חולה בבית 690</t>
  </si>
  <si>
    <t>הכנסות ממעונות סלאם</t>
  </si>
  <si>
    <t>מענק יובל על יסודי 237</t>
  </si>
  <si>
    <t>מניעת נשירה עכשיו 465</t>
  </si>
  <si>
    <t>הזנת תלמיד 348</t>
  </si>
  <si>
    <t>הכנסות גפן</t>
  </si>
  <si>
    <t>קיזוז - על יסודי</t>
  </si>
  <si>
    <t>תכנית ממ"ש 687</t>
  </si>
  <si>
    <t>מסג.קיץ תלמיד -ת רגיל</t>
  </si>
  <si>
    <t>מסגרת קיץ -תלמיד חנ.מ</t>
  </si>
  <si>
    <t>מסגרת קיץ פר מוסד</t>
  </si>
  <si>
    <t>מסגרת קיץ.-גנ"י- ת רגיל</t>
  </si>
  <si>
    <t>תכנית למניעת נשירה 436</t>
  </si>
  <si>
    <t>שכר המנהל מחלקת נוער</t>
  </si>
  <si>
    <t>סיוע לאזרחים ותיקים</t>
  </si>
  <si>
    <t>נוצ"צ שירותים בקהילה</t>
  </si>
  <si>
    <t>נפשונים משה ושיקום</t>
  </si>
  <si>
    <t>פעילות אבטחה</t>
  </si>
  <si>
    <t>צריכים יוחודיים בתיאום המחוז ה</t>
  </si>
  <si>
    <t>עצירת הדימום פעילות ותשתיות</t>
  </si>
  <si>
    <t>מקדמי בריאות</t>
  </si>
  <si>
    <t>גפן סל מוסדי הוצאות - מקביל</t>
  </si>
  <si>
    <t>גפן - מאצ'ינג</t>
  </si>
  <si>
    <t>תכנית ניצנים -הזנה</t>
  </si>
  <si>
    <t>אפשרי בריא</t>
  </si>
  <si>
    <t>הקצבות יעודיות סלע</t>
  </si>
  <si>
    <t>גפן שכר</t>
  </si>
  <si>
    <t>משכורת -תוכנית הכח לצמוח</t>
  </si>
  <si>
    <t>מסג.חינוכיות בחופשות</t>
  </si>
  <si>
    <t>שכר תוכנית מנ"ע</t>
  </si>
  <si>
    <t>ליווי הסעות - קבלניות</t>
  </si>
  <si>
    <t>פעילות ראש הממשלה מעורבות חברת</t>
  </si>
  <si>
    <t>נפשונים משה ושיקום 08.23</t>
  </si>
  <si>
    <t xml:space="preserve">הפרשי מדידות 2202 </t>
  </si>
  <si>
    <t xml:space="preserve">עצירת הדימום משרד הבטחון </t>
  </si>
  <si>
    <t xml:space="preserve">עו"סית משטרה </t>
  </si>
  <si>
    <t xml:space="preserve">משרד הבטחון פיקוח עירוני </t>
  </si>
  <si>
    <t xml:space="preserve">בתי ספר מקדמי בריאות </t>
  </si>
  <si>
    <t>גפן סל מוסדי הכנסות- מקבי</t>
  </si>
  <si>
    <t xml:space="preserve">משרות דרגות קידום 606 </t>
  </si>
  <si>
    <t xml:space="preserve">ימי מחלה שלא נוצלו 390 </t>
  </si>
  <si>
    <t xml:space="preserve">תכנית ניצנים -הזנה 336 </t>
  </si>
  <si>
    <t xml:space="preserve">מב"ר אתגר </t>
  </si>
  <si>
    <t xml:space="preserve">הכנסות גפן </t>
  </si>
  <si>
    <t xml:space="preserve">קיזוז - על יסודי </t>
  </si>
  <si>
    <t xml:space="preserve">תכנית ממ"ש 786 </t>
  </si>
  <si>
    <t xml:space="preserve">רכז צעירים עם מוגבליות </t>
  </si>
  <si>
    <t xml:space="preserve">מסג.קיץ תלמיד -ת רגיל </t>
  </si>
  <si>
    <t xml:space="preserve">מסגרת קיץ -תלמיד חנ.מ </t>
  </si>
  <si>
    <t xml:space="preserve">מסגרת קיץ פר מוסד </t>
  </si>
  <si>
    <t xml:space="preserve">מסגרת קיץ.-גנ"י- ת רגיל </t>
  </si>
  <si>
    <t xml:space="preserve">תכנית למניעת נשירה 634 </t>
  </si>
  <si>
    <t xml:space="preserve">שכר המנהל מחלקת נוער </t>
  </si>
  <si>
    <t xml:space="preserve">סיוע לאזרחים ותיקים </t>
  </si>
  <si>
    <t xml:space="preserve">נוצ"צ שירותים בקהילה </t>
  </si>
  <si>
    <t xml:space="preserve">נפשונים משה ושיקום </t>
  </si>
  <si>
    <t xml:space="preserve">מענק פנים לכיסוי גרעון </t>
  </si>
  <si>
    <t xml:space="preserve">פרסום ושילוט </t>
  </si>
  <si>
    <t xml:space="preserve">הוצאות משפטיות-אגרות </t>
  </si>
  <si>
    <t xml:space="preserve">שכירות בניין </t>
  </si>
  <si>
    <t xml:space="preserve">הוצאות בחירות </t>
  </si>
  <si>
    <t xml:space="preserve">מינהל הרכש </t>
  </si>
  <si>
    <t xml:space="preserve">רכבי מועצה-דלק ושמנים </t>
  </si>
  <si>
    <t xml:space="preserve">שמירה משכורת </t>
  </si>
  <si>
    <t xml:space="preserve">פעילות אבטחה </t>
  </si>
  <si>
    <t>עצירת הדימום פעילות ותשתי</t>
  </si>
  <si>
    <t xml:space="preserve">אח.כבישים פנימיים-שכר </t>
  </si>
  <si>
    <t xml:space="preserve">גפן -- מוכש"ר 507 </t>
  </si>
  <si>
    <t xml:space="preserve">מקדמי בריאות </t>
  </si>
  <si>
    <t>גפן סל מוסדי הוצאות - מקב</t>
  </si>
  <si>
    <t xml:space="preserve">גפן - מאצ'ינג </t>
  </si>
  <si>
    <t xml:space="preserve">ציוד ורהוט </t>
  </si>
  <si>
    <t xml:space="preserve">תכנית ניצנים - גנ"י 136 </t>
  </si>
  <si>
    <t xml:space="preserve">תכנית ניצנים -הזנה </t>
  </si>
  <si>
    <t>מסיבות כיתתיות . וסל תרבו</t>
  </si>
  <si>
    <t xml:space="preserve">גפן רשותי </t>
  </si>
  <si>
    <t xml:space="preserve">גפן מאצ'ינג </t>
  </si>
  <si>
    <t xml:space="preserve">גפן שכר </t>
  </si>
  <si>
    <t xml:space="preserve">גפן חט"ב ותיכון </t>
  </si>
  <si>
    <t xml:space="preserve">אגרת תלמידי חוץ </t>
  </si>
  <si>
    <t xml:space="preserve">משכורת </t>
  </si>
  <si>
    <t xml:space="preserve">מסג.חינוכיות בחופשות </t>
  </si>
  <si>
    <t xml:space="preserve">ליווי הסעות - קבלניות </t>
  </si>
  <si>
    <t xml:space="preserve">שכר מעון יום למפגרים </t>
  </si>
  <si>
    <t xml:space="preserve">נפשונים משה ושיקום 32.80 </t>
  </si>
  <si>
    <t xml:space="preserve">בדיקות למשתמשי סמים </t>
  </si>
  <si>
    <t xml:space="preserve">אחזקת אוטיסים במסגרת </t>
  </si>
  <si>
    <t>שכר פנסיה</t>
  </si>
  <si>
    <t xml:space="preserve">מענק לכיסוי גרעון </t>
  </si>
  <si>
    <t>צפי ביצוע 2023</t>
  </si>
  <si>
    <t>מענק 550</t>
  </si>
  <si>
    <t>מענק צמצום פערים</t>
  </si>
  <si>
    <t>סייעת 2 והעשרה</t>
  </si>
  <si>
    <t>הכנסות גיך רך מקופות חולים</t>
  </si>
  <si>
    <t>תקציב 2024</t>
  </si>
  <si>
    <t>משרות 2024</t>
  </si>
  <si>
    <t>מרכז תעסוקת לב</t>
  </si>
  <si>
    <t>פרסום ושילוט</t>
  </si>
  <si>
    <t>ציוד ורהוט</t>
  </si>
  <si>
    <t>שרותי הפעלה קיטנות קיץ</t>
  </si>
  <si>
    <t>גפן מאצ'ינג</t>
  </si>
  <si>
    <t>ספריה שכר</t>
  </si>
  <si>
    <t>מרכזי תעסוקה לב</t>
  </si>
  <si>
    <t>אחזקת אוטיסים במסגרת</t>
  </si>
  <si>
    <t>ביצוע 2023</t>
  </si>
  <si>
    <t xml:space="preserve">נושמים לרווחה   </t>
  </si>
  <si>
    <t>שכר בית חם</t>
  </si>
  <si>
    <t>צוער וממצא משאבים</t>
  </si>
  <si>
    <t>משכורת-שפע</t>
  </si>
  <si>
    <t>שכירות בניינים</t>
  </si>
  <si>
    <t>שעות שילוב חט"ע 456</t>
  </si>
  <si>
    <t>גמול חונך בחט"ע</t>
  </si>
  <si>
    <t>ל.דפרנצלי ערבית</t>
  </si>
  <si>
    <t xml:space="preserve">העברה מקרן לא יעודית </t>
  </si>
  <si>
    <t>אם בית לבית המועצה</t>
  </si>
  <si>
    <t>ביצוע  2023</t>
  </si>
  <si>
    <t>התפלגות הכנסות לפי פרקים</t>
  </si>
  <si>
    <t xml:space="preserve">תרשים 1: התפלגות תקבולים </t>
  </si>
  <si>
    <t>הנחות ארנונה ואחרים</t>
  </si>
  <si>
    <t>תרשים 3: התפלגות תשלומים</t>
  </si>
  <si>
    <t>סה"כ שכר</t>
  </si>
  <si>
    <t xml:space="preserve">סה"כ פעולות </t>
  </si>
  <si>
    <t>הוצאות מימון, פרעון מלוות והוצאה מותנה</t>
  </si>
  <si>
    <t>תרשים 5: מחלקת רווחה</t>
  </si>
  <si>
    <t xml:space="preserve">סה"כ רווחה (שכר ופעולות) מסה"כ תקציב </t>
  </si>
  <si>
    <t>סה"כ חינוך (שכר ופעולות) מסה"כ תקציב</t>
  </si>
  <si>
    <t>כפר קרע (מבוקר 2022)</t>
  </si>
  <si>
    <t>פרדיס (מבוקר 2022)</t>
  </si>
  <si>
    <t>ג'סר אלזרקא (תקציב 2024)</t>
  </si>
  <si>
    <t>תרשים 6: מחלקת חינוך</t>
  </si>
  <si>
    <t xml:space="preserve">תרשים 2: תקבולים ממשרדי ממשלה מול הכנסות עצמיות </t>
  </si>
  <si>
    <t>תרשים 4:  פעולות מול שכר</t>
  </si>
  <si>
    <t>טור</t>
  </si>
  <si>
    <t>הצעת תקציב רגיל 
לשנת הכספים
 2025</t>
  </si>
  <si>
    <t>מסגרת  תקציב רגיל לשנת הכספים
2025</t>
  </si>
  <si>
    <t xml:space="preserve">הפחתת הבראה </t>
  </si>
  <si>
    <t xml:space="preserve">9 - שעתי </t>
  </si>
  <si>
    <t xml:space="preserve">סנא </t>
  </si>
  <si>
    <t>רומאיס</t>
  </si>
  <si>
    <t xml:space="preserve">נגואן </t>
  </si>
  <si>
    <t xml:space="preserve">נבין </t>
  </si>
  <si>
    <t xml:space="preserve">טברק </t>
  </si>
  <si>
    <t xml:space="preserve">נפיסה </t>
  </si>
  <si>
    <t xml:space="preserve">שפיקה </t>
  </si>
  <si>
    <t xml:space="preserve">זרד אבו </t>
  </si>
  <si>
    <t xml:space="preserve">מונה </t>
  </si>
  <si>
    <t xml:space="preserve">סיהאם </t>
  </si>
  <si>
    <t xml:space="preserve">שתילא </t>
  </si>
  <si>
    <t xml:space="preserve">חילוד </t>
  </si>
  <si>
    <t xml:space="preserve">פרידה </t>
  </si>
  <si>
    <t xml:space="preserve">עיאט </t>
  </si>
  <si>
    <t xml:space="preserve">דמלחי </t>
  </si>
  <si>
    <t xml:space="preserve">ריאן </t>
  </si>
  <si>
    <t xml:space="preserve">וודאד </t>
  </si>
  <si>
    <t xml:space="preserve">אמל </t>
  </si>
  <si>
    <t xml:space="preserve">אדיאן </t>
  </si>
  <si>
    <t xml:space="preserve">זראע </t>
  </si>
  <si>
    <t xml:space="preserve">ראבעה </t>
  </si>
  <si>
    <t>מורגנה</t>
  </si>
  <si>
    <t xml:space="preserve">סוגוד </t>
  </si>
  <si>
    <t>מונירה</t>
  </si>
  <si>
    <t xml:space="preserve">דוהא </t>
  </si>
  <si>
    <t xml:space="preserve">אבו חמאד </t>
  </si>
  <si>
    <t xml:space="preserve">עאדן </t>
  </si>
  <si>
    <t xml:space="preserve">אילול </t>
  </si>
  <si>
    <t>ג'רבאן מסא</t>
  </si>
  <si>
    <t>אומייה</t>
  </si>
  <si>
    <t>חדיג'ה</t>
  </si>
  <si>
    <t xml:space="preserve">זהא </t>
  </si>
  <si>
    <t xml:space="preserve">אבו שאב </t>
  </si>
  <si>
    <t>גופראן</t>
  </si>
  <si>
    <t>סונדוס</t>
  </si>
  <si>
    <t xml:space="preserve">קאדר </t>
  </si>
  <si>
    <t>ראג'חה</t>
  </si>
  <si>
    <t xml:space="preserve">שחאדה </t>
  </si>
  <si>
    <t xml:space="preserve">ניצא </t>
  </si>
  <si>
    <t xml:space="preserve">הלאילה </t>
  </si>
  <si>
    <t xml:space="preserve">ראמיה </t>
  </si>
  <si>
    <t xml:space="preserve">טלב </t>
  </si>
  <si>
    <t>נאדייה</t>
  </si>
  <si>
    <t xml:space="preserve">שאהב </t>
  </si>
  <si>
    <t xml:space="preserve">אסלאם </t>
  </si>
  <si>
    <t xml:space="preserve">פדאא </t>
  </si>
  <si>
    <t>ארגואל</t>
  </si>
  <si>
    <t xml:space="preserve">אל שאמי </t>
  </si>
  <si>
    <t xml:space="preserve">גרבאן אבו </t>
  </si>
  <si>
    <t xml:space="preserve">רשוואן </t>
  </si>
  <si>
    <t xml:space="preserve">רהף </t>
  </si>
  <si>
    <t>גרבאן אניס</t>
  </si>
  <si>
    <t xml:space="preserve">אגבארייה </t>
  </si>
  <si>
    <t xml:space="preserve">מחמד </t>
  </si>
  <si>
    <t>גרבאן עמאש</t>
  </si>
  <si>
    <t xml:space="preserve">דוח'אן </t>
  </si>
  <si>
    <t xml:space="preserve">חוסין </t>
  </si>
  <si>
    <t xml:space="preserve">חסאן </t>
  </si>
  <si>
    <t xml:space="preserve">אשואק </t>
  </si>
  <si>
    <t xml:space="preserve">דוח'י </t>
  </si>
  <si>
    <t xml:space="preserve">דוריד </t>
  </si>
  <si>
    <t xml:space="preserve">אבו הייגה </t>
  </si>
  <si>
    <t xml:space="preserve">בישר </t>
  </si>
  <si>
    <t xml:space="preserve">כפאח </t>
  </si>
  <si>
    <t xml:space="preserve">איאד </t>
  </si>
  <si>
    <t xml:space="preserve">דעאא </t>
  </si>
  <si>
    <t xml:space="preserve">אבו טועמה </t>
  </si>
  <si>
    <t xml:space="preserve">סןגןד </t>
  </si>
  <si>
    <t xml:space="preserve">עאשור </t>
  </si>
  <si>
    <t xml:space="preserve">וולאא </t>
  </si>
  <si>
    <t xml:space="preserve">טיארה </t>
  </si>
  <si>
    <t>מייסון</t>
  </si>
  <si>
    <t xml:space="preserve">אבו חוסין </t>
  </si>
  <si>
    <t xml:space="preserve">ואסים </t>
  </si>
  <si>
    <t xml:space="preserve">נרגס </t>
  </si>
  <si>
    <t xml:space="preserve">עליה </t>
  </si>
  <si>
    <t xml:space="preserve">פראס </t>
  </si>
  <si>
    <t xml:space="preserve">ראיסה </t>
  </si>
  <si>
    <t xml:space="preserve">אבו סריה </t>
  </si>
  <si>
    <t xml:space="preserve">אפתכר </t>
  </si>
  <si>
    <t xml:space="preserve">מגאדלה </t>
  </si>
  <si>
    <t xml:space="preserve">מועאד </t>
  </si>
  <si>
    <t xml:space="preserve">שרקייה </t>
  </si>
  <si>
    <t xml:space="preserve">גאבר </t>
  </si>
  <si>
    <t xml:space="preserve">אמני </t>
  </si>
  <si>
    <t>עאיישה</t>
  </si>
  <si>
    <t xml:space="preserve">דקנאש </t>
  </si>
  <si>
    <t>סומייה</t>
  </si>
  <si>
    <t xml:space="preserve">אלכעאבנה </t>
  </si>
  <si>
    <t xml:space="preserve">סאלם </t>
  </si>
  <si>
    <t xml:space="preserve">צידאוי </t>
  </si>
  <si>
    <t xml:space="preserve">קדורה </t>
  </si>
  <si>
    <t xml:space="preserve">מוסא </t>
  </si>
  <si>
    <t xml:space="preserve">ראדי </t>
  </si>
  <si>
    <t xml:space="preserve">סואעד </t>
  </si>
  <si>
    <t xml:space="preserve">נשרין </t>
  </si>
  <si>
    <t xml:space="preserve">עפאף </t>
  </si>
  <si>
    <t xml:space="preserve">ופאא </t>
  </si>
  <si>
    <t xml:space="preserve">שפאא </t>
  </si>
  <si>
    <t xml:space="preserve">סמאהר </t>
  </si>
  <si>
    <t xml:space="preserve">ראון </t>
  </si>
  <si>
    <t xml:space="preserve">נדין </t>
  </si>
  <si>
    <t xml:space="preserve">יכין </t>
  </si>
  <si>
    <t xml:space="preserve">סנאבל </t>
  </si>
  <si>
    <t xml:space="preserve">חאממי </t>
  </si>
  <si>
    <t xml:space="preserve">סוהיל </t>
  </si>
  <si>
    <t xml:space="preserve">מוניה </t>
  </si>
  <si>
    <t xml:space="preserve">פטינה </t>
  </si>
  <si>
    <t xml:space="preserve">מטרי </t>
  </si>
  <si>
    <t xml:space="preserve">ביאן </t>
  </si>
  <si>
    <t xml:space="preserve">גמיל </t>
  </si>
  <si>
    <t xml:space="preserve">אל קרש </t>
  </si>
  <si>
    <t xml:space="preserve">אבו דאהש </t>
  </si>
  <si>
    <t xml:space="preserve">היפה </t>
  </si>
  <si>
    <t>נרג'רס</t>
  </si>
  <si>
    <t xml:space="preserve">הראל </t>
  </si>
  <si>
    <t xml:space="preserve">גלית </t>
  </si>
  <si>
    <t xml:space="preserve">עומר </t>
  </si>
  <si>
    <t>אבו חוסיין</t>
  </si>
  <si>
    <t xml:space="preserve">עאוני </t>
  </si>
  <si>
    <t xml:space="preserve">פייר </t>
  </si>
  <si>
    <t xml:space="preserve">תמיר </t>
  </si>
  <si>
    <t xml:space="preserve">ווסאם </t>
  </si>
  <si>
    <t xml:space="preserve">חגאזי </t>
  </si>
  <si>
    <t xml:space="preserve">דימא </t>
  </si>
  <si>
    <t xml:space="preserve">טוואטחה </t>
  </si>
  <si>
    <t xml:space="preserve">פינקוס </t>
  </si>
  <si>
    <t xml:space="preserve">יצחק </t>
  </si>
  <si>
    <t xml:space="preserve">סגה </t>
  </si>
  <si>
    <t>ענאבוסי נג</t>
  </si>
  <si>
    <t xml:space="preserve">סוהור </t>
  </si>
  <si>
    <t xml:space="preserve">עלאא </t>
  </si>
  <si>
    <t xml:space="preserve">נאדין </t>
  </si>
  <si>
    <t xml:space="preserve">אלהאם </t>
  </si>
  <si>
    <t xml:space="preserve">עדן </t>
  </si>
  <si>
    <t>סלסביל</t>
  </si>
  <si>
    <t xml:space="preserve">ראום </t>
  </si>
  <si>
    <t xml:space="preserve">בלסם </t>
  </si>
  <si>
    <t xml:space="preserve">חביבה </t>
  </si>
  <si>
    <t xml:space="preserve">סלחה </t>
  </si>
  <si>
    <t xml:space="preserve">רואה </t>
  </si>
  <si>
    <t>נרימאן</t>
  </si>
  <si>
    <t xml:space="preserve">מנאר </t>
  </si>
  <si>
    <t xml:space="preserve">בויראת </t>
  </si>
  <si>
    <t xml:space="preserve">מרוה </t>
  </si>
  <si>
    <t xml:space="preserve">אסראא </t>
  </si>
  <si>
    <t xml:space="preserve">בקה </t>
  </si>
  <si>
    <t>חוסניי</t>
  </si>
  <si>
    <t xml:space="preserve">דקה </t>
  </si>
  <si>
    <t xml:space="preserve">פותנה </t>
  </si>
  <si>
    <t xml:space="preserve">תורקמאן </t>
  </si>
  <si>
    <t xml:space="preserve">מולחם </t>
  </si>
  <si>
    <t xml:space="preserve">כרמאן </t>
  </si>
  <si>
    <t xml:space="preserve">מיסה </t>
  </si>
  <si>
    <t xml:space="preserve">רוזה </t>
  </si>
  <si>
    <t xml:space="preserve">גנאים </t>
  </si>
  <si>
    <t xml:space="preserve">זריפה </t>
  </si>
  <si>
    <t xml:space="preserve">מיאר </t>
  </si>
  <si>
    <t xml:space="preserve">חוסון </t>
  </si>
  <si>
    <t xml:space="preserve">אסיל </t>
  </si>
  <si>
    <t xml:space="preserve">הינד </t>
  </si>
  <si>
    <t xml:space="preserve">סמאר </t>
  </si>
  <si>
    <t xml:space="preserve">שמייה </t>
  </si>
  <si>
    <t xml:space="preserve">נאילה </t>
  </si>
  <si>
    <t xml:space="preserve">חסאם </t>
  </si>
  <si>
    <t>עותמאן סלא</t>
  </si>
  <si>
    <t xml:space="preserve">סהא </t>
  </si>
  <si>
    <t xml:space="preserve">אידה </t>
  </si>
  <si>
    <t xml:space="preserve">וסימה </t>
  </si>
  <si>
    <t xml:space="preserve">נאטור </t>
  </si>
  <si>
    <t xml:space="preserve">סגוד </t>
  </si>
  <si>
    <t xml:space="preserve">אבו פנה </t>
  </si>
  <si>
    <t>כבהה אגברי</t>
  </si>
  <si>
    <t xml:space="preserve">פדווה </t>
  </si>
  <si>
    <t xml:space="preserve">רובא </t>
  </si>
  <si>
    <t xml:space="preserve">עיסא </t>
  </si>
  <si>
    <t xml:space="preserve">שבלי </t>
  </si>
  <si>
    <t xml:space="preserve">הלון </t>
  </si>
  <si>
    <t xml:space="preserve">וויאן </t>
  </si>
  <si>
    <t>אברהים</t>
  </si>
  <si>
    <t xml:space="preserve">ורקאני </t>
  </si>
  <si>
    <t xml:space="preserve">שוקרי </t>
  </si>
  <si>
    <t xml:space="preserve">דרובי </t>
  </si>
  <si>
    <t xml:space="preserve">עליזה </t>
  </si>
  <si>
    <t xml:space="preserve">דלה </t>
  </si>
  <si>
    <t xml:space="preserve">ח'דרה </t>
  </si>
  <si>
    <t xml:space="preserve">רשאא </t>
  </si>
  <si>
    <t xml:space="preserve">עאסי </t>
  </si>
  <si>
    <t xml:space="preserve">אבו דאהר </t>
  </si>
  <si>
    <t>חוואשי מסא</t>
  </si>
  <si>
    <t xml:space="preserve">מואסי </t>
  </si>
  <si>
    <t xml:space="preserve">ג'רה </t>
  </si>
  <si>
    <t xml:space="preserve">מיסאא </t>
  </si>
  <si>
    <t xml:space="preserve">ח'יאט </t>
  </si>
  <si>
    <t xml:space="preserve">תרזה </t>
  </si>
  <si>
    <t xml:space="preserve">אינס </t>
  </si>
  <si>
    <t xml:space="preserve">טועמה </t>
  </si>
  <si>
    <t xml:space="preserve">ואסיף </t>
  </si>
  <si>
    <t xml:space="preserve">טלעת </t>
  </si>
  <si>
    <t xml:space="preserve">חמדאן </t>
  </si>
  <si>
    <t xml:space="preserve">בארייה </t>
  </si>
  <si>
    <t xml:space="preserve">מאדי </t>
  </si>
  <si>
    <t>מסארוה עזב</t>
  </si>
  <si>
    <t xml:space="preserve">בראה </t>
  </si>
  <si>
    <t xml:space="preserve">עראם </t>
  </si>
  <si>
    <t xml:space="preserve">רונזא </t>
  </si>
  <si>
    <t xml:space="preserve">וגיהא </t>
  </si>
  <si>
    <t xml:space="preserve">אנאס </t>
  </si>
  <si>
    <t xml:space="preserve">רשא </t>
  </si>
  <si>
    <t xml:space="preserve">יתריב </t>
  </si>
  <si>
    <t xml:space="preserve">עז אל </t>
  </si>
  <si>
    <t>העברה מקרן לא יעדוית</t>
  </si>
  <si>
    <t>יוזמות תקנת סלע 2017 פיסול</t>
  </si>
  <si>
    <t>יתד צעירים</t>
  </si>
  <si>
    <t>לשכת ר"ה מועצה שכר</t>
  </si>
  <si>
    <t>כללי יסודי וגנים</t>
  </si>
  <si>
    <t>המרכז לגיל הרך פעילות לידה עד</t>
  </si>
  <si>
    <t>קייטנת אביב</t>
  </si>
  <si>
    <t>שמירה ואבטחת מוסדות חינוך - ע.</t>
  </si>
  <si>
    <t>תוכניות תקציב דוקאטוס</t>
  </si>
  <si>
    <t>שכר דוקאטוס</t>
  </si>
  <si>
    <t>יחידת בריאות פעילות</t>
  </si>
  <si>
    <t>שונות מיגון</t>
  </si>
  <si>
    <t>רווחה שונות</t>
  </si>
  <si>
    <t>סביבה  תומכת</t>
  </si>
  <si>
    <t>ציוד יסודי בניין המועצה</t>
  </si>
  <si>
    <t>ביצוע במערכת</t>
  </si>
  <si>
    <t xml:space="preserve">שריון </t>
  </si>
  <si>
    <t xml:space="preserve">ביצוע + שריון </t>
  </si>
  <si>
    <t>פקודות נוספות לסוף השנה</t>
  </si>
  <si>
    <t>סה"כ ביצוע צפוי 2024</t>
  </si>
  <si>
    <t>תקציב 2025</t>
  </si>
  <si>
    <t>חלוקה לטבלה מרכזת</t>
  </si>
  <si>
    <t>תקציב מאושר 2024</t>
  </si>
  <si>
    <t>הערות לתקציב 2025</t>
  </si>
  <si>
    <t>הצגה</t>
  </si>
  <si>
    <t>תקן 2025</t>
  </si>
  <si>
    <t>תקן 2024</t>
  </si>
  <si>
    <t xml:space="preserve">מענק מיוחד מ.הפנים </t>
  </si>
  <si>
    <t xml:space="preserve">העברה מקרן לא יעדוית </t>
  </si>
  <si>
    <t>תשלומי הורים חומרים )גנים</t>
  </si>
  <si>
    <t>יוזמות תקנת סלע 7102 פיסו</t>
  </si>
  <si>
    <t xml:space="preserve">אגרת שכפול יוח"א </t>
  </si>
  <si>
    <t xml:space="preserve">סייעות כיתתיות </t>
  </si>
  <si>
    <t xml:space="preserve">סייעת 2 והעשרה </t>
  </si>
  <si>
    <t xml:space="preserve">ל.דפרנצלי ערבית </t>
  </si>
  <si>
    <t xml:space="preserve">סביבה תומכת </t>
  </si>
  <si>
    <t xml:space="preserve">יתד צעירים </t>
  </si>
  <si>
    <t xml:space="preserve">צעירים חוץ ביתי </t>
  </si>
  <si>
    <t xml:space="preserve">מרכז תעסוקת לב </t>
  </si>
  <si>
    <t xml:space="preserve">לשכת ר"ה מועצה שכר </t>
  </si>
  <si>
    <t xml:space="preserve">יועצת למעמד האישה </t>
  </si>
  <si>
    <t xml:space="preserve">בטיחות בדרכיםן 4202 </t>
  </si>
  <si>
    <t xml:space="preserve">כללי יסודי וגנים </t>
  </si>
  <si>
    <t>המרכז לגיל הרך פעילות ליד</t>
  </si>
  <si>
    <t xml:space="preserve">קייטנת אביב </t>
  </si>
  <si>
    <t xml:space="preserve">תוכנית ניצנים- שכר </t>
  </si>
  <si>
    <t xml:space="preserve">תוכנית אומץ-שכר </t>
  </si>
  <si>
    <t>אגרת תלמידי חוץ חינוך מיו</t>
  </si>
  <si>
    <t xml:space="preserve">פיצוים תיכון </t>
  </si>
  <si>
    <t>שמירה ואבטחת מוסדות חינוך</t>
  </si>
  <si>
    <t xml:space="preserve">תוכניות תקציב דוקאטוס </t>
  </si>
  <si>
    <t xml:space="preserve">שכר דוקאטוס </t>
  </si>
  <si>
    <t xml:space="preserve">נוער ישובי-ת.לאוית </t>
  </si>
  <si>
    <t xml:space="preserve">התפתחות ויצירת קשר </t>
  </si>
  <si>
    <t xml:space="preserve">ספריה שכר </t>
  </si>
  <si>
    <t xml:space="preserve">פרויקטים מאושרים מ.נוער </t>
  </si>
  <si>
    <t xml:space="preserve">קייטנות </t>
  </si>
  <si>
    <t xml:space="preserve">תמיכות ספורט </t>
  </si>
  <si>
    <t xml:space="preserve">מרפאת שניים-משכורת </t>
  </si>
  <si>
    <t xml:space="preserve">יחידת בריאות פעילות </t>
  </si>
  <si>
    <t xml:space="preserve">שונות מיגון </t>
  </si>
  <si>
    <t xml:space="preserve">רווחה שונות </t>
  </si>
  <si>
    <t xml:space="preserve">מרכזי תעסוקה לב </t>
  </si>
  <si>
    <t xml:space="preserve">ציוד יסודי בניין המועצה </t>
  </si>
  <si>
    <t>ביצוע צפוי 2024</t>
  </si>
  <si>
    <t>משרות 2025</t>
  </si>
  <si>
    <t>2024/11</t>
  </si>
  <si>
    <t>יונס גארבא</t>
  </si>
  <si>
    <t xml:space="preserve">סעיף תקציבי </t>
  </si>
  <si>
    <t>שם סעיף תקציבי</t>
  </si>
  <si>
    <t>היקף משרה 1-11/2024</t>
  </si>
  <si>
    <t>סהכ כללי עלות מעביד 30.11.2024</t>
  </si>
  <si>
    <t>משכורת רישוי עסקים</t>
  </si>
  <si>
    <t>שכר חודש 11 (אינדיקציה לחודש 12)</t>
  </si>
  <si>
    <t>סה"כ שכר צפוי 2024</t>
  </si>
  <si>
    <t>מקדם 3.5%</t>
  </si>
  <si>
    <t>1611100110 סה"כ</t>
  </si>
  <si>
    <t>1611110110 סה"כ</t>
  </si>
  <si>
    <t>1613000110 סה"כ</t>
  </si>
  <si>
    <t>1615000110 סה"כ</t>
  </si>
  <si>
    <t>1615101110 סה"כ</t>
  </si>
  <si>
    <t>1621200110 סה"כ</t>
  </si>
  <si>
    <t>1621300110 סה"כ</t>
  </si>
  <si>
    <t>1623000110 סה"כ</t>
  </si>
  <si>
    <t>1624000110 סה"כ</t>
  </si>
  <si>
    <t>1711000110 סה"כ</t>
  </si>
  <si>
    <t>1713000110 סה"כ</t>
  </si>
  <si>
    <t>1722000110 סה"כ</t>
  </si>
  <si>
    <t>1722002110 סה"כ</t>
  </si>
  <si>
    <t>1723100110 סה"כ</t>
  </si>
  <si>
    <t>1725000110 סה"כ</t>
  </si>
  <si>
    <t>1725004110 סה"כ</t>
  </si>
  <si>
    <t>1731000110 סה"כ</t>
  </si>
  <si>
    <t>1741000110 סה"כ</t>
  </si>
  <si>
    <t>1742200110 סה"כ</t>
  </si>
  <si>
    <t>1747200110 סה"כ</t>
  </si>
  <si>
    <t>1811000110 סה"כ</t>
  </si>
  <si>
    <t>1812200110 סה"כ</t>
  </si>
  <si>
    <t>1812300110 סה"כ</t>
  </si>
  <si>
    <t>1812400110 סה"כ</t>
  </si>
  <si>
    <t>1812500110 סה"כ</t>
  </si>
  <si>
    <t>1813210110 סה"כ</t>
  </si>
  <si>
    <t>1813212110 סה"כ</t>
  </si>
  <si>
    <t>1813220110 סה"כ</t>
  </si>
  <si>
    <t>1813230110 סה"כ</t>
  </si>
  <si>
    <t>1813240110 סה"כ</t>
  </si>
  <si>
    <t>1813250110 סה"כ</t>
  </si>
  <si>
    <t>1813251110 סה"כ</t>
  </si>
  <si>
    <t>1813260110 סה"כ</t>
  </si>
  <si>
    <t>1813300110 סה"כ</t>
  </si>
  <si>
    <t>1813800110 סה"כ</t>
  </si>
  <si>
    <t>1813810110 סה"כ</t>
  </si>
  <si>
    <t>1814000110 סה"כ</t>
  </si>
  <si>
    <t>1815200110 סה"כ</t>
  </si>
  <si>
    <t>1815220110 סה"כ</t>
  </si>
  <si>
    <t>1817300110 סה"כ</t>
  </si>
  <si>
    <t>1817600110 סה"כ</t>
  </si>
  <si>
    <t>1817602110 סה"כ</t>
  </si>
  <si>
    <t>1817610110 סה"כ</t>
  </si>
  <si>
    <t>1817700110 סה"כ</t>
  </si>
  <si>
    <t>1817720110 סה"כ</t>
  </si>
  <si>
    <t>1817800110 סה"כ</t>
  </si>
  <si>
    <t>1817900110 סה"כ</t>
  </si>
  <si>
    <t>1817905110 סה"כ</t>
  </si>
  <si>
    <t>1817910110 סה"כ</t>
  </si>
  <si>
    <t>1817911110 סה"כ</t>
  </si>
  <si>
    <t>1817913110 סה"כ</t>
  </si>
  <si>
    <t>1817916110 סה"כ</t>
  </si>
  <si>
    <t>1817917110 סה"כ</t>
  </si>
  <si>
    <t>1817920110 סה"כ</t>
  </si>
  <si>
    <t>1823000110 סה"כ</t>
  </si>
  <si>
    <t>1824030110 סה"כ</t>
  </si>
  <si>
    <t>1824035110 סה"כ</t>
  </si>
  <si>
    <t>1828100110 סה"כ</t>
  </si>
  <si>
    <t>1828300110 סה"כ</t>
  </si>
  <si>
    <t>1829100110 סה"כ</t>
  </si>
  <si>
    <t>1829210110 סה"כ</t>
  </si>
  <si>
    <t>1832000110 סה"כ</t>
  </si>
  <si>
    <t>1832400110 סה"כ</t>
  </si>
  <si>
    <t>1841001110 סה"כ</t>
  </si>
  <si>
    <t>1841100110 סה"כ</t>
  </si>
  <si>
    <t>1842200110 סה"כ</t>
  </si>
  <si>
    <t>1844401110 סה"כ</t>
  </si>
  <si>
    <t>1845200110 סה"כ</t>
  </si>
  <si>
    <t>1999000110 סה"כ</t>
  </si>
  <si>
    <t>עבר לרישוי עסקים</t>
  </si>
  <si>
    <t>שכר 10+11/2024</t>
  </si>
  <si>
    <t>קב"סים משכורת</t>
  </si>
  <si>
    <t>שכר 10+11/2024 + מיון</t>
  </si>
  <si>
    <t>ייעוץ 12.2024</t>
  </si>
  <si>
    <t>שכ"ט 12.2024</t>
  </si>
  <si>
    <t>אוטומציה 12.2024</t>
  </si>
  <si>
    <t>פרעון מלוות 11+12/2024</t>
  </si>
  <si>
    <t>הסעיף כולל ניקיון שטחים פתוחים (מיון מסעיף קבלניות בחינוך)</t>
  </si>
  <si>
    <t>פינוי אשפה 10-12/2024</t>
  </si>
  <si>
    <t>מכסות 11-12/2024</t>
  </si>
  <si>
    <t>חשמל 12.2024</t>
  </si>
  <si>
    <t>מיון ביטוח תלמידים</t>
  </si>
  <si>
    <t>ביטוח תלמידים בטוח</t>
  </si>
  <si>
    <t>ביטוח אלמנטרי לרשות</t>
  </si>
  <si>
    <t>כולל כל ההוצאה של בזק ( מיון + הפרשה עבור חודשים 9-12/2024)</t>
  </si>
  <si>
    <t>שכירות 7-12/2024</t>
  </si>
  <si>
    <t>חשמל 10-12/2024</t>
  </si>
  <si>
    <t>גננות 12.2024</t>
  </si>
  <si>
    <t>מיון פנימי + הפרשה 12/24</t>
  </si>
  <si>
    <t>שרותי נקיון עבודות קבלניות</t>
  </si>
  <si>
    <t xml:space="preserve">מיון ניקיון שטחים פתוחים + תיקון ביצוע ניקיון מוסדות חינוך </t>
  </si>
  <si>
    <t>מיון ביצוע שמירה + ניקיון מוסדות חינוך</t>
  </si>
  <si>
    <t>שכ"ט 10-12/2024</t>
  </si>
  <si>
    <t>מיון פנימי מלוות 9+10 + הפרשה 11+12</t>
  </si>
  <si>
    <t>אחזקת מגרש כדורגל 10-12/2024</t>
  </si>
  <si>
    <t>מיון פנימי ממשפחות במצוקה + הפרשה 12/2024</t>
  </si>
  <si>
    <t>מיון פנימי לטיפול בילד בקהילה + הפרשה 12/2024</t>
  </si>
  <si>
    <t>דוח רווחה 12.2024</t>
  </si>
  <si>
    <t>מועדון חברתי לבוגרים - הפרשה 12.2024</t>
  </si>
  <si>
    <t>רווחה 12.2024</t>
  </si>
  <si>
    <t>הביצוע הוא עבור ה.מ. חברה ערבית 75%</t>
  </si>
  <si>
    <t>הסעות 12.2024</t>
  </si>
  <si>
    <t>דוח רווחה 12.2024 (מעון יום טיפולי משה)</t>
  </si>
  <si>
    <t>כולל כם תכניות תעסוקה</t>
  </si>
  <si>
    <t>תקצוב החלטות 75%</t>
  </si>
  <si>
    <t>מדגרת יום לילד מוגבל</t>
  </si>
  <si>
    <t>העיקר בגין תשלום גמלאות עבור רוידה נג'אר</t>
  </si>
  <si>
    <t xml:space="preserve">מתאריך גביה:01/01/2024 </t>
  </si>
  <si>
    <t xml:space="preserve">עד תאריך גביה:18/12/2024 </t>
  </si>
  <si>
    <t>היטל צריכה עודפת 022</t>
  </si>
  <si>
    <t>מים 2011</t>
  </si>
  <si>
    <t>מים 2024</t>
  </si>
  <si>
    <t>ארנונה 2022</t>
  </si>
  <si>
    <t>ארנונה 2023</t>
  </si>
  <si>
    <t>ארנונה 2024</t>
  </si>
  <si>
    <t>הוצאות אכיפה 2022</t>
  </si>
  <si>
    <t>הוצאות אכיפה 2023</t>
  </si>
  <si>
    <t>הוצאות אכיפה 2024</t>
  </si>
  <si>
    <t>אגרת ניתוק 2021</t>
  </si>
  <si>
    <t>אגרת חיבור מים 2018</t>
  </si>
  <si>
    <t>ה.מדידה 2022 2022</t>
  </si>
  <si>
    <t>מדי מים 2018</t>
  </si>
  <si>
    <t>הודעת דרישה 2023</t>
  </si>
  <si>
    <t>הודעת דרישה 2024</t>
  </si>
  <si>
    <t>ה.אכיפה מ.ר 2022</t>
  </si>
  <si>
    <t>הוצאות אכיפה מ.ר.ע 2</t>
  </si>
  <si>
    <t>מענק איזון 12.2024</t>
  </si>
  <si>
    <t>שיפוי בחירות 92 אלש"ח + מענק חופים 634 אלש"ח</t>
  </si>
  <si>
    <t>צמצו פערים בפועל</t>
  </si>
  <si>
    <t>הפרשה עד גובה 85% מההוצאה</t>
  </si>
  <si>
    <t>הכנסה מול הוצאה</t>
  </si>
  <si>
    <t>אגרות רבעון 04.2024</t>
  </si>
  <si>
    <t>הפרשה לפי תקציב מאושר</t>
  </si>
  <si>
    <t>העברה למימון מחלקת הנדסה - לפי חישוב יצא 2.3 מיליון. הפחתתי ל 1.5 מיליון</t>
  </si>
  <si>
    <t>הסעיף כולל גם החזרי תמיר עבור פינוי קרטון</t>
  </si>
  <si>
    <t>חינוך 12.2024</t>
  </si>
  <si>
    <t>מיון להוצאות</t>
  </si>
  <si>
    <t>לכנית לאומית, הנגשה ...</t>
  </si>
  <si>
    <t>יוזמות פיס + בית ספר אלקנדיל + מפעל פיס ספורט</t>
  </si>
  <si>
    <t>התקבל רק עד חודש 8 ?!!</t>
  </si>
  <si>
    <t>הפרשה עד גובה 30% מההוצאה</t>
  </si>
  <si>
    <t>הפרשה עד גובה 45% מההוצאה</t>
  </si>
  <si>
    <t>הפרשה עד גובה 67% מההוצאה</t>
  </si>
  <si>
    <t>הפרשה עבור חודשים 9-12/2024</t>
  </si>
  <si>
    <t>הפרש לקבל עבור מענק מותנה</t>
  </si>
  <si>
    <t>הפרשה בגובה 70% משכר פקחים</t>
  </si>
  <si>
    <t>התקבל בפועל בבנק מלשכת בריאות ב 8/12/2024</t>
  </si>
  <si>
    <t>רווחה 12.2024 + הפרשה עד 75% מההוצאה</t>
  </si>
  <si>
    <t>הפרשה עד גובה 75% מההוצאה</t>
  </si>
  <si>
    <t>הפרשה בגובה 64% מההוצאה</t>
  </si>
  <si>
    <t>סה"כ מענקים ממשרד פנים</t>
  </si>
  <si>
    <t>סה"כ אגרות והיטלים</t>
  </si>
  <si>
    <t>סה"כ שירותים אחרים</t>
  </si>
  <si>
    <t>סה"ה מיסים, אגרות ומענקים</t>
  </si>
  <si>
    <t>סה"כ חינוך יסודי</t>
  </si>
  <si>
    <t>טיפול בילד ונוער</t>
  </si>
  <si>
    <t>שירותים לאזרח ותיק</t>
  </si>
  <si>
    <t>שירותים למש"ה</t>
  </si>
  <si>
    <t>שירותי שיקום</t>
  </si>
  <si>
    <t>שירותים אחרים</t>
  </si>
  <si>
    <t>סה"כ מים</t>
  </si>
  <si>
    <t>סה"כ ביוב</t>
  </si>
  <si>
    <t>סה"כ תקבולים חד פעמיים</t>
  </si>
  <si>
    <t>מבקר פנים וצוערים</t>
  </si>
  <si>
    <t>השתלמויות ומעמד אישה</t>
  </si>
  <si>
    <t>משפטיות</t>
  </si>
  <si>
    <t>גזברות</t>
  </si>
  <si>
    <t>עמלות בנק ופרעון מלוות</t>
  </si>
  <si>
    <t>ועד עובדים וביטוחים</t>
  </si>
  <si>
    <t>מינהל חינוך</t>
  </si>
  <si>
    <t>גני ילדים</t>
  </si>
  <si>
    <t>חינוך יסודי</t>
  </si>
  <si>
    <t>חינוך על יסודי</t>
  </si>
  <si>
    <t>שירות פסיכולוגי</t>
  </si>
  <si>
    <t>שירותים נוספים ותכניות</t>
  </si>
  <si>
    <t>תרבות, נוער וספורט</t>
  </si>
  <si>
    <t>פרט ומשפחה</t>
  </si>
  <si>
    <t>ילד ונוער</t>
  </si>
  <si>
    <t>שירותים נוספים</t>
  </si>
  <si>
    <t>סה"כ איגוד ערים</t>
  </si>
  <si>
    <t>סה"כ אחזקת המועצה</t>
  </si>
  <si>
    <t>סה"כ תשלומים בלתי רגילים וחד פעמיים</t>
  </si>
  <si>
    <t xml:space="preserve">ביצוע </t>
  </si>
  <si>
    <t>שריון במערכת</t>
  </si>
  <si>
    <t>פקודות נוספות</t>
  </si>
  <si>
    <t>סה"כ ביצוע 2024</t>
  </si>
  <si>
    <t>גבייה 12/2024</t>
  </si>
  <si>
    <t>הנחות עד 12.2024</t>
  </si>
  <si>
    <t>בפועל</t>
  </si>
  <si>
    <t>בחירות + חופים</t>
  </si>
  <si>
    <t>מענק מותנה לפי נתונים מדאהר</t>
  </si>
  <si>
    <t>מיון פנימי - עו"ס</t>
  </si>
  <si>
    <t>הפרשה עבור רבעון 04/2024</t>
  </si>
  <si>
    <t>יש מספיק כסף בקרן</t>
  </si>
  <si>
    <t>הפרשה בגובה התקציב</t>
  </si>
  <si>
    <t xml:space="preserve">שכר דירה </t>
  </si>
  <si>
    <t xml:space="preserve">הכנסות מקייטנת </t>
  </si>
  <si>
    <t>מיון להוצאה</t>
  </si>
  <si>
    <t>אבטחה ושמירה - 64% מההוצאה</t>
  </si>
  <si>
    <t>מיון פנימי - מנהל אסטרטגי</t>
  </si>
  <si>
    <t>מתכנן אסטרטגי</t>
  </si>
  <si>
    <t xml:space="preserve">ה.מ חברה ערבית %001 </t>
  </si>
  <si>
    <t xml:space="preserve">תקצוב החלטות 001 </t>
  </si>
  <si>
    <t>מיון פנימי - מענות יום ממונה + פדגוגי</t>
  </si>
  <si>
    <t>מעונות יום ממונה פדגוגי</t>
  </si>
  <si>
    <t xml:space="preserve">שיקום שכונות-פעולות </t>
  </si>
  <si>
    <t>גביה 12/2024</t>
  </si>
  <si>
    <t>רק חודש 8 רשום בסעיף זה</t>
  </si>
  <si>
    <t xml:space="preserve">הוצאות אכיפה </t>
  </si>
  <si>
    <t xml:space="preserve">שונות שמירה </t>
  </si>
  <si>
    <t xml:space="preserve">רישוי עסקים שכר </t>
  </si>
  <si>
    <t>מיון פנימי + הפרשה לחודש 12</t>
  </si>
  <si>
    <t>אשפה + היטל הטמנה 12.2024</t>
  </si>
  <si>
    <t>רכב 12/2024</t>
  </si>
  <si>
    <t>הפרשה בגובה תקציב יחסי</t>
  </si>
  <si>
    <t>מיון פעולות מסעיף שכר</t>
  </si>
  <si>
    <t>הפרשה עבור 11-12/2024</t>
  </si>
  <si>
    <t xml:space="preserve">ביטוח אלמנטרי לרשות </t>
  </si>
  <si>
    <t>הפרשה עבור 12/24 + מיון תקשורת חודש 8</t>
  </si>
  <si>
    <t>מים חינוך שנתי</t>
  </si>
  <si>
    <t>מיון מהכנסות במינוס</t>
  </si>
  <si>
    <t>שרותי נקיון עבודות קבלניו</t>
  </si>
  <si>
    <t>מיון פנימי ניקיון שטחים פנויים + מיון פנימי להוצאות ניקיון מוסדות</t>
  </si>
  <si>
    <t xml:space="preserve">מיון פנימי לניקיון </t>
  </si>
  <si>
    <t>שמירה 12.2024</t>
  </si>
  <si>
    <t xml:space="preserve">קייטנת חורף </t>
  </si>
  <si>
    <t>הסעות 11-12/2024</t>
  </si>
  <si>
    <t>ליווי הסעות 11-12/2024</t>
  </si>
  <si>
    <t>מים כללי שנתי</t>
  </si>
  <si>
    <t xml:space="preserve">תחזוקת מבנים </t>
  </si>
  <si>
    <t>ההכנסה וההוצאה נרשן בנטו- שלחתי לתיקון שאהין</t>
  </si>
  <si>
    <t xml:space="preserve">ה.מ.חברה ערבית %001 </t>
  </si>
  <si>
    <t xml:space="preserve">תקצוב החלטות %001 </t>
  </si>
  <si>
    <t xml:space="preserve">מועדוניות משותפות </t>
  </si>
  <si>
    <t>חישוב העברה מקרן פיתוח למימון תקציב רגיל</t>
  </si>
  <si>
    <t>סה"כ פרק 73</t>
  </si>
  <si>
    <t>תקורה 115%</t>
  </si>
  <si>
    <t>סה"כ אגרות</t>
  </si>
  <si>
    <t xml:space="preserve">העברה </t>
  </si>
  <si>
    <t>מנכ"ל ומזכירות</t>
  </si>
  <si>
    <t>ממצה משאבים</t>
  </si>
  <si>
    <t>מנהל תוכנית 360</t>
  </si>
  <si>
    <t>בית הנוער</t>
  </si>
  <si>
    <t>כולל פיצויים עלי</t>
  </si>
  <si>
    <t>שכר קידום נוער</t>
  </si>
  <si>
    <t>בטיחות בדרכים 2024</t>
  </si>
  <si>
    <t xml:space="preserve">ה.מ חברה ערבית 100% </t>
  </si>
  <si>
    <t xml:space="preserve">תקצוב החלטות 100% </t>
  </si>
  <si>
    <t>אוטיזם במסגרת</t>
  </si>
  <si>
    <t>ה.מ.חברה ערבית 100%</t>
  </si>
  <si>
    <t>גני ילדים חשמל</t>
  </si>
  <si>
    <t>גבייה-מימוש עיקול</t>
  </si>
  <si>
    <t>הפרשי מדידות 2022</t>
  </si>
  <si>
    <t>החזר הוצאות משפטיות</t>
  </si>
  <si>
    <t>מדי מים</t>
  </si>
  <si>
    <t>אגרות צנרת</t>
  </si>
  <si>
    <t>היטל ביוב</t>
  </si>
  <si>
    <t>מזכירות - שכר</t>
  </si>
  <si>
    <t>צוערים</t>
  </si>
  <si>
    <t>בטיחות בדרכיםן 2024</t>
  </si>
  <si>
    <t>גני ילדים חובה</t>
  </si>
  <si>
    <t>תוכנית אומץ-שכר</t>
  </si>
  <si>
    <t>פיצוים תיכון</t>
  </si>
  <si>
    <t>משכורת</t>
  </si>
  <si>
    <t>משכורת 360חדר שלווה</t>
  </si>
  <si>
    <t>התפתחות ויצירת קשר</t>
  </si>
  <si>
    <t>מתנ"ס -משכורות</t>
  </si>
  <si>
    <t>רווחה חינוכית-מעברים</t>
  </si>
  <si>
    <t>מנהל מחלקת נוער</t>
  </si>
  <si>
    <t>מרפאת שניים-משכורת</t>
  </si>
  <si>
    <t>משפחות קלט רשות</t>
  </si>
  <si>
    <t>מתנ"ס תמיכה</t>
  </si>
  <si>
    <t>קבלניות דת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</si>
</sst>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\ ??/100"/>
    <numFmt numFmtId="166" formatCode="_ * #,##0.000_ ;_ * \-#,##0.000_ ;_ * &quot;-&quot;??_ ;_ @_ "/>
  </numFmts>
  <fonts count="49" x14ac:knownFonts="1">
    <font>
      <sz val="11"/>
      <color theme="1"/>
      <name val="Arial"/>
      <family val="2"/>
      <charset val="177"/>
      <scheme val="minor"/>
    </font>
    <font>
      <sz val="18"/>
      <color theme="1"/>
      <name val="David"/>
      <family val="2"/>
      <charset val="177"/>
    </font>
    <font>
      <sz val="18"/>
      <color theme="1"/>
      <name val="David"/>
      <family val="2"/>
      <charset val="177"/>
    </font>
    <font>
      <sz val="18"/>
      <color theme="1"/>
      <name val="David"/>
      <family val="2"/>
      <charset val="177"/>
    </font>
    <font>
      <sz val="18"/>
      <color theme="1"/>
      <name val="David"/>
      <family val="2"/>
      <charset val="177"/>
    </font>
    <font>
      <sz val="11"/>
      <color indexed="8"/>
      <name val="Arial"/>
      <family val="2"/>
      <charset val="177"/>
    </font>
    <font>
      <b/>
      <sz val="11"/>
      <color indexed="8"/>
      <name val="David"/>
      <family val="2"/>
      <charset val="177"/>
    </font>
    <font>
      <sz val="10"/>
      <name val="Arial"/>
      <family val="2"/>
    </font>
    <font>
      <b/>
      <sz val="11"/>
      <name val="David"/>
      <family val="2"/>
      <charset val="177"/>
    </font>
    <font>
      <b/>
      <u val="double"/>
      <sz val="12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b/>
      <u/>
      <sz val="22"/>
      <color theme="1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26"/>
      <color theme="1"/>
      <name val="David"/>
      <family val="2"/>
      <charset val="177"/>
    </font>
    <font>
      <b/>
      <sz val="48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u/>
      <sz val="36"/>
      <color theme="1"/>
      <name val="David"/>
      <family val="2"/>
    </font>
    <font>
      <b/>
      <sz val="18"/>
      <color theme="1"/>
      <name val="David"/>
      <family val="2"/>
    </font>
    <font>
      <sz val="18"/>
      <color rgb="FFFF0000"/>
      <name val="David"/>
      <family val="2"/>
      <charset val="177"/>
    </font>
    <font>
      <b/>
      <u/>
      <sz val="18"/>
      <color theme="1"/>
      <name val="David"/>
      <family val="2"/>
      <charset val="177"/>
    </font>
    <font>
      <b/>
      <sz val="20"/>
      <color theme="1"/>
      <name val="David"/>
      <family val="2"/>
    </font>
    <font>
      <b/>
      <sz val="22"/>
      <color theme="1"/>
      <name val="David"/>
      <family val="2"/>
    </font>
    <font>
      <b/>
      <sz val="36"/>
      <color theme="1"/>
      <name val="David"/>
      <family val="2"/>
    </font>
    <font>
      <sz val="22"/>
      <color theme="1"/>
      <name val="David"/>
      <family val="2"/>
    </font>
    <font>
      <sz val="18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David"/>
      <family val="2"/>
    </font>
    <font>
      <sz val="16"/>
      <color theme="1"/>
      <name val="Arial"/>
      <family val="2"/>
      <charset val="177"/>
      <scheme val="minor"/>
    </font>
    <font>
      <b/>
      <u/>
      <sz val="16"/>
      <color theme="1"/>
      <name val="David"/>
      <family val="2"/>
      <charset val="177"/>
    </font>
    <font>
      <b/>
      <sz val="16"/>
      <color indexed="8"/>
      <name val="David"/>
      <family val="2"/>
      <charset val="177"/>
    </font>
    <font>
      <sz val="16"/>
      <color theme="1"/>
      <name val="David"/>
      <family val="2"/>
      <charset val="177"/>
    </font>
    <font>
      <b/>
      <sz val="16"/>
      <name val="David"/>
      <family val="2"/>
      <charset val="177"/>
    </font>
    <font>
      <sz val="16"/>
      <name val="David"/>
      <family val="2"/>
      <charset val="177"/>
    </font>
    <font>
      <b/>
      <sz val="16"/>
      <color theme="1"/>
      <name val="Arial"/>
      <family val="2"/>
      <charset val="177"/>
      <scheme val="minor"/>
    </font>
    <font>
      <b/>
      <u/>
      <sz val="20"/>
      <name val="David"/>
      <family val="2"/>
      <charset val="177"/>
    </font>
    <font>
      <b/>
      <sz val="18"/>
      <name val="David"/>
      <family val="2"/>
    </font>
    <font>
      <b/>
      <sz val="36"/>
      <name val="David"/>
      <family val="2"/>
    </font>
    <font>
      <sz val="18"/>
      <name val="David"/>
      <family val="2"/>
    </font>
    <font>
      <b/>
      <sz val="20"/>
      <name val="David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2" fillId="0" borderId="0"/>
    <xf numFmtId="0" fontId="7" fillId="0" borderId="0"/>
    <xf numFmtId="9" fontId="13" fillId="0" borderId="0" applyFont="0" applyFill="0" applyBorder="0" applyAlignment="0" applyProtection="0"/>
    <xf numFmtId="0" fontId="5" fillId="2" borderId="6" applyNumberFormat="0" applyFont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0" fontId="6" fillId="0" borderId="1" xfId="0" applyFont="1" applyBorder="1" applyAlignment="1">
      <alignment horizontal="center"/>
    </xf>
    <xf numFmtId="164" fontId="0" fillId="0" borderId="0" xfId="0" applyNumberFormat="1"/>
    <xf numFmtId="0" fontId="17" fillId="0" borderId="0" xfId="0" applyFont="1"/>
    <xf numFmtId="0" fontId="9" fillId="0" borderId="0" xfId="0" applyFont="1" applyAlignment="1">
      <alignment horizontal="right" readingOrder="2"/>
    </xf>
    <xf numFmtId="0" fontId="10" fillId="0" borderId="0" xfId="0" applyFont="1" applyAlignment="1">
      <alignment horizontal="right" readingOrder="2"/>
    </xf>
    <xf numFmtId="164" fontId="18" fillId="4" borderId="0" xfId="1" applyNumberFormat="1" applyFont="1" applyFill="1" applyAlignment="1">
      <alignment vertical="center"/>
    </xf>
    <xf numFmtId="0" fontId="11" fillId="0" borderId="0" xfId="0" applyFont="1" applyAlignment="1">
      <alignment horizontal="right" readingOrder="2"/>
    </xf>
    <xf numFmtId="164" fontId="16" fillId="5" borderId="0" xfId="1" applyNumberFormat="1" applyFont="1" applyFill="1" applyAlignment="1">
      <alignment vertical="center"/>
    </xf>
    <xf numFmtId="164" fontId="16" fillId="6" borderId="0" xfId="1" applyNumberFormat="1" applyFont="1" applyFill="1" applyAlignment="1">
      <alignment vertical="center"/>
    </xf>
    <xf numFmtId="0" fontId="15" fillId="0" borderId="0" xfId="0" applyFont="1"/>
    <xf numFmtId="0" fontId="16" fillId="3" borderId="0" xfId="0" applyFont="1" applyFill="1" applyAlignment="1">
      <alignment wrapText="1"/>
    </xf>
    <xf numFmtId="164" fontId="16" fillId="7" borderId="0" xfId="1" applyNumberFormat="1" applyFont="1" applyFill="1" applyAlignment="1">
      <alignment vertical="center"/>
    </xf>
    <xf numFmtId="164" fontId="18" fillId="0" borderId="0" xfId="1" applyNumberFormat="1" applyFont="1" applyAlignment="1">
      <alignment vertical="center"/>
    </xf>
    <xf numFmtId="0" fontId="11" fillId="0" borderId="0" xfId="0" applyFont="1" applyAlignment="1">
      <alignment horizontal="right" vertical="center" readingOrder="2"/>
    </xf>
    <xf numFmtId="164" fontId="20" fillId="8" borderId="0" xfId="1" applyNumberFormat="1" applyFont="1" applyFill="1" applyAlignment="1">
      <alignment vertical="center"/>
    </xf>
    <xf numFmtId="0" fontId="21" fillId="0" borderId="0" xfId="0" applyFont="1"/>
    <xf numFmtId="43" fontId="0" fillId="0" borderId="0" xfId="1" applyFont="1"/>
    <xf numFmtId="164" fontId="6" fillId="0" borderId="1" xfId="1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7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8" xfId="0" applyFont="1" applyBorder="1"/>
    <xf numFmtId="0" fontId="21" fillId="0" borderId="14" xfId="0" applyFont="1" applyBorder="1"/>
    <xf numFmtId="43" fontId="26" fillId="0" borderId="0" xfId="1" applyFont="1"/>
    <xf numFmtId="165" fontId="8" fillId="0" borderId="1" xfId="5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8" fillId="0" borderId="0" xfId="1" applyNumberFormat="1" applyFont="1" applyFill="1" applyAlignment="1">
      <alignment vertical="center"/>
    </xf>
    <xf numFmtId="164" fontId="16" fillId="0" borderId="0" xfId="1" applyNumberFormat="1" applyFont="1" applyFill="1" applyAlignment="1">
      <alignment vertical="center"/>
    </xf>
    <xf numFmtId="0" fontId="16" fillId="0" borderId="0" xfId="0" applyFont="1" applyAlignment="1">
      <alignment wrapText="1"/>
    </xf>
    <xf numFmtId="164" fontId="20" fillId="0" borderId="0" xfId="1" applyNumberFormat="1" applyFont="1" applyFill="1" applyAlignment="1">
      <alignment vertical="center"/>
    </xf>
    <xf numFmtId="0" fontId="28" fillId="0" borderId="0" xfId="0" applyFont="1"/>
    <xf numFmtId="165" fontId="8" fillId="0" borderId="0" xfId="5" applyNumberFormat="1" applyFont="1" applyAlignment="1">
      <alignment horizontal="center"/>
    </xf>
    <xf numFmtId="9" fontId="0" fillId="0" borderId="0" xfId="6" applyFont="1"/>
    <xf numFmtId="0" fontId="1" fillId="0" borderId="0" xfId="13"/>
    <xf numFmtId="0" fontId="1" fillId="0" borderId="1" xfId="13" applyBorder="1"/>
    <xf numFmtId="0" fontId="26" fillId="0" borderId="1" xfId="13" applyFont="1" applyBorder="1" applyAlignment="1">
      <alignment horizontal="center" vertical="center" wrapText="1"/>
    </xf>
    <xf numFmtId="43" fontId="26" fillId="0" borderId="1" xfId="1" applyFont="1" applyBorder="1" applyAlignment="1">
      <alignment horizontal="center" vertical="center" wrapText="1"/>
    </xf>
    <xf numFmtId="43" fontId="1" fillId="0" borderId="1" xfId="1" applyFont="1" applyBorder="1"/>
    <xf numFmtId="43" fontId="1" fillId="0" borderId="0" xfId="1" applyFont="1"/>
    <xf numFmtId="164" fontId="2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0" borderId="0" xfId="1" applyNumberFormat="1" applyFont="1"/>
    <xf numFmtId="0" fontId="1" fillId="0" borderId="0" xfId="13" applyAlignment="1">
      <alignment vertical="center"/>
    </xf>
    <xf numFmtId="0" fontId="1" fillId="0" borderId="1" xfId="13" applyBorder="1" applyAlignment="1">
      <alignment vertical="center"/>
    </xf>
    <xf numFmtId="0" fontId="1" fillId="0" borderId="1" xfId="13" applyBorder="1" applyAlignment="1">
      <alignment vertical="center" wrapText="1"/>
    </xf>
    <xf numFmtId="164" fontId="1" fillId="0" borderId="1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26" fillId="10" borderId="0" xfId="1" applyNumberFormat="1" applyFont="1" applyFill="1" applyAlignment="1">
      <alignment vertical="center"/>
    </xf>
    <xf numFmtId="0" fontId="27" fillId="0" borderId="1" xfId="13" applyFont="1" applyBorder="1" applyAlignment="1">
      <alignment vertical="center"/>
    </xf>
    <xf numFmtId="164" fontId="27" fillId="0" borderId="1" xfId="1" applyNumberFormat="1" applyFont="1" applyBorder="1" applyAlignment="1">
      <alignment vertical="center"/>
    </xf>
    <xf numFmtId="0" fontId="26" fillId="0" borderId="0" xfId="13" applyFont="1"/>
    <xf numFmtId="0" fontId="26" fillId="15" borderId="1" xfId="13" applyFont="1" applyFill="1" applyBorder="1" applyAlignment="1">
      <alignment horizontal="center" vertical="center" wrapText="1"/>
    </xf>
    <xf numFmtId="43" fontId="26" fillId="15" borderId="1" xfId="1" applyFont="1" applyFill="1" applyBorder="1" applyAlignment="1">
      <alignment horizontal="center" vertical="center" wrapText="1"/>
    </xf>
    <xf numFmtId="166" fontId="1" fillId="0" borderId="1" xfId="1" applyNumberFormat="1" applyFont="1" applyBorder="1"/>
    <xf numFmtId="43" fontId="26" fillId="12" borderId="1" xfId="13" applyNumberFormat="1" applyFont="1" applyFill="1" applyBorder="1"/>
    <xf numFmtId="0" fontId="26" fillId="12" borderId="1" xfId="13" applyFont="1" applyFill="1" applyBorder="1"/>
    <xf numFmtId="43" fontId="26" fillId="12" borderId="1" xfId="1" applyFont="1" applyFill="1" applyBorder="1"/>
    <xf numFmtId="166" fontId="26" fillId="12" borderId="1" xfId="1" applyNumberFormat="1" applyFont="1" applyFill="1" applyBorder="1"/>
    <xf numFmtId="0" fontId="27" fillId="0" borderId="1" xfId="13" applyFont="1" applyBorder="1"/>
    <xf numFmtId="43" fontId="27" fillId="0" borderId="1" xfId="1" applyFont="1" applyBorder="1"/>
    <xf numFmtId="166" fontId="27" fillId="0" borderId="1" xfId="1" applyNumberFormat="1" applyFont="1" applyBorder="1"/>
    <xf numFmtId="43" fontId="1" fillId="0" borderId="1" xfId="1" applyFont="1" applyBorder="1" applyAlignment="1">
      <alignment vertical="center"/>
    </xf>
    <xf numFmtId="43" fontId="26" fillId="10" borderId="0" xfId="1" applyFont="1" applyFill="1" applyAlignment="1">
      <alignment vertical="center"/>
    </xf>
    <xf numFmtId="43" fontId="1" fillId="0" borderId="0" xfId="1" applyFont="1" applyAlignment="1">
      <alignment vertical="center"/>
    </xf>
    <xf numFmtId="164" fontId="26" fillId="15" borderId="1" xfId="1" applyNumberFormat="1" applyFont="1" applyFill="1" applyBorder="1" applyAlignment="1">
      <alignment horizontal="center" vertical="center" wrapText="1"/>
    </xf>
    <xf numFmtId="164" fontId="26" fillId="12" borderId="1" xfId="1" applyNumberFormat="1" applyFont="1" applyFill="1" applyBorder="1"/>
    <xf numFmtId="164" fontId="27" fillId="0" borderId="1" xfId="1" applyNumberFormat="1" applyFont="1" applyBorder="1"/>
    <xf numFmtId="0" fontId="1" fillId="0" borderId="1" xfId="13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 wrapText="1"/>
    </xf>
    <xf numFmtId="43" fontId="26" fillId="9" borderId="0" xfId="1" applyFont="1" applyFill="1"/>
    <xf numFmtId="0" fontId="29" fillId="12" borderId="1" xfId="13" applyFont="1" applyFill="1" applyBorder="1" applyAlignment="1">
      <alignment vertical="center"/>
    </xf>
    <xf numFmtId="164" fontId="29" fillId="12" borderId="1" xfId="1" applyNumberFormat="1" applyFont="1" applyFill="1" applyBorder="1" applyAlignment="1">
      <alignment vertical="center"/>
    </xf>
    <xf numFmtId="0" fontId="29" fillId="11" borderId="1" xfId="13" applyFont="1" applyFill="1" applyBorder="1" applyAlignment="1">
      <alignment vertical="center"/>
    </xf>
    <xf numFmtId="164" fontId="29" fillId="11" borderId="1" xfId="1" applyNumberFormat="1" applyFont="1" applyFill="1" applyBorder="1" applyAlignment="1">
      <alignment vertical="center"/>
    </xf>
    <xf numFmtId="0" fontId="30" fillId="9" borderId="1" xfId="13" applyFont="1" applyFill="1" applyBorder="1" applyAlignment="1">
      <alignment vertical="center"/>
    </xf>
    <xf numFmtId="0" fontId="30" fillId="9" borderId="1" xfId="13" applyFont="1" applyFill="1" applyBorder="1" applyAlignment="1">
      <alignment vertical="center" wrapText="1"/>
    </xf>
    <xf numFmtId="164" fontId="30" fillId="9" borderId="1" xfId="1" applyNumberFormat="1" applyFont="1" applyFill="1" applyBorder="1" applyAlignment="1">
      <alignment vertical="center"/>
    </xf>
    <xf numFmtId="0" fontId="32" fillId="0" borderId="0" xfId="13" applyFont="1" applyAlignment="1">
      <alignment vertical="center"/>
    </xf>
    <xf numFmtId="0" fontId="30" fillId="14" borderId="1" xfId="13" applyFont="1" applyFill="1" applyBorder="1" applyAlignment="1">
      <alignment vertical="center"/>
    </xf>
    <xf numFmtId="0" fontId="30" fillId="14" borderId="1" xfId="13" applyFont="1" applyFill="1" applyBorder="1" applyAlignment="1">
      <alignment vertical="center" wrapText="1"/>
    </xf>
    <xf numFmtId="164" fontId="30" fillId="14" borderId="1" xfId="1" applyNumberFormat="1" applyFont="1" applyFill="1" applyBorder="1" applyAlignment="1">
      <alignment vertical="center"/>
    </xf>
    <xf numFmtId="0" fontId="1" fillId="16" borderId="1" xfId="13" applyFill="1" applyBorder="1" applyAlignment="1">
      <alignment vertical="center"/>
    </xf>
    <xf numFmtId="0" fontId="1" fillId="16" borderId="1" xfId="13" applyFill="1" applyBorder="1" applyAlignment="1">
      <alignment vertical="center" wrapText="1"/>
    </xf>
    <xf numFmtId="164" fontId="1" fillId="16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0" fontId="1" fillId="17" borderId="1" xfId="13" applyFill="1" applyBorder="1" applyAlignment="1">
      <alignment vertical="center"/>
    </xf>
    <xf numFmtId="0" fontId="33" fillId="0" borderId="1" xfId="13" applyFont="1" applyBorder="1" applyAlignment="1">
      <alignment vertical="center"/>
    </xf>
    <xf numFmtId="0" fontId="0" fillId="6" borderId="0" xfId="0" applyFill="1"/>
    <xf numFmtId="0" fontId="35" fillId="0" borderId="0" xfId="0" applyFont="1"/>
    <xf numFmtId="0" fontId="34" fillId="18" borderId="0" xfId="0" applyFont="1" applyFill="1"/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right" vertical="center"/>
    </xf>
    <xf numFmtId="164" fontId="39" fillId="0" borderId="1" xfId="1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165" fontId="41" fillId="0" borderId="1" xfId="5" applyNumberFormat="1" applyFont="1" applyBorder="1" applyAlignment="1">
      <alignment horizontal="right" vertical="center"/>
    </xf>
    <xf numFmtId="164" fontId="40" fillId="0" borderId="1" xfId="1" applyNumberFormat="1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165" fontId="41" fillId="12" borderId="1" xfId="5" applyNumberFormat="1" applyFont="1" applyFill="1" applyBorder="1" applyAlignment="1">
      <alignment horizontal="center" vertical="center"/>
    </xf>
    <xf numFmtId="165" fontId="41" fillId="12" borderId="1" xfId="5" applyNumberFormat="1" applyFont="1" applyFill="1" applyBorder="1" applyAlignment="1">
      <alignment horizontal="right" vertical="center"/>
    </xf>
    <xf numFmtId="164" fontId="41" fillId="12" borderId="1" xfId="1" applyNumberFormat="1" applyFont="1" applyFill="1" applyBorder="1" applyAlignment="1">
      <alignment horizontal="center" vertical="center"/>
    </xf>
    <xf numFmtId="164" fontId="42" fillId="0" borderId="1" xfId="1" applyNumberFormat="1" applyFont="1" applyBorder="1" applyAlignment="1">
      <alignment horizontal="center" vertical="center"/>
    </xf>
    <xf numFmtId="165" fontId="41" fillId="12" borderId="1" xfId="5" applyNumberFormat="1" applyFont="1" applyFill="1" applyBorder="1" applyAlignment="1">
      <alignment horizontal="right" vertical="center" wrapText="1"/>
    </xf>
    <xf numFmtId="165" fontId="41" fillId="10" borderId="1" xfId="5" applyNumberFormat="1" applyFont="1" applyFill="1" applyBorder="1" applyAlignment="1">
      <alignment horizontal="center" vertical="center"/>
    </xf>
    <xf numFmtId="165" fontId="41" fillId="10" borderId="1" xfId="5" applyNumberFormat="1" applyFont="1" applyFill="1" applyBorder="1" applyAlignment="1">
      <alignment horizontal="right" vertical="center"/>
    </xf>
    <xf numFmtId="164" fontId="24" fillId="10" borderId="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5" fontId="41" fillId="13" borderId="1" xfId="5" applyNumberFormat="1" applyFont="1" applyFill="1" applyBorder="1" applyAlignment="1">
      <alignment horizontal="center" vertical="center"/>
    </xf>
    <xf numFmtId="165" fontId="41" fillId="13" borderId="1" xfId="5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right" vertical="center"/>
    </xf>
    <xf numFmtId="0" fontId="36" fillId="0" borderId="2" xfId="0" applyFont="1" applyBorder="1" applyAlignment="1">
      <alignment horizontal="center" vertical="center"/>
    </xf>
    <xf numFmtId="43" fontId="36" fillId="0" borderId="2" xfId="1" applyFont="1" applyFill="1" applyBorder="1" applyAlignment="1">
      <alignment horizontal="center" vertical="center"/>
    </xf>
    <xf numFmtId="9" fontId="36" fillId="0" borderId="2" xfId="6" applyFont="1" applyBorder="1" applyAlignment="1">
      <alignment horizontal="center" vertical="center"/>
    </xf>
    <xf numFmtId="0" fontId="36" fillId="0" borderId="8" xfId="0" applyFont="1" applyBorder="1" applyAlignment="1">
      <alignment horizontal="right" vertical="center"/>
    </xf>
    <xf numFmtId="0" fontId="36" fillId="0" borderId="8" xfId="0" applyFont="1" applyBorder="1" applyAlignment="1">
      <alignment horizontal="center" vertical="center"/>
    </xf>
    <xf numFmtId="9" fontId="36" fillId="0" borderId="8" xfId="6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164" fontId="37" fillId="0" borderId="0" xfId="0" applyNumberFormat="1" applyFont="1" applyAlignment="1">
      <alignment horizontal="center" vertical="center"/>
    </xf>
    <xf numFmtId="165" fontId="44" fillId="0" borderId="1" xfId="5" applyNumberFormat="1" applyFont="1" applyBorder="1" applyAlignment="1">
      <alignment horizontal="right" vertical="center"/>
    </xf>
    <xf numFmtId="0" fontId="45" fillId="0" borderId="1" xfId="13" applyFont="1" applyBorder="1" applyAlignment="1">
      <alignment horizontal="center" vertical="center" wrapText="1"/>
    </xf>
    <xf numFmtId="0" fontId="47" fillId="0" borderId="1" xfId="13" applyFont="1" applyBorder="1" applyAlignment="1">
      <alignment vertical="center"/>
    </xf>
    <xf numFmtId="0" fontId="47" fillId="0" borderId="1" xfId="13" applyFont="1" applyBorder="1" applyAlignment="1">
      <alignment vertical="center" wrapText="1"/>
    </xf>
    <xf numFmtId="0" fontId="48" fillId="12" borderId="1" xfId="13" applyFont="1" applyFill="1" applyBorder="1" applyAlignment="1">
      <alignment vertical="center"/>
    </xf>
    <xf numFmtId="0" fontId="48" fillId="12" borderId="1" xfId="13" applyFont="1" applyFill="1" applyBorder="1" applyAlignment="1">
      <alignment vertical="center" wrapText="1"/>
    </xf>
    <xf numFmtId="0" fontId="48" fillId="11" borderId="1" xfId="13" applyFont="1" applyFill="1" applyBorder="1" applyAlignment="1">
      <alignment vertical="center"/>
    </xf>
    <xf numFmtId="164" fontId="45" fillId="0" borderId="1" xfId="1" applyNumberFormat="1" applyFont="1" applyBorder="1" applyAlignment="1">
      <alignment horizontal="center" vertical="center" wrapText="1"/>
    </xf>
    <xf numFmtId="164" fontId="47" fillId="0" borderId="1" xfId="1" applyNumberFormat="1" applyFont="1" applyBorder="1" applyAlignment="1">
      <alignment vertical="center"/>
    </xf>
    <xf numFmtId="164" fontId="48" fillId="12" borderId="1" xfId="1" applyNumberFormat="1" applyFont="1" applyFill="1" applyBorder="1" applyAlignment="1">
      <alignment vertical="center"/>
    </xf>
    <xf numFmtId="164" fontId="48" fillId="11" borderId="1" xfId="1" applyNumberFormat="1" applyFont="1" applyFill="1" applyBorder="1" applyAlignment="1">
      <alignment vertical="center"/>
    </xf>
    <xf numFmtId="0" fontId="47" fillId="0" borderId="0" xfId="13" applyFont="1" applyAlignment="1">
      <alignment vertical="center"/>
    </xf>
    <xf numFmtId="164" fontId="47" fillId="0" borderId="1" xfId="1" applyNumberFormat="1" applyFont="1" applyFill="1" applyBorder="1" applyAlignment="1">
      <alignment vertical="center"/>
    </xf>
    <xf numFmtId="0" fontId="47" fillId="0" borderId="0" xfId="13" applyFont="1"/>
    <xf numFmtId="0" fontId="47" fillId="0" borderId="0" xfId="13" applyFont="1" applyAlignment="1">
      <alignment vertical="center" wrapText="1"/>
    </xf>
    <xf numFmtId="164" fontId="45" fillId="10" borderId="0" xfId="1" applyNumberFormat="1" applyFont="1" applyFill="1" applyAlignment="1">
      <alignment vertical="center"/>
    </xf>
    <xf numFmtId="9" fontId="47" fillId="0" borderId="0" xfId="6" applyFont="1" applyAlignment="1">
      <alignment vertical="center"/>
    </xf>
    <xf numFmtId="164" fontId="47" fillId="0" borderId="0" xfId="1" applyNumberFormat="1" applyFont="1" applyAlignment="1">
      <alignment vertical="center"/>
    </xf>
    <xf numFmtId="0" fontId="47" fillId="0" borderId="1" xfId="13" applyFont="1" applyBorder="1" applyAlignment="1">
      <alignment horizontal="right" vertical="center"/>
    </xf>
    <xf numFmtId="0" fontId="47" fillId="0" borderId="1" xfId="13" applyFont="1" applyBorder="1" applyAlignment="1">
      <alignment horizontal="right" vertical="center" wrapText="1"/>
    </xf>
    <xf numFmtId="164" fontId="47" fillId="0" borderId="1" xfId="1" applyNumberFormat="1" applyFont="1" applyFill="1" applyBorder="1" applyAlignment="1">
      <alignment horizontal="right" vertical="center"/>
    </xf>
    <xf numFmtId="0" fontId="48" fillId="11" borderId="1" xfId="13" applyFont="1" applyFill="1" applyBorder="1" applyAlignment="1">
      <alignment vertical="center" wrapText="1"/>
    </xf>
    <xf numFmtId="0" fontId="30" fillId="9" borderId="5" xfId="13" applyFont="1" applyFill="1" applyBorder="1" applyAlignment="1">
      <alignment vertical="center"/>
    </xf>
    <xf numFmtId="164" fontId="30" fillId="9" borderId="5" xfId="1" applyNumberFormat="1" applyFont="1" applyFill="1" applyBorder="1" applyAlignment="1">
      <alignment vertical="center"/>
    </xf>
    <xf numFmtId="164" fontId="30" fillId="9" borderId="4" xfId="1" applyNumberFormat="1" applyFont="1" applyFill="1" applyBorder="1" applyAlignment="1">
      <alignment vertical="center"/>
    </xf>
    <xf numFmtId="0" fontId="30" fillId="0" borderId="3" xfId="13" applyFont="1" applyBorder="1" applyAlignment="1">
      <alignment vertical="center"/>
    </xf>
    <xf numFmtId="0" fontId="30" fillId="0" borderId="5" xfId="13" applyFont="1" applyBorder="1" applyAlignment="1">
      <alignment vertical="center" wrapText="1"/>
    </xf>
    <xf numFmtId="164" fontId="30" fillId="0" borderId="5" xfId="1" applyNumberFormat="1" applyFont="1" applyFill="1" applyBorder="1" applyAlignment="1">
      <alignment vertic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6" fillId="0" borderId="3" xfId="13" applyFont="1" applyBorder="1" applyAlignment="1">
      <alignment horizontal="center" vertical="center"/>
    </xf>
    <xf numFmtId="0" fontId="46" fillId="0" borderId="5" xfId="13" applyFont="1" applyBorder="1" applyAlignment="1">
      <alignment horizontal="center" vertical="center"/>
    </xf>
    <xf numFmtId="0" fontId="31" fillId="0" borderId="5" xfId="13" applyFont="1" applyBorder="1" applyAlignment="1">
      <alignment horizontal="center" vertical="center"/>
    </xf>
    <xf numFmtId="0" fontId="31" fillId="0" borderId="4" xfId="13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9" fillId="0" borderId="0" xfId="0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3" xfId="10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8" xr:uid="{00000000-0005-0000-0000-000006000000}"/>
    <cellStyle name="Normal 5" xfId="9" xr:uid="{00000000-0005-0000-0000-000007000000}"/>
    <cellStyle name="Normal 6" xfId="12" xr:uid="{00000000-0005-0000-0000-000008000000}"/>
    <cellStyle name="Normal 7" xfId="13" xr:uid="{7439ACAD-908D-4FF6-A1AF-20967D7EDF61}"/>
    <cellStyle name="Normal_מרום הגליל תקציב 2009" xfId="5" xr:uid="{00000000-0005-0000-0000-000009000000}"/>
    <cellStyle name="Percent" xfId="6" builtinId="5"/>
    <cellStyle name="Percent 2" xfId="11" xr:uid="{00000000-0005-0000-0000-00000B000000}"/>
    <cellStyle name="הערה 2" xfId="7" xr:uid="{00000000-0005-0000-0000-00000D000000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תקציב 2025 - התפלגות תקבולים</a:t>
            </a:r>
          </a:p>
        </c:rich>
      </c:tx>
      <c:layout>
        <c:manualLayout>
          <c:xMode val="edge"/>
          <c:yMode val="edge"/>
          <c:x val="0.24999419202564235"/>
          <c:y val="1.6181229773462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'ריכוז תקציב'!$C$4</c:f>
              <c:strCache>
                <c:ptCount val="1"/>
                <c:pt idx="0">
                  <c:v> הצעת תקציב 2022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C87-425C-93AF-17144CD7DF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87-425C-93AF-17144CD7DF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C87-425C-93AF-17144CD7DF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87-425C-93AF-17144CD7DF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87-425C-93AF-17144CD7DF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87-425C-93AF-17144CD7DF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C87-425C-93AF-17144CD7DF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87-425C-93AF-17144CD7DF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87-425C-93AF-17144CD7DF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C87-425C-93AF-17144CD7DFB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C87-425C-93AF-17144CD7DFB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C87-425C-93AF-17144CD7DFB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C87-425C-93AF-17144CD7DFB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C87-425C-93AF-17144CD7DFB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C87-425C-93AF-17144CD7DFB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C87-425C-93AF-17144CD7DFB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6C87-425C-93AF-17144CD7DFB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C87-425C-93AF-17144CD7DFB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6C87-425C-93AF-17144CD7DFB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C87-425C-93AF-17144CD7D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תקציב'!$C$5:$C$47</c15:sqref>
                  </c15:fullRef>
                </c:ext>
              </c:extLst>
              <c:f>('ריכוז תקציב'!$C$6:$C$10,'ריכוז תקציב'!$C$12:$C$16,'ריכוז תקציב'!$C$18,'ריכוז תקציב'!$C$21:$C$22,'ריכוז תקציב'!$C$44)</c:f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C87-425C-93AF-17144CD7DFBF}"/>
            </c:ext>
          </c:extLst>
        </c:ser>
        <c:ser>
          <c:idx val="1"/>
          <c:order val="1"/>
          <c:tx>
            <c:strRef>
              <c:f>'ריכוז תקציב'!$D$4</c:f>
              <c:strCache>
                <c:ptCount val="1"/>
                <c:pt idx="0">
                  <c:v> ביצוע צפוי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תקציב'!$D$5:$D$47</c15:sqref>
                  </c15:fullRef>
                </c:ext>
              </c:extLst>
              <c:f>('ריכוז תקציב'!$D$6:$D$10,'ריכוז תקציב'!$D$12:$D$16,'ריכוז תקציב'!$D$18,'ריכוז תקציב'!$D$21:$D$22,'ריכוז תקציב'!$D$44)</c:f>
            </c:numRef>
          </c:val>
          <c:extLst>
            <c:ext xmlns:c16="http://schemas.microsoft.com/office/drawing/2014/chart" uri="{C3380CC4-5D6E-409C-BE32-E72D297353CC}">
              <c16:uniqueId val="{0000001A-FE8F-4435-A295-07FDDEFAEB07}"/>
            </c:ext>
          </c:extLst>
        </c:ser>
        <c:ser>
          <c:idx val="2"/>
          <c:order val="2"/>
          <c:tx>
            <c:strRef>
              <c:f>'ריכוז תקציב'!$E$4</c:f>
              <c:strCache>
                <c:ptCount val="1"/>
                <c:pt idx="0">
                  <c:v> תקציב מעודכן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תקציב'!$E$5:$E$47</c15:sqref>
                  </c15:fullRef>
                </c:ext>
              </c:extLst>
              <c:f>('ריכוז תקציב'!$E$6:$E$10,'ריכוז תקציב'!$E$12:$E$16,'ריכוז תקציב'!$E$18,'ריכוז תקציב'!$E$21:$E$22,'ריכוז תקציב'!$E$44)</c:f>
            </c:numRef>
          </c:val>
          <c:extLst>
            <c:ext xmlns:c16="http://schemas.microsoft.com/office/drawing/2014/chart" uri="{C3380CC4-5D6E-409C-BE32-E72D297353CC}">
              <c16:uniqueId val="{0000001B-FE8F-4435-A295-07FDDEFAEB07}"/>
            </c:ext>
          </c:extLst>
        </c:ser>
        <c:ser>
          <c:idx val="3"/>
          <c:order val="3"/>
          <c:tx>
            <c:strRef>
              <c:f>'ריכוז תקציב'!$F$4</c:f>
              <c:strCache>
                <c:ptCount val="1"/>
                <c:pt idx="0">
                  <c:v> משרות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תקציב'!$F$5:$F$47</c15:sqref>
                  </c15:fullRef>
                </c:ext>
              </c:extLst>
              <c:f>('ריכוז תקציב'!$F$6:$F$10,'ריכוז תקציב'!$F$12:$F$16,'ריכוז תקציב'!$F$18,'ריכוז תקציב'!$F$21:$F$22,'ריכוז תקציב'!$F$44)</c:f>
            </c:numRef>
          </c:val>
          <c:extLst>
            <c:ext xmlns:c16="http://schemas.microsoft.com/office/drawing/2014/chart" uri="{C3380CC4-5D6E-409C-BE32-E72D297353CC}">
              <c16:uniqueId val="{0000001C-FE8F-4435-A295-07FDDEFAEB07}"/>
            </c:ext>
          </c:extLst>
        </c:ser>
        <c:ser>
          <c:idx val="4"/>
          <c:order val="4"/>
          <c:tx>
            <c:strRef>
              <c:f>'ריכוז תקציב'!$G$4</c:f>
              <c:strCache>
                <c:ptCount val="1"/>
                <c:pt idx="0">
                  <c:v> צפי ביצוע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תקציב'!$G$5:$G$47</c15:sqref>
                  </c15:fullRef>
                </c:ext>
              </c:extLst>
              <c:f>('ריכוז תקציב'!$G$6:$G$10,'ריכוז תקציב'!$G$12:$G$16,'ריכוז תקציב'!$G$18,'ריכוז תקציב'!$G$21:$G$22,'ריכוז תקציב'!$G$44)</c:f>
            </c:numRef>
          </c:val>
          <c:extLst>
            <c:ext xmlns:c16="http://schemas.microsoft.com/office/drawing/2014/chart" uri="{C3380CC4-5D6E-409C-BE32-E72D297353CC}">
              <c16:uniqueId val="{0000001D-FE8F-4435-A295-07FDDEFAEB07}"/>
            </c:ext>
          </c:extLst>
        </c:ser>
        <c:ser>
          <c:idx val="5"/>
          <c:order val="5"/>
          <c:tx>
            <c:strRef>
              <c:f>'ריכוז תקציב'!$H$4</c:f>
              <c:strCache>
                <c:ptCount val="1"/>
                <c:pt idx="0">
                  <c:v> תקציב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תקציב'!$H$5:$H$47</c15:sqref>
                  </c15:fullRef>
                </c:ext>
              </c:extLst>
              <c:f>('ריכוז תקציב'!$H$6:$H$10,'ריכוז תקציב'!$H$12:$H$16,'ריכוז תקציב'!$H$18,'ריכוז תקציב'!$H$21:$H$22,'ריכוז תקציב'!$H$44)</c:f>
            </c:numRef>
          </c:val>
          <c:extLst>
            <c:ext xmlns:c16="http://schemas.microsoft.com/office/drawing/2014/chart" uri="{C3380CC4-5D6E-409C-BE32-E72D297353CC}">
              <c16:uniqueId val="{0000001E-FE8F-4435-A295-07FDDEFAEB07}"/>
            </c:ext>
          </c:extLst>
        </c:ser>
        <c:ser>
          <c:idx val="6"/>
          <c:order val="6"/>
          <c:tx>
            <c:strRef>
              <c:f>'ריכוז תקציב'!$I$4</c:f>
              <c:strCache>
                <c:ptCount val="1"/>
                <c:pt idx="0">
                  <c:v> משרות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תקציב'!$I$5:$I$47</c15:sqref>
                  </c15:fullRef>
                </c:ext>
              </c:extLst>
              <c:f>('ריכוז תקציב'!$I$6:$I$10,'ריכוז תקציב'!$I$12:$I$16,'ריכוז תקציב'!$I$18,'ריכוז תקציב'!$I$21:$I$22,'ריכוז תקציב'!$I$44)</c:f>
            </c:numRef>
          </c:val>
          <c:extLst>
            <c:ext xmlns:c16="http://schemas.microsoft.com/office/drawing/2014/chart" uri="{C3380CC4-5D6E-409C-BE32-E72D297353CC}">
              <c16:uniqueId val="{0000001F-FE8F-4435-A295-07FDDEFAEB07}"/>
            </c:ext>
          </c:extLst>
        </c:ser>
        <c:ser>
          <c:idx val="7"/>
          <c:order val="7"/>
          <c:tx>
            <c:strRef>
              <c:f>'ריכוז תקציב'!$J$4</c:f>
              <c:strCache>
                <c:ptCount val="1"/>
                <c:pt idx="0">
                  <c:v> צפי ביצוע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הכנסות</c:v>
                </c:pt>
                <c:pt idx="1">
                  <c:v>ארנונה  כללית</c:v>
                </c:pt>
                <c:pt idx="2">
                  <c:v>מפעל המים</c:v>
                </c:pt>
                <c:pt idx="3">
                  <c:v> עצמיות חינוך</c:v>
                </c:pt>
                <c:pt idx="4">
                  <c:v> עצמיות רווחה</c:v>
                </c:pt>
                <c:pt idx="5">
                  <c:v> עצמיות אחר</c:v>
                </c:pt>
                <c:pt idx="6">
                  <c:v>סה"כ הכנסות עצמיות</c:v>
                </c:pt>
                <c:pt idx="7">
                  <c:v>משרד החינוך</c:v>
                </c:pt>
                <c:pt idx="8">
                  <c:v>משרד הרווחה</c:v>
                </c:pt>
                <c:pt idx="9">
                  <c:v> תקבולים ממשלתיים אחרים</c:v>
                </c:pt>
                <c:pt idx="10">
                  <c:v>מענק כללי לאיזון</c:v>
                </c:pt>
                <c:pt idx="11">
                  <c:v>מענקים אחרים ממשרד הפנים</c:v>
                </c:pt>
                <c:pt idx="12">
                  <c:v>סה"כ תקבולי ממשלה</c:v>
                </c:pt>
                <c:pt idx="13">
                  <c:v>תקבולים אחרים </c:v>
                </c:pt>
                <c:pt idx="14">
                  <c:v>הכנסות משנים קודמות</c:v>
                </c:pt>
                <c:pt idx="15">
                  <c:v>סה"כ הכנסות לפני הנחות בארנונה וכיסוי גרעון נצבר</c:v>
                </c:pt>
                <c:pt idx="16">
                  <c:v>הנחות ארנונה</c:v>
                </c:pt>
                <c:pt idx="17">
                  <c:v>סה"כ הכנסות ללא מותנה</c:v>
                </c:pt>
                <c:pt idx="18">
                  <c:v>הכנסה מותנה</c:v>
                </c:pt>
                <c:pt idx="19">
                  <c:v>סה"כ הכנסות כולל מותנה</c:v>
                </c:pt>
                <c:pt idx="20">
                  <c:v>הוצאות</c:v>
                </c:pt>
                <c:pt idx="21">
                  <c:v>שכר כללי</c:v>
                </c:pt>
                <c:pt idx="22">
                  <c:v>פעולות כלליות</c:v>
                </c:pt>
                <c:pt idx="23">
                  <c:v>מפעל המים</c:v>
                </c:pt>
                <c:pt idx="24">
                  <c:v>סה"כ הוצאות כלליות</c:v>
                </c:pt>
                <c:pt idx="25">
                  <c:v>שכר חינוך </c:v>
                </c:pt>
                <c:pt idx="26">
                  <c:v>פעולות חינוך </c:v>
                </c:pt>
                <c:pt idx="27">
                  <c:v>סה"כ חינוך</c:v>
                </c:pt>
                <c:pt idx="28">
                  <c:v>שכר רווחה</c:v>
                </c:pt>
                <c:pt idx="29">
                  <c:v>פעולות רווחה</c:v>
                </c:pt>
                <c:pt idx="30">
                  <c:v>סה"כ רווחה</c:v>
                </c:pt>
                <c:pt idx="31">
                  <c:v>פרעון מילוות מים וביוב</c:v>
                </c:pt>
                <c:pt idx="32">
                  <c:v>פרעון מילוות אחר</c:v>
                </c:pt>
                <c:pt idx="33">
                  <c:v>סה"כ פרעון מלוות</c:v>
                </c:pt>
                <c:pt idx="34">
                  <c:v>הוצאות מימון</c:v>
                </c:pt>
                <c:pt idx="35">
                  <c:v>הוצאה  שנים קודמות</c:v>
                </c:pt>
                <c:pt idx="36">
                  <c:v>סה"כ הוצאות לפני הנחות בארנונה וכיסוי גרעון נצבר</c:v>
                </c:pt>
                <c:pt idx="37">
                  <c:v>הנחות ארנונה</c:v>
                </c:pt>
                <c:pt idx="38">
                  <c:v>סה"כ הוצאות ללא מותנה</c:v>
                </c:pt>
                <c:pt idx="39">
                  <c:v>הוצאה מותנה</c:v>
                </c:pt>
                <c:pt idx="40">
                  <c:v>סה"כ הוצאות כולל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תקציב'!$J$5:$J$47</c15:sqref>
                  </c15:fullRef>
                </c:ext>
              </c:extLst>
              <c:f>('ריכוז תקציב'!$J$6:$J$10,'ריכוז תקציב'!$J$12:$J$16,'ריכוז תקציב'!$J$18,'ריכוז תקציב'!$J$21:$J$22,'ריכוז תקציב'!$J$44)</c:f>
            </c:numRef>
          </c:val>
          <c:extLst>
            <c:ext xmlns:c16="http://schemas.microsoft.com/office/drawing/2014/chart" uri="{C3380CC4-5D6E-409C-BE32-E72D297353CC}">
              <c16:uniqueId val="{00000020-FE8F-4435-A295-07FDDEFAEB07}"/>
            </c:ext>
          </c:extLst>
        </c:ser>
        <c:ser>
          <c:idx val="11"/>
          <c:order val="11"/>
          <c:tx>
            <c:strRef>
              <c:f>'ריכוז תקציב'!$N$4</c:f>
              <c:strCache>
                <c:ptCount val="1"/>
                <c:pt idx="0">
                  <c:v> תקציב 2025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E8F-4435-A295-07FDDEFAEB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FE8F-4435-A295-07FDDEFAEB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E8F-4435-A295-07FDDEFAEB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FE8F-4435-A295-07FDDEFAEB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E8F-4435-A295-07FDDEFAEB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E8F-4435-A295-07FDDEFAEB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FE8F-4435-A295-07FDDEFAEB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E8F-4435-A295-07FDDEFAEB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FE8F-4435-A295-07FDDEFAEB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FE8F-4435-A295-07FDDEFAEB0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FE8F-4435-A295-07FDDEFAEB0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FE8F-4435-A295-07FDDEFAEB07}"/>
              </c:ext>
            </c:extLst>
          </c:dPt>
          <c:dLbls>
            <c:dLbl>
              <c:idx val="0"/>
              <c:layout>
                <c:manualLayout>
                  <c:x val="-4.0816333818332405E-2"/>
                  <c:y val="-1.29449838187702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8F-4435-A295-07FDDEFAEB0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8-FE8F-4435-A295-07FDDEFAEB07}"/>
                </c:ext>
              </c:extLst>
            </c:dLbl>
            <c:dLbl>
              <c:idx val="2"/>
              <c:layout>
                <c:manualLayout>
                  <c:x val="0.13378687196008926"/>
                  <c:y val="-3.23624595469255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8F-4435-A295-07FDDEFAEB07}"/>
                </c:ext>
              </c:extLst>
            </c:dLbl>
            <c:dLbl>
              <c:idx val="3"/>
              <c:layout>
                <c:manualLayout>
                  <c:x val="6.8027223030553863E-2"/>
                  <c:y val="-0.122977346278317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8F-4435-A295-07FDDEFAEB07}"/>
                </c:ext>
              </c:extLst>
            </c:dLbl>
            <c:dLbl>
              <c:idx val="4"/>
              <c:layout>
                <c:manualLayout>
                  <c:x val="0.14965989066721833"/>
                  <c:y val="4.53074433656957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8F-4435-A295-07FDDEFAEB0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D-FE8F-4435-A295-07FDDEFAEB0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E-FE8F-4435-A295-07FDDEFAEB07}"/>
                </c:ext>
              </c:extLst>
            </c:dLbl>
            <c:dLbl>
              <c:idx val="7"/>
              <c:layout>
                <c:manualLayout>
                  <c:x val="-4.0816333818332322E-2"/>
                  <c:y val="9.06148867313915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8F-4435-A295-07FDDEFAEB07}"/>
                </c:ext>
              </c:extLst>
            </c:dLbl>
            <c:dLbl>
              <c:idx val="8"/>
              <c:layout>
                <c:manualLayout>
                  <c:x val="-9.0702964040738493E-2"/>
                  <c:y val="5.82524271844659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8F-4435-A295-07FDDEFAEB07}"/>
                </c:ext>
              </c:extLst>
            </c:dLbl>
            <c:dLbl>
              <c:idx val="9"/>
              <c:layout>
                <c:manualLayout>
                  <c:x val="-0.22902498420286468"/>
                  <c:y val="6.148867313915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8F-4435-A295-07FDDEFAEB07}"/>
                </c:ext>
              </c:extLst>
            </c:dLbl>
            <c:dLbl>
              <c:idx val="10"/>
              <c:layout>
                <c:manualLayout>
                  <c:x val="-0.1972789467886062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8F-4435-A295-07FDDEFAEB0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6-FE8F-4435-A295-07FDDEFAEB0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תקציב'!$B$5:$B$47</c15:sqref>
                  </c15:fullRef>
                </c:ext>
              </c:extLst>
              <c:f>('ריכוז תקציב'!$B$6:$B$10,'ריכוז תקציב'!$B$12:$B$16,'ריכוז תקציב'!$B$18,'ריכוז תקציב'!$B$21:$B$22,'ריכוז תקציב'!$B$44)</c:f>
              <c:strCache>
                <c:ptCount val="12"/>
                <c:pt idx="0">
                  <c:v>ארנונה  כללית</c:v>
                </c:pt>
                <c:pt idx="1">
                  <c:v>מפעל המים</c:v>
                </c:pt>
                <c:pt idx="2">
                  <c:v> עצמיות חינוך</c:v>
                </c:pt>
                <c:pt idx="3">
                  <c:v> עצמיות רווחה</c:v>
                </c:pt>
                <c:pt idx="4">
                  <c:v> עצמיות אחר</c:v>
                </c:pt>
                <c:pt idx="5">
                  <c:v>משרד החינוך</c:v>
                </c:pt>
                <c:pt idx="6">
                  <c:v>משרד הרווחה</c:v>
                </c:pt>
                <c:pt idx="7">
                  <c:v> תקבולים ממשלתיים אחרים</c:v>
                </c:pt>
                <c:pt idx="8">
                  <c:v>מענק כללי לאיזון</c:v>
                </c:pt>
                <c:pt idx="9">
                  <c:v>מענקים אחרים ממשרד הפנים</c:v>
                </c:pt>
                <c:pt idx="10">
                  <c:v>תקבולים אחרים </c:v>
                </c:pt>
                <c:pt idx="11">
                  <c:v>הנחות ארנונה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תקציב'!$N$5:$N$47</c15:sqref>
                  </c15:fullRef>
                </c:ext>
              </c:extLst>
              <c:f>('ריכוז תקציב'!$N$6:$N$10,'ריכוז תקציב'!$N$12:$N$16,'ריכוז תקציב'!$N$18,'ריכוז תקציב'!$N$21:$N$22,'ריכוז תקציב'!$N$44)</c:f>
              <c:numCache>
                <c:formatCode>_ * #,##0_ ;_ * \-#,##0_ ;_ * "-"??_ ;_ @_ </c:formatCode>
                <c:ptCount val="12"/>
                <c:pt idx="0">
                  <c:v>13627000</c:v>
                </c:pt>
                <c:pt idx="1">
                  <c:v>400000</c:v>
                </c:pt>
                <c:pt idx="2">
                  <c:v>120000</c:v>
                </c:pt>
                <c:pt idx="3">
                  <c:v>15000</c:v>
                </c:pt>
                <c:pt idx="4">
                  <c:v>3706000</c:v>
                </c:pt>
                <c:pt idx="5">
                  <c:v>58491846</c:v>
                </c:pt>
                <c:pt idx="6">
                  <c:v>36659500</c:v>
                </c:pt>
                <c:pt idx="7">
                  <c:v>3750500</c:v>
                </c:pt>
                <c:pt idx="8">
                  <c:v>18108900</c:v>
                </c:pt>
                <c:pt idx="9">
                  <c:v>2462403</c:v>
                </c:pt>
                <c:pt idx="10">
                  <c:v>2650000</c:v>
                </c:pt>
                <c:pt idx="11">
                  <c:v>7000000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4-FE8F-4435-A295-07FDDEFAEB0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'ריכוז תקציב'!$K$4</c15:sqref>
                        </c15:formulaRef>
                      </c:ext>
                    </c:extLst>
                    <c:strCache>
                      <c:ptCount val="1"/>
                      <c:pt idx="0">
                        <c:v> תקציב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0-FE8F-4435-A295-07FDDEFAEB0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1-FE8F-4435-A295-07FDDEFAEB0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2-FE8F-4435-A295-07FDDEFAEB0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3-FE8F-4435-A295-07FDDEFAEB0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4-FE8F-4435-A295-07FDDEFAEB0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6-FE8F-4435-A295-07FDDEFAEB0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7-FE8F-4435-A295-07FDDEFAEB0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8-FE8F-4435-A295-07FDDEFAEB0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9-FE8F-4435-A295-07FDDEFAEB0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A-FE8F-4435-A295-07FDDEFAEB0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C-FE8F-4435-A295-07FDDEFAEB0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F-FE8F-4435-A295-07FDDEFAEB07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0-FE8F-4435-A295-07FDDEFAEB07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1-FE8F-4435-A295-07FDDEFAEB07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2-FE8F-4435-A295-07FDDEFAEB07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3-FE8F-4435-A295-07FDDEFAEB07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4-FE8F-4435-A295-07FDDEFAEB07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6-FE8F-4435-A295-07FDDEFAEB07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7-FE8F-4435-A295-07FDDEFAEB07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8-FE8F-4435-A295-07FDDEFAEB07}"/>
                      </c:ext>
                    </c:extLst>
                  </c:dLbl>
                  <c:dLbl>
                    <c:idx val="8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9-FE8F-4435-A295-07FDDEFAEB07}"/>
                      </c:ext>
                    </c:extLst>
                  </c:dLbl>
                  <c:dLbl>
                    <c:idx val="9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A-FE8F-4435-A295-07FDDEFAEB07}"/>
                      </c:ext>
                    </c:extLst>
                  </c:dLbl>
                  <c:dLbl>
                    <c:idx val="1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C-FE8F-4435-A295-07FDDEFAEB07}"/>
                      </c:ext>
                    </c:extLst>
                  </c:dLbl>
                  <c:dLbl>
                    <c:idx val="1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5F-FE8F-4435-A295-07FDDEFAEB0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'ריכוז תקציב'!$B$5:$B$47</c15:sqref>
                        </c15:fullRef>
                        <c15:formulaRef>
                          <c15:sqref>('ריכוז תקציב'!$B$6:$B$10,'ריכוז תקציב'!$B$12:$B$16,'ריכוז תקציב'!$B$18,'ריכוז תקציב'!$B$21:$B$22,'ריכוז תקציב'!$B$44)</c15:sqref>
                        </c15:formulaRef>
                      </c:ext>
                    </c:extLst>
                    <c:strCache>
                      <c:ptCount val="12"/>
                      <c:pt idx="0">
                        <c:v>ארנונה  כללית</c:v>
                      </c:pt>
                      <c:pt idx="1">
                        <c:v>מפעל המים</c:v>
                      </c:pt>
                      <c:pt idx="2">
                        <c:v> עצמיות חינוך</c:v>
                      </c:pt>
                      <c:pt idx="3">
                        <c:v> עצמיות רווחה</c:v>
                      </c:pt>
                      <c:pt idx="4">
                        <c:v> עצמיות אחר</c:v>
                      </c:pt>
                      <c:pt idx="5">
                        <c:v>משרד החינוך</c:v>
                      </c:pt>
                      <c:pt idx="6">
                        <c:v>משרד הרווחה</c:v>
                      </c:pt>
                      <c:pt idx="7">
                        <c:v> תקבולים ממשלתיים אחרים</c:v>
                      </c:pt>
                      <c:pt idx="8">
                        <c:v>מענק כללי לאיזון</c:v>
                      </c:pt>
                      <c:pt idx="9">
                        <c:v>מענקים אחרים ממשרד הפנים</c:v>
                      </c:pt>
                      <c:pt idx="10">
                        <c:v>תקבולים אחרים </c:v>
                      </c:pt>
                      <c:pt idx="11">
                        <c:v>הנחות ארנונה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'ריכוז תקציב'!$K$5:$K$47</c15:sqref>
                        </c15:fullRef>
                        <c15:formulaRef>
                          <c15:sqref>('ריכוז תקציב'!$K$6:$K$10,'ריכוז תקציב'!$K$12:$K$16,'ריכוז תקציב'!$K$18,'ריכוז תקציב'!$K$21:$K$22,'ריכוז תקציב'!$K$44)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2"/>
                      <c:pt idx="0">
                        <c:v>12572000</c:v>
                      </c:pt>
                      <c:pt idx="1">
                        <c:v>750000</c:v>
                      </c:pt>
                      <c:pt idx="2">
                        <c:v>120000</c:v>
                      </c:pt>
                      <c:pt idx="3">
                        <c:v>0</c:v>
                      </c:pt>
                      <c:pt idx="4">
                        <c:v>4217000</c:v>
                      </c:pt>
                      <c:pt idx="5">
                        <c:v>52987730</c:v>
                      </c:pt>
                      <c:pt idx="6">
                        <c:v>29386000</c:v>
                      </c:pt>
                      <c:pt idx="7">
                        <c:v>2717000</c:v>
                      </c:pt>
                      <c:pt idx="8">
                        <c:v>15832700</c:v>
                      </c:pt>
                      <c:pt idx="9">
                        <c:v>2076323</c:v>
                      </c:pt>
                      <c:pt idx="10">
                        <c:v>2600000</c:v>
                      </c:pt>
                      <c:pt idx="11">
                        <c:v>6500000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1-FE8F-4435-A295-07FDDEFAEB07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תקציב'!$L$4</c15:sqref>
                        </c15:formulaRef>
                      </c:ext>
                    </c:extLst>
                    <c:strCache>
                      <c:ptCount val="1"/>
                      <c:pt idx="0">
                        <c:v> משרות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FE8F-4435-A295-07FDDEFAEB0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FE8F-4435-A295-07FDDEFAEB0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FE8F-4435-A295-07FDDEFAEB0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FE8F-4435-A295-07FDDEFAEB0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FE8F-4435-A295-07FDDEFAEB0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FE8F-4435-A295-07FDDEFAEB0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FE8F-4435-A295-07FDDEFAEB0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FE8F-4435-A295-07FDDEFAEB0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FE8F-4435-A295-07FDDEFAEB0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FE8F-4435-A295-07FDDEFAEB0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85-FE8F-4435-A295-07FDDEFAEB0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88-FE8F-4435-A295-07FDDEFAEB07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79-FE8F-4435-A295-07FDDEFAEB07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7A-FE8F-4435-A295-07FDDEFAEB07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7B-FE8F-4435-A295-07FDDEFAEB07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7C-FE8F-4435-A295-07FDDEFAEB07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7D-FE8F-4435-A295-07FDDEFAEB07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7F-FE8F-4435-A295-07FDDEFAEB07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80-FE8F-4435-A295-07FDDEFAEB07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81-FE8F-4435-A295-07FDDEFAEB07}"/>
                      </c:ext>
                    </c:extLst>
                  </c:dLbl>
                  <c:dLbl>
                    <c:idx val="8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82-FE8F-4435-A295-07FDDEFAEB07}"/>
                      </c:ext>
                    </c:extLst>
                  </c:dLbl>
                  <c:dLbl>
                    <c:idx val="9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83-FE8F-4435-A295-07FDDEFAEB07}"/>
                      </c:ext>
                    </c:extLst>
                  </c:dLbl>
                  <c:dLbl>
                    <c:idx val="1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85-FE8F-4435-A295-07FDDEFAEB07}"/>
                      </c:ext>
                    </c:extLst>
                  </c:dLbl>
                  <c:dLbl>
                    <c:idx val="1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88-FE8F-4435-A295-07FDDEFAEB0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'ריכוז תקציב'!$B$5:$B$47</c15:sqref>
                        </c15:fullRef>
                        <c15:formulaRef>
                          <c15:sqref>('ריכוז תקציב'!$B$6:$B$10,'ריכוז תקציב'!$B$12:$B$16,'ריכוז תקציב'!$B$18,'ריכוז תקציב'!$B$21:$B$22,'ריכוז תקציב'!$B$44)</c15:sqref>
                        </c15:formulaRef>
                      </c:ext>
                    </c:extLst>
                    <c:strCache>
                      <c:ptCount val="12"/>
                      <c:pt idx="0">
                        <c:v>ארנונה  כללית</c:v>
                      </c:pt>
                      <c:pt idx="1">
                        <c:v>מפעל המים</c:v>
                      </c:pt>
                      <c:pt idx="2">
                        <c:v> עצמיות חינוך</c:v>
                      </c:pt>
                      <c:pt idx="3">
                        <c:v> עצמיות רווחה</c:v>
                      </c:pt>
                      <c:pt idx="4">
                        <c:v> עצמיות אחר</c:v>
                      </c:pt>
                      <c:pt idx="5">
                        <c:v>משרד החינוך</c:v>
                      </c:pt>
                      <c:pt idx="6">
                        <c:v>משרד הרווחה</c:v>
                      </c:pt>
                      <c:pt idx="7">
                        <c:v> תקבולים ממשלתיים אחרים</c:v>
                      </c:pt>
                      <c:pt idx="8">
                        <c:v>מענק כללי לאיזון</c:v>
                      </c:pt>
                      <c:pt idx="9">
                        <c:v>מענקים אחרים ממשרד הפנים</c:v>
                      </c:pt>
                      <c:pt idx="10">
                        <c:v>תקבולים אחרים </c:v>
                      </c:pt>
                      <c:pt idx="11">
                        <c:v>הנחות ארנונה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'ריכוז תקציב'!$L$5:$L$47</c15:sqref>
                        </c15:fullRef>
                        <c15:formulaRef>
                          <c15:sqref>('ריכוז תקציב'!$L$6:$L$10,'ריכוז תקציב'!$L$12:$L$16,'ריכוז תקציב'!$L$18,'ריכוז תקציב'!$L$21:$L$22,'ריכוז תקציב'!$L$44)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2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2-FE8F-4435-A295-07FDDEFAEB07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תקציב'!$M$4</c15:sqref>
                        </c15:formulaRef>
                      </c:ext>
                    </c:extLst>
                    <c:strCache>
                      <c:ptCount val="1"/>
                      <c:pt idx="0">
                        <c:v> ביצוע צפוי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FE8F-4435-A295-07FDDEFAEB0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FE8F-4435-A295-07FDDEFAEB0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FE8F-4435-A295-07FDDEFAEB0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FE8F-4435-A295-07FDDEFAEB0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FE8F-4435-A295-07FDDEFAEB0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FE8F-4435-A295-07FDDEFAEB0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FE8F-4435-A295-07FDDEFAEB0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FE8F-4435-A295-07FDDEFAEB0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FE8F-4435-A295-07FDDEFAEB0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FE8F-4435-A295-07FDDEFAEB0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AE-FE8F-4435-A295-07FDDEFAEB0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B1-FE8F-4435-A295-07FDDEFAEB07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2-FE8F-4435-A295-07FDDEFAEB07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3-FE8F-4435-A295-07FDDEFAEB07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4-FE8F-4435-A295-07FDDEFAEB07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5-FE8F-4435-A295-07FDDEFAEB07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6-FE8F-4435-A295-07FDDEFAEB07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8-FE8F-4435-A295-07FDDEFAEB07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9-FE8F-4435-A295-07FDDEFAEB07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A-FE8F-4435-A295-07FDDEFAEB07}"/>
                      </c:ext>
                    </c:extLst>
                  </c:dLbl>
                  <c:dLbl>
                    <c:idx val="8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B-FE8F-4435-A295-07FDDEFAEB07}"/>
                      </c:ext>
                    </c:extLst>
                  </c:dLbl>
                  <c:dLbl>
                    <c:idx val="9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C-FE8F-4435-A295-07FDDEFAEB07}"/>
                      </c:ext>
                    </c:extLst>
                  </c:dLbl>
                  <c:dLbl>
                    <c:idx val="1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AE-FE8F-4435-A295-07FDDEFAEB07}"/>
                      </c:ext>
                    </c:extLst>
                  </c:dLbl>
                  <c:dLbl>
                    <c:idx val="1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B1-FE8F-4435-A295-07FDDEFAEB0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'ריכוז תקציב'!$B$5:$B$47</c15:sqref>
                        </c15:fullRef>
                        <c15:formulaRef>
                          <c15:sqref>('ריכוז תקציב'!$B$6:$B$10,'ריכוז תקציב'!$B$12:$B$16,'ריכוז תקציב'!$B$18,'ריכוז תקציב'!$B$21:$B$22,'ריכוז תקציב'!$B$44)</c15:sqref>
                        </c15:formulaRef>
                      </c:ext>
                    </c:extLst>
                    <c:strCache>
                      <c:ptCount val="12"/>
                      <c:pt idx="0">
                        <c:v>ארנונה  כללית</c:v>
                      </c:pt>
                      <c:pt idx="1">
                        <c:v>מפעל המים</c:v>
                      </c:pt>
                      <c:pt idx="2">
                        <c:v> עצמיות חינוך</c:v>
                      </c:pt>
                      <c:pt idx="3">
                        <c:v> עצמיות רווחה</c:v>
                      </c:pt>
                      <c:pt idx="4">
                        <c:v> עצמיות אחר</c:v>
                      </c:pt>
                      <c:pt idx="5">
                        <c:v>משרד החינוך</c:v>
                      </c:pt>
                      <c:pt idx="6">
                        <c:v>משרד הרווחה</c:v>
                      </c:pt>
                      <c:pt idx="7">
                        <c:v> תקבולים ממשלתיים אחרים</c:v>
                      </c:pt>
                      <c:pt idx="8">
                        <c:v>מענק כללי לאיזון</c:v>
                      </c:pt>
                      <c:pt idx="9">
                        <c:v>מענקים אחרים ממשרד הפנים</c:v>
                      </c:pt>
                      <c:pt idx="10">
                        <c:v>תקבולים אחרים </c:v>
                      </c:pt>
                      <c:pt idx="11">
                        <c:v>הנחות ארנונה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'ריכוז תקציב'!$M$5:$M$47</c15:sqref>
                        </c15:fullRef>
                        <c15:formulaRef>
                          <c15:sqref>('ריכוז תקציב'!$M$6:$M$10,'ריכוז תקציב'!$M$12:$M$16,'ריכוז תקציב'!$M$18,'ריכוז תקציב'!$M$21:$M$22,'ריכוז תקציב'!$M$44)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2"/>
                      <c:pt idx="0">
                        <c:v>12441510.51</c:v>
                      </c:pt>
                      <c:pt idx="1">
                        <c:v>917003.91</c:v>
                      </c:pt>
                      <c:pt idx="2">
                        <c:v>110000</c:v>
                      </c:pt>
                      <c:pt idx="3">
                        <c:v>15812</c:v>
                      </c:pt>
                      <c:pt idx="4">
                        <c:v>4224731.12</c:v>
                      </c:pt>
                      <c:pt idx="5">
                        <c:v>58125099.780000001</c:v>
                      </c:pt>
                      <c:pt idx="6">
                        <c:v>35901318.780000001</c:v>
                      </c:pt>
                      <c:pt idx="7">
                        <c:v>2477884.0824000002</c:v>
                      </c:pt>
                      <c:pt idx="8">
                        <c:v>15690890</c:v>
                      </c:pt>
                      <c:pt idx="9">
                        <c:v>2491808</c:v>
                      </c:pt>
                      <c:pt idx="10">
                        <c:v>2690817.13</c:v>
                      </c:pt>
                      <c:pt idx="11">
                        <c:v>6591998.6699999999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3-FE8F-4435-A295-07FDDEFAEB07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תקציב'!$O$4</c15:sqref>
                        </c15:formulaRef>
                      </c:ext>
                    </c:extLst>
                    <c:strCache>
                      <c:ptCount val="1"/>
                      <c:pt idx="0">
                        <c:v> משרות 2025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FE8F-4435-A295-07FDDEFAEB0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C-FE8F-4435-A295-07FDDEFAEB0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FE8F-4435-A295-07FDDEFAEB0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E-FE8F-4435-A295-07FDDEFAEB0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FE8F-4435-A295-07FDDEFAEB0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FE8F-4435-A295-07FDDEFAEB0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FE8F-4435-A295-07FDDEFAEB0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FE8F-4435-A295-07FDDEFAEB0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FE8F-4435-A295-07FDDEFAEB0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FE8F-4435-A295-07FDDEFAEB0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D7-FE8F-4435-A295-07FDDEFAEB0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DA-FE8F-4435-A295-07FDDEFAEB07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CB-FE8F-4435-A295-07FDDEFAEB07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CC-FE8F-4435-A295-07FDDEFAEB07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CD-FE8F-4435-A295-07FDDEFAEB07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CE-FE8F-4435-A295-07FDDEFAEB07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/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CF-FE8F-4435-A295-07FDDEFAEB07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1-FE8F-4435-A295-07FDDEFAEB07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2-FE8F-4435-A295-07FDDEFAEB07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3-FE8F-4435-A295-07FDDEFAEB07}"/>
                      </c:ext>
                    </c:extLst>
                  </c:dLbl>
                  <c:dLbl>
                    <c:idx val="8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4-FE8F-4435-A295-07FDDEFAEB07}"/>
                      </c:ext>
                    </c:extLst>
                  </c:dLbl>
                  <c:dLbl>
                    <c:idx val="9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>
                                <a:lumMod val="6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5-FE8F-4435-A295-07FDDEFAEB07}"/>
                      </c:ext>
                    </c:extLst>
                  </c:dLbl>
                  <c:dLbl>
                    <c:idx val="1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7-FE8F-4435-A295-07FDDEFAEB07}"/>
                      </c:ext>
                    </c:extLst>
                  </c:dLbl>
                  <c:dLbl>
                    <c:idx val="1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>
                                <a:lumMod val="80000"/>
                                <a:lumOff val="20000"/>
                              </a:schemeClr>
                            </a:solidFill>
                            <a:latin typeface="David" panose="020E0502060401010101" pitchFamily="34" charset="-79"/>
                            <a:ea typeface="+mn-ea"/>
                            <a:cs typeface="David" panose="020E0502060401010101" pitchFamily="34" charset="-79"/>
                          </a:defRPr>
                        </a:pPr>
                        <a:endParaRPr lang="he-IL"/>
                      </a:p>
                    </c:txPr>
                    <c:dLblPos val="outEnd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DA-FE8F-4435-A295-07FDDEFAEB0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'ריכוז תקציב'!$B$5:$B$47</c15:sqref>
                        </c15:fullRef>
                        <c15:formulaRef>
                          <c15:sqref>('ריכוז תקציב'!$B$6:$B$10,'ריכוז תקציב'!$B$12:$B$16,'ריכוז תקציב'!$B$18,'ריכוז תקציב'!$B$21:$B$22,'ריכוז תקציב'!$B$44)</c15:sqref>
                        </c15:formulaRef>
                      </c:ext>
                    </c:extLst>
                    <c:strCache>
                      <c:ptCount val="12"/>
                      <c:pt idx="0">
                        <c:v>ארנונה  כללית</c:v>
                      </c:pt>
                      <c:pt idx="1">
                        <c:v>מפעל המים</c:v>
                      </c:pt>
                      <c:pt idx="2">
                        <c:v> עצמיות חינוך</c:v>
                      </c:pt>
                      <c:pt idx="3">
                        <c:v> עצמיות רווחה</c:v>
                      </c:pt>
                      <c:pt idx="4">
                        <c:v> עצמיות אחר</c:v>
                      </c:pt>
                      <c:pt idx="5">
                        <c:v>משרד החינוך</c:v>
                      </c:pt>
                      <c:pt idx="6">
                        <c:v>משרד הרווחה</c:v>
                      </c:pt>
                      <c:pt idx="7">
                        <c:v> תקבולים ממשלתיים אחרים</c:v>
                      </c:pt>
                      <c:pt idx="8">
                        <c:v>מענק כללי לאיזון</c:v>
                      </c:pt>
                      <c:pt idx="9">
                        <c:v>מענקים אחרים ממשרד הפנים</c:v>
                      </c:pt>
                      <c:pt idx="10">
                        <c:v>תקבולים אחרים </c:v>
                      </c:pt>
                      <c:pt idx="11">
                        <c:v>הנחות ארנונה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'ריכוז תקציב'!$O$5:$O$47</c15:sqref>
                        </c15:fullRef>
                        <c15:formulaRef>
                          <c15:sqref>('ריכוז תקציב'!$O$6:$O$10,'ריכוז תקציב'!$O$12:$O$16,'ריכוז תקציב'!$O$18,'ריכוז תקציב'!$O$21:$O$22,'ריכוז תקציב'!$O$44)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5-FE8F-4435-A295-07FDDEFAEB0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>
                <a:latin typeface="David" panose="020E0502060401010101" pitchFamily="34" charset="-79"/>
                <a:cs typeface="David" panose="020E0502060401010101" pitchFamily="34" charset="-79"/>
              </a:rPr>
              <a:t>תקציב </a:t>
            </a:r>
            <a:r>
              <a:rPr lang="en-US">
                <a:latin typeface="David" panose="020E0502060401010101" pitchFamily="34" charset="-79"/>
                <a:cs typeface="David" panose="020E0502060401010101" pitchFamily="34" charset="-79"/>
              </a:rPr>
              <a:t>2025</a:t>
            </a:r>
            <a:r>
              <a:rPr lang="he-IL">
                <a:latin typeface="David" panose="020E0502060401010101" pitchFamily="34" charset="-79"/>
                <a:cs typeface="David" panose="020E0502060401010101" pitchFamily="34" charset="-79"/>
              </a:rPr>
              <a:t> - תקבולים ממשרדי ממשלה מול הכנסות עצמיות</a:t>
            </a:r>
          </a:p>
        </c:rich>
      </c:tx>
      <c:layout>
        <c:manualLayout>
          <c:xMode val="edge"/>
          <c:yMode val="edge"/>
          <c:x val="9.976181548734978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'ריכוז תקציב'!$C$4</c:f>
              <c:strCache>
                <c:ptCount val="1"/>
                <c:pt idx="0">
                  <c:v> הצעת תקציב 2022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E7-40B3-9172-7CB2674981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E7-40B3-9172-7CB2674981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E7-40B3-9172-7CB2674981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תקציב'!$C$11,'ריכוז תקציב'!$C$17,'ריכוז תקציב'!$C$18,'ריכוז תקציב'!$C$21,'ריכוז תקציב'!$C$24)</c:f>
            </c:numRef>
          </c:val>
          <c:extLst>
            <c:ext xmlns:c16="http://schemas.microsoft.com/office/drawing/2014/chart" uri="{C3380CC4-5D6E-409C-BE32-E72D297353CC}">
              <c16:uniqueId val="{00000000-25E7-40B3-9172-7CB2674981CB}"/>
            </c:ext>
          </c:extLst>
        </c:ser>
        <c:ser>
          <c:idx val="1"/>
          <c:order val="1"/>
          <c:tx>
            <c:strRef>
              <c:f>'ריכוז תקציב'!$D$4</c:f>
              <c:strCache>
                <c:ptCount val="1"/>
                <c:pt idx="0">
                  <c:v> ביצוע צפוי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תקציב'!$D$11,'ריכוז תקציב'!$D$17,'ריכוז תקציב'!$D$18,'ריכוז תקציב'!$D$21,'ריכוז תקציב'!$D$24)</c:f>
            </c:numRef>
          </c:val>
          <c:extLst>
            <c:ext xmlns:c16="http://schemas.microsoft.com/office/drawing/2014/chart" uri="{C3380CC4-5D6E-409C-BE32-E72D297353CC}">
              <c16:uniqueId val="{00000006-2D80-4F6C-A2F5-44239A2D2242}"/>
            </c:ext>
          </c:extLst>
        </c:ser>
        <c:ser>
          <c:idx val="2"/>
          <c:order val="2"/>
          <c:tx>
            <c:strRef>
              <c:f>'ריכוז תקציב'!$E$4</c:f>
              <c:strCache>
                <c:ptCount val="1"/>
                <c:pt idx="0">
                  <c:v> תקציב מעודכן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תקציב'!$E$11,'ריכוז תקציב'!$E$17,'ריכוז תקציב'!$E$18,'ריכוז תקציב'!$E$21,'ריכוז תקציב'!$E$24)</c:f>
            </c:numRef>
          </c:val>
          <c:extLst>
            <c:ext xmlns:c16="http://schemas.microsoft.com/office/drawing/2014/chart" uri="{C3380CC4-5D6E-409C-BE32-E72D297353CC}">
              <c16:uniqueId val="{00000007-2D80-4F6C-A2F5-44239A2D2242}"/>
            </c:ext>
          </c:extLst>
        </c:ser>
        <c:ser>
          <c:idx val="3"/>
          <c:order val="3"/>
          <c:tx>
            <c:strRef>
              <c:f>'ריכוז תקציב'!$F$4</c:f>
              <c:strCache>
                <c:ptCount val="1"/>
                <c:pt idx="0">
                  <c:v> משרות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תקציב'!$F$11,'ריכוז תקציב'!$F$17,'ריכוז תקציב'!$F$18,'ריכוז תקציב'!$F$21,'ריכוז תקציב'!$F$24)</c:f>
            </c:numRef>
          </c:val>
          <c:extLst>
            <c:ext xmlns:c16="http://schemas.microsoft.com/office/drawing/2014/chart" uri="{C3380CC4-5D6E-409C-BE32-E72D297353CC}">
              <c16:uniqueId val="{00000008-2D80-4F6C-A2F5-44239A2D2242}"/>
            </c:ext>
          </c:extLst>
        </c:ser>
        <c:ser>
          <c:idx val="4"/>
          <c:order val="4"/>
          <c:tx>
            <c:strRef>
              <c:f>'ריכוז תקציב'!$G$4</c:f>
              <c:strCache>
                <c:ptCount val="1"/>
                <c:pt idx="0">
                  <c:v> צפי ביצוע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תקציב'!$G$11,'ריכוז תקציב'!$G$17,'ריכוז תקציב'!$G$18,'ריכוז תקציב'!$G$21,'ריכוז תקציב'!$G$24)</c:f>
            </c:numRef>
          </c:val>
          <c:extLst>
            <c:ext xmlns:c16="http://schemas.microsoft.com/office/drawing/2014/chart" uri="{C3380CC4-5D6E-409C-BE32-E72D297353CC}">
              <c16:uniqueId val="{00000009-2D80-4F6C-A2F5-44239A2D2242}"/>
            </c:ext>
          </c:extLst>
        </c:ser>
        <c:ser>
          <c:idx val="5"/>
          <c:order val="5"/>
          <c:tx>
            <c:strRef>
              <c:f>'ריכוז תקציב'!$H$4</c:f>
              <c:strCache>
                <c:ptCount val="1"/>
                <c:pt idx="0">
                  <c:v> תקציב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תקציב'!$H$11,'ריכוז תקציב'!$H$17,'ריכוז תקציב'!$H$18,'ריכוז תקציב'!$H$21,'ריכוז תקציב'!$H$24)</c:f>
            </c:numRef>
          </c:val>
          <c:extLst>
            <c:ext xmlns:c16="http://schemas.microsoft.com/office/drawing/2014/chart" uri="{C3380CC4-5D6E-409C-BE32-E72D297353CC}">
              <c16:uniqueId val="{0000000A-2D80-4F6C-A2F5-44239A2D2242}"/>
            </c:ext>
          </c:extLst>
        </c:ser>
        <c:ser>
          <c:idx val="6"/>
          <c:order val="6"/>
          <c:tx>
            <c:strRef>
              <c:f>'ריכוז תקציב'!$I$4</c:f>
              <c:strCache>
                <c:ptCount val="1"/>
                <c:pt idx="0">
                  <c:v> משרות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תקציב'!$I$11,'ריכוז תקציב'!$I$17,'ריכוז תקציב'!$I$18,'ריכוז תקציב'!$I$21,'ריכוז תקציב'!$I$24)</c:f>
            </c:numRef>
          </c:val>
          <c:extLst>
            <c:ext xmlns:c16="http://schemas.microsoft.com/office/drawing/2014/chart" uri="{C3380CC4-5D6E-409C-BE32-E72D297353CC}">
              <c16:uniqueId val="{0000000B-2D80-4F6C-A2F5-44239A2D2242}"/>
            </c:ext>
          </c:extLst>
        </c:ser>
        <c:ser>
          <c:idx val="7"/>
          <c:order val="7"/>
          <c:tx>
            <c:strRef>
              <c:f>'ריכוז תקציב'!$J$4</c:f>
              <c:strCache>
                <c:ptCount val="1"/>
                <c:pt idx="0">
                  <c:v> צפי ביצוע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תקציב'!$J$11,'ריכוז תקציב'!$J$17,'ריכוז תקציב'!$J$18,'ריכוז תקציב'!$J$21,'ריכוז תקציב'!$J$24)</c:f>
            </c:numRef>
          </c:val>
          <c:extLst>
            <c:ext xmlns:c16="http://schemas.microsoft.com/office/drawing/2014/chart" uri="{C3380CC4-5D6E-409C-BE32-E72D297353CC}">
              <c16:uniqueId val="{0000000C-2D80-4F6C-A2F5-44239A2D2242}"/>
            </c:ext>
          </c:extLst>
        </c:ser>
        <c:ser>
          <c:idx val="11"/>
          <c:order val="11"/>
          <c:tx>
            <c:strRef>
              <c:f>'ריכוז תקציב'!$N$4</c:f>
              <c:strCache>
                <c:ptCount val="1"/>
                <c:pt idx="0">
                  <c:v> תקציב 2025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D80-4F6C-A2F5-44239A2D22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2D80-4F6C-A2F5-44239A2D22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D80-4F6C-A2F5-44239A2D22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2D80-4F6C-A2F5-44239A2D22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D80-4F6C-A2F5-44239A2D2242}"/>
              </c:ext>
            </c:extLst>
          </c:dPt>
          <c:dLbls>
            <c:dLbl>
              <c:idx val="0"/>
              <c:layout>
                <c:manualLayout>
                  <c:x val="0.14275661970825068"/>
                  <c:y val="7.0140347039953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0-4F6C-A2F5-44239A2D2242}"/>
                </c:ext>
              </c:extLst>
            </c:dLbl>
            <c:dLbl>
              <c:idx val="1"/>
              <c:layout>
                <c:manualLayout>
                  <c:x val="-0.21095202385416109"/>
                  <c:y val="-0.13619787109944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0-4F6C-A2F5-44239A2D2242}"/>
                </c:ext>
              </c:extLst>
            </c:dLbl>
            <c:dLbl>
              <c:idx val="2"/>
              <c:layout>
                <c:manualLayout>
                  <c:x val="-0.16235845519310091"/>
                  <c:y val="0.152817147856517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0-4F6C-A2F5-44239A2D2242}"/>
                </c:ext>
              </c:extLst>
            </c:dLbl>
            <c:dLbl>
              <c:idx val="3"/>
              <c:layout>
                <c:manualLayout>
                  <c:x val="-0.12738068455728749"/>
                  <c:y val="4.8053732866724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0-4F6C-A2F5-44239A2D2242}"/>
                </c:ext>
              </c:extLst>
            </c:dLbl>
            <c:dLbl>
              <c:idx val="4"/>
              <c:layout>
                <c:manualLayout>
                  <c:x val="0.35474208581070221"/>
                  <c:y val="0.270982429279673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0-4F6C-A2F5-44239A2D2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תקציב'!$B$11,'ריכוז תקציב'!$B$17,'ריכוז תקציב'!$B$18,'ריכוז תקציב'!$B$21,'ריכוז תקציב'!$B$24)</c:f>
              <c:strCache>
                <c:ptCount val="5"/>
                <c:pt idx="0">
                  <c:v>סה"כ הכנסות עצמיות</c:v>
                </c:pt>
                <c:pt idx="1">
                  <c:v>סה"כ תקבולי ממשלה</c:v>
                </c:pt>
                <c:pt idx="2">
                  <c:v>תקבולים אחרים </c:v>
                </c:pt>
                <c:pt idx="3">
                  <c:v>הנחות ארנונה</c:v>
                </c:pt>
                <c:pt idx="4">
                  <c:v>הכנסה מותנה</c:v>
                </c:pt>
              </c:strCache>
            </c:strRef>
          </c:cat>
          <c:val>
            <c:numRef>
              <c:f>('ריכוז תקציב'!$N$11,'ריכוז תקציב'!$N$17,'ריכוז תקציב'!$N$18,'ריכוז תקציב'!$N$21,'ריכוז תקציב'!$N$24)</c:f>
              <c:numCache>
                <c:formatCode>_ * #,##0_ ;_ * \-#,##0_ ;_ * "-"??_ ;_ @_ </c:formatCode>
                <c:ptCount val="5"/>
                <c:pt idx="0">
                  <c:v>17868000</c:v>
                </c:pt>
                <c:pt idx="1">
                  <c:v>119473149</c:v>
                </c:pt>
                <c:pt idx="2">
                  <c:v>2650000</c:v>
                </c:pt>
                <c:pt idx="3">
                  <c:v>7000000</c:v>
                </c:pt>
                <c:pt idx="4">
                  <c:v>2012100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80-4F6C-A2F5-44239A2D224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'ריכוז תקציב'!$K$4</c15:sqref>
                        </c15:formulaRef>
                      </c:ext>
                    </c:extLst>
                    <c:strCache>
                      <c:ptCount val="1"/>
                      <c:pt idx="0">
                        <c:v> תקציב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2D80-4F6C-A2F5-44239A2D22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7-2D80-4F6C-A2F5-44239A2D22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2D80-4F6C-A2F5-44239A2D22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9-2D80-4F6C-A2F5-44239A2D22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2D80-4F6C-A2F5-44239A2D22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('ריכוז תקציב'!$B$11,'ריכוז תקציב'!$B$17,'ריכוז תקציב'!$B$18,'ריכוז תקציב'!$B$21,'ריכוז תקציב'!$B$24)</c15:sqref>
                        </c15:formulaRef>
                      </c:ext>
                    </c:extLst>
                    <c:strCache>
                      <c:ptCount val="5"/>
                      <c:pt idx="0">
                        <c:v>סה"כ הכנסות עצמיות</c:v>
                      </c:pt>
                      <c:pt idx="1">
                        <c:v>סה"כ תקבולי ממשלה</c:v>
                      </c:pt>
                      <c:pt idx="2">
                        <c:v>תקבולים אחרים </c:v>
                      </c:pt>
                      <c:pt idx="3">
                        <c:v>הנחות ארנונה</c:v>
                      </c:pt>
                      <c:pt idx="4">
                        <c:v>הכנסה מותנה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('ריכוז תקציב'!$K$11,'ריכוז תקציב'!$K$17,'ריכוז תקציב'!$K$18,'ריכוז תקציב'!$K$21,'ריכוז תקציב'!$K$24)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5"/>
                      <c:pt idx="0">
                        <c:v>17659000</c:v>
                      </c:pt>
                      <c:pt idx="1">
                        <c:v>102999753</c:v>
                      </c:pt>
                      <c:pt idx="2">
                        <c:v>2600000</c:v>
                      </c:pt>
                      <c:pt idx="3">
                        <c:v>6500000</c:v>
                      </c:pt>
                      <c:pt idx="4">
                        <c:v>747166.25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2D80-4F6C-A2F5-44239A2D2242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תקציב'!$L$4</c15:sqref>
                        </c15:formulaRef>
                      </c:ext>
                    </c:extLst>
                    <c:strCache>
                      <c:ptCount val="1"/>
                      <c:pt idx="0">
                        <c:v> משרות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2D80-4F6C-A2F5-44239A2D22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2D80-4F6C-A2F5-44239A2D22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D80-4F6C-A2F5-44239A2D22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2D80-4F6C-A2F5-44239A2D22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2D80-4F6C-A2F5-44239A2D22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תקציב'!$B$11,'ריכוז תקציב'!$B$17,'ריכוז תקציב'!$B$18,'ריכוז תקציב'!$B$21,'ריכוז תקציב'!$B$24)</c15:sqref>
                        </c15:formulaRef>
                      </c:ext>
                    </c:extLst>
                    <c:strCache>
                      <c:ptCount val="5"/>
                      <c:pt idx="0">
                        <c:v>סה"כ הכנסות עצמיות</c:v>
                      </c:pt>
                      <c:pt idx="1">
                        <c:v>סה"כ תקבולי ממשלה</c:v>
                      </c:pt>
                      <c:pt idx="2">
                        <c:v>תקבולים אחרים </c:v>
                      </c:pt>
                      <c:pt idx="3">
                        <c:v>הנחות ארנונה</c:v>
                      </c:pt>
                      <c:pt idx="4">
                        <c:v>הכנסה מותנה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תקציב'!$L$11,'ריכוז תקציב'!$L$17,'ריכוז תקציב'!$L$18,'ריכוז תקציב'!$L$21,'ריכוז תקציב'!$L$24)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D80-4F6C-A2F5-44239A2D2242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תקציב'!$M$4</c15:sqref>
                        </c15:formulaRef>
                      </c:ext>
                    </c:extLst>
                    <c:strCache>
                      <c:ptCount val="1"/>
                      <c:pt idx="0">
                        <c:v> ביצוע צפוי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D80-4F6C-A2F5-44239A2D22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2D80-4F6C-A2F5-44239A2D22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D80-4F6C-A2F5-44239A2D22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2D80-4F6C-A2F5-44239A2D22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2D80-4F6C-A2F5-44239A2D22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תקציב'!$B$11,'ריכוז תקציב'!$B$17,'ריכוז תקציב'!$B$18,'ריכוז תקציב'!$B$21,'ריכוז תקציב'!$B$24)</c15:sqref>
                        </c15:formulaRef>
                      </c:ext>
                    </c:extLst>
                    <c:strCache>
                      <c:ptCount val="5"/>
                      <c:pt idx="0">
                        <c:v>סה"כ הכנסות עצמיות</c:v>
                      </c:pt>
                      <c:pt idx="1">
                        <c:v>סה"כ תקבולי ממשלה</c:v>
                      </c:pt>
                      <c:pt idx="2">
                        <c:v>תקבולים אחרים </c:v>
                      </c:pt>
                      <c:pt idx="3">
                        <c:v>הנחות ארנונה</c:v>
                      </c:pt>
                      <c:pt idx="4">
                        <c:v>הכנסה מותנה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תקציב'!$M$11,'ריכוז תקציב'!$M$17,'ריכוז תקציב'!$M$18,'ריכוז תקציב'!$M$21,'ריכוז תקציב'!$M$24)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5"/>
                      <c:pt idx="0">
                        <c:v>17709057.539999999</c:v>
                      </c:pt>
                      <c:pt idx="1">
                        <c:v>114687000.6424</c:v>
                      </c:pt>
                      <c:pt idx="2">
                        <c:v>2690817.13</c:v>
                      </c:pt>
                      <c:pt idx="3">
                        <c:v>6591998.6699999999</c:v>
                      </c:pt>
                      <c:pt idx="4">
                        <c:v>1700000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D80-4F6C-A2F5-44239A2D224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2000">
                <a:latin typeface="David" panose="020E0502060401010101" pitchFamily="34" charset="-79"/>
                <a:cs typeface="David" panose="020E0502060401010101" pitchFamily="34" charset="-79"/>
              </a:rPr>
              <a:t>תקציב </a:t>
            </a:r>
            <a:r>
              <a:rPr lang="en-US" sz="2000">
                <a:latin typeface="David" panose="020E0502060401010101" pitchFamily="34" charset="-79"/>
                <a:cs typeface="David" panose="020E0502060401010101" pitchFamily="34" charset="-79"/>
              </a:rPr>
              <a:t>2025</a:t>
            </a:r>
            <a:r>
              <a:rPr lang="he-IL" sz="2000">
                <a:latin typeface="David" panose="020E0502060401010101" pitchFamily="34" charset="-79"/>
                <a:cs typeface="David" panose="020E0502060401010101" pitchFamily="34" charset="-79"/>
              </a:rPr>
              <a:t> - פעולות מול שכר</a:t>
            </a:r>
          </a:p>
        </c:rich>
      </c:tx>
      <c:layout>
        <c:manualLayout>
          <c:xMode val="edge"/>
          <c:yMode val="edge"/>
          <c:x val="0.2598920204311903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'ריכוז תקציב'!$C$4</c:f>
              <c:strCache>
                <c:ptCount val="1"/>
                <c:pt idx="0">
                  <c:v> הצעת תקציב 2022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73-4CB9-91CE-FF6F4A8915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773-4CB9-91CE-FF6F4A8915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73-4CB9-91CE-FF6F4A8915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תקציב'!$C$27:$C$46</c15:sqref>
                  </c15:fullRef>
                </c:ext>
              </c:extLst>
              <c:f>('ריכוז תקציב'!$C$27:$C$28,'ריכוז תקציב'!$C$31:$C$32,'ריכוז תקציב'!$C$34:$C$35,'ריכוז תקציב'!$C$39:$C$40,'ריכוז תקציב'!$C$43:$C$44,'ריכוז תקציב'!$C$46)</c:f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7773-4CB9-91CE-FF6F4A89156C}"/>
            </c:ext>
          </c:extLst>
        </c:ser>
        <c:ser>
          <c:idx val="1"/>
          <c:order val="1"/>
          <c:tx>
            <c:strRef>
              <c:f>'ריכוז תקציב'!$D$4</c:f>
              <c:strCache>
                <c:ptCount val="1"/>
                <c:pt idx="0">
                  <c:v> ביצוע צפוי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תקציב'!$D$27:$D$46</c15:sqref>
                  </c15:fullRef>
                </c:ext>
              </c:extLst>
              <c:f>('ריכוז תקציב'!$D$27:$D$28,'ריכוז תקציב'!$D$31:$D$32,'ריכוז תקציב'!$D$34:$D$35,'ריכוז תקציב'!$D$39:$D$40,'ריכוז תקציב'!$D$43:$D$44,'ריכוז תקציב'!$D$46)</c:f>
            </c:numRef>
          </c:val>
          <c:extLst>
            <c:ext xmlns:c16="http://schemas.microsoft.com/office/drawing/2014/chart" uri="{C3380CC4-5D6E-409C-BE32-E72D297353CC}">
              <c16:uniqueId val="{0000000A-9C79-4B19-A445-8334A6CB4664}"/>
            </c:ext>
          </c:extLst>
        </c:ser>
        <c:ser>
          <c:idx val="2"/>
          <c:order val="2"/>
          <c:tx>
            <c:strRef>
              <c:f>'ריכוז תקציב'!$E$4</c:f>
              <c:strCache>
                <c:ptCount val="1"/>
                <c:pt idx="0">
                  <c:v> תקציב מעודכן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תקציב'!$E$27:$E$46</c15:sqref>
                  </c15:fullRef>
                </c:ext>
              </c:extLst>
              <c:f>('ריכוז תקציב'!$E$27:$E$28,'ריכוז תקציב'!$E$31:$E$32,'ריכוז תקציב'!$E$34:$E$35,'ריכוז תקציב'!$E$39:$E$40,'ריכוז תקציב'!$E$43:$E$44,'ריכוז תקציב'!$E$46)</c:f>
            </c:numRef>
          </c:val>
          <c:extLst>
            <c:ext xmlns:c16="http://schemas.microsoft.com/office/drawing/2014/chart" uri="{C3380CC4-5D6E-409C-BE32-E72D297353CC}">
              <c16:uniqueId val="{0000000B-9C79-4B19-A445-8334A6CB4664}"/>
            </c:ext>
          </c:extLst>
        </c:ser>
        <c:ser>
          <c:idx val="3"/>
          <c:order val="3"/>
          <c:tx>
            <c:strRef>
              <c:f>'ריכוז תקציב'!$F$4</c:f>
              <c:strCache>
                <c:ptCount val="1"/>
                <c:pt idx="0">
                  <c:v> משרות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תקציב'!$F$27:$F$46</c15:sqref>
                  </c15:fullRef>
                </c:ext>
              </c:extLst>
              <c:f>('ריכוז תקציב'!$F$27:$F$28,'ריכוז תקציב'!$F$31:$F$32,'ריכוז תקציב'!$F$34:$F$35,'ריכוז תקציב'!$F$39:$F$40,'ריכוז תקציב'!$F$43:$F$44,'ריכוז תקציב'!$F$46)</c:f>
            </c:numRef>
          </c:val>
          <c:extLst>
            <c:ext xmlns:c16="http://schemas.microsoft.com/office/drawing/2014/chart" uri="{C3380CC4-5D6E-409C-BE32-E72D297353CC}">
              <c16:uniqueId val="{0000000C-9C79-4B19-A445-8334A6CB4664}"/>
            </c:ext>
          </c:extLst>
        </c:ser>
        <c:ser>
          <c:idx val="4"/>
          <c:order val="4"/>
          <c:tx>
            <c:strRef>
              <c:f>'ריכוז תקציב'!$G$4</c:f>
              <c:strCache>
                <c:ptCount val="1"/>
                <c:pt idx="0">
                  <c:v> צפי ביצוע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תקציב'!$G$27:$G$46</c15:sqref>
                  </c15:fullRef>
                </c:ext>
              </c:extLst>
              <c:f>('ריכוז תקציב'!$G$27:$G$28,'ריכוז תקציב'!$G$31:$G$32,'ריכוז תקציב'!$G$34:$G$35,'ריכוז תקציב'!$G$39:$G$40,'ריכוז תקציב'!$G$43:$G$44,'ריכוז תקציב'!$G$46)</c:f>
            </c:numRef>
          </c:val>
          <c:extLst>
            <c:ext xmlns:c16="http://schemas.microsoft.com/office/drawing/2014/chart" uri="{C3380CC4-5D6E-409C-BE32-E72D297353CC}">
              <c16:uniqueId val="{0000000D-9C79-4B19-A445-8334A6CB4664}"/>
            </c:ext>
          </c:extLst>
        </c:ser>
        <c:ser>
          <c:idx val="5"/>
          <c:order val="5"/>
          <c:tx>
            <c:strRef>
              <c:f>'ריכוז תקציב'!$H$4</c:f>
              <c:strCache>
                <c:ptCount val="1"/>
                <c:pt idx="0">
                  <c:v> תקציב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תקציב'!$H$27:$H$46</c15:sqref>
                  </c15:fullRef>
                </c:ext>
              </c:extLst>
              <c:f>('ריכוז תקציב'!$H$27:$H$28,'ריכוז תקציב'!$H$31:$H$32,'ריכוז תקציב'!$H$34:$H$35,'ריכוז תקציב'!$H$39:$H$40,'ריכוז תקציב'!$H$43:$H$44,'ריכוז תקציב'!$H$46)</c:f>
            </c:numRef>
          </c:val>
          <c:extLst>
            <c:ext xmlns:c16="http://schemas.microsoft.com/office/drawing/2014/chart" uri="{C3380CC4-5D6E-409C-BE32-E72D297353CC}">
              <c16:uniqueId val="{0000000E-9C79-4B19-A445-8334A6CB4664}"/>
            </c:ext>
          </c:extLst>
        </c:ser>
        <c:ser>
          <c:idx val="6"/>
          <c:order val="6"/>
          <c:tx>
            <c:strRef>
              <c:f>'ריכוז תקציב'!$I$4</c:f>
              <c:strCache>
                <c:ptCount val="1"/>
                <c:pt idx="0">
                  <c:v> משרות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תקציב'!$I$27:$I$46</c15:sqref>
                  </c15:fullRef>
                </c:ext>
              </c:extLst>
              <c:f>('ריכוז תקציב'!$I$27:$I$28,'ריכוז תקציב'!$I$31:$I$32,'ריכוז תקציב'!$I$34:$I$35,'ריכוז תקציב'!$I$39:$I$40,'ריכוז תקציב'!$I$43:$I$44,'ריכוז תקציב'!$I$46)</c:f>
            </c:numRef>
          </c:val>
          <c:extLst>
            <c:ext xmlns:c16="http://schemas.microsoft.com/office/drawing/2014/chart" uri="{C3380CC4-5D6E-409C-BE32-E72D297353CC}">
              <c16:uniqueId val="{0000000F-9C79-4B19-A445-8334A6CB4664}"/>
            </c:ext>
          </c:extLst>
        </c:ser>
        <c:ser>
          <c:idx val="7"/>
          <c:order val="7"/>
          <c:tx>
            <c:strRef>
              <c:f>'ריכוז תקציב'!$J$4</c:f>
              <c:strCache>
                <c:ptCount val="1"/>
                <c:pt idx="0">
                  <c:v> צפי ביצוע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מפעל המים</c:v>
                </c:pt>
                <c:pt idx="3">
                  <c:v>סה"כ הוצאות כלליות</c:v>
                </c:pt>
                <c:pt idx="4">
                  <c:v>שכר חינוך </c:v>
                </c:pt>
                <c:pt idx="5">
                  <c:v>פעולות חינוך </c:v>
                </c:pt>
                <c:pt idx="6">
                  <c:v>סה"כ חינוך</c:v>
                </c:pt>
                <c:pt idx="7">
                  <c:v>שכר רווחה</c:v>
                </c:pt>
                <c:pt idx="8">
                  <c:v>פעולות רווחה</c:v>
                </c:pt>
                <c:pt idx="9">
                  <c:v>סה"כ רווחה</c:v>
                </c:pt>
                <c:pt idx="10">
                  <c:v>פרעון מילוות מים וביוב</c:v>
                </c:pt>
                <c:pt idx="11">
                  <c:v>פרעון מילוות אחר</c:v>
                </c:pt>
                <c:pt idx="12">
                  <c:v>סה"כ פרעון מלוות</c:v>
                </c:pt>
                <c:pt idx="13">
                  <c:v>הוצאות מימון</c:v>
                </c:pt>
                <c:pt idx="14">
                  <c:v>הוצאה  שנים קודמות</c:v>
                </c:pt>
                <c:pt idx="15">
                  <c:v>סה"כ הוצאות לפני הנחות בארנונה וכיסוי גרעון נצבר</c:v>
                </c:pt>
                <c:pt idx="16">
                  <c:v>הנחות ארנונה</c:v>
                </c:pt>
                <c:pt idx="17">
                  <c:v>סה"כ הוצאות ללא מותנה</c:v>
                </c:pt>
                <c:pt idx="18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תקציב'!$J$27:$J$46</c15:sqref>
                  </c15:fullRef>
                </c:ext>
              </c:extLst>
              <c:f>('ריכוז תקציב'!$J$27:$J$28,'ריכוז תקציב'!$J$31:$J$32,'ריכוז תקציב'!$J$34:$J$35,'ריכוז תקציב'!$J$39:$J$40,'ריכוז תקציב'!$J$43:$J$44,'ריכוז תקציב'!$J$46)</c:f>
            </c:numRef>
          </c:val>
          <c:extLst>
            <c:ext xmlns:c16="http://schemas.microsoft.com/office/drawing/2014/chart" uri="{C3380CC4-5D6E-409C-BE32-E72D297353CC}">
              <c16:uniqueId val="{00000010-9C79-4B19-A445-8334A6CB4664}"/>
            </c:ext>
          </c:extLst>
        </c:ser>
        <c:ser>
          <c:idx val="11"/>
          <c:order val="11"/>
          <c:tx>
            <c:strRef>
              <c:f>'ריכוז תקציב'!$N$4</c:f>
              <c:strCache>
                <c:ptCount val="1"/>
                <c:pt idx="0">
                  <c:v> תקציב 2025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92-4BD8-93DE-9A2646CA5D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C79-4B19-A445-8334A6CB4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79-4B19-A445-8334A6CB4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492-4BD8-93DE-9A2646CA5D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C79-4B19-A445-8334A6CB4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C79-4B19-A445-8334A6CB4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9C79-4B19-A445-8334A6CB4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492-4BD8-93DE-9A2646CA5D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C79-4B19-A445-8334A6CB46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9C79-4B19-A445-8334A6CB4664}"/>
              </c:ext>
            </c:extLst>
          </c:dPt>
          <c:dLbls>
            <c:dLbl>
              <c:idx val="1"/>
              <c:layout>
                <c:manualLayout>
                  <c:x val="0.13255350057986953"/>
                  <c:y val="6.68478419364245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79-4B19-A445-8334A6CB4664}"/>
                </c:ext>
              </c:extLst>
            </c:dLbl>
            <c:dLbl>
              <c:idx val="2"/>
              <c:layout>
                <c:manualLayout>
                  <c:x val="0.16537467700258399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79-4B19-A445-8334A6CB4664}"/>
                </c:ext>
              </c:extLst>
            </c:dLbl>
            <c:dLbl>
              <c:idx val="4"/>
              <c:layout>
                <c:manualLayout>
                  <c:x val="-0.20465116279069767"/>
                  <c:y val="-2.7777777777777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79-4B19-A445-8334A6CB4664}"/>
                </c:ext>
              </c:extLst>
            </c:dLbl>
            <c:dLbl>
              <c:idx val="5"/>
              <c:layout>
                <c:manualLayout>
                  <c:x val="-0.16744186046511628"/>
                  <c:y val="0.175925925925925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79-4B19-A445-8334A6CB4664}"/>
                </c:ext>
              </c:extLst>
            </c:dLbl>
            <c:dLbl>
              <c:idx val="6"/>
              <c:layout>
                <c:manualLayout>
                  <c:x val="-0.2583979328165375"/>
                  <c:y val="6.481481481481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79-4B19-A445-8334A6CB4664}"/>
                </c:ext>
              </c:extLst>
            </c:dLbl>
            <c:dLbl>
              <c:idx val="8"/>
              <c:layout>
                <c:manualLayout>
                  <c:x val="-0.21085271317829457"/>
                  <c:y val="6.9444444444444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79-4B19-A445-8334A6CB4664}"/>
                </c:ext>
              </c:extLst>
            </c:dLbl>
            <c:dLbl>
              <c:idx val="9"/>
              <c:layout>
                <c:manualLayout>
                  <c:x val="0.20051679586563306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79-4B19-A445-8334A6CB4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תקציב'!$B$27:$B$46</c15:sqref>
                  </c15:fullRef>
                </c:ext>
              </c:extLst>
              <c:f>('ריכוז תקציב'!$B$27:$B$28,'ריכוז תקציב'!$B$31:$B$32,'ריכוז תקציב'!$B$34:$B$35,'ריכוז תקציב'!$B$39:$B$40,'ריכוז תקציב'!$B$43:$B$44,'ריכוז תקציב'!$B$46)</c:f>
              <c:strCache>
                <c:ptCount val="10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סה"כ פרעון מלוות</c:v>
                </c:pt>
                <c:pt idx="7">
                  <c:v>הוצאות מימון</c:v>
                </c:pt>
                <c:pt idx="8">
                  <c:v>הנחות ארנונה</c:v>
                </c:pt>
                <c:pt idx="9">
                  <c:v>הוצאה מותנה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תקציב'!$N$27:$N$46</c15:sqref>
                  </c15:fullRef>
                </c:ext>
              </c:extLst>
              <c:f>('ריכוז תקציב'!$N$27:$N$28,'ריכוז תקציב'!$N$31:$N$32,'ריכוז תקציב'!$N$34:$N$35,'ריכוז תקציב'!$N$39:$N$40,'ריכוז תקציב'!$N$43:$N$44,'ריכוז תקציב'!$N$46)</c:f>
              <c:numCache>
                <c:formatCode>_ * #,##0_ ;_ * \-#,##0_ ;_ * "-"??_ ;_ @_ </c:formatCode>
                <c:ptCount val="10"/>
                <c:pt idx="0">
                  <c:v>11566367.593900001</c:v>
                </c:pt>
                <c:pt idx="1">
                  <c:v>17218744</c:v>
                </c:pt>
                <c:pt idx="2">
                  <c:v>43909343</c:v>
                </c:pt>
                <c:pt idx="3">
                  <c:v>23165694</c:v>
                </c:pt>
                <c:pt idx="4">
                  <c:v>4505000</c:v>
                </c:pt>
                <c:pt idx="5">
                  <c:v>41650000</c:v>
                </c:pt>
                <c:pt idx="6">
                  <c:v>3030000</c:v>
                </c:pt>
                <c:pt idx="7">
                  <c:v>250000</c:v>
                </c:pt>
                <c:pt idx="8">
                  <c:v>7000000</c:v>
                </c:pt>
                <c:pt idx="9">
                  <c:v>2012100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'ריכוז תקציב'!$N$45</c15:sqref>
                  <c15:dLbl>
                    <c:idx val="8"/>
                    <c:layout>
                      <c:manualLayout>
                        <c:x val="-0.2294573643410853"/>
                        <c:y val="4.6296296296295444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6-CC1D-4A16-94DE-DE4BF008622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9C79-4B19-A445-8334A6CB466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'ריכוז תקציב'!$K$4</c15:sqref>
                        </c15:formulaRef>
                      </c:ext>
                    </c:extLst>
                    <c:strCache>
                      <c:ptCount val="1"/>
                      <c:pt idx="0">
                        <c:v> תקציב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9492-4BD8-93DE-9A2646CA5D2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D-9492-4BD8-93DE-9A2646CA5D2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F-9492-4BD8-93DE-9A2646CA5D2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1-9492-4BD8-93DE-9A2646CA5D2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3-9492-4BD8-93DE-9A2646CA5D2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5-9492-4BD8-93DE-9A2646CA5D2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7-9492-4BD8-93DE-9A2646CA5D2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9492-4BD8-93DE-9A2646CA5D2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9492-4BD8-93DE-9A2646CA5D2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D-9492-4BD8-93DE-9A2646CA5D2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'ריכוז תקציב'!$B$27:$B$46</c15:sqref>
                        </c15:fullRef>
                        <c15:formulaRef>
                          <c15:sqref>('ריכוז תקציב'!$B$27:$B$28,'ריכוז תקציב'!$B$31:$B$32,'ריכוז תקציב'!$B$34:$B$35,'ריכוז תקציב'!$B$39:$B$40,'ריכוז תקציב'!$B$43:$B$44,'ריכוז תקציב'!$B$46)</c15:sqref>
                        </c15:formulaRef>
                      </c:ext>
                    </c:extLst>
                    <c:strCache>
                      <c:ptCount val="10"/>
                      <c:pt idx="0">
                        <c:v>שכר כללי</c:v>
                      </c:pt>
                      <c:pt idx="1">
                        <c:v>פעולות כלליות</c:v>
                      </c:pt>
                      <c:pt idx="2">
                        <c:v>שכר חינוך </c:v>
                      </c:pt>
                      <c:pt idx="3">
                        <c:v>פעולות חינוך </c:v>
                      </c:pt>
                      <c:pt idx="4">
                        <c:v>שכר רווחה</c:v>
                      </c:pt>
                      <c:pt idx="5">
                        <c:v>פעולות רווחה</c:v>
                      </c:pt>
                      <c:pt idx="6">
                        <c:v>סה"כ פרעון מלוות</c:v>
                      </c:pt>
                      <c:pt idx="7">
                        <c:v>הוצאות מימון</c:v>
                      </c:pt>
                      <c:pt idx="8">
                        <c:v>הנחות ארנונה</c:v>
                      </c:pt>
                      <c:pt idx="9">
                        <c:v>הוצאה מותנה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'ריכוז תקציב'!$K$27:$K$46</c15:sqref>
                        </c15:fullRef>
                        <c15:formulaRef>
                          <c15:sqref>('ריכוז תקציב'!$K$27:$K$28,'ריכוז תקציב'!$K$31:$K$32,'ריכוז תקציב'!$K$34:$K$35,'ריכוז תקציב'!$K$39:$K$40,'ריכוז תקציב'!$K$43:$K$44,'ריכוז תקציב'!$K$46)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0"/>
                      <c:pt idx="0">
                        <c:v>10710000</c:v>
                      </c:pt>
                      <c:pt idx="1">
                        <c:v>14255305</c:v>
                      </c:pt>
                      <c:pt idx="2">
                        <c:v>38062874</c:v>
                      </c:pt>
                      <c:pt idx="3">
                        <c:v>22894574</c:v>
                      </c:pt>
                      <c:pt idx="4">
                        <c:v>4285000</c:v>
                      </c:pt>
                      <c:pt idx="5">
                        <c:v>35429000</c:v>
                      </c:pt>
                      <c:pt idx="6">
                        <c:v>2770000</c:v>
                      </c:pt>
                      <c:pt idx="7">
                        <c:v>200000</c:v>
                      </c:pt>
                      <c:pt idx="8">
                        <c:v>6500000</c:v>
                      </c:pt>
                      <c:pt idx="9">
                        <c:v>747166.25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1-9C79-4B19-A445-8334A6CB4664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תקציב'!$L$4</c15:sqref>
                        </c15:formulaRef>
                      </c:ext>
                    </c:extLst>
                    <c:strCache>
                      <c:ptCount val="1"/>
                      <c:pt idx="0">
                        <c:v> משרות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9492-4BD8-93DE-9A2646CA5D2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9492-4BD8-93DE-9A2646CA5D2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9492-4BD8-93DE-9A2646CA5D2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9492-4BD8-93DE-9A2646CA5D2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9492-4BD8-93DE-9A2646CA5D2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9492-4BD8-93DE-9A2646CA5D2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B-9492-4BD8-93DE-9A2646CA5D2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D-9492-4BD8-93DE-9A2646CA5D2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F-9492-4BD8-93DE-9A2646CA5D2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41-9492-4BD8-93DE-9A2646CA5D2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'ריכוז תקציב'!$B$27:$B$46</c15:sqref>
                        </c15:fullRef>
                        <c15:formulaRef>
                          <c15:sqref>('ריכוז תקציב'!$B$27:$B$28,'ריכוז תקציב'!$B$31:$B$32,'ריכוז תקציב'!$B$34:$B$35,'ריכוז תקציב'!$B$39:$B$40,'ריכוז תקציב'!$B$43:$B$44,'ריכוז תקציב'!$B$46)</c15:sqref>
                        </c15:formulaRef>
                      </c:ext>
                    </c:extLst>
                    <c:strCache>
                      <c:ptCount val="10"/>
                      <c:pt idx="0">
                        <c:v>שכר כללי</c:v>
                      </c:pt>
                      <c:pt idx="1">
                        <c:v>פעולות כלליות</c:v>
                      </c:pt>
                      <c:pt idx="2">
                        <c:v>שכר חינוך </c:v>
                      </c:pt>
                      <c:pt idx="3">
                        <c:v>פעולות חינוך </c:v>
                      </c:pt>
                      <c:pt idx="4">
                        <c:v>שכר רווחה</c:v>
                      </c:pt>
                      <c:pt idx="5">
                        <c:v>פעולות רווחה</c:v>
                      </c:pt>
                      <c:pt idx="6">
                        <c:v>סה"כ פרעון מלוות</c:v>
                      </c:pt>
                      <c:pt idx="7">
                        <c:v>הוצאות מימון</c:v>
                      </c:pt>
                      <c:pt idx="8">
                        <c:v>הנחות ארנונה</c:v>
                      </c:pt>
                      <c:pt idx="9">
                        <c:v>הוצאה מותנה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'ריכוז תקציב'!$L$27:$L$46</c15:sqref>
                        </c15:fullRef>
                        <c15:formulaRef>
                          <c15:sqref>('ריכוז תקציב'!$L$27:$L$28,'ריכוז תקציב'!$L$31:$L$32,'ריכוז תקציב'!$L$34:$L$35,'ריכוז תקציב'!$L$39:$L$40,'ריכוז תקציב'!$L$43:$L$44,'ריכוז תקציב'!$L$46)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0"/>
                      <c:pt idx="0">
                        <c:v>55</c:v>
                      </c:pt>
                      <c:pt idx="2">
                        <c:v>182</c:v>
                      </c:pt>
                      <c:pt idx="4">
                        <c:v>21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2-9C79-4B19-A445-8334A6CB4664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תקציב'!$M$4</c15:sqref>
                        </c15:formulaRef>
                      </c:ext>
                    </c:extLst>
                    <c:strCache>
                      <c:ptCount val="1"/>
                      <c:pt idx="0">
                        <c:v> ביצוע צפוי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9492-4BD8-93DE-9A2646CA5D2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9492-4BD8-93DE-9A2646CA5D2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9492-4BD8-93DE-9A2646CA5D2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9492-4BD8-93DE-9A2646CA5D2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9492-4BD8-93DE-9A2646CA5D2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9492-4BD8-93DE-9A2646CA5D2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4F-9492-4BD8-93DE-9A2646CA5D2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1-9492-4BD8-93DE-9A2646CA5D2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3-9492-4BD8-93DE-9A2646CA5D2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55-9492-4BD8-93DE-9A2646CA5D2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'ריכוז תקציב'!$B$27:$B$46</c15:sqref>
                        </c15:fullRef>
                        <c15:formulaRef>
                          <c15:sqref>('ריכוז תקציב'!$B$27:$B$28,'ריכוז תקציב'!$B$31:$B$32,'ריכוז תקציב'!$B$34:$B$35,'ריכוז תקציב'!$B$39:$B$40,'ריכוז תקציב'!$B$43:$B$44,'ריכוז תקציב'!$B$46)</c15:sqref>
                        </c15:formulaRef>
                      </c:ext>
                    </c:extLst>
                    <c:strCache>
                      <c:ptCount val="10"/>
                      <c:pt idx="0">
                        <c:v>שכר כללי</c:v>
                      </c:pt>
                      <c:pt idx="1">
                        <c:v>פעולות כלליות</c:v>
                      </c:pt>
                      <c:pt idx="2">
                        <c:v>שכר חינוך </c:v>
                      </c:pt>
                      <c:pt idx="3">
                        <c:v>פעולות חינוך </c:v>
                      </c:pt>
                      <c:pt idx="4">
                        <c:v>שכר רווחה</c:v>
                      </c:pt>
                      <c:pt idx="5">
                        <c:v>פעולות רווחה</c:v>
                      </c:pt>
                      <c:pt idx="6">
                        <c:v>סה"כ פרעון מלוות</c:v>
                      </c:pt>
                      <c:pt idx="7">
                        <c:v>הוצאות מימון</c:v>
                      </c:pt>
                      <c:pt idx="8">
                        <c:v>הנחות ארנונה</c:v>
                      </c:pt>
                      <c:pt idx="9">
                        <c:v>הוצאה מותנה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'ריכוז תקציב'!$M$27:$M$46</c15:sqref>
                        </c15:fullRef>
                        <c15:formulaRef>
                          <c15:sqref>('ריכוז תקציב'!$M$27:$M$28,'ריכוז תקציב'!$M$31:$M$32,'ריכוז תקציב'!$M$34:$M$35,'ריכוז תקציב'!$M$39:$M$40,'ריכוז תקציב'!$M$43:$M$44,'ריכוז תקציב'!$M$46)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0"/>
                      <c:pt idx="0">
                        <c:v>9753235.9100000001</c:v>
                      </c:pt>
                      <c:pt idx="1">
                        <c:v>15769753.980000002</c:v>
                      </c:pt>
                      <c:pt idx="2">
                        <c:v>42581750.329999991</c:v>
                      </c:pt>
                      <c:pt idx="3">
                        <c:v>23465782.519999996</c:v>
                      </c:pt>
                      <c:pt idx="4">
                        <c:v>4135074.45</c:v>
                      </c:pt>
                      <c:pt idx="5">
                        <c:v>41668811.369999997</c:v>
                      </c:pt>
                      <c:pt idx="6">
                        <c:v>2773705.9699999997</c:v>
                      </c:pt>
                      <c:pt idx="7">
                        <c:v>267321.26</c:v>
                      </c:pt>
                      <c:pt idx="8">
                        <c:v>6591998.6699999999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9C79-4B19-A445-8334A6CB466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'ריכוז תקציב'!$C$4</c:f>
              <c:strCache>
                <c:ptCount val="1"/>
                <c:pt idx="0">
                  <c:v> הצעת תקציב 2022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תקציב'!$C$13,'ריכוז תקציב'!$C$34:$C$35)</c:f>
            </c:numRef>
          </c:val>
          <c:extLst>
            <c:ext xmlns:c16="http://schemas.microsoft.com/office/drawing/2014/chart" uri="{C3380CC4-5D6E-409C-BE32-E72D297353CC}">
              <c16:uniqueId val="{00000004-B5B6-439A-A9EE-8E3203964FFB}"/>
            </c:ext>
          </c:extLst>
        </c:ser>
        <c:ser>
          <c:idx val="1"/>
          <c:order val="1"/>
          <c:tx>
            <c:strRef>
              <c:f>'ריכוז תקציב'!$D$4</c:f>
              <c:strCache>
                <c:ptCount val="1"/>
                <c:pt idx="0">
                  <c:v> ביצוע צפוי 2022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תקציב'!$D$13,'ריכוז תקציב'!$D$34:$D$35)</c:f>
            </c:numRef>
          </c:val>
          <c:extLst>
            <c:ext xmlns:c16="http://schemas.microsoft.com/office/drawing/2014/chart" uri="{C3380CC4-5D6E-409C-BE32-E72D297353CC}">
              <c16:uniqueId val="{00000000-52FE-4C23-83F4-89395A3B80E7}"/>
            </c:ext>
          </c:extLst>
        </c:ser>
        <c:ser>
          <c:idx val="2"/>
          <c:order val="2"/>
          <c:tx>
            <c:strRef>
              <c:f>'ריכוז תקציב'!$E$4</c:f>
              <c:strCache>
                <c:ptCount val="1"/>
                <c:pt idx="0">
                  <c:v> תקציב מעודכן 2022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תקציב'!$E$13,'ריכוז תקציב'!$E$34:$E$35)</c:f>
            </c:numRef>
          </c:val>
          <c:extLst>
            <c:ext xmlns:c16="http://schemas.microsoft.com/office/drawing/2014/chart" uri="{C3380CC4-5D6E-409C-BE32-E72D297353CC}">
              <c16:uniqueId val="{00000001-52FE-4C23-83F4-89395A3B80E7}"/>
            </c:ext>
          </c:extLst>
        </c:ser>
        <c:ser>
          <c:idx val="3"/>
          <c:order val="3"/>
          <c:tx>
            <c:strRef>
              <c:f>'ריכוז תקציב'!$F$4</c:f>
              <c:strCache>
                <c:ptCount val="1"/>
                <c:pt idx="0">
                  <c:v> משרות 2022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תקציב'!$F$13,'ריכוז תקציב'!$F$34:$F$35)</c:f>
            </c:numRef>
          </c:val>
          <c:extLst>
            <c:ext xmlns:c16="http://schemas.microsoft.com/office/drawing/2014/chart" uri="{C3380CC4-5D6E-409C-BE32-E72D297353CC}">
              <c16:uniqueId val="{00000002-52FE-4C23-83F4-89395A3B80E7}"/>
            </c:ext>
          </c:extLst>
        </c:ser>
        <c:ser>
          <c:idx val="4"/>
          <c:order val="4"/>
          <c:tx>
            <c:strRef>
              <c:f>'ריכוז תקציב'!$G$4</c:f>
              <c:strCache>
                <c:ptCount val="1"/>
                <c:pt idx="0">
                  <c:v> צפי ביצוע 2022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תקציב'!$G$13,'ריכוז תקציב'!$G$34:$G$35)</c:f>
            </c:numRef>
          </c:val>
          <c:extLst>
            <c:ext xmlns:c16="http://schemas.microsoft.com/office/drawing/2014/chart" uri="{C3380CC4-5D6E-409C-BE32-E72D297353CC}">
              <c16:uniqueId val="{00000003-52FE-4C23-83F4-89395A3B80E7}"/>
            </c:ext>
          </c:extLst>
        </c:ser>
        <c:ser>
          <c:idx val="5"/>
          <c:order val="5"/>
          <c:tx>
            <c:strRef>
              <c:f>'ריכוז תקציב'!$H$4</c:f>
              <c:strCache>
                <c:ptCount val="1"/>
                <c:pt idx="0">
                  <c:v> תקציב 2023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תקציב'!$H$13,'ריכוז תקציב'!$H$34:$H$35)</c:f>
            </c:numRef>
          </c:val>
          <c:extLst>
            <c:ext xmlns:c16="http://schemas.microsoft.com/office/drawing/2014/chart" uri="{C3380CC4-5D6E-409C-BE32-E72D297353CC}">
              <c16:uniqueId val="{00000004-52FE-4C23-83F4-89395A3B80E7}"/>
            </c:ext>
          </c:extLst>
        </c:ser>
        <c:ser>
          <c:idx val="6"/>
          <c:order val="6"/>
          <c:tx>
            <c:strRef>
              <c:f>'ריכוז תקציב'!$I$4</c:f>
              <c:strCache>
                <c:ptCount val="1"/>
                <c:pt idx="0">
                  <c:v> משרות 2023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תקציב'!$I$13,'ריכוז תקציב'!$I$34:$I$35)</c:f>
            </c:numRef>
          </c:val>
          <c:extLst>
            <c:ext xmlns:c16="http://schemas.microsoft.com/office/drawing/2014/chart" uri="{C3380CC4-5D6E-409C-BE32-E72D297353CC}">
              <c16:uniqueId val="{00000005-52FE-4C23-83F4-89395A3B80E7}"/>
            </c:ext>
          </c:extLst>
        </c:ser>
        <c:ser>
          <c:idx val="7"/>
          <c:order val="7"/>
          <c:tx>
            <c:strRef>
              <c:f>'ריכוז תקציב'!$J$4</c:f>
              <c:strCache>
                <c:ptCount val="1"/>
                <c:pt idx="0">
                  <c:v> צפי ביצוע 2023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תקציב'!$J$13,'ריכוז תקציב'!$J$34:$J$35)</c:f>
            </c:numRef>
          </c:val>
          <c:extLst>
            <c:ext xmlns:c16="http://schemas.microsoft.com/office/drawing/2014/chart" uri="{C3380CC4-5D6E-409C-BE32-E72D297353CC}">
              <c16:uniqueId val="{00000006-52FE-4C23-83F4-89395A3B80E7}"/>
            </c:ext>
          </c:extLst>
        </c:ser>
        <c:ser>
          <c:idx val="8"/>
          <c:order val="8"/>
          <c:tx>
            <c:strRef>
              <c:f>'ריכוז תקציב'!$K$4</c:f>
              <c:strCache>
                <c:ptCount val="1"/>
                <c:pt idx="0">
                  <c:v> תקציב 2024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תקציב'!$K$13,'ריכוז תקציב'!$K$34:$K$35)</c:f>
              <c:numCache>
                <c:formatCode>_ * #,##0_ ;_ * \-#,##0_ ;_ * "-"??_ ;_ @_ </c:formatCode>
                <c:ptCount val="3"/>
                <c:pt idx="0">
                  <c:v>29386000</c:v>
                </c:pt>
                <c:pt idx="1">
                  <c:v>4285000</c:v>
                </c:pt>
                <c:pt idx="2">
                  <c:v>35429000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FE-4C23-83F4-89395A3B80E7}"/>
            </c:ext>
          </c:extLst>
        </c:ser>
        <c:ser>
          <c:idx val="10"/>
          <c:order val="10"/>
          <c:tx>
            <c:strRef>
              <c:f>'ריכוז תקציב'!$M$4</c:f>
              <c:strCache>
                <c:ptCount val="1"/>
                <c:pt idx="0">
                  <c:v> ביצוע צפוי 2024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תקציב'!$M$13,'ריכוז תקציב'!$M$34:$M$35)</c:f>
              <c:numCache>
                <c:formatCode>_ * #,##0_ ;_ * \-#,##0_ ;_ * "-"??_ ;_ @_ </c:formatCode>
                <c:ptCount val="3"/>
                <c:pt idx="0">
                  <c:v>35901318.780000001</c:v>
                </c:pt>
                <c:pt idx="1">
                  <c:v>4135074.45</c:v>
                </c:pt>
                <c:pt idx="2">
                  <c:v>41668811.369999997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FE-4C23-83F4-89395A3B80E7}"/>
            </c:ext>
          </c:extLst>
        </c:ser>
        <c:ser>
          <c:idx val="11"/>
          <c:order val="11"/>
          <c:tx>
            <c:strRef>
              <c:f>'ריכוז תקציב'!$N$4</c:f>
              <c:strCache>
                <c:ptCount val="1"/>
                <c:pt idx="0">
                  <c:v> תקציב 2025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('ריכוז תקציב'!$B$13,'ריכוז תקציב'!$B$34:$B$35)</c:f>
              <c:strCache>
                <c:ptCount val="3"/>
                <c:pt idx="0">
                  <c:v>משרד הרווחה</c:v>
                </c:pt>
                <c:pt idx="1">
                  <c:v>שכר רווחה</c:v>
                </c:pt>
                <c:pt idx="2">
                  <c:v>פעולות רווחה</c:v>
                </c:pt>
              </c:strCache>
            </c:strRef>
          </c:cat>
          <c:val>
            <c:numRef>
              <c:f>('ריכוז תקציב'!$N$13,'ריכוז תקציב'!$N$34:$N$35)</c:f>
              <c:numCache>
                <c:formatCode>_ * #,##0_ ;_ * \-#,##0_ ;_ * "-"??_ ;_ @_ </c:formatCode>
                <c:ptCount val="3"/>
                <c:pt idx="0">
                  <c:v>36659500</c:v>
                </c:pt>
                <c:pt idx="1">
                  <c:v>4505000</c:v>
                </c:pt>
                <c:pt idx="2">
                  <c:v>41650000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FE-4C23-83F4-89395A3B80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466000"/>
        <c:axId val="243466960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'ריכוז תקציב'!$L$4</c15:sqref>
                        </c15:formulaRef>
                      </c:ext>
                    </c:extLst>
                    <c:strCache>
                      <c:ptCount val="1"/>
                      <c:pt idx="0">
                        <c:v> משרות 2024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('ריכוז תקציב'!$B$13,'ריכוז תקציב'!$B$34:$B$35)</c15:sqref>
                        </c15:formulaRef>
                      </c:ext>
                    </c:extLst>
                    <c:strCache>
                      <c:ptCount val="3"/>
                      <c:pt idx="0">
                        <c:v>משרד הרווחה</c:v>
                      </c:pt>
                      <c:pt idx="1">
                        <c:v>שכר רווחה</c:v>
                      </c:pt>
                      <c:pt idx="2">
                        <c:v>פעולות רווחה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('ריכוז תקציב'!$L$13,'ריכוז תקציב'!$L$34:$L$35)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3"/>
                      <c:pt idx="1">
                        <c:v>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2FE-4C23-83F4-89395A3B80E7}"/>
                  </c:ext>
                </c:extLst>
              </c15:ser>
            </c15:filteredBarSeries>
          </c:ext>
        </c:extLst>
      </c:barChart>
      <c:catAx>
        <c:axId val="24346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43466960"/>
        <c:crosses val="autoZero"/>
        <c:auto val="0"/>
        <c:lblAlgn val="ctr"/>
        <c:lblOffset val="100"/>
        <c:noMultiLvlLbl val="0"/>
      </c:catAx>
      <c:valAx>
        <c:axId val="24346696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434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03937007874016"/>
          <c:y val="7.407407407407407E-2"/>
          <c:w val="0.78918285214348205"/>
          <c:h val="0.84463764946048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'ריכוז תקציב'!$C$4</c:f>
              <c:strCache>
                <c:ptCount val="1"/>
                <c:pt idx="0">
                  <c:v> הצעת תקציב 2022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תקציב'!$C$34:$C$36</c15:sqref>
                  </c15:fullRef>
                </c:ext>
              </c:extLst>
              <c:f>'ריכוז תקציב'!$C$34:$C$35</c:f>
            </c:numRef>
          </c:val>
          <c:extLst>
            <c:ext xmlns:c16="http://schemas.microsoft.com/office/drawing/2014/chart" uri="{C3380CC4-5D6E-409C-BE32-E72D297353CC}">
              <c16:uniqueId val="{00000000-BE41-49E4-B2A3-6C078B0382F0}"/>
            </c:ext>
          </c:extLst>
        </c:ser>
        <c:ser>
          <c:idx val="1"/>
          <c:order val="1"/>
          <c:tx>
            <c:strRef>
              <c:f>'ריכוז תקציב'!$D$4</c:f>
              <c:strCache>
                <c:ptCount val="1"/>
                <c:pt idx="0">
                  <c:v> ביצוע צפוי 2022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תקציב'!$D$34:$D$36</c15:sqref>
                  </c15:fullRef>
                </c:ext>
              </c:extLst>
              <c:f>'ריכוז תקציב'!$D$34:$D$35</c:f>
            </c:numRef>
          </c:val>
          <c:extLst>
            <c:ext xmlns:c16="http://schemas.microsoft.com/office/drawing/2014/chart" uri="{C3380CC4-5D6E-409C-BE32-E72D297353CC}">
              <c16:uniqueId val="{00000000-A515-446C-A7FD-F1B4E8CC7EFB}"/>
            </c:ext>
          </c:extLst>
        </c:ser>
        <c:ser>
          <c:idx val="2"/>
          <c:order val="2"/>
          <c:tx>
            <c:strRef>
              <c:f>'ריכוז תקציב'!$E$4</c:f>
              <c:strCache>
                <c:ptCount val="1"/>
                <c:pt idx="0">
                  <c:v> תקציב מעודכן 2022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תקציב'!$E$34:$E$36</c15:sqref>
                  </c15:fullRef>
                </c:ext>
              </c:extLst>
              <c:f>'ריכוז תקציב'!$E$34:$E$35</c:f>
            </c:numRef>
          </c:val>
          <c:extLst>
            <c:ext xmlns:c16="http://schemas.microsoft.com/office/drawing/2014/chart" uri="{C3380CC4-5D6E-409C-BE32-E72D297353CC}">
              <c16:uniqueId val="{00000001-A515-446C-A7FD-F1B4E8CC7EFB}"/>
            </c:ext>
          </c:extLst>
        </c:ser>
        <c:ser>
          <c:idx val="3"/>
          <c:order val="3"/>
          <c:tx>
            <c:strRef>
              <c:f>'ריכוז תקציב'!$F$4</c:f>
              <c:strCache>
                <c:ptCount val="1"/>
                <c:pt idx="0">
                  <c:v> משרות 2022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תקציב'!$F$34:$F$36</c15:sqref>
                  </c15:fullRef>
                </c:ext>
              </c:extLst>
              <c:f>'ריכוז תקציב'!$F$34:$F$35</c:f>
            </c:numRef>
          </c:val>
          <c:extLst>
            <c:ext xmlns:c16="http://schemas.microsoft.com/office/drawing/2014/chart" uri="{C3380CC4-5D6E-409C-BE32-E72D297353CC}">
              <c16:uniqueId val="{00000002-A515-446C-A7FD-F1B4E8CC7EFB}"/>
            </c:ext>
          </c:extLst>
        </c:ser>
        <c:ser>
          <c:idx val="4"/>
          <c:order val="4"/>
          <c:tx>
            <c:strRef>
              <c:f>'ריכוז תקציב'!$G$4</c:f>
              <c:strCache>
                <c:ptCount val="1"/>
                <c:pt idx="0">
                  <c:v> צפי ביצוע 2022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תקציב'!$G$34:$G$36</c15:sqref>
                  </c15:fullRef>
                </c:ext>
              </c:extLst>
              <c:f>'ריכוז תקציב'!$G$34:$G$35</c:f>
            </c:numRef>
          </c:val>
          <c:extLst>
            <c:ext xmlns:c16="http://schemas.microsoft.com/office/drawing/2014/chart" uri="{C3380CC4-5D6E-409C-BE32-E72D297353CC}">
              <c16:uniqueId val="{00000003-A515-446C-A7FD-F1B4E8CC7EFB}"/>
            </c:ext>
          </c:extLst>
        </c:ser>
        <c:ser>
          <c:idx val="5"/>
          <c:order val="5"/>
          <c:tx>
            <c:strRef>
              <c:f>'ריכוז תקציב'!$H$4</c:f>
              <c:strCache>
                <c:ptCount val="1"/>
                <c:pt idx="0">
                  <c:v> תקציב 2023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תקציב'!$H$34:$H$36</c15:sqref>
                  </c15:fullRef>
                </c:ext>
              </c:extLst>
              <c:f>'ריכוז תקציב'!$H$34:$H$35</c:f>
            </c:numRef>
          </c:val>
          <c:extLst>
            <c:ext xmlns:c16="http://schemas.microsoft.com/office/drawing/2014/chart" uri="{C3380CC4-5D6E-409C-BE32-E72D297353CC}">
              <c16:uniqueId val="{00000004-A515-446C-A7FD-F1B4E8CC7EFB}"/>
            </c:ext>
          </c:extLst>
        </c:ser>
        <c:ser>
          <c:idx val="6"/>
          <c:order val="6"/>
          <c:tx>
            <c:strRef>
              <c:f>'ריכוז תקציב'!$I$4</c:f>
              <c:strCache>
                <c:ptCount val="1"/>
                <c:pt idx="0">
                  <c:v> משרות 2023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תקציב'!$I$34:$I$36</c15:sqref>
                  </c15:fullRef>
                </c:ext>
              </c:extLst>
              <c:f>'ריכוז תקציב'!$I$34:$I$35</c:f>
            </c:numRef>
          </c:val>
          <c:extLst>
            <c:ext xmlns:c16="http://schemas.microsoft.com/office/drawing/2014/chart" uri="{C3380CC4-5D6E-409C-BE32-E72D297353CC}">
              <c16:uniqueId val="{00000005-A515-446C-A7FD-F1B4E8CC7EFB}"/>
            </c:ext>
          </c:extLst>
        </c:ser>
        <c:ser>
          <c:idx val="7"/>
          <c:order val="7"/>
          <c:tx>
            <c:strRef>
              <c:f>'ריכוז תקציב'!$J$4</c:f>
              <c:strCache>
                <c:ptCount val="1"/>
                <c:pt idx="0">
                  <c:v> צפי ביצוע 2023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  <c:pt idx="2">
                  <c:v>סה"כ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תקציב'!$J$34:$J$36</c15:sqref>
                  </c15:fullRef>
                </c:ext>
              </c:extLst>
              <c:f>'ריכוז תקציב'!$J$34:$J$35</c:f>
            </c:numRef>
          </c:val>
          <c:extLst>
            <c:ext xmlns:c16="http://schemas.microsoft.com/office/drawing/2014/chart" uri="{C3380CC4-5D6E-409C-BE32-E72D297353CC}">
              <c16:uniqueId val="{00000006-A515-446C-A7FD-F1B4E8CC7EFB}"/>
            </c:ext>
          </c:extLst>
        </c:ser>
        <c:ser>
          <c:idx val="8"/>
          <c:order val="8"/>
          <c:tx>
            <c:strRef>
              <c:f>'ריכוז תקציב'!$K$4</c:f>
              <c:strCache>
                <c:ptCount val="1"/>
                <c:pt idx="0">
                  <c:v> תקציב 2024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תקציב'!$K$34:$K$36</c15:sqref>
                  </c15:fullRef>
                </c:ext>
              </c:extLst>
              <c:f>'ריכוז תקציב'!$K$34:$K$35</c:f>
              <c:numCache>
                <c:formatCode>_ * #,##0_ ;_ * \-#,##0_ ;_ * "-"??_ ;_ @_ </c:formatCode>
                <c:ptCount val="2"/>
                <c:pt idx="0">
                  <c:v>4285000</c:v>
                </c:pt>
                <c:pt idx="1">
                  <c:v>35429000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15-446C-A7FD-F1B4E8CC7EFB}"/>
            </c:ext>
          </c:extLst>
        </c:ser>
        <c:ser>
          <c:idx val="10"/>
          <c:order val="10"/>
          <c:tx>
            <c:strRef>
              <c:f>'ריכוז תקציב'!$M$4</c:f>
              <c:strCache>
                <c:ptCount val="1"/>
                <c:pt idx="0">
                  <c:v> ביצוע צפוי 2024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תקציב'!$M$34:$M$36</c15:sqref>
                  </c15:fullRef>
                </c:ext>
              </c:extLst>
              <c:f>'ריכוז תקציב'!$M$34:$M$35</c:f>
              <c:numCache>
                <c:formatCode>_ * #,##0_ ;_ * \-#,##0_ ;_ * "-"??_ ;_ @_ </c:formatCode>
                <c:ptCount val="2"/>
                <c:pt idx="0">
                  <c:v>4135074.45</c:v>
                </c:pt>
                <c:pt idx="1">
                  <c:v>41668811.369999997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15-446C-A7FD-F1B4E8CC7EFB}"/>
            </c:ext>
          </c:extLst>
        </c:ser>
        <c:ser>
          <c:idx val="11"/>
          <c:order val="11"/>
          <c:tx>
            <c:strRef>
              <c:f>'ריכוז תקציב'!$N$4</c:f>
              <c:strCache>
                <c:ptCount val="1"/>
                <c:pt idx="0">
                  <c:v> תקציב 2025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'ריכוז תקציב'!$B$34:$B$36</c15:sqref>
                  </c15:fullRef>
                </c:ext>
              </c:extLst>
              <c:f>'ריכוז תקציב'!$B$34:$B$35</c:f>
              <c:strCache>
                <c:ptCount val="2"/>
                <c:pt idx="0">
                  <c:v>שכר רווחה</c:v>
                </c:pt>
                <c:pt idx="1">
                  <c:v>פעולות רווחה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'ריכוז תקציב'!$N$34:$N$36</c15:sqref>
                  </c15:fullRef>
                </c:ext>
              </c:extLst>
              <c:f>'ריכוז תקציב'!$N$34:$N$35</c:f>
              <c:numCache>
                <c:formatCode>_ * #,##0_ ;_ * \-#,##0_ ;_ * "-"??_ ;_ @_ </c:formatCode>
                <c:ptCount val="2"/>
                <c:pt idx="0">
                  <c:v>4505000</c:v>
                </c:pt>
                <c:pt idx="1">
                  <c:v>41650000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15-446C-A7FD-F1B4E8CC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934768"/>
        <c:axId val="240933808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'ריכוז תקציב'!$L$4</c15:sqref>
                        </c15:formulaRef>
                      </c:ext>
                    </c:extLst>
                    <c:strCache>
                      <c:ptCount val="1"/>
                      <c:pt idx="0">
                        <c:v> משרות 2024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'ריכוז תקציב'!$B$34:$B$36</c15:sqref>
                        </c15:fullRef>
                        <c15:formulaRef>
                          <c15:sqref>'ריכוז תקציב'!$B$34:$B$35</c15:sqref>
                        </c15:formulaRef>
                      </c:ext>
                    </c:extLst>
                    <c:strCache>
                      <c:ptCount val="2"/>
                      <c:pt idx="0">
                        <c:v>שכר רווחה</c:v>
                      </c:pt>
                      <c:pt idx="1">
                        <c:v>פעולות רווחה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'ריכוז תקציב'!$L$34:$L$36</c15:sqref>
                        </c15:fullRef>
                        <c15:formulaRef>
                          <c15:sqref>'ריכוז תקציב'!$L$34:$L$35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"/>
                      <c:pt idx="0">
                        <c:v>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515-446C-A7FD-F1B4E8CC7EFB}"/>
                  </c:ext>
                </c:extLst>
              </c15:ser>
            </c15:filteredBarSeries>
          </c:ext>
        </c:extLst>
      </c:barChart>
      <c:catAx>
        <c:axId val="2409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40933808"/>
        <c:crosses val="autoZero"/>
        <c:auto val="1"/>
        <c:lblAlgn val="ctr"/>
        <c:lblOffset val="100"/>
        <c:noMultiLvlLbl val="0"/>
      </c:catAx>
      <c:valAx>
        <c:axId val="2409338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409347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4623007908325187"/>
          <c:y val="8.6515383493729947E-2"/>
          <c:w val="0.17625699286582389"/>
          <c:h val="0.23759813499316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>
                <a:latin typeface="David" panose="020E0502060401010101" pitchFamily="34" charset="-79"/>
                <a:cs typeface="David" panose="020E0502060401010101" pitchFamily="34" charset="-79"/>
              </a:rPr>
              <a:t>התפלגות</a:t>
            </a:r>
            <a:r>
              <a:rPr lang="he-IL" baseline="0">
                <a:latin typeface="David" panose="020E0502060401010101" pitchFamily="34" charset="-79"/>
                <a:cs typeface="David" panose="020E0502060401010101" pitchFamily="34" charset="-79"/>
              </a:rPr>
              <a:t> תשלומים - תקציב 2025</a:t>
            </a:r>
            <a:endParaRPr lang="he-IL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'ריכוז תקציב'!$C$4</c:f>
              <c:strCache>
                <c:ptCount val="1"/>
                <c:pt idx="0">
                  <c:v> הצעת תקציב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תקציב'!$C$27:$C$28,'ריכוז תקציב'!$C$31:$C$32,'ריכוז תקציב'!$C$34:$C$35,'ריכוז תקציב'!$C$37:$C$38,'ריכוז תקציב'!$C$40,'ריכוז תקציב'!$C$43,'ריכוז תקציב'!$C$46)</c:f>
            </c:numRef>
          </c:val>
          <c:extLst>
            <c:ext xmlns:c16="http://schemas.microsoft.com/office/drawing/2014/chart" uri="{C3380CC4-5D6E-409C-BE32-E72D297353CC}">
              <c16:uniqueId val="{00000000-0810-43C3-9E6D-59C7B781C8BA}"/>
            </c:ext>
          </c:extLst>
        </c:ser>
        <c:ser>
          <c:idx val="1"/>
          <c:order val="1"/>
          <c:tx>
            <c:strRef>
              <c:f>'ריכוז תקציב'!$D$4</c:f>
              <c:strCache>
                <c:ptCount val="1"/>
                <c:pt idx="0">
                  <c:v> ביצוע צפוי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תקציב'!$D$27:$D$28,'ריכוז תקציב'!$D$31:$D$32,'ריכוז תקציב'!$D$34:$D$35,'ריכוז תקציב'!$D$37:$D$38,'ריכוז תקציב'!$D$40,'ריכוז תקציב'!$D$43,'ריכוז תקציב'!$D$46)</c:f>
            </c:numRef>
          </c:val>
          <c:extLst>
            <c:ext xmlns:c16="http://schemas.microsoft.com/office/drawing/2014/chart" uri="{C3380CC4-5D6E-409C-BE32-E72D297353CC}">
              <c16:uniqueId val="{00000001-0810-43C3-9E6D-59C7B781C8BA}"/>
            </c:ext>
          </c:extLst>
        </c:ser>
        <c:ser>
          <c:idx val="2"/>
          <c:order val="2"/>
          <c:tx>
            <c:strRef>
              <c:f>'ריכוז תקציב'!$E$4</c:f>
              <c:strCache>
                <c:ptCount val="1"/>
                <c:pt idx="0">
                  <c:v> תקציב מעודכן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תקציב'!$E$27:$E$28,'ריכוז תקציב'!$E$31:$E$32,'ריכוז תקציב'!$E$34:$E$35,'ריכוז תקציב'!$E$37:$E$38,'ריכוז תקציב'!$E$40,'ריכוז תקציב'!$E$43,'ריכוז תקציב'!$E$46)</c:f>
            </c:numRef>
          </c:val>
          <c:extLst>
            <c:ext xmlns:c16="http://schemas.microsoft.com/office/drawing/2014/chart" uri="{C3380CC4-5D6E-409C-BE32-E72D297353CC}">
              <c16:uniqueId val="{00000002-0810-43C3-9E6D-59C7B781C8BA}"/>
            </c:ext>
          </c:extLst>
        </c:ser>
        <c:ser>
          <c:idx val="3"/>
          <c:order val="3"/>
          <c:tx>
            <c:strRef>
              <c:f>'ריכוז תקציב'!$F$4</c:f>
              <c:strCache>
                <c:ptCount val="1"/>
                <c:pt idx="0">
                  <c:v> משרות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תקציב'!$F$27:$F$28,'ריכוז תקציב'!$F$31:$F$32,'ריכוז תקציב'!$F$34:$F$35,'ריכוז תקציב'!$F$37:$F$38,'ריכוז תקציב'!$F$40,'ריכוז תקציב'!$F$43,'ריכוז תקציב'!$F$46)</c:f>
            </c:numRef>
          </c:val>
          <c:extLst>
            <c:ext xmlns:c16="http://schemas.microsoft.com/office/drawing/2014/chart" uri="{C3380CC4-5D6E-409C-BE32-E72D297353CC}">
              <c16:uniqueId val="{00000003-0810-43C3-9E6D-59C7B781C8BA}"/>
            </c:ext>
          </c:extLst>
        </c:ser>
        <c:ser>
          <c:idx val="4"/>
          <c:order val="4"/>
          <c:tx>
            <c:strRef>
              <c:f>'ריכוז תקציב'!$G$4</c:f>
              <c:strCache>
                <c:ptCount val="1"/>
                <c:pt idx="0">
                  <c:v> צפי ביצוע 2022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תקציב'!$G$27:$G$28,'ריכוז תקציב'!$G$31:$G$32,'ריכוז תקציב'!$G$34:$G$35,'ריכוז תקציב'!$G$37:$G$38,'ריכוז תקציב'!$G$40,'ריכוז תקציב'!$G$43,'ריכוז תקציב'!$G$46)</c:f>
            </c:numRef>
          </c:val>
          <c:extLst>
            <c:ext xmlns:c16="http://schemas.microsoft.com/office/drawing/2014/chart" uri="{C3380CC4-5D6E-409C-BE32-E72D297353CC}">
              <c16:uniqueId val="{00000004-0810-43C3-9E6D-59C7B781C8BA}"/>
            </c:ext>
          </c:extLst>
        </c:ser>
        <c:ser>
          <c:idx val="5"/>
          <c:order val="5"/>
          <c:tx>
            <c:strRef>
              <c:f>'ריכוז תקציב'!$H$4</c:f>
              <c:strCache>
                <c:ptCount val="1"/>
                <c:pt idx="0">
                  <c:v> תקציב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תקציב'!$H$27:$H$28,'ריכוז תקציב'!$H$31:$H$32,'ריכוז תקציב'!$H$34:$H$35,'ריכוז תקציב'!$H$37:$H$38,'ריכוז תקציב'!$H$40,'ריכוז תקציב'!$H$43,'ריכוז תקציב'!$H$46)</c:f>
            </c:numRef>
          </c:val>
          <c:extLst>
            <c:ext xmlns:c16="http://schemas.microsoft.com/office/drawing/2014/chart" uri="{C3380CC4-5D6E-409C-BE32-E72D297353CC}">
              <c16:uniqueId val="{00000005-0810-43C3-9E6D-59C7B781C8BA}"/>
            </c:ext>
          </c:extLst>
        </c:ser>
        <c:ser>
          <c:idx val="6"/>
          <c:order val="6"/>
          <c:tx>
            <c:strRef>
              <c:f>'ריכוז תקציב'!$I$4</c:f>
              <c:strCache>
                <c:ptCount val="1"/>
                <c:pt idx="0">
                  <c:v> משרות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תקציב'!$I$27:$I$28,'ריכוז תקציב'!$I$31:$I$32,'ריכוז תקציב'!$I$34:$I$35,'ריכוז תקציב'!$I$37:$I$38,'ריכוז תקציב'!$I$40,'ריכוז תקציב'!$I$43,'ריכוז תקציב'!$I$46)</c:f>
            </c:numRef>
          </c:val>
          <c:extLst>
            <c:ext xmlns:c16="http://schemas.microsoft.com/office/drawing/2014/chart" uri="{C3380CC4-5D6E-409C-BE32-E72D297353CC}">
              <c16:uniqueId val="{00000006-0810-43C3-9E6D-59C7B781C8BA}"/>
            </c:ext>
          </c:extLst>
        </c:ser>
        <c:ser>
          <c:idx val="7"/>
          <c:order val="7"/>
          <c:tx>
            <c:strRef>
              <c:f>'ריכוז תקציב'!$J$4</c:f>
              <c:strCache>
                <c:ptCount val="1"/>
                <c:pt idx="0">
                  <c:v> צפי ביצוע 2023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תקציב'!$J$27:$J$28,'ריכוז תקציב'!$J$31:$J$32,'ריכוז תקציב'!$J$34:$J$35,'ריכוז תקציב'!$J$37:$J$38,'ריכוז תקציב'!$J$40,'ריכוז תקציב'!$J$43,'ריכוז תקציב'!$J$46)</c:f>
            </c:numRef>
          </c:val>
          <c:extLst>
            <c:ext xmlns:c16="http://schemas.microsoft.com/office/drawing/2014/chart" uri="{C3380CC4-5D6E-409C-BE32-E72D297353CC}">
              <c16:uniqueId val="{00000007-0810-43C3-9E6D-59C7B781C8BA}"/>
            </c:ext>
          </c:extLst>
        </c:ser>
        <c:ser>
          <c:idx val="11"/>
          <c:order val="11"/>
          <c:tx>
            <c:strRef>
              <c:f>'ריכוז תקציב'!$N$4</c:f>
              <c:strCache>
                <c:ptCount val="1"/>
                <c:pt idx="0">
                  <c:v> תקציב 2025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0810-43C3-9E6D-59C7B781C8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810-43C3-9E6D-59C7B781C8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10-43C3-9E6D-59C7B781C8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DAF-462B-88F6-0B21D8FCCD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810-43C3-9E6D-59C7B781C8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10-43C3-9E6D-59C7B781C8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810-43C3-9E6D-59C7B781C8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810-43C3-9E6D-59C7B781C8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10-43C3-9E6D-59C7B781C8B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810-43C3-9E6D-59C7B781C8B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0810-43C3-9E6D-59C7B781C8BA}"/>
              </c:ext>
            </c:extLst>
          </c:dPt>
          <c:dLbls>
            <c:dLbl>
              <c:idx val="0"/>
              <c:layout>
                <c:manualLayout>
                  <c:x val="0.11049475065616798"/>
                  <c:y val="7.84962817147856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10-43C3-9E6D-59C7B781C8BA}"/>
                </c:ext>
              </c:extLst>
            </c:dLbl>
            <c:dLbl>
              <c:idx val="1"/>
              <c:layout>
                <c:manualLayout>
                  <c:x val="8.9795056867891507E-2"/>
                  <c:y val="9.3958880139982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0-43C3-9E6D-59C7B781C8BA}"/>
                </c:ext>
              </c:extLst>
            </c:dLbl>
            <c:dLbl>
              <c:idx val="2"/>
              <c:layout>
                <c:manualLayout>
                  <c:x val="7.9268372703411971E-2"/>
                  <c:y val="-6.7275080198308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0-43C3-9E6D-59C7B781C8BA}"/>
                </c:ext>
              </c:extLst>
            </c:dLbl>
            <c:dLbl>
              <c:idx val="4"/>
              <c:layout>
                <c:manualLayout>
                  <c:x val="-0.12866972878390201"/>
                  <c:y val="-2.98793379994167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10-43C3-9E6D-59C7B781C8BA}"/>
                </c:ext>
              </c:extLst>
            </c:dLbl>
            <c:dLbl>
              <c:idx val="5"/>
              <c:layout>
                <c:manualLayout>
                  <c:x val="-5.45271216097988E-2"/>
                  <c:y val="4.6944079906678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0-43C3-9E6D-59C7B781C8BA}"/>
                </c:ext>
              </c:extLst>
            </c:dLbl>
            <c:dLbl>
              <c:idx val="6"/>
              <c:layout>
                <c:manualLayout>
                  <c:x val="9.8169510061242346E-2"/>
                  <c:y val="5.8818533100029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10-43C3-9E6D-59C7B781C8BA}"/>
                </c:ext>
              </c:extLst>
            </c:dLbl>
            <c:dLbl>
              <c:idx val="7"/>
              <c:layout>
                <c:manualLayout>
                  <c:x val="-6.6190288713910764E-2"/>
                  <c:y val="0.13675051035287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10-43C3-9E6D-59C7B781C8BA}"/>
                </c:ext>
              </c:extLst>
            </c:dLbl>
            <c:dLbl>
              <c:idx val="8"/>
              <c:layout>
                <c:manualLayout>
                  <c:x val="-0.20118569553805773"/>
                  <c:y val="3.5110819480898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0-43C3-9E6D-59C7B781C8BA}"/>
                </c:ext>
              </c:extLst>
            </c:dLbl>
            <c:dLbl>
              <c:idx val="9"/>
              <c:layout>
                <c:manualLayout>
                  <c:x val="-0.25537510936132984"/>
                  <c:y val="0.253977836103820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0-43C3-9E6D-59C7B781C8BA}"/>
                </c:ext>
              </c:extLst>
            </c:dLbl>
            <c:dLbl>
              <c:idx val="10"/>
              <c:layout>
                <c:manualLayout>
                  <c:x val="0.38955971128608924"/>
                  <c:y val="6.9505686789151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0-43C3-9E6D-59C7B781C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('ריכוז תקציב'!$B$27:$B$28,'ריכוז תקציב'!$B$31:$B$32,'ריכוז תקציב'!$B$34:$B$35,'ריכוז תקציב'!$B$37:$B$38,'ריכוז תקציב'!$B$40,'ריכוז תקציב'!$B$43,'ריכוז תקציב'!$B$46)</c:f>
              <c:strCache>
                <c:ptCount val="11"/>
                <c:pt idx="0">
                  <c:v>שכר כללי</c:v>
                </c:pt>
                <c:pt idx="1">
                  <c:v>פעולות כלליות</c:v>
                </c:pt>
                <c:pt idx="2">
                  <c:v>שכר חינוך </c:v>
                </c:pt>
                <c:pt idx="3">
                  <c:v>פעולות חינוך </c:v>
                </c:pt>
                <c:pt idx="4">
                  <c:v>שכר רווחה</c:v>
                </c:pt>
                <c:pt idx="5">
                  <c:v>פעולות רווחה</c:v>
                </c:pt>
                <c:pt idx="6">
                  <c:v>פרעון מילוות מים וביוב</c:v>
                </c:pt>
                <c:pt idx="7">
                  <c:v>פרעון מילוות אחר</c:v>
                </c:pt>
                <c:pt idx="8">
                  <c:v>הוצאות מימון</c:v>
                </c:pt>
                <c:pt idx="9">
                  <c:v>הנחות ארנונה</c:v>
                </c:pt>
                <c:pt idx="10">
                  <c:v>הוצאה מותנה</c:v>
                </c:pt>
              </c:strCache>
            </c:strRef>
          </c:cat>
          <c:val>
            <c:numRef>
              <c:f>('ריכוז תקציב'!$N$27:$N$28,'ריכוז תקציב'!$N$31:$N$32,'ריכוז תקציב'!$N$34:$N$35,'ריכוז תקציב'!$N$37:$N$38,'ריכוז תקציב'!$N$40,'ריכוז תקציב'!$N$43,'ריכוז תקציב'!$N$46)</c:f>
              <c:numCache>
                <c:formatCode>_ * #,##0_ ;_ * \-#,##0_ ;_ * "-"??_ ;_ @_ </c:formatCode>
                <c:ptCount val="11"/>
                <c:pt idx="0">
                  <c:v>11566367.593900001</c:v>
                </c:pt>
                <c:pt idx="1">
                  <c:v>17218744</c:v>
                </c:pt>
                <c:pt idx="2">
                  <c:v>43909343</c:v>
                </c:pt>
                <c:pt idx="3">
                  <c:v>23165694</c:v>
                </c:pt>
                <c:pt idx="4">
                  <c:v>4505000</c:v>
                </c:pt>
                <c:pt idx="5">
                  <c:v>41650000</c:v>
                </c:pt>
                <c:pt idx="6">
                  <c:v>310000</c:v>
                </c:pt>
                <c:pt idx="7">
                  <c:v>2720000</c:v>
                </c:pt>
                <c:pt idx="8">
                  <c:v>250000</c:v>
                </c:pt>
                <c:pt idx="9">
                  <c:v>7000000</c:v>
                </c:pt>
                <c:pt idx="10">
                  <c:v>2012100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10-43C3-9E6D-59C7B781C8B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'ריכוז תקציב'!$K$4</c15:sqref>
                        </c15:formulaRef>
                      </c:ext>
                    </c:extLst>
                    <c:strCache>
                      <c:ptCount val="1"/>
                      <c:pt idx="0">
                        <c:v> תקציב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5DAF-462B-88F6-0B21D8FCCD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5DAF-462B-88F6-0B21D8FCCD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5DAF-462B-88F6-0B21D8FCCD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D-5DAF-462B-88F6-0B21D8FCCD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F-5DAF-462B-88F6-0B21D8FCCD4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1-5DAF-462B-88F6-0B21D8FCCD4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3-5DAF-462B-88F6-0B21D8FCCD4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5-5DAF-462B-88F6-0B21D8FCCD4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7-5DAF-462B-88F6-0B21D8FCCD4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5DAF-462B-88F6-0B21D8FCCD4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5DAF-462B-88F6-0B21D8FCCD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('ריכוז תקציב'!$B$27:$B$28,'ריכוז תקציב'!$B$31:$B$32,'ריכוז תקציב'!$B$34:$B$35,'ריכוז תקציב'!$B$37:$B$38,'ריכוז תקציב'!$B$40,'ריכוז תקציב'!$B$43,'ריכוז תקציב'!$B$46)</c15:sqref>
                        </c15:formulaRef>
                      </c:ext>
                    </c:extLst>
                    <c:strCache>
                      <c:ptCount val="11"/>
                      <c:pt idx="0">
                        <c:v>שכר כללי</c:v>
                      </c:pt>
                      <c:pt idx="1">
                        <c:v>פעולות כלליות</c:v>
                      </c:pt>
                      <c:pt idx="2">
                        <c:v>שכר חינוך </c:v>
                      </c:pt>
                      <c:pt idx="3">
                        <c:v>פעולות חינוך </c:v>
                      </c:pt>
                      <c:pt idx="4">
                        <c:v>שכר רווחה</c:v>
                      </c:pt>
                      <c:pt idx="5">
                        <c:v>פעולות רווחה</c:v>
                      </c:pt>
                      <c:pt idx="6">
                        <c:v>פרעון מילוות מים וביוב</c:v>
                      </c:pt>
                      <c:pt idx="7">
                        <c:v>פרעון מילוות אחר</c:v>
                      </c:pt>
                      <c:pt idx="8">
                        <c:v>הוצאות מימון</c:v>
                      </c:pt>
                      <c:pt idx="9">
                        <c:v>הנחות ארנונה</c:v>
                      </c:pt>
                      <c:pt idx="10">
                        <c:v>הוצאה מותנה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('ריכוז תקציב'!$K$27:$K$28,'ריכוז תקציב'!$K$31:$K$32,'ריכוז תקציב'!$K$34:$K$35,'ריכוז תקציב'!$K$37:$K$38,'ריכוז תקציב'!$K$40,'ריכוז תקציב'!$K$43,'ריכוז תקציב'!$K$46)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1"/>
                      <c:pt idx="0">
                        <c:v>10710000</c:v>
                      </c:pt>
                      <c:pt idx="1">
                        <c:v>14255305</c:v>
                      </c:pt>
                      <c:pt idx="2">
                        <c:v>38062874</c:v>
                      </c:pt>
                      <c:pt idx="3">
                        <c:v>22894574</c:v>
                      </c:pt>
                      <c:pt idx="4">
                        <c:v>4285000</c:v>
                      </c:pt>
                      <c:pt idx="5">
                        <c:v>35429000</c:v>
                      </c:pt>
                      <c:pt idx="6">
                        <c:v>600000</c:v>
                      </c:pt>
                      <c:pt idx="7">
                        <c:v>2170000</c:v>
                      </c:pt>
                      <c:pt idx="8">
                        <c:v>200000</c:v>
                      </c:pt>
                      <c:pt idx="9">
                        <c:v>6500000</c:v>
                      </c:pt>
                      <c:pt idx="10">
                        <c:v>747166.25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0810-43C3-9E6D-59C7B781C8BA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תקציב'!$L$4</c15:sqref>
                        </c15:formulaRef>
                      </c:ext>
                    </c:extLst>
                    <c:strCache>
                      <c:ptCount val="1"/>
                      <c:pt idx="0">
                        <c:v> משרות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DAF-462B-88F6-0B21D8FCCD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DAF-462B-88F6-0B21D8FCCD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DAF-462B-88F6-0B21D8FCCD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DAF-462B-88F6-0B21D8FCCD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DAF-462B-88F6-0B21D8FCCD4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DAF-462B-88F6-0B21D8FCCD4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DAF-462B-88F6-0B21D8FCCD4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DAF-462B-88F6-0B21D8FCCD4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DAF-462B-88F6-0B21D8FCCD4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5DAF-462B-88F6-0B21D8FCCD4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5DAF-462B-88F6-0B21D8FCCD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תקציב'!$B$27:$B$28,'ריכוז תקציב'!$B$31:$B$32,'ריכוז תקציב'!$B$34:$B$35,'ריכוז תקציב'!$B$37:$B$38,'ריכוז תקציב'!$B$40,'ריכוז תקציב'!$B$43,'ריכוז תקציב'!$B$46)</c15:sqref>
                        </c15:formulaRef>
                      </c:ext>
                    </c:extLst>
                    <c:strCache>
                      <c:ptCount val="11"/>
                      <c:pt idx="0">
                        <c:v>שכר כללי</c:v>
                      </c:pt>
                      <c:pt idx="1">
                        <c:v>פעולות כלליות</c:v>
                      </c:pt>
                      <c:pt idx="2">
                        <c:v>שכר חינוך </c:v>
                      </c:pt>
                      <c:pt idx="3">
                        <c:v>פעולות חינוך </c:v>
                      </c:pt>
                      <c:pt idx="4">
                        <c:v>שכר רווחה</c:v>
                      </c:pt>
                      <c:pt idx="5">
                        <c:v>פעולות רווחה</c:v>
                      </c:pt>
                      <c:pt idx="6">
                        <c:v>פרעון מילוות מים וביוב</c:v>
                      </c:pt>
                      <c:pt idx="7">
                        <c:v>פרעון מילוות אחר</c:v>
                      </c:pt>
                      <c:pt idx="8">
                        <c:v>הוצאות מימון</c:v>
                      </c:pt>
                      <c:pt idx="9">
                        <c:v>הנחות ארנונה</c:v>
                      </c:pt>
                      <c:pt idx="10">
                        <c:v>הוצאה מותנה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תקציב'!$L$27:$L$28,'ריכוז תקציב'!$L$31:$L$32,'ריכוז תקציב'!$L$34:$L$35,'ריכוז תקציב'!$L$37:$L$38,'ריכוז תקציב'!$L$40,'ריכוז תקציב'!$L$43,'ריכוז תקציב'!$L$46)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1"/>
                      <c:pt idx="0">
                        <c:v>55</c:v>
                      </c:pt>
                      <c:pt idx="2">
                        <c:v>182</c:v>
                      </c:pt>
                      <c:pt idx="4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810-43C3-9E6D-59C7B781C8BA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'ריכוז תקציב'!$M$4</c15:sqref>
                        </c15:formulaRef>
                      </c:ext>
                    </c:extLst>
                    <c:strCache>
                      <c:ptCount val="1"/>
                      <c:pt idx="0">
                        <c:v> ביצוע צפוי 2024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5DAF-462B-88F6-0B21D8FCCD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5DAF-462B-88F6-0B21D8FCCD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5DAF-462B-88F6-0B21D8FCCD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5DAF-462B-88F6-0B21D8FCCD4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5DAF-462B-88F6-0B21D8FCCD4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5DAF-462B-88F6-0B21D8FCCD4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5DAF-462B-88F6-0B21D8FCCD4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5DAF-462B-88F6-0B21D8FCCD4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5DAF-462B-88F6-0B21D8FCCD4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5DAF-462B-88F6-0B21D8FCCD4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5DAF-462B-88F6-0B21D8FCCD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תקציב'!$B$27:$B$28,'ריכוז תקציב'!$B$31:$B$32,'ריכוז תקציב'!$B$34:$B$35,'ריכוז תקציב'!$B$37:$B$38,'ריכוז תקציב'!$B$40,'ריכוז תקציב'!$B$43,'ריכוז תקציב'!$B$46)</c15:sqref>
                        </c15:formulaRef>
                      </c:ext>
                    </c:extLst>
                    <c:strCache>
                      <c:ptCount val="11"/>
                      <c:pt idx="0">
                        <c:v>שכר כללי</c:v>
                      </c:pt>
                      <c:pt idx="1">
                        <c:v>פעולות כלליות</c:v>
                      </c:pt>
                      <c:pt idx="2">
                        <c:v>שכר חינוך </c:v>
                      </c:pt>
                      <c:pt idx="3">
                        <c:v>פעולות חינוך </c:v>
                      </c:pt>
                      <c:pt idx="4">
                        <c:v>שכר רווחה</c:v>
                      </c:pt>
                      <c:pt idx="5">
                        <c:v>פעולות רווחה</c:v>
                      </c:pt>
                      <c:pt idx="6">
                        <c:v>פרעון מילוות מים וביוב</c:v>
                      </c:pt>
                      <c:pt idx="7">
                        <c:v>פרעון מילוות אחר</c:v>
                      </c:pt>
                      <c:pt idx="8">
                        <c:v>הוצאות מימון</c:v>
                      </c:pt>
                      <c:pt idx="9">
                        <c:v>הנחות ארנונה</c:v>
                      </c:pt>
                      <c:pt idx="10">
                        <c:v>הוצאה מותנה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('ריכוז תקציב'!$M$27:$M$28,'ריכוז תקציב'!$M$31:$M$32,'ריכוז תקציב'!$M$34:$M$35,'ריכוז תקציב'!$M$37:$M$38,'ריכוז תקציב'!$M$40,'ריכוז תקציב'!$M$43,'ריכוז תקציב'!$M$46)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11"/>
                      <c:pt idx="0">
                        <c:v>9753235.9100000001</c:v>
                      </c:pt>
                      <c:pt idx="1">
                        <c:v>15769753.980000002</c:v>
                      </c:pt>
                      <c:pt idx="2">
                        <c:v>42581750.329999991</c:v>
                      </c:pt>
                      <c:pt idx="3">
                        <c:v>23465782.519999996</c:v>
                      </c:pt>
                      <c:pt idx="4">
                        <c:v>4135074.45</c:v>
                      </c:pt>
                      <c:pt idx="5">
                        <c:v>41668811.369999997</c:v>
                      </c:pt>
                      <c:pt idx="6">
                        <c:v>337278.23</c:v>
                      </c:pt>
                      <c:pt idx="7">
                        <c:v>2436427.7399999998</c:v>
                      </c:pt>
                      <c:pt idx="8">
                        <c:v>267321.26</c:v>
                      </c:pt>
                      <c:pt idx="9">
                        <c:v>6591998.6699999999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810-43C3-9E6D-59C7B781C8BA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9525</xdr:rowOff>
    </xdr:from>
    <xdr:to>
      <xdr:col>7</xdr:col>
      <xdr:colOff>523874</xdr:colOff>
      <xdr:row>24</xdr:row>
      <xdr:rowOff>37930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813651" y="6210300"/>
          <a:ext cx="5391149" cy="13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6</xdr:col>
      <xdr:colOff>685799</xdr:colOff>
      <xdr:row>19</xdr:row>
      <xdr:rowOff>209550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605CC97B-0A72-5F46-8B28-5B0662CC7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100012</xdr:rowOff>
    </xdr:from>
    <xdr:to>
      <xdr:col>6</xdr:col>
      <xdr:colOff>685800</xdr:colOff>
      <xdr:row>37</xdr:row>
      <xdr:rowOff>42862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F22763C0-1B41-21FA-9516-5FEC5E5DE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60</xdr:row>
      <xdr:rowOff>90487</xdr:rowOff>
    </xdr:from>
    <xdr:to>
      <xdr:col>7</xdr:col>
      <xdr:colOff>619125</xdr:colOff>
      <xdr:row>75</xdr:row>
      <xdr:rowOff>4762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16CC19BB-5E60-AD51-C5B0-6878FC5DD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88</xdr:row>
      <xdr:rowOff>38106</xdr:rowOff>
    </xdr:from>
    <xdr:to>
      <xdr:col>7</xdr:col>
      <xdr:colOff>457200</xdr:colOff>
      <xdr:row>103</xdr:row>
      <xdr:rowOff>85725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B0756926-FE9B-258F-1C6F-69479BEA7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109</xdr:row>
      <xdr:rowOff>90487</xdr:rowOff>
    </xdr:from>
    <xdr:to>
      <xdr:col>7</xdr:col>
      <xdr:colOff>466725</xdr:colOff>
      <xdr:row>124</xdr:row>
      <xdr:rowOff>119062</xdr:rowOff>
    </xdr:to>
    <xdr:graphicFrame macro="">
      <xdr:nvGraphicFramePr>
        <xdr:cNvPr id="8" name="תרשים 7">
          <a:extLst>
            <a:ext uri="{FF2B5EF4-FFF2-40B4-BE49-F238E27FC236}">
              <a16:creationId xmlns:a16="http://schemas.microsoft.com/office/drawing/2014/main" id="{A541AA3A-2C85-FBEB-3B40-E0FAB3FF1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561976</xdr:colOff>
      <xdr:row>42</xdr:row>
      <xdr:rowOff>9525</xdr:rowOff>
    </xdr:from>
    <xdr:to>
      <xdr:col>6</xdr:col>
      <xdr:colOff>476251</xdr:colOff>
      <xdr:row>56</xdr:row>
      <xdr:rowOff>128587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2A0A0367-0AC2-7C60-1032-2AD7DF1AC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ldudi1\Local%20Settings\Temp\&#1489;&#1491;&#1497;&#1511;&#1514;%20&#1499;&#1508;&#1512;%20&#1505;&#1489;&#1488;\financialRepor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laa-pc.G\&#1514;&#1511;&#1510;&#1497;&#1489;&#1497;&#1501;\&#1514;&#1511;&#1510;&#1497;&#1489;&#1497;&#1501;%202015\&#1491;&#1488;&#1500;&#1497;&#1492;\&#1496;&#1497;&#1493;&#1496;&#1492;%201-%20&#1514;&#1511;&#1510;&#1497;&#1489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טופס 1 אקטיב"/>
      <sheetName val="טופס 1 פאסיב"/>
      <sheetName val="טופס 2"/>
      <sheetName val="טופס 3"/>
      <sheetName val="טופס 4"/>
      <sheetName val="נתונים והתאמות לטופס 4"/>
      <sheetName val="ביאורים 1, 2 א-ב (2)"/>
      <sheetName val="ביאורים 1, 2 א-ב"/>
      <sheetName val="ביאור 2 ג-ז"/>
      <sheetName val="ביאור 2 ח-יא"/>
      <sheetName val="ביאור 3"/>
      <sheetName val="ביאור 3 המשך"/>
      <sheetName val="ביאור 4"/>
      <sheetName val="ביאור 5"/>
      <sheetName val="ביאורים 6,7,8"/>
      <sheetName val="ביאורים נוספים"/>
      <sheetName val="נספח 1 לטופס 1"/>
      <sheetName val="נספחים 1,2 לנספח 1 לטופס 1"/>
      <sheetName val="נספח 2 לטופס 1"/>
      <sheetName val="נספח 2 לטופס 1 - פירוט א"/>
      <sheetName val="נספח 2 לטופס 1 - פירוט ב"/>
      <sheetName val="נספח 2 לטופס 1 - פירוט ג"/>
      <sheetName val="נספח 2 לטופס 1 - פירוט ד"/>
      <sheetName val="נספח 3 לטופס 1"/>
      <sheetName val="נספח 1 לטופס 2"/>
      <sheetName val="נספח 1 לטופס 2  המשך"/>
      <sheetName val="נספח 2 לטופס 2"/>
      <sheetName val="נספח 3 לטופס 2"/>
      <sheetName val="נספח 4 לטופס 2"/>
      <sheetName val="נספח 5 לטופס 2"/>
      <sheetName val="נספח 6 לטופס 2"/>
      <sheetName val="נספח 1 לטופס 3"/>
      <sheetName val="ספר לבן"/>
      <sheetName val="דוח לתושב"/>
      <sheetName val="נספח ה"/>
      <sheetName val="נספח ו"/>
      <sheetName val="נספח ז"/>
      <sheetName val="בדיקות הצלבה"/>
      <sheetName val="נתונים משותפים"/>
      <sheetName val="נתונים כלליים"/>
      <sheetName val="נתונים לטופס 1"/>
      <sheetName val="נתונים לטופס 3"/>
      <sheetName val="נתונים לנספח 2 לטופס 1"/>
      <sheetName val="נתונים לנספח 1 לטופס 2"/>
      <sheetName val="נתונים לנספח 4 לטופס 2"/>
      <sheetName val="הגדרות כלליות"/>
      <sheetName val="תוכן הענינים"/>
      <sheetName val="מקר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באור 1 - כללי</v>
          </cell>
        </row>
        <row r="9">
          <cell r="B9" t="str">
            <v>א.</v>
          </cell>
          <cell r="C9" t="str">
            <v>הרשויות המקומיות חייבות בניהול מערכת הנהלת חשבונות לפי תקנות הרשויות המקומיות</v>
          </cell>
        </row>
        <row r="10">
          <cell r="C10" t="str">
            <v>(הנהלת חשבונות) , התשמ"ח - 1988.</v>
          </cell>
        </row>
        <row r="12">
          <cell r="B12" t="str">
            <v>ב.</v>
          </cell>
          <cell r="C12" t="str">
            <v>רישום נתוני הנהלת החשבונות נערך ב"שיטת המזומנים המתוקנת" כמפורט בבאור 2 להלן.</v>
          </cell>
        </row>
        <row r="14">
          <cell r="B14" t="str">
            <v>ג.</v>
          </cell>
          <cell r="C14" t="str">
            <v>הדוחות הכספיים נערכו על פי הנחיות הממונה על ביקורת החשבונות במשרד הפנים, כפי</v>
          </cell>
        </row>
        <row r="15">
          <cell r="C15" t="str">
            <v>שנקבעו בהנחיות להנהלת חשבונות ודיווח כספי ברשויות מקומיות ,בתוקף היותו גוף אחראי</v>
          </cell>
        </row>
        <row r="16">
          <cell r="C16" t="str">
            <v>ומפקח בכל הנוגע לניהול חשבונותיה של רשות מקומית.</v>
          </cell>
        </row>
        <row r="17">
          <cell r="C17" t="str">
            <v>הדוחות הכספיים נערכו בהתאם להנחיות הנ"ל השונות מכללי חשבונאות מקובלים בנושאים</v>
          </cell>
        </row>
        <row r="18">
          <cell r="C18" t="str">
            <v>מהותיים.</v>
          </cell>
        </row>
        <row r="20">
          <cell r="B20" t="str">
            <v>ד.</v>
          </cell>
          <cell r="C20" t="str">
            <v>להלן נתונים על השינויים במדד המחירים לצרכן ובשער החליפין של השקל ביחס לדולר:</v>
          </cell>
        </row>
        <row r="22">
          <cell r="G22">
            <v>2003</v>
          </cell>
          <cell r="H22">
            <v>2002</v>
          </cell>
          <cell r="I22">
            <v>2001</v>
          </cell>
        </row>
        <row r="24">
          <cell r="C24" t="str">
            <v>שער החליפין של הדולר האמריקאי בש"ח</v>
          </cell>
          <cell r="G24">
            <v>4.3789999999999996</v>
          </cell>
          <cell r="H24">
            <v>4.74</v>
          </cell>
          <cell r="I24">
            <v>4.42</v>
          </cell>
        </row>
        <row r="25">
          <cell r="C25" t="str">
            <v>מדד המחירים לצרכן (ממוצע 1993) בנקודות</v>
          </cell>
          <cell r="G25">
            <v>178.58</v>
          </cell>
          <cell r="H25">
            <v>182.02</v>
          </cell>
          <cell r="I25">
            <v>170.91</v>
          </cell>
        </row>
        <row r="26">
          <cell r="C26" t="str">
            <v>שעור עלית (ירידת) הדולר במהלך השנה</v>
          </cell>
          <cell r="G26">
            <v>-7.5600000000000001E-2</v>
          </cell>
          <cell r="H26">
            <v>7.2700000000000001E-2</v>
          </cell>
          <cell r="I26">
            <v>9.2799999999999994E-2</v>
          </cell>
        </row>
        <row r="27">
          <cell r="C27" t="str">
            <v>שעור עלית  המדד במהלך השנה</v>
          </cell>
          <cell r="G27">
            <v>-1.8800000000000001E-2</v>
          </cell>
          <cell r="H27">
            <v>6.4899999999999999E-2</v>
          </cell>
          <cell r="I27">
            <v>1.41E-2</v>
          </cell>
        </row>
        <row r="29">
          <cell r="B29" t="str">
            <v>ה.</v>
          </cell>
          <cell r="C29" t="e">
            <v>#N/A</v>
          </cell>
        </row>
        <row r="31">
          <cell r="B31" t="str">
            <v xml:space="preserve">ו. </v>
          </cell>
          <cell r="C31" t="str">
            <v>שרותים המסופקים ע"י המועצה: [( מיועד למועצות אזוריות בלבד)]</v>
          </cell>
        </row>
        <row r="32">
          <cell r="C32" t="str">
            <v xml:space="preserve">המועצה מספקת את השרותים המפורטים להלן: </v>
          </cell>
        </row>
        <row r="33">
          <cell r="C33" t="str">
            <v xml:space="preserve">שרותי הוצאת אשפה; שרותי תאורת רחובות; ... יתר השרותים מסופקים לתוש/בים ישירות ע"י </v>
          </cell>
        </row>
        <row r="34">
          <cell r="C34" t="e">
            <v>#N/A</v>
          </cell>
        </row>
        <row r="36">
          <cell r="B36" t="str">
            <v>באור 2 - עיקרי המדיניות החשבונאית</v>
          </cell>
        </row>
        <row r="38">
          <cell r="C38" t="str">
            <v>הדוחות ערוכים על בסיס נומינלי היסטורי וללא התאמה לשינויים בכח הקניה הכללי של המטבע הישראלי.</v>
          </cell>
        </row>
        <row r="39">
          <cell r="C39" t="str">
            <v xml:space="preserve">עיקרי המדיניות החשבונאית אשר יושמו בעריכת הדוחות הכספיים באופן עקבי לשנה קודמת </v>
          </cell>
        </row>
        <row r="40">
          <cell r="C40" t="str">
            <v>מפורטים להלן:</v>
          </cell>
        </row>
        <row r="42">
          <cell r="B42" t="str">
            <v>א.</v>
          </cell>
          <cell r="C42" t="str">
            <v>רכוש קבוע</v>
          </cell>
        </row>
        <row r="44">
          <cell r="C44" t="str">
            <v xml:space="preserve">ההשקעות ברכוש קבוע מופחתות עם זקיפת ההוצאות לתקציב הרגיל או הבלתי רגיל,  </v>
          </cell>
        </row>
        <row r="45">
          <cell r="C45" t="str">
            <v>בהתאם למקור המימון, ואינן מוצגות כנכס במאזן ופחת בגינן אינו מקבל ביטוי על פני תקופות הדיווח.</v>
          </cell>
        </row>
        <row r="47">
          <cell r="B47" t="str">
            <v>ב.</v>
          </cell>
          <cell r="C47" t="str">
            <v>הלוואות שנתקבלו</v>
          </cell>
        </row>
        <row r="49">
          <cell r="B49" t="str">
            <v>(1)</v>
          </cell>
          <cell r="C49" t="str">
            <v>הלוואות נרשמות כהכנסות בתקציב הבלתי רגיל עם קבלתן בפועל.</v>
          </cell>
        </row>
        <row r="51">
          <cell r="B51" t="str">
            <v>(2)</v>
          </cell>
          <cell r="C51" t="str">
            <v>המאזן אינו כולל את יתרת ההלוואות לזמן ארוך שחבה העירייה (קרן, ריבית והפרשי הצמדה</v>
          </cell>
        </row>
        <row r="52">
          <cell r="C52" t="str">
            <v>שנצברו), שכן ההלוואות נרשמו כהכנסות בזמן קבלתן, עומס המלוות לתאריך הדוח הכספי</v>
          </cell>
        </row>
        <row r="53">
          <cell r="C53" t="str">
            <v>מוצג כנספח למאזן (נספח 3 לטופס 1).</v>
          </cell>
        </row>
        <row r="55">
          <cell r="B55" t="str">
            <v>(3)</v>
          </cell>
          <cell r="C55" t="str">
            <v>פרעון מלוות (כולל קרן , ריבית והפרשי הצמדה/שער) שזמן פרעונם הגיע , לפי לוחות סילוקין,</v>
          </cell>
        </row>
        <row r="56">
          <cell r="C56" t="str">
            <v>נזקף כהוצאה בתקציב הרגיל, גם אם לא שולמו בפועל.</v>
          </cell>
        </row>
        <row r="58">
          <cell r="B58" t="str">
            <v>(4)</v>
          </cell>
          <cell r="C58" t="str">
            <v>הוצאות ריבית והפרשי הצמדה שהצטברו ושזמן פרעונן, לפי לוחות סילוקין, הוא</v>
          </cell>
        </row>
        <row r="59">
          <cell r="C59" t="str">
            <v>לאחר תאריך הדוח הכספי, אינן נרשמות כהוצאה.</v>
          </cell>
        </row>
        <row r="61">
          <cell r="B61" t="str">
            <v>(5)</v>
          </cell>
          <cell r="C61" t="str">
            <v>מלוות לצורך שעה (לזמן קצר) ומשיכות יתר מבנקים מוצגות כסעיף מאזני.</v>
          </cell>
        </row>
        <row r="63">
          <cell r="B63" t="str">
            <v>(6)</v>
          </cell>
          <cell r="C63" t="str">
            <v>הלוואות לזמן קצר כוללות ריבית והפרשי הצמדה שנצברו עד לתאריך הדוח.</v>
          </cell>
        </row>
        <row r="65">
          <cell r="B65" t="str">
            <v>(7)</v>
          </cell>
          <cell r="C65" t="str">
            <v>פרעון מלוות בגין ביוב נכלל בסעיף הוצאות מפעל הביוב / פרעון מלוות.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ותרת"/>
      <sheetName val="ריכוז תקציב"/>
      <sheetName val="פירוט תקציב"/>
      <sheetName val="נתוני ביצוע"/>
      <sheetName val="שכר כללי"/>
      <sheetName val="שכר רווחה"/>
      <sheetName val="שכר חינוך"/>
      <sheetName val="לשכה ובניין מועצה"/>
      <sheetName val="גזברות"/>
      <sheetName val="גביה"/>
      <sheetName val="תברואה"/>
      <sheetName val="הנדסה ודרכים"/>
      <sheetName val="תרבות וספורט"/>
      <sheetName val="דת"/>
      <sheetName val="מים וביוב"/>
      <sheetName val="פעולות כלליות אחרות"/>
      <sheetName val="פעולות חינוך"/>
      <sheetName val="פעולות רווחה"/>
      <sheetName val="הוצאות מימון"/>
      <sheetName val="מלוות"/>
      <sheetName val="לא רגילים"/>
      <sheetName val="כספ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חשבון</v>
          </cell>
          <cell r="B1" t="str">
            <v>שם חשבון</v>
          </cell>
          <cell r="C1" t="str">
            <v>תקציב יחסי</v>
          </cell>
          <cell r="D1" t="str">
            <v>ביצוע יחסי</v>
          </cell>
          <cell r="E1" t="str">
            <v>שריון יחסי</v>
          </cell>
          <cell r="F1" t="str">
            <v>ביצוע + שריון יחסי</v>
          </cell>
        </row>
        <row r="2">
          <cell r="A2">
            <v>1111100100</v>
          </cell>
          <cell r="B2" t="str">
            <v>ארנונה כללית למגורים</v>
          </cell>
          <cell r="C2">
            <v>-11500000</v>
          </cell>
          <cell r="D2">
            <v>-7512219.1900000004</v>
          </cell>
          <cell r="E2">
            <v>0</v>
          </cell>
          <cell r="F2">
            <v>-7512219.1900000004</v>
          </cell>
        </row>
        <row r="3">
          <cell r="A3">
            <v>1111110110</v>
          </cell>
          <cell r="B3" t="str">
            <v>יתרות ארנונה</v>
          </cell>
          <cell r="C3">
            <v>0</v>
          </cell>
          <cell r="D3">
            <v>-1217.1600000000001</v>
          </cell>
          <cell r="E3">
            <v>0</v>
          </cell>
          <cell r="F3">
            <v>-1217.1600000000001</v>
          </cell>
        </row>
        <row r="4">
          <cell r="A4">
            <v>1111120110</v>
          </cell>
          <cell r="B4" t="str">
            <v>יתרות מסים</v>
          </cell>
          <cell r="C4">
            <v>0</v>
          </cell>
          <cell r="D4">
            <v>-2500.9299999999998</v>
          </cell>
          <cell r="E4">
            <v>0</v>
          </cell>
          <cell r="F4">
            <v>-2500.9299999999998</v>
          </cell>
        </row>
        <row r="5">
          <cell r="A5">
            <v>1111200100</v>
          </cell>
          <cell r="B5" t="str">
            <v>ארנונה פיגורים</v>
          </cell>
          <cell r="C5">
            <v>-6000000</v>
          </cell>
          <cell r="D5">
            <v>-2352351.83</v>
          </cell>
          <cell r="E5">
            <v>0</v>
          </cell>
          <cell r="F5">
            <v>-2352351.83</v>
          </cell>
        </row>
        <row r="6">
          <cell r="A6">
            <v>1111210100</v>
          </cell>
          <cell r="B6" t="str">
            <v>יתרות ארנונה2005</v>
          </cell>
          <cell r="C6">
            <v>0</v>
          </cell>
          <cell r="D6">
            <v>-9665.56</v>
          </cell>
          <cell r="E6">
            <v>0</v>
          </cell>
          <cell r="F6">
            <v>-9665.56</v>
          </cell>
        </row>
        <row r="7">
          <cell r="A7">
            <v>1111310100</v>
          </cell>
          <cell r="B7" t="str">
            <v>יתרות ארנונה2006</v>
          </cell>
          <cell r="C7">
            <v>0</v>
          </cell>
          <cell r="D7">
            <v>-151672.57999999999</v>
          </cell>
          <cell r="E7">
            <v>0</v>
          </cell>
          <cell r="F7">
            <v>-151672.57999999999</v>
          </cell>
        </row>
        <row r="8">
          <cell r="A8">
            <v>1111410100</v>
          </cell>
          <cell r="B8" t="str">
            <v>יתרות ארנונה 2007</v>
          </cell>
          <cell r="C8">
            <v>0</v>
          </cell>
          <cell r="D8">
            <v>-18210.55</v>
          </cell>
          <cell r="E8">
            <v>0</v>
          </cell>
          <cell r="F8">
            <v>-18210.55</v>
          </cell>
        </row>
        <row r="9">
          <cell r="A9">
            <v>1111420100</v>
          </cell>
          <cell r="B9" t="str">
            <v>יתרות ארנונה 2008</v>
          </cell>
          <cell r="C9">
            <v>0</v>
          </cell>
          <cell r="D9">
            <v>-132743.01</v>
          </cell>
          <cell r="E9">
            <v>0</v>
          </cell>
          <cell r="F9">
            <v>-132743.01</v>
          </cell>
        </row>
        <row r="10">
          <cell r="A10">
            <v>1115000100</v>
          </cell>
          <cell r="B10" t="str">
            <v>הנחות ארנונה לזכאים</v>
          </cell>
          <cell r="C10">
            <v>-5880000</v>
          </cell>
          <cell r="D10">
            <v>-4046027.77</v>
          </cell>
          <cell r="E10">
            <v>0</v>
          </cell>
          <cell r="F10">
            <v>-4046027.77</v>
          </cell>
        </row>
        <row r="11">
          <cell r="A11">
            <v>1121000290</v>
          </cell>
          <cell r="B11" t="str">
            <v>תעודות ואישורים</v>
          </cell>
          <cell r="C11">
            <v>-1000</v>
          </cell>
          <cell r="D11">
            <v>-920</v>
          </cell>
          <cell r="E11">
            <v>0</v>
          </cell>
          <cell r="F11">
            <v>-920</v>
          </cell>
        </row>
        <row r="12">
          <cell r="A12">
            <v>1191000910</v>
          </cell>
          <cell r="B12" t="str">
            <v>מענקים כללים השתתפות מש</v>
          </cell>
          <cell r="C12">
            <v>-11170642</v>
          </cell>
          <cell r="D12">
            <v>-10183642.529999999</v>
          </cell>
          <cell r="E12">
            <v>0</v>
          </cell>
          <cell r="F12">
            <v>-10183642.529999999</v>
          </cell>
        </row>
        <row r="13">
          <cell r="A13">
            <v>1191000920</v>
          </cell>
          <cell r="B13" t="str">
            <v>מענק מותנה</v>
          </cell>
          <cell r="C13">
            <v>-1971000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1191100910</v>
          </cell>
          <cell r="B14" t="str">
            <v>פיצוי מיוחד</v>
          </cell>
          <cell r="C14">
            <v>-500000</v>
          </cell>
          <cell r="D14">
            <v>-242463</v>
          </cell>
          <cell r="E14">
            <v>0</v>
          </cell>
          <cell r="F14">
            <v>-242463</v>
          </cell>
        </row>
        <row r="15">
          <cell r="A15">
            <v>1196000910</v>
          </cell>
          <cell r="B15" t="str">
            <v>תקציב בחירות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1211000210</v>
          </cell>
          <cell r="B16" t="str">
            <v>רישוי עסקים</v>
          </cell>
          <cell r="C16">
            <v>-20000</v>
          </cell>
          <cell r="D16">
            <v>-8386</v>
          </cell>
          <cell r="E16">
            <v>0</v>
          </cell>
          <cell r="F16">
            <v>-8386</v>
          </cell>
        </row>
        <row r="17">
          <cell r="A17">
            <v>1212300690</v>
          </cell>
          <cell r="B17" t="str">
            <v>הכנסה מכירות</v>
          </cell>
          <cell r="C17">
            <v>-9000</v>
          </cell>
          <cell r="D17">
            <v>-600</v>
          </cell>
          <cell r="E17">
            <v>0</v>
          </cell>
          <cell r="F17">
            <v>-600</v>
          </cell>
        </row>
        <row r="18">
          <cell r="A18">
            <v>1213300290</v>
          </cell>
          <cell r="B18" t="str">
            <v>שילוט</v>
          </cell>
          <cell r="C18">
            <v>-200000</v>
          </cell>
          <cell r="D18">
            <v>47.6</v>
          </cell>
          <cell r="E18">
            <v>0</v>
          </cell>
          <cell r="F18">
            <v>47.6</v>
          </cell>
        </row>
        <row r="19">
          <cell r="A19">
            <v>1214200210</v>
          </cell>
          <cell r="B19" t="str">
            <v>פיקוח וטרינרי/אגרות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1214300220</v>
          </cell>
          <cell r="B20" t="str">
            <v>מלחמה בכלבת/אגרת בגין</v>
          </cell>
          <cell r="C20">
            <v>-17500</v>
          </cell>
          <cell r="D20">
            <v>-24560</v>
          </cell>
          <cell r="E20">
            <v>0</v>
          </cell>
          <cell r="F20">
            <v>-24560</v>
          </cell>
        </row>
        <row r="21">
          <cell r="A21">
            <v>1220000970</v>
          </cell>
          <cell r="B21" t="str">
            <v>הכנסות משרד הבטחון</v>
          </cell>
          <cell r="C21">
            <v>-45000</v>
          </cell>
          <cell r="D21">
            <v>-25000</v>
          </cell>
          <cell r="E21">
            <v>0</v>
          </cell>
          <cell r="F21">
            <v>-25000</v>
          </cell>
        </row>
        <row r="22">
          <cell r="A22">
            <v>1220000990</v>
          </cell>
          <cell r="B22" t="str">
            <v>הכנסות ממינהל מקרקעי ישראל</v>
          </cell>
          <cell r="C22">
            <v>-5000</v>
          </cell>
          <cell r="D22">
            <v>-26174</v>
          </cell>
          <cell r="E22">
            <v>0</v>
          </cell>
          <cell r="F22">
            <v>-26174</v>
          </cell>
        </row>
        <row r="23">
          <cell r="A23">
            <v>1233100710</v>
          </cell>
          <cell r="B23" t="str">
            <v>עמ.גביה-החזר לחב' גביה</v>
          </cell>
          <cell r="C23">
            <v>-10000</v>
          </cell>
          <cell r="D23">
            <v>-309.16000000000003</v>
          </cell>
          <cell r="E23">
            <v>0</v>
          </cell>
          <cell r="F23">
            <v>-309.16000000000003</v>
          </cell>
        </row>
        <row r="24">
          <cell r="A24">
            <v>1233110290</v>
          </cell>
          <cell r="B24" t="str">
            <v>עמ.גביה-החזר לעיריה</v>
          </cell>
          <cell r="C24">
            <v>-150000</v>
          </cell>
          <cell r="D24">
            <v>-107017.82</v>
          </cell>
          <cell r="E24">
            <v>0</v>
          </cell>
          <cell r="F24">
            <v>-107017.82</v>
          </cell>
        </row>
        <row r="25">
          <cell r="A25">
            <v>1233400310</v>
          </cell>
          <cell r="B25" t="str">
            <v>היטל השבחה</v>
          </cell>
          <cell r="C25">
            <v>-1400000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1233500310</v>
          </cell>
          <cell r="B26" t="str">
            <v>אגרות בנייה</v>
          </cell>
          <cell r="C26">
            <v>-900000</v>
          </cell>
          <cell r="D26">
            <v>-379446</v>
          </cell>
          <cell r="E26">
            <v>0</v>
          </cell>
          <cell r="F26">
            <v>-379446</v>
          </cell>
        </row>
        <row r="27">
          <cell r="A27">
            <v>1247000990</v>
          </cell>
          <cell r="B27" t="str">
            <v>הכנסות שונות</v>
          </cell>
          <cell r="C27">
            <v>-25000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1269000650</v>
          </cell>
          <cell r="B28" t="str">
            <v>הכנסות מהחזר הוצ' סלקום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1269000690</v>
          </cell>
          <cell r="B29" t="str">
            <v>הכנסות שונות</v>
          </cell>
          <cell r="C29">
            <v>0</v>
          </cell>
          <cell r="D29">
            <v>-12018.25</v>
          </cell>
          <cell r="E29">
            <v>0</v>
          </cell>
          <cell r="F29">
            <v>-12018.25</v>
          </cell>
        </row>
        <row r="30">
          <cell r="A30">
            <v>1269000790</v>
          </cell>
          <cell r="B30" t="str">
            <v>מכרזים</v>
          </cell>
          <cell r="C30">
            <v>-30000</v>
          </cell>
          <cell r="D30">
            <v>-40700</v>
          </cell>
          <cell r="E30">
            <v>0</v>
          </cell>
          <cell r="F30">
            <v>-40700</v>
          </cell>
        </row>
        <row r="31">
          <cell r="A31">
            <v>1269100690</v>
          </cell>
          <cell r="B31" t="str">
            <v>הכנסות אחרות</v>
          </cell>
          <cell r="C31">
            <v>-50000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1311200920</v>
          </cell>
          <cell r="B32" t="str">
            <v>חינוך שיפוצים/בטיחות</v>
          </cell>
          <cell r="C32">
            <v>-93000</v>
          </cell>
          <cell r="D32">
            <v>-91908</v>
          </cell>
          <cell r="E32">
            <v>0</v>
          </cell>
          <cell r="F32">
            <v>-91908</v>
          </cell>
        </row>
        <row r="33">
          <cell r="A33">
            <v>1312100920</v>
          </cell>
          <cell r="B33" t="str">
            <v>גנים-יוח"א</v>
          </cell>
          <cell r="C33">
            <v>-200858</v>
          </cell>
          <cell r="D33">
            <v>-142785.87</v>
          </cell>
          <cell r="E33">
            <v>0</v>
          </cell>
          <cell r="F33">
            <v>-142785.87</v>
          </cell>
        </row>
        <row r="34">
          <cell r="A34">
            <v>1312200920</v>
          </cell>
          <cell r="B34" t="str">
            <v>עוזרות לגננות</v>
          </cell>
          <cell r="C34">
            <v>-1307800</v>
          </cell>
          <cell r="D34">
            <v>-1310586.42</v>
          </cell>
          <cell r="E34">
            <v>0</v>
          </cell>
          <cell r="F34">
            <v>-1310586.42</v>
          </cell>
        </row>
        <row r="35">
          <cell r="A35">
            <v>1312210920</v>
          </cell>
          <cell r="B35" t="str">
            <v>ה.נלוות -ח"מ גני דרוזי</v>
          </cell>
          <cell r="C35">
            <v>-5000</v>
          </cell>
          <cell r="D35">
            <v>-4991</v>
          </cell>
          <cell r="E35">
            <v>0</v>
          </cell>
          <cell r="F35">
            <v>-4991</v>
          </cell>
        </row>
        <row r="36">
          <cell r="A36">
            <v>1312300410</v>
          </cell>
          <cell r="B36" t="str">
            <v>שכ"ל גנ"י ט.חובה בהשתתפות</v>
          </cell>
          <cell r="C36">
            <v>-320000</v>
          </cell>
          <cell r="D36">
            <v>-39794</v>
          </cell>
          <cell r="E36">
            <v>0</v>
          </cell>
          <cell r="F36">
            <v>-39794</v>
          </cell>
        </row>
        <row r="37">
          <cell r="A37">
            <v>1312300490</v>
          </cell>
          <cell r="B37" t="str">
            <v>גנ"י ט"ח</v>
          </cell>
          <cell r="C37">
            <v>0</v>
          </cell>
          <cell r="D37">
            <v>-872.3</v>
          </cell>
          <cell r="E37">
            <v>0</v>
          </cell>
          <cell r="F37">
            <v>-872.3</v>
          </cell>
        </row>
        <row r="38">
          <cell r="A38">
            <v>1312300920</v>
          </cell>
          <cell r="B38" t="str">
            <v>שכ"ל גני ט"ח</v>
          </cell>
          <cell r="C38">
            <v>-4151500</v>
          </cell>
          <cell r="D38">
            <v>-3686862.96</v>
          </cell>
          <cell r="E38">
            <v>0</v>
          </cell>
          <cell r="F38">
            <v>-3686862.96</v>
          </cell>
        </row>
        <row r="39">
          <cell r="A39">
            <v>1312310920</v>
          </cell>
          <cell r="B39" t="str">
            <v>עוזרות-יוח"א ומיל"ת</v>
          </cell>
          <cell r="C39">
            <v>0</v>
          </cell>
          <cell r="D39">
            <v>-23566.14</v>
          </cell>
          <cell r="E39">
            <v>0</v>
          </cell>
          <cell r="F39">
            <v>-23566.14</v>
          </cell>
        </row>
        <row r="40">
          <cell r="A40">
            <v>1312400920</v>
          </cell>
          <cell r="B40" t="str">
            <v>ציוד ראשוני-יוח"א</v>
          </cell>
          <cell r="C40">
            <v>-31000</v>
          </cell>
          <cell r="D40">
            <v>-34025</v>
          </cell>
          <cell r="E40">
            <v>0</v>
          </cell>
          <cell r="F40">
            <v>-34025</v>
          </cell>
        </row>
        <row r="41">
          <cell r="A41">
            <v>1312500410</v>
          </cell>
          <cell r="B41" t="str">
            <v>פנימיות יום מיל"ת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1313001920</v>
          </cell>
          <cell r="B42" t="str">
            <v>סיוע ניהול עצמי</v>
          </cell>
          <cell r="C42">
            <v>-1207000</v>
          </cell>
          <cell r="D42">
            <v>-1205381.6399999999</v>
          </cell>
          <cell r="E42">
            <v>0</v>
          </cell>
          <cell r="F42">
            <v>-1205381.6399999999</v>
          </cell>
        </row>
        <row r="43">
          <cell r="A43">
            <v>1313003920</v>
          </cell>
          <cell r="B43" t="str">
            <v>עובד סיוע משופר</v>
          </cell>
          <cell r="C43">
            <v>-211000</v>
          </cell>
          <cell r="D43">
            <v>-202174.01</v>
          </cell>
          <cell r="E43">
            <v>0</v>
          </cell>
          <cell r="F43">
            <v>-202174.01</v>
          </cell>
        </row>
        <row r="44">
          <cell r="A44">
            <v>1313004920</v>
          </cell>
          <cell r="B44" t="str">
            <v>תוספת דפנציאלי ניהול עצמי</v>
          </cell>
          <cell r="C44">
            <v>-227000</v>
          </cell>
          <cell r="D44">
            <v>-260609.12</v>
          </cell>
          <cell r="E44">
            <v>0</v>
          </cell>
          <cell r="F44">
            <v>-260609.12</v>
          </cell>
        </row>
        <row r="45">
          <cell r="A45">
            <v>1313200920</v>
          </cell>
          <cell r="B45" t="str">
            <v>שרתים</v>
          </cell>
          <cell r="C45">
            <v>-160000</v>
          </cell>
          <cell r="D45">
            <v>-153351.29</v>
          </cell>
          <cell r="E45">
            <v>0</v>
          </cell>
          <cell r="F45">
            <v>-153351.29</v>
          </cell>
        </row>
        <row r="46">
          <cell r="A46">
            <v>1313200921</v>
          </cell>
          <cell r="B46" t="str">
            <v>שירותים חש.ליום השישי</v>
          </cell>
          <cell r="C46">
            <v>-25000</v>
          </cell>
          <cell r="D46">
            <v>51958.02</v>
          </cell>
          <cell r="E46">
            <v>0</v>
          </cell>
          <cell r="F46">
            <v>51958.02</v>
          </cell>
        </row>
        <row r="47">
          <cell r="A47">
            <v>1313201920</v>
          </cell>
          <cell r="B47" t="str">
            <v>שרתים יוח"א</v>
          </cell>
          <cell r="C47">
            <v>-123000</v>
          </cell>
          <cell r="D47">
            <v>-113728.13</v>
          </cell>
          <cell r="E47">
            <v>0</v>
          </cell>
          <cell r="F47">
            <v>-113728.13</v>
          </cell>
        </row>
        <row r="48">
          <cell r="A48">
            <v>1313202920</v>
          </cell>
          <cell r="B48" t="str">
            <v>מתי"א-שרתים</v>
          </cell>
          <cell r="C48">
            <v>-20000</v>
          </cell>
          <cell r="D48">
            <v>-18574.91</v>
          </cell>
          <cell r="E48">
            <v>0</v>
          </cell>
          <cell r="F48">
            <v>-18574.91</v>
          </cell>
        </row>
        <row r="49">
          <cell r="A49">
            <v>1313205920</v>
          </cell>
          <cell r="B49" t="str">
            <v>מוביל ב"ס מניעת סמים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1313206410</v>
          </cell>
          <cell r="B50" t="str">
            <v>הזנת תלמידים</v>
          </cell>
          <cell r="C50">
            <v>0</v>
          </cell>
          <cell r="D50">
            <v>14240.5</v>
          </cell>
          <cell r="E50">
            <v>0</v>
          </cell>
          <cell r="F50">
            <v>14240.5</v>
          </cell>
        </row>
        <row r="51">
          <cell r="A51">
            <v>1313210920</v>
          </cell>
          <cell r="B51" t="str">
            <v>מזכירים</v>
          </cell>
          <cell r="C51">
            <v>-52312</v>
          </cell>
          <cell r="D51">
            <v>-11672.4</v>
          </cell>
          <cell r="E51">
            <v>0</v>
          </cell>
          <cell r="F51">
            <v>-11672.4</v>
          </cell>
        </row>
        <row r="52">
          <cell r="A52">
            <v>1313210921</v>
          </cell>
          <cell r="B52" t="str">
            <v>מנב"ס-מזכירים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1313211920</v>
          </cell>
          <cell r="B53" t="str">
            <v>מזכירים יוח"א</v>
          </cell>
          <cell r="C53">
            <v>-45270</v>
          </cell>
          <cell r="D53">
            <v>-39533.879999999997</v>
          </cell>
          <cell r="E53">
            <v>0</v>
          </cell>
          <cell r="F53">
            <v>-39533.879999999997</v>
          </cell>
        </row>
        <row r="54">
          <cell r="A54">
            <v>1313211921</v>
          </cell>
          <cell r="B54" t="str">
            <v>מזכיר תש.ליום השישי</v>
          </cell>
          <cell r="C54">
            <v>-16500</v>
          </cell>
          <cell r="D54">
            <v>33588.800000000003</v>
          </cell>
          <cell r="E54">
            <v>0</v>
          </cell>
          <cell r="F54">
            <v>33588.800000000003</v>
          </cell>
        </row>
        <row r="55">
          <cell r="A55">
            <v>1313212920</v>
          </cell>
          <cell r="B55" t="str">
            <v>מתי"א-מזכירים</v>
          </cell>
          <cell r="C55">
            <v>-6000</v>
          </cell>
          <cell r="D55">
            <v>-43112.68</v>
          </cell>
          <cell r="E55">
            <v>0</v>
          </cell>
          <cell r="F55">
            <v>-43112.68</v>
          </cell>
        </row>
        <row r="56">
          <cell r="A56">
            <v>1313213970</v>
          </cell>
          <cell r="B56" t="str">
            <v>הכנסות שמירה  ממשטרת ישראל</v>
          </cell>
          <cell r="C56">
            <v>-306203</v>
          </cell>
          <cell r="D56">
            <v>-285969.73</v>
          </cell>
          <cell r="E56">
            <v>0</v>
          </cell>
          <cell r="F56">
            <v>-285969.73</v>
          </cell>
        </row>
        <row r="57">
          <cell r="A57">
            <v>1313214920</v>
          </cell>
          <cell r="B57" t="str">
            <v>ביטוח תלמידים</v>
          </cell>
          <cell r="C57">
            <v>0</v>
          </cell>
          <cell r="D57">
            <v>-90750.8</v>
          </cell>
          <cell r="E57">
            <v>0</v>
          </cell>
          <cell r="F57">
            <v>-90750.8</v>
          </cell>
        </row>
        <row r="58">
          <cell r="A58">
            <v>1313220920</v>
          </cell>
          <cell r="B58" t="str">
            <v>אגרות שכפול</v>
          </cell>
          <cell r="C58">
            <v>-15400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1313221920</v>
          </cell>
          <cell r="B59" t="str">
            <v>אגרת שכפול יסודי</v>
          </cell>
          <cell r="C59">
            <v>-1600</v>
          </cell>
          <cell r="D59">
            <v>-1811.2</v>
          </cell>
          <cell r="E59">
            <v>0</v>
          </cell>
          <cell r="F59">
            <v>-1811.2</v>
          </cell>
        </row>
        <row r="60">
          <cell r="A60">
            <v>1313280920</v>
          </cell>
          <cell r="B60" t="str">
            <v>אגרת שכפול יסודי</v>
          </cell>
          <cell r="C60">
            <v>0</v>
          </cell>
          <cell r="D60">
            <v>-226</v>
          </cell>
          <cell r="E60">
            <v>0</v>
          </cell>
          <cell r="F60">
            <v>-226</v>
          </cell>
        </row>
        <row r="61">
          <cell r="A61">
            <v>1313290920</v>
          </cell>
          <cell r="B61" t="str">
            <v>אגרת שכפול פר תלמיד</v>
          </cell>
          <cell r="C61">
            <v>-13000</v>
          </cell>
          <cell r="D61">
            <v>-13502.92</v>
          </cell>
          <cell r="E61">
            <v>0</v>
          </cell>
          <cell r="F61">
            <v>-13502.92</v>
          </cell>
        </row>
        <row r="62">
          <cell r="A62">
            <v>1313310920</v>
          </cell>
          <cell r="B62" t="str">
            <v>סייעות כיתיות</v>
          </cell>
          <cell r="C62">
            <v>-390000</v>
          </cell>
          <cell r="D62">
            <v>-386271.47</v>
          </cell>
          <cell r="E62">
            <v>0</v>
          </cell>
          <cell r="F62">
            <v>-386271.47</v>
          </cell>
        </row>
        <row r="63">
          <cell r="A63">
            <v>1313312920</v>
          </cell>
          <cell r="B63" t="str">
            <v>סייעות כ. ב"ס חריגות</v>
          </cell>
          <cell r="C63">
            <v>-82492</v>
          </cell>
          <cell r="D63">
            <v>-121333.5</v>
          </cell>
          <cell r="E63">
            <v>0</v>
          </cell>
          <cell r="F63">
            <v>-121333.5</v>
          </cell>
        </row>
        <row r="64">
          <cell r="A64">
            <v>1313313920</v>
          </cell>
          <cell r="B64" t="str">
            <v>חוק שילוב סייעות</v>
          </cell>
          <cell r="C64">
            <v>-353000</v>
          </cell>
          <cell r="D64">
            <v>-333735.59999999998</v>
          </cell>
          <cell r="E64">
            <v>0</v>
          </cell>
          <cell r="F64">
            <v>-333735.59999999998</v>
          </cell>
        </row>
        <row r="65">
          <cell r="A65">
            <v>1313800920</v>
          </cell>
          <cell r="B65" t="str">
            <v>פרוייקטים חינוכיים</v>
          </cell>
          <cell r="C65">
            <v>-100000</v>
          </cell>
          <cell r="D65">
            <v>-12698.86</v>
          </cell>
          <cell r="E65">
            <v>0</v>
          </cell>
          <cell r="F65">
            <v>-12698.86</v>
          </cell>
        </row>
        <row r="66">
          <cell r="A66">
            <v>1314100920</v>
          </cell>
          <cell r="B66" t="str">
            <v>אגרת שכפול</v>
          </cell>
          <cell r="C66">
            <v>0</v>
          </cell>
          <cell r="D66">
            <v>-12096</v>
          </cell>
          <cell r="E66">
            <v>0</v>
          </cell>
          <cell r="F66">
            <v>-12096</v>
          </cell>
        </row>
        <row r="67">
          <cell r="A67">
            <v>1315700920</v>
          </cell>
          <cell r="B67" t="str">
            <v>דמי שתיה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1317100920</v>
          </cell>
          <cell r="B68" t="str">
            <v>קבטי"ם + קבס"ים</v>
          </cell>
          <cell r="C68">
            <v>-40500</v>
          </cell>
          <cell r="D68">
            <v>-40607.160000000003</v>
          </cell>
          <cell r="E68">
            <v>0</v>
          </cell>
          <cell r="F68">
            <v>-40607.160000000003</v>
          </cell>
        </row>
        <row r="69">
          <cell r="A69">
            <v>1317300920</v>
          </cell>
          <cell r="B69" t="str">
            <v>פסיכולוגים חינוכיים</v>
          </cell>
          <cell r="C69">
            <v>-700000</v>
          </cell>
          <cell r="D69">
            <v>-639079.65</v>
          </cell>
          <cell r="E69">
            <v>0</v>
          </cell>
          <cell r="F69">
            <v>-639079.65</v>
          </cell>
        </row>
        <row r="70">
          <cell r="A70">
            <v>1317310690</v>
          </cell>
          <cell r="B70" t="str">
            <v>שפ"י-הכנסות אחרות</v>
          </cell>
          <cell r="C70">
            <v>-2000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1317310920</v>
          </cell>
          <cell r="B71" t="str">
            <v>שפ"י -שעות הדרכה</v>
          </cell>
          <cell r="C71">
            <v>-33200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1317430920</v>
          </cell>
          <cell r="B72" t="str">
            <v>חוק שילוב-סייעות</v>
          </cell>
          <cell r="C72">
            <v>-55330</v>
          </cell>
          <cell r="D72">
            <v>-34436.49</v>
          </cell>
          <cell r="E72">
            <v>0</v>
          </cell>
          <cell r="F72">
            <v>-34436.49</v>
          </cell>
        </row>
        <row r="73">
          <cell r="A73">
            <v>1317440920</v>
          </cell>
          <cell r="B73" t="str">
            <v>שגרירי מפתח הל"ב</v>
          </cell>
          <cell r="C73">
            <v>0</v>
          </cell>
          <cell r="D73">
            <v>-2100</v>
          </cell>
          <cell r="E73">
            <v>0</v>
          </cell>
          <cell r="F73">
            <v>-2100</v>
          </cell>
        </row>
        <row r="74">
          <cell r="A74">
            <v>1317500410</v>
          </cell>
          <cell r="B74" t="str">
            <v>ביטוח תלמידים</v>
          </cell>
          <cell r="C74">
            <v>-200000</v>
          </cell>
          <cell r="D74">
            <v>-39057</v>
          </cell>
          <cell r="E74">
            <v>0</v>
          </cell>
          <cell r="F74">
            <v>-39057</v>
          </cell>
        </row>
        <row r="75">
          <cell r="A75">
            <v>1317500920</v>
          </cell>
          <cell r="B75" t="str">
            <v>טיפול בפרט רווחה חינוכית ק.קור</v>
          </cell>
          <cell r="C75">
            <v>-90000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1317600920</v>
          </cell>
          <cell r="B76" t="str">
            <v>מועדוניות</v>
          </cell>
          <cell r="C76">
            <v>-125000</v>
          </cell>
          <cell r="D76">
            <v>-108183.44</v>
          </cell>
          <cell r="E76">
            <v>0</v>
          </cell>
          <cell r="F76">
            <v>-108183.44</v>
          </cell>
        </row>
        <row r="77">
          <cell r="A77">
            <v>1317602920</v>
          </cell>
          <cell r="B77" t="str">
            <v>רווחה חינוכית</v>
          </cell>
          <cell r="C77">
            <v>-207641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1317620920</v>
          </cell>
          <cell r="B78" t="str">
            <v>תוכנית ראשית- שכר</v>
          </cell>
          <cell r="C78">
            <v>-125020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1317621920</v>
          </cell>
          <cell r="B79" t="str">
            <v>מועדונית ביתית גיל רך- שכר</v>
          </cell>
          <cell r="C79">
            <v>-60000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1317622920</v>
          </cell>
          <cell r="B80" t="str">
            <v>מדריך בינתחומי- מרכז גיל רך</v>
          </cell>
          <cell r="C80">
            <v>-45000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1317623920</v>
          </cell>
          <cell r="B81" t="str">
            <v>מרז נוער- שכר פעילות הצטיידות</v>
          </cell>
          <cell r="C81">
            <v>-334060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1317624920</v>
          </cell>
          <cell r="B82" t="str">
            <v>תוכנית אור- שכר והצטיידות</v>
          </cell>
          <cell r="C82">
            <v>-125020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1317625920</v>
          </cell>
          <cell r="B83" t="str">
            <v>קול קורא לאגדים- שכר ופעילות</v>
          </cell>
          <cell r="C83">
            <v>-150000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1317626920</v>
          </cell>
          <cell r="B84" t="str">
            <v>נתיבים להורות שכר</v>
          </cell>
          <cell r="C84">
            <v>-173520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1317700920</v>
          </cell>
          <cell r="B85" t="str">
            <v>קבסי"ם</v>
          </cell>
          <cell r="C85">
            <v>-195000</v>
          </cell>
          <cell r="D85">
            <v>-184633.23</v>
          </cell>
          <cell r="E85">
            <v>0</v>
          </cell>
          <cell r="F85">
            <v>-184633.23</v>
          </cell>
        </row>
        <row r="86">
          <cell r="A86">
            <v>1317800920</v>
          </cell>
          <cell r="B86" t="str">
            <v>הסעות</v>
          </cell>
          <cell r="C86">
            <v>-2200000</v>
          </cell>
          <cell r="D86">
            <v>-1868056.34</v>
          </cell>
          <cell r="E86">
            <v>0</v>
          </cell>
          <cell r="F86">
            <v>-1868056.34</v>
          </cell>
        </row>
        <row r="87">
          <cell r="A87">
            <v>1317810920</v>
          </cell>
          <cell r="B87" t="str">
            <v>הסעות ח.מיוחד</v>
          </cell>
          <cell r="C87">
            <v>-1250000</v>
          </cell>
          <cell r="D87">
            <v>-996067.86</v>
          </cell>
          <cell r="E87">
            <v>0</v>
          </cell>
          <cell r="F87">
            <v>-996067.86</v>
          </cell>
        </row>
        <row r="88">
          <cell r="A88">
            <v>1317811920</v>
          </cell>
          <cell r="B88" t="str">
            <v>ל. הסעות ח"מ - חיפה</v>
          </cell>
          <cell r="C88">
            <v>-326950</v>
          </cell>
          <cell r="D88">
            <v>-184627.92</v>
          </cell>
          <cell r="E88">
            <v>0</v>
          </cell>
          <cell r="F88">
            <v>-184627.92</v>
          </cell>
        </row>
        <row r="89">
          <cell r="A89">
            <v>1317812920</v>
          </cell>
          <cell r="B89" t="str">
            <v>הש. בעלויול טיולים</v>
          </cell>
          <cell r="C89">
            <v>-120000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1317820920</v>
          </cell>
          <cell r="B90" t="str">
            <v>שכר דירה</v>
          </cell>
          <cell r="C90">
            <v>-95000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1317840920</v>
          </cell>
          <cell r="B91" t="str">
            <v>הסעות חיפה</v>
          </cell>
          <cell r="C91">
            <v>0</v>
          </cell>
          <cell r="D91">
            <v>473.06</v>
          </cell>
          <cell r="E91">
            <v>0</v>
          </cell>
          <cell r="F91">
            <v>473.06</v>
          </cell>
        </row>
        <row r="92">
          <cell r="A92">
            <v>1317900920</v>
          </cell>
          <cell r="B92" t="str">
            <v>תשלומי הורים חומרים</v>
          </cell>
          <cell r="C92">
            <v>-50300</v>
          </cell>
          <cell r="D92">
            <v>-46039.6</v>
          </cell>
          <cell r="E92">
            <v>0</v>
          </cell>
          <cell r="F92">
            <v>-46039.6</v>
          </cell>
        </row>
        <row r="93">
          <cell r="A93">
            <v>1317901920</v>
          </cell>
          <cell r="B93" t="str">
            <v>אחזקת ילדי צד"ל</v>
          </cell>
          <cell r="C93">
            <v>-5000</v>
          </cell>
          <cell r="D93">
            <v>-4533</v>
          </cell>
          <cell r="E93">
            <v>0</v>
          </cell>
          <cell r="F93">
            <v>-4533</v>
          </cell>
        </row>
        <row r="94">
          <cell r="A94">
            <v>1317943920</v>
          </cell>
          <cell r="B94" t="str">
            <v>הכנסות אורט</v>
          </cell>
          <cell r="C94">
            <v>-80000</v>
          </cell>
          <cell r="D94">
            <v>-291593.26</v>
          </cell>
          <cell r="E94">
            <v>0</v>
          </cell>
          <cell r="F94">
            <v>-291593.26</v>
          </cell>
        </row>
        <row r="95">
          <cell r="A95">
            <v>1317950920</v>
          </cell>
          <cell r="B95" t="str">
            <v>קידום נוער</v>
          </cell>
          <cell r="C95">
            <v>-165000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1318000920</v>
          </cell>
          <cell r="B96" t="str">
            <v>מניעת נשירה</v>
          </cell>
          <cell r="C96">
            <v>-15000</v>
          </cell>
          <cell r="D96">
            <v>-22544.19</v>
          </cell>
          <cell r="E96">
            <v>0</v>
          </cell>
          <cell r="F96">
            <v>-22544.19</v>
          </cell>
        </row>
        <row r="97">
          <cell r="A97">
            <v>1319000920</v>
          </cell>
          <cell r="B97" t="str">
            <v>פרויקט מ.החינוך בחופש הגדול</v>
          </cell>
          <cell r="C97">
            <v>-1100000</v>
          </cell>
          <cell r="D97">
            <v>-995410.4</v>
          </cell>
          <cell r="E97">
            <v>0</v>
          </cell>
          <cell r="F97">
            <v>-995410.4</v>
          </cell>
        </row>
        <row r="98">
          <cell r="A98">
            <v>1322000940</v>
          </cell>
          <cell r="B98" t="str">
            <v>פעולות תרבות</v>
          </cell>
          <cell r="C98">
            <v>-435000</v>
          </cell>
          <cell r="D98">
            <v>-88260.4</v>
          </cell>
          <cell r="E98">
            <v>0</v>
          </cell>
          <cell r="F98">
            <v>-88260.4</v>
          </cell>
        </row>
        <row r="99">
          <cell r="A99">
            <v>1325000420</v>
          </cell>
          <cell r="B99" t="str">
            <v>השתתפות הורים מרכז הגיל הרך</v>
          </cell>
          <cell r="C99">
            <v>-100000</v>
          </cell>
          <cell r="D99">
            <v>-126452</v>
          </cell>
          <cell r="E99">
            <v>0</v>
          </cell>
          <cell r="F99">
            <v>-126452</v>
          </cell>
        </row>
        <row r="100">
          <cell r="A100">
            <v>1326400420</v>
          </cell>
          <cell r="B100" t="str">
            <v>תקבולים פעילות קהילתית</v>
          </cell>
          <cell r="C100">
            <v>-200000</v>
          </cell>
          <cell r="D100">
            <v>-283395</v>
          </cell>
          <cell r="E100">
            <v>0</v>
          </cell>
          <cell r="F100">
            <v>-283395</v>
          </cell>
        </row>
        <row r="101">
          <cell r="A101">
            <v>1328210920</v>
          </cell>
          <cell r="B101" t="str">
            <v>שכר מחלקת נוער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1328300420</v>
          </cell>
          <cell r="B102" t="str">
            <v>חוגי נוער-תרבות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1328400420</v>
          </cell>
          <cell r="B103" t="str">
            <v>קייטנות-השתתפות תושבים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1328504990</v>
          </cell>
          <cell r="B104" t="str">
            <v>עיר ללא אלימות</v>
          </cell>
          <cell r="C104">
            <v>-315288</v>
          </cell>
          <cell r="D104">
            <v>-120051</v>
          </cell>
          <cell r="E104">
            <v>0</v>
          </cell>
          <cell r="F104">
            <v>-120051</v>
          </cell>
        </row>
        <row r="105">
          <cell r="A105">
            <v>1341000420</v>
          </cell>
          <cell r="B105" t="str">
            <v>רווחה השתתפות</v>
          </cell>
          <cell r="C105">
            <v>-6000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1341000930</v>
          </cell>
          <cell r="B106" t="str">
            <v>מינהל הרווחה</v>
          </cell>
          <cell r="C106">
            <v>-1042000</v>
          </cell>
          <cell r="D106">
            <v>-838132</v>
          </cell>
          <cell r="E106">
            <v>0</v>
          </cell>
          <cell r="F106">
            <v>-838132</v>
          </cell>
        </row>
        <row r="107">
          <cell r="A107">
            <v>1341001930</v>
          </cell>
          <cell r="B107" t="str">
            <v>כ"א לחינוך מיוחד</v>
          </cell>
          <cell r="C107">
            <v>-25000</v>
          </cell>
          <cell r="D107">
            <v>-4544</v>
          </cell>
          <cell r="E107">
            <v>0</v>
          </cell>
          <cell r="F107">
            <v>-4544</v>
          </cell>
        </row>
        <row r="108">
          <cell r="A108">
            <v>1341003930</v>
          </cell>
          <cell r="B108" t="str">
            <v>פעולות ארגוניות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1341200930</v>
          </cell>
          <cell r="B109" t="str">
            <v>בטחון לעובדים</v>
          </cell>
          <cell r="C109">
            <v>-8440</v>
          </cell>
          <cell r="D109">
            <v>-1379</v>
          </cell>
          <cell r="E109">
            <v>0</v>
          </cell>
          <cell r="F109">
            <v>-1379</v>
          </cell>
        </row>
        <row r="110">
          <cell r="A110">
            <v>1342201930</v>
          </cell>
          <cell r="B110" t="str">
            <v>מקלטים לנשים מוכות</v>
          </cell>
          <cell r="C110">
            <v>-10000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1342210930</v>
          </cell>
          <cell r="B111" t="str">
            <v>משפחות במצוקה</v>
          </cell>
          <cell r="C111">
            <v>-30600</v>
          </cell>
          <cell r="D111">
            <v>-37230</v>
          </cell>
          <cell r="E111">
            <v>0</v>
          </cell>
          <cell r="F111">
            <v>-37230</v>
          </cell>
        </row>
        <row r="112">
          <cell r="A112">
            <v>1342212930</v>
          </cell>
          <cell r="B112" t="str">
            <v>סיוע חד פעמי לחימום</v>
          </cell>
          <cell r="C112">
            <v>-3000</v>
          </cell>
          <cell r="D112">
            <v>-5000</v>
          </cell>
          <cell r="E112">
            <v>0</v>
          </cell>
          <cell r="F112">
            <v>-5000</v>
          </cell>
        </row>
        <row r="113">
          <cell r="A113">
            <v>1342230930</v>
          </cell>
          <cell r="B113" t="str">
            <v>סיוע למשפחות עם ילד</v>
          </cell>
          <cell r="C113">
            <v>-31500</v>
          </cell>
          <cell r="D113">
            <v>-49518</v>
          </cell>
          <cell r="E113">
            <v>0</v>
          </cell>
          <cell r="F113">
            <v>-49518</v>
          </cell>
        </row>
        <row r="114">
          <cell r="A114">
            <v>1342401930</v>
          </cell>
          <cell r="B114" t="str">
            <v>תחנות לטיפול במשפחה</v>
          </cell>
          <cell r="C114">
            <v>0</v>
          </cell>
          <cell r="D114">
            <v>585</v>
          </cell>
          <cell r="E114">
            <v>0</v>
          </cell>
          <cell r="F114">
            <v>585</v>
          </cell>
        </row>
        <row r="115">
          <cell r="A115">
            <v>1342410930</v>
          </cell>
          <cell r="B115" t="str">
            <v>מרכזי טיפול באלימות</v>
          </cell>
          <cell r="C115">
            <v>-79000</v>
          </cell>
          <cell r="D115">
            <v>-73316</v>
          </cell>
          <cell r="E115">
            <v>0</v>
          </cell>
          <cell r="F115">
            <v>-73316</v>
          </cell>
        </row>
        <row r="116">
          <cell r="A116">
            <v>1343500930</v>
          </cell>
          <cell r="B116" t="str">
            <v>ת. לאומית ילד ונוער</v>
          </cell>
          <cell r="C116">
            <v>-303664</v>
          </cell>
          <cell r="D116">
            <v>-187886</v>
          </cell>
          <cell r="E116">
            <v>0</v>
          </cell>
          <cell r="F116">
            <v>-187886</v>
          </cell>
        </row>
        <row r="117">
          <cell r="A117">
            <v>1343520930</v>
          </cell>
          <cell r="B117" t="str">
            <v>טיפול בילד בקהילה</v>
          </cell>
          <cell r="C117">
            <v>-210900</v>
          </cell>
          <cell r="D117">
            <v>-239245</v>
          </cell>
          <cell r="E117">
            <v>0</v>
          </cell>
          <cell r="F117">
            <v>-239245</v>
          </cell>
        </row>
        <row r="118">
          <cell r="A118">
            <v>1343530930</v>
          </cell>
          <cell r="B118" t="str">
            <v>מועדוניות מש</v>
          </cell>
          <cell r="C118">
            <v>-79000</v>
          </cell>
          <cell r="D118">
            <v>-85457</v>
          </cell>
          <cell r="E118">
            <v>0</v>
          </cell>
          <cell r="F118">
            <v>-85457</v>
          </cell>
        </row>
        <row r="119">
          <cell r="A119">
            <v>1343550930</v>
          </cell>
          <cell r="B119" t="str">
            <v>יצירת קשר הורים</v>
          </cell>
          <cell r="C119">
            <v>0</v>
          </cell>
          <cell r="D119">
            <v>-38402</v>
          </cell>
          <cell r="E119">
            <v>0</v>
          </cell>
          <cell r="F119">
            <v>-38402</v>
          </cell>
        </row>
        <row r="120">
          <cell r="A120">
            <v>1343800930</v>
          </cell>
          <cell r="B120" t="str">
            <v>אחזקת ילדים בפנימיות</v>
          </cell>
          <cell r="C120">
            <v>-367248</v>
          </cell>
          <cell r="D120">
            <v>-115787</v>
          </cell>
          <cell r="E120">
            <v>0</v>
          </cell>
          <cell r="F120">
            <v>-115787</v>
          </cell>
        </row>
        <row r="121">
          <cell r="A121">
            <v>1343810930</v>
          </cell>
          <cell r="B121" t="str">
            <v>תכנית עם הפנים לקהילה</v>
          </cell>
          <cell r="C121">
            <v>-86468</v>
          </cell>
          <cell r="D121">
            <v>-32119</v>
          </cell>
          <cell r="E121">
            <v>0</v>
          </cell>
          <cell r="F121">
            <v>-32119</v>
          </cell>
        </row>
        <row r="122">
          <cell r="A122">
            <v>1343900930</v>
          </cell>
          <cell r="B122" t="str">
            <v>ילדים במעונות יום</v>
          </cell>
          <cell r="C122">
            <v>-524496</v>
          </cell>
          <cell r="D122">
            <v>-503356</v>
          </cell>
          <cell r="E122">
            <v>0</v>
          </cell>
          <cell r="F122">
            <v>-503356</v>
          </cell>
        </row>
        <row r="123">
          <cell r="A123">
            <v>1343902930</v>
          </cell>
          <cell r="B123" t="str">
            <v>תכנית לאומית-ילדים בסיכון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1344300930</v>
          </cell>
          <cell r="B124" t="str">
            <v>אחזקת זקנים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1344400930</v>
          </cell>
          <cell r="B125" t="str">
            <v>מועדונים לזקנים</v>
          </cell>
          <cell r="C125">
            <v>-10000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1344401930</v>
          </cell>
          <cell r="B126" t="str">
            <v>שכונה תומכת</v>
          </cell>
          <cell r="C126">
            <v>-22700</v>
          </cell>
          <cell r="D126">
            <v>-29986</v>
          </cell>
          <cell r="E126">
            <v>0</v>
          </cell>
          <cell r="F126">
            <v>-29986</v>
          </cell>
        </row>
        <row r="127">
          <cell r="A127">
            <v>1344410930</v>
          </cell>
          <cell r="B127" t="str">
            <v>טיפול בזקן בקהילה</v>
          </cell>
          <cell r="C127">
            <v>-20700</v>
          </cell>
          <cell r="D127">
            <v>-18982</v>
          </cell>
          <cell r="E127">
            <v>0</v>
          </cell>
          <cell r="F127">
            <v>-18982</v>
          </cell>
        </row>
        <row r="128">
          <cell r="A128">
            <v>1344440930</v>
          </cell>
          <cell r="B128" t="str">
            <v>מרכזי ועדות חוק סעוד</v>
          </cell>
          <cell r="C128">
            <v>-37000</v>
          </cell>
          <cell r="D128">
            <v>-33876</v>
          </cell>
          <cell r="E128">
            <v>0</v>
          </cell>
          <cell r="F128">
            <v>-33876</v>
          </cell>
        </row>
        <row r="129">
          <cell r="A129">
            <v>1344500930</v>
          </cell>
          <cell r="B129" t="str">
            <v>מסגרות יומיות לזקן</v>
          </cell>
          <cell r="C129">
            <v>-156800</v>
          </cell>
          <cell r="D129">
            <v>-249982</v>
          </cell>
          <cell r="E129">
            <v>0</v>
          </cell>
          <cell r="F129">
            <v>-249982</v>
          </cell>
        </row>
        <row r="130">
          <cell r="A130">
            <v>1345100930</v>
          </cell>
          <cell r="B130" t="str">
            <v>סידור מפגרים במוסדות</v>
          </cell>
          <cell r="C130">
            <v>-2622960</v>
          </cell>
          <cell r="D130">
            <v>-2638726</v>
          </cell>
          <cell r="E130">
            <v>0</v>
          </cell>
          <cell r="F130">
            <v>-2638726</v>
          </cell>
        </row>
        <row r="131">
          <cell r="A131">
            <v>1345110930</v>
          </cell>
          <cell r="B131" t="str">
            <v>מועדונים לילדים</v>
          </cell>
          <cell r="C131">
            <v>-117000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1345120930</v>
          </cell>
          <cell r="B132" t="str">
            <v>מפגרים במוסד ממשלתי</v>
          </cell>
          <cell r="C132">
            <v>0</v>
          </cell>
          <cell r="D132">
            <v>-99750</v>
          </cell>
          <cell r="E132">
            <v>0</v>
          </cell>
          <cell r="F132">
            <v>-99750</v>
          </cell>
        </row>
        <row r="133">
          <cell r="A133">
            <v>1345130930</v>
          </cell>
          <cell r="B133" t="str">
            <v>טיפול בהורים ובילדיה</v>
          </cell>
          <cell r="C133">
            <v>-6750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1345140930</v>
          </cell>
          <cell r="B134" t="str">
            <v>החזקת אוטיסטים במסגרת</v>
          </cell>
          <cell r="C134">
            <v>-288024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1345200930</v>
          </cell>
          <cell r="B135" t="str">
            <v>מפגרים במעון טיפולי</v>
          </cell>
          <cell r="C135">
            <v>-204960</v>
          </cell>
          <cell r="D135">
            <v>-160975</v>
          </cell>
          <cell r="E135">
            <v>0</v>
          </cell>
          <cell r="F135">
            <v>-160975</v>
          </cell>
        </row>
        <row r="136">
          <cell r="A136">
            <v>1345240930</v>
          </cell>
          <cell r="B136" t="str">
            <v>מעש"ים</v>
          </cell>
          <cell r="C136">
            <v>-197856</v>
          </cell>
          <cell r="D136">
            <v>-212588</v>
          </cell>
          <cell r="E136">
            <v>0</v>
          </cell>
          <cell r="F136">
            <v>-212588</v>
          </cell>
        </row>
        <row r="137">
          <cell r="A137">
            <v>1345300930</v>
          </cell>
          <cell r="B137" t="str">
            <v>שירותים תומכים למפגר</v>
          </cell>
          <cell r="C137">
            <v>-7500</v>
          </cell>
          <cell r="D137">
            <v>-6954</v>
          </cell>
          <cell r="E137">
            <v>0</v>
          </cell>
          <cell r="F137">
            <v>-6954</v>
          </cell>
        </row>
        <row r="138">
          <cell r="A138">
            <v>1345301930</v>
          </cell>
          <cell r="B138" t="str">
            <v>הסעות למעון מפגרים</v>
          </cell>
          <cell r="C138">
            <v>0</v>
          </cell>
          <cell r="D138">
            <v>-19068</v>
          </cell>
          <cell r="E138">
            <v>0</v>
          </cell>
          <cell r="F138">
            <v>-19068</v>
          </cell>
        </row>
        <row r="139">
          <cell r="A139">
            <v>1345305930</v>
          </cell>
          <cell r="B139" t="str">
            <v>מועדונים חברת למפגר</v>
          </cell>
          <cell r="C139">
            <v>-15000</v>
          </cell>
          <cell r="D139">
            <v>-2664</v>
          </cell>
          <cell r="E139">
            <v>0</v>
          </cell>
          <cell r="F139">
            <v>-2664</v>
          </cell>
        </row>
        <row r="140">
          <cell r="A140">
            <v>1345310930</v>
          </cell>
          <cell r="B140" t="str">
            <v>נופשונים למפגר</v>
          </cell>
          <cell r="C140">
            <v>-13464</v>
          </cell>
          <cell r="D140">
            <v>-11115</v>
          </cell>
          <cell r="E140">
            <v>0</v>
          </cell>
          <cell r="F140">
            <v>-11115</v>
          </cell>
        </row>
        <row r="141">
          <cell r="A141">
            <v>1345311930</v>
          </cell>
          <cell r="B141" t="str">
            <v>הסעות למ.יום למפגר</v>
          </cell>
          <cell r="C141">
            <v>-57900</v>
          </cell>
          <cell r="D141">
            <v>-90195</v>
          </cell>
          <cell r="E141">
            <v>0</v>
          </cell>
          <cell r="F141">
            <v>-90195</v>
          </cell>
        </row>
        <row r="142">
          <cell r="A142">
            <v>1346320930</v>
          </cell>
          <cell r="B142" t="str">
            <v>הדרכת עיוור ובני ביתו</v>
          </cell>
          <cell r="C142">
            <v>-24427</v>
          </cell>
          <cell r="D142">
            <v>-24518</v>
          </cell>
          <cell r="E142">
            <v>0</v>
          </cell>
          <cell r="F142">
            <v>-24518</v>
          </cell>
        </row>
        <row r="143">
          <cell r="A143">
            <v>1346400930</v>
          </cell>
          <cell r="B143" t="str">
            <v>מפעלי שיקון לעוור</v>
          </cell>
          <cell r="C143">
            <v>-41500</v>
          </cell>
          <cell r="D143">
            <v>-28278</v>
          </cell>
          <cell r="E143">
            <v>0</v>
          </cell>
          <cell r="F143">
            <v>-28278</v>
          </cell>
        </row>
        <row r="144">
          <cell r="A144">
            <v>1346510930</v>
          </cell>
          <cell r="B144" t="str">
            <v>מועדונים לעוור</v>
          </cell>
          <cell r="C144">
            <v>0</v>
          </cell>
          <cell r="D144">
            <v>-6273</v>
          </cell>
          <cell r="E144">
            <v>0</v>
          </cell>
          <cell r="F144">
            <v>-6273</v>
          </cell>
        </row>
        <row r="145">
          <cell r="A145">
            <v>1346600930</v>
          </cell>
          <cell r="B145" t="str">
            <v>תעסוקה מוגנת למוגבל</v>
          </cell>
          <cell r="C145">
            <v>-5000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1346610930</v>
          </cell>
          <cell r="B146" t="str">
            <v>תוכניות מעבר</v>
          </cell>
          <cell r="C146">
            <v>-4500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1346700930</v>
          </cell>
          <cell r="B147" t="str">
            <v>מ.יום שיקומי לנכים</v>
          </cell>
          <cell r="C147">
            <v>-33576</v>
          </cell>
          <cell r="D147">
            <v>-7638</v>
          </cell>
          <cell r="E147">
            <v>0</v>
          </cell>
          <cell r="F147">
            <v>-7638</v>
          </cell>
        </row>
        <row r="148">
          <cell r="A148">
            <v>1346709930</v>
          </cell>
          <cell r="B148" t="str">
            <v>ליווי למ.יום שיקומי</v>
          </cell>
          <cell r="C148">
            <v>-30000</v>
          </cell>
          <cell r="D148">
            <v>-6984</v>
          </cell>
          <cell r="E148">
            <v>0</v>
          </cell>
          <cell r="F148">
            <v>-6984</v>
          </cell>
        </row>
        <row r="149">
          <cell r="A149">
            <v>1346710930</v>
          </cell>
          <cell r="B149" t="str">
            <v>הסעות למ.יום שיקומי לנכים</v>
          </cell>
          <cell r="C149">
            <v>-75000</v>
          </cell>
          <cell r="D149">
            <v>-5221</v>
          </cell>
          <cell r="E149">
            <v>0</v>
          </cell>
          <cell r="F149">
            <v>-5221</v>
          </cell>
        </row>
        <row r="150">
          <cell r="A150">
            <v>1346720930</v>
          </cell>
          <cell r="B150" t="str">
            <v>מועדון חברתי לבוגרים</v>
          </cell>
          <cell r="C150">
            <v>-27000</v>
          </cell>
          <cell r="D150">
            <v>-24287</v>
          </cell>
          <cell r="E150">
            <v>0</v>
          </cell>
          <cell r="F150">
            <v>-24287</v>
          </cell>
        </row>
        <row r="151">
          <cell r="A151">
            <v>1346750930</v>
          </cell>
          <cell r="B151" t="str">
            <v>תעסוקה נתמכת לנכים</v>
          </cell>
          <cell r="C151">
            <v>-5000</v>
          </cell>
          <cell r="D151">
            <v>-7226</v>
          </cell>
          <cell r="E151">
            <v>0</v>
          </cell>
          <cell r="F151">
            <v>-7226</v>
          </cell>
        </row>
        <row r="152">
          <cell r="A152">
            <v>1346760930</v>
          </cell>
          <cell r="B152" t="str">
            <v>תוכנית מעבר</v>
          </cell>
          <cell r="C152">
            <v>0</v>
          </cell>
          <cell r="D152">
            <v>-4127</v>
          </cell>
          <cell r="E152">
            <v>0</v>
          </cell>
          <cell r="F152">
            <v>-4127</v>
          </cell>
        </row>
        <row r="153">
          <cell r="A153">
            <v>1346800930</v>
          </cell>
          <cell r="B153" t="str">
            <v>מרכזי איבחון ושיקום</v>
          </cell>
          <cell r="C153">
            <v>-21000</v>
          </cell>
          <cell r="D153">
            <v>-27648</v>
          </cell>
          <cell r="E153">
            <v>0</v>
          </cell>
          <cell r="F153">
            <v>-27648</v>
          </cell>
        </row>
        <row r="154">
          <cell r="A154">
            <v>1346820930</v>
          </cell>
          <cell r="B154" t="str">
            <v>שיקום נכים בקהילה</v>
          </cell>
          <cell r="C154">
            <v>-12500</v>
          </cell>
          <cell r="D154">
            <v>-6188</v>
          </cell>
          <cell r="E154">
            <v>0</v>
          </cell>
          <cell r="F154">
            <v>-6188</v>
          </cell>
        </row>
        <row r="155">
          <cell r="A155">
            <v>1346825930</v>
          </cell>
          <cell r="B155" t="str">
            <v>בוגרים עיוורים בקהילה</v>
          </cell>
          <cell r="C155">
            <v>-32000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1346830930</v>
          </cell>
          <cell r="B156" t="str">
            <v>ילדים עוורים בקהילה</v>
          </cell>
          <cell r="C156">
            <v>-31000</v>
          </cell>
          <cell r="D156">
            <v>-16603</v>
          </cell>
          <cell r="E156">
            <v>0</v>
          </cell>
          <cell r="F156">
            <v>-16603</v>
          </cell>
        </row>
        <row r="157">
          <cell r="A157">
            <v>1346840930</v>
          </cell>
          <cell r="B157" t="str">
            <v>נכים קשים בקהילה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1347120930</v>
          </cell>
          <cell r="B158" t="str">
            <v>טיפול בנוער וצעירים</v>
          </cell>
          <cell r="C158">
            <v>-8000</v>
          </cell>
          <cell r="D158">
            <v>802</v>
          </cell>
          <cell r="E158">
            <v>0</v>
          </cell>
          <cell r="F158">
            <v>802</v>
          </cell>
        </row>
        <row r="159">
          <cell r="A159">
            <v>1347130930</v>
          </cell>
          <cell r="B159" t="str">
            <v>שהות במקלטים לנערות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1347140930</v>
          </cell>
          <cell r="B160" t="str">
            <v>מועדון חברתי לבוגרים</v>
          </cell>
          <cell r="C160">
            <v>0</v>
          </cell>
          <cell r="D160">
            <v>-18009</v>
          </cell>
          <cell r="E160">
            <v>0</v>
          </cell>
          <cell r="F160">
            <v>-18009</v>
          </cell>
        </row>
        <row r="161">
          <cell r="A161">
            <v>1347200930</v>
          </cell>
          <cell r="B161" t="str">
            <v>טיפול בנערות במצוקה</v>
          </cell>
          <cell r="C161">
            <v>-9215</v>
          </cell>
          <cell r="D161">
            <v>-2395</v>
          </cell>
          <cell r="E161">
            <v>0</v>
          </cell>
          <cell r="F161">
            <v>-2395</v>
          </cell>
        </row>
        <row r="162">
          <cell r="A162">
            <v>1347300990</v>
          </cell>
          <cell r="B162" t="str">
            <v>טיפול בנוער מתמכר</v>
          </cell>
          <cell r="C162">
            <v>-9000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1347305930</v>
          </cell>
          <cell r="B163" t="str">
            <v>התמכרויות מבוגרים</v>
          </cell>
          <cell r="C163">
            <v>-20000</v>
          </cell>
          <cell r="D163">
            <v>-43551</v>
          </cell>
          <cell r="E163">
            <v>0</v>
          </cell>
          <cell r="F163">
            <v>-43551</v>
          </cell>
        </row>
        <row r="164">
          <cell r="A164">
            <v>1347310930</v>
          </cell>
          <cell r="B164" t="str">
            <v>טפול באלכוהוליסטים</v>
          </cell>
          <cell r="C164">
            <v>0</v>
          </cell>
          <cell r="D164">
            <v>-1680</v>
          </cell>
          <cell r="E164">
            <v>0</v>
          </cell>
          <cell r="F164">
            <v>-1680</v>
          </cell>
        </row>
        <row r="165">
          <cell r="A165">
            <v>1347330930</v>
          </cell>
          <cell r="B165" t="str">
            <v>מ.יום לנוער -סמים</v>
          </cell>
          <cell r="C165">
            <v>0</v>
          </cell>
          <cell r="D165">
            <v>-2997</v>
          </cell>
          <cell r="E165">
            <v>0</v>
          </cell>
          <cell r="F165">
            <v>-2997</v>
          </cell>
        </row>
        <row r="166">
          <cell r="A166">
            <v>1347400930</v>
          </cell>
          <cell r="B166" t="str">
            <v>מית"ר</v>
          </cell>
          <cell r="C166">
            <v>-741504</v>
          </cell>
          <cell r="D166">
            <v>-511911</v>
          </cell>
          <cell r="E166">
            <v>0</v>
          </cell>
          <cell r="F166">
            <v>-511911</v>
          </cell>
        </row>
        <row r="167">
          <cell r="A167">
            <v>1347410930</v>
          </cell>
          <cell r="B167" t="str">
            <v>מניעת אלימות במפתנים</v>
          </cell>
          <cell r="C167">
            <v>0</v>
          </cell>
          <cell r="D167">
            <v>-3000</v>
          </cell>
          <cell r="E167">
            <v>0</v>
          </cell>
          <cell r="F167">
            <v>-3000</v>
          </cell>
        </row>
        <row r="168">
          <cell r="A168">
            <v>1348300930</v>
          </cell>
          <cell r="B168" t="str">
            <v>פעולות התנדבות</v>
          </cell>
          <cell r="C168">
            <v>-1000</v>
          </cell>
          <cell r="D168">
            <v>-8404</v>
          </cell>
          <cell r="E168">
            <v>0</v>
          </cell>
          <cell r="F168">
            <v>-8404</v>
          </cell>
        </row>
        <row r="169">
          <cell r="A169">
            <v>1413100210</v>
          </cell>
          <cell r="B169" t="str">
            <v>מים שוטף</v>
          </cell>
          <cell r="C169">
            <v>-5000000</v>
          </cell>
          <cell r="D169">
            <v>-2858831.42</v>
          </cell>
          <cell r="E169">
            <v>0</v>
          </cell>
          <cell r="F169">
            <v>-2858831.42</v>
          </cell>
        </row>
        <row r="170">
          <cell r="A170">
            <v>1413109210</v>
          </cell>
          <cell r="B170" t="str">
            <v>היטל צריכה עודפת</v>
          </cell>
          <cell r="C170">
            <v>0</v>
          </cell>
          <cell r="D170">
            <v>-138.86000000000001</v>
          </cell>
          <cell r="E170">
            <v>0</v>
          </cell>
          <cell r="F170">
            <v>-138.86000000000001</v>
          </cell>
        </row>
        <row r="171">
          <cell r="A171">
            <v>1413110210</v>
          </cell>
          <cell r="B171" t="str">
            <v>מים פיגורים</v>
          </cell>
          <cell r="C171">
            <v>-3000000</v>
          </cell>
          <cell r="D171">
            <v>-2017698.47</v>
          </cell>
          <cell r="E171">
            <v>0</v>
          </cell>
          <cell r="F171">
            <v>-2017698.47</v>
          </cell>
        </row>
        <row r="172">
          <cell r="A172">
            <v>1413111210</v>
          </cell>
          <cell r="B172" t="str">
            <v>יתרות מים 2005</v>
          </cell>
          <cell r="C172">
            <v>0</v>
          </cell>
          <cell r="D172">
            <v>-135441.60000000001</v>
          </cell>
          <cell r="E172">
            <v>0</v>
          </cell>
          <cell r="F172">
            <v>-135441.60000000001</v>
          </cell>
        </row>
        <row r="173">
          <cell r="A173">
            <v>1413112210</v>
          </cell>
          <cell r="B173" t="str">
            <v>יתרות מים 2006</v>
          </cell>
          <cell r="C173">
            <v>0</v>
          </cell>
          <cell r="D173">
            <v>-2823.66</v>
          </cell>
          <cell r="E173">
            <v>0</v>
          </cell>
          <cell r="F173">
            <v>-2823.66</v>
          </cell>
        </row>
        <row r="174">
          <cell r="A174">
            <v>1413113210</v>
          </cell>
          <cell r="B174" t="str">
            <v>יתרות מים 2007</v>
          </cell>
          <cell r="C174">
            <v>0</v>
          </cell>
          <cell r="D174">
            <v>-56742.21</v>
          </cell>
          <cell r="E174">
            <v>0</v>
          </cell>
          <cell r="F174">
            <v>-56742.21</v>
          </cell>
        </row>
        <row r="175">
          <cell r="A175">
            <v>1413200410</v>
          </cell>
          <cell r="B175" t="str">
            <v>הכנסות מים (הסדר 23) עצמיות</v>
          </cell>
          <cell r="C175">
            <v>0</v>
          </cell>
          <cell r="D175">
            <v>-153245.70000000001</v>
          </cell>
          <cell r="E175">
            <v>0</v>
          </cell>
          <cell r="F175">
            <v>-153245.70000000001</v>
          </cell>
        </row>
        <row r="176">
          <cell r="A176">
            <v>1413300810</v>
          </cell>
          <cell r="B176" t="str">
            <v>א.צנרת דליה</v>
          </cell>
          <cell r="C176">
            <v>-340000</v>
          </cell>
          <cell r="D176">
            <v>-249971.13</v>
          </cell>
          <cell r="E176">
            <v>0</v>
          </cell>
          <cell r="F176">
            <v>-249971.13</v>
          </cell>
        </row>
        <row r="177">
          <cell r="A177">
            <v>1472000210</v>
          </cell>
          <cell r="B177" t="str">
            <v>י.אב ביוב</v>
          </cell>
          <cell r="C177">
            <v>0</v>
          </cell>
          <cell r="D177">
            <v>-91219.17</v>
          </cell>
          <cell r="E177">
            <v>0</v>
          </cell>
          <cell r="F177">
            <v>-91219.17</v>
          </cell>
        </row>
        <row r="178">
          <cell r="A178">
            <v>1472000310</v>
          </cell>
          <cell r="B178" t="str">
            <v>היטל ביוב</v>
          </cell>
          <cell r="C178">
            <v>0</v>
          </cell>
          <cell r="D178">
            <v>-12261.18</v>
          </cell>
          <cell r="E178">
            <v>0</v>
          </cell>
          <cell r="F178">
            <v>-12261.18</v>
          </cell>
        </row>
        <row r="179">
          <cell r="A179">
            <v>1472000810</v>
          </cell>
          <cell r="B179" t="str">
            <v>אגרת ביוב</v>
          </cell>
          <cell r="C179">
            <v>-300000</v>
          </cell>
          <cell r="D179">
            <v>-153873.84</v>
          </cell>
          <cell r="E179">
            <v>0</v>
          </cell>
          <cell r="F179">
            <v>-153873.84</v>
          </cell>
        </row>
        <row r="180">
          <cell r="A180">
            <v>1472100310</v>
          </cell>
          <cell r="B180" t="str">
            <v>ביוב  2005</v>
          </cell>
          <cell r="C180">
            <v>0</v>
          </cell>
          <cell r="D180">
            <v>-13979.64</v>
          </cell>
          <cell r="E180">
            <v>0</v>
          </cell>
          <cell r="F180">
            <v>-13979.64</v>
          </cell>
        </row>
        <row r="181">
          <cell r="A181">
            <v>1472200310</v>
          </cell>
          <cell r="B181" t="str">
            <v>ביוב 2007</v>
          </cell>
          <cell r="C181">
            <v>0</v>
          </cell>
          <cell r="D181">
            <v>-1869.37</v>
          </cell>
          <cell r="E181">
            <v>0</v>
          </cell>
          <cell r="F181">
            <v>-1869.37</v>
          </cell>
        </row>
        <row r="182">
          <cell r="A182">
            <v>1472300310</v>
          </cell>
          <cell r="B182" t="str">
            <v>ביוב פיגורים</v>
          </cell>
          <cell r="C182">
            <v>-250000</v>
          </cell>
          <cell r="D182">
            <v>-182120.13</v>
          </cell>
          <cell r="E182">
            <v>0</v>
          </cell>
          <cell r="F182">
            <v>-182120.13</v>
          </cell>
        </row>
        <row r="183">
          <cell r="A183">
            <v>1511000660</v>
          </cell>
          <cell r="B183" t="str">
            <v>ריבית</v>
          </cell>
          <cell r="C183">
            <v>0</v>
          </cell>
          <cell r="D183">
            <v>-40955.410000000003</v>
          </cell>
          <cell r="E183">
            <v>0</v>
          </cell>
          <cell r="F183">
            <v>-40955.410000000003</v>
          </cell>
        </row>
        <row r="184">
          <cell r="A184">
            <v>1511000900</v>
          </cell>
          <cell r="B184" t="str">
            <v>מבוטל - עבר 1511000660</v>
          </cell>
          <cell r="C184">
            <v>0</v>
          </cell>
          <cell r="D184">
            <v>-80.44</v>
          </cell>
          <cell r="E184">
            <v>0</v>
          </cell>
          <cell r="F184">
            <v>-80.44</v>
          </cell>
        </row>
        <row r="185">
          <cell r="A185">
            <v>1513000510</v>
          </cell>
          <cell r="B185" t="str">
            <v>החזר הוצאות משנים קודמות</v>
          </cell>
          <cell r="C185">
            <v>0</v>
          </cell>
          <cell r="D185">
            <v>-30977.22</v>
          </cell>
          <cell r="E185">
            <v>0</v>
          </cell>
          <cell r="F185">
            <v>-30977.22</v>
          </cell>
        </row>
        <row r="186">
          <cell r="A186">
            <v>1513100900</v>
          </cell>
          <cell r="B186" t="str">
            <v>הכנסות שנים קודמות</v>
          </cell>
          <cell r="C186">
            <v>0</v>
          </cell>
          <cell r="D186">
            <v>-143424.88</v>
          </cell>
          <cell r="E186">
            <v>0</v>
          </cell>
          <cell r="F186">
            <v>-143424.88</v>
          </cell>
        </row>
        <row r="187">
          <cell r="A187">
            <v>1599100590</v>
          </cell>
          <cell r="B187" t="str">
            <v>הכנסות מהסכמי פשרה</v>
          </cell>
          <cell r="C187">
            <v>-4000000</v>
          </cell>
          <cell r="D187">
            <v>-1637652.08</v>
          </cell>
          <cell r="E187">
            <v>0</v>
          </cell>
          <cell r="F187">
            <v>-1637652.08</v>
          </cell>
        </row>
        <row r="188">
          <cell r="A188">
            <v>1599100910</v>
          </cell>
          <cell r="B188" t="str">
            <v>מענק כסוי גרעון</v>
          </cell>
          <cell r="C188">
            <v>-2000000</v>
          </cell>
          <cell r="D188">
            <v>-6218000</v>
          </cell>
          <cell r="E188">
            <v>0</v>
          </cell>
          <cell r="F188">
            <v>-6218000</v>
          </cell>
        </row>
        <row r="189">
          <cell r="A189">
            <v>1599100980</v>
          </cell>
          <cell r="B189" t="str">
            <v>הכנסהמותנת ביקורת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1611000450</v>
          </cell>
          <cell r="B190" t="str">
            <v>ריהוט וציוד הנהלה</v>
          </cell>
          <cell r="C190">
            <v>8000</v>
          </cell>
          <cell r="D190">
            <v>9099.99</v>
          </cell>
          <cell r="E190">
            <v>3834</v>
          </cell>
          <cell r="F190">
            <v>12933.99</v>
          </cell>
        </row>
        <row r="191">
          <cell r="A191">
            <v>1611000470</v>
          </cell>
          <cell r="B191" t="str">
            <v>ציוד משרדי הנהלה</v>
          </cell>
          <cell r="C191">
            <v>5000</v>
          </cell>
          <cell r="D191">
            <v>5545.83</v>
          </cell>
          <cell r="E191">
            <v>0</v>
          </cell>
          <cell r="F191">
            <v>5545.83</v>
          </cell>
        </row>
        <row r="192">
          <cell r="A192">
            <v>1611000480</v>
          </cell>
          <cell r="B192" t="str">
            <v>עתון</v>
          </cell>
          <cell r="C192">
            <v>4000</v>
          </cell>
          <cell r="D192">
            <v>9404.89</v>
          </cell>
          <cell r="E192">
            <v>0</v>
          </cell>
          <cell r="F192">
            <v>9404.89</v>
          </cell>
        </row>
        <row r="193">
          <cell r="A193">
            <v>1611000514</v>
          </cell>
          <cell r="B193" t="str">
            <v>מתנות הנהלה</v>
          </cell>
          <cell r="C193">
            <v>9600</v>
          </cell>
          <cell r="D193">
            <v>7859.6</v>
          </cell>
          <cell r="E193">
            <v>0</v>
          </cell>
          <cell r="F193">
            <v>7859.6</v>
          </cell>
        </row>
        <row r="194">
          <cell r="A194">
            <v>1611000530</v>
          </cell>
          <cell r="B194" t="str">
            <v>רכב מנהלי - דלק</v>
          </cell>
          <cell r="C194">
            <v>24000</v>
          </cell>
          <cell r="D194">
            <v>28141.279999999999</v>
          </cell>
          <cell r="E194">
            <v>0</v>
          </cell>
          <cell r="F194">
            <v>28141.279999999999</v>
          </cell>
        </row>
        <row r="195">
          <cell r="A195">
            <v>1611000535</v>
          </cell>
          <cell r="B195" t="str">
            <v>שכירות רכב הנהלה</v>
          </cell>
          <cell r="C195">
            <v>52000</v>
          </cell>
          <cell r="D195">
            <v>34349.339999999997</v>
          </cell>
          <cell r="E195">
            <v>0</v>
          </cell>
          <cell r="F195">
            <v>34349.339999999997</v>
          </cell>
        </row>
        <row r="196">
          <cell r="A196">
            <v>1611000550</v>
          </cell>
          <cell r="B196" t="str">
            <v>פרסום</v>
          </cell>
          <cell r="C196">
            <v>10000</v>
          </cell>
          <cell r="D196">
            <v>600</v>
          </cell>
          <cell r="E196">
            <v>9400</v>
          </cell>
          <cell r="F196">
            <v>10000</v>
          </cell>
        </row>
        <row r="197">
          <cell r="A197">
            <v>1611000735</v>
          </cell>
          <cell r="B197" t="str">
            <v>שכירות רכב-הנהלה</v>
          </cell>
          <cell r="C197">
            <v>0</v>
          </cell>
          <cell r="D197">
            <v>53</v>
          </cell>
          <cell r="E197">
            <v>0</v>
          </cell>
          <cell r="F197">
            <v>53</v>
          </cell>
        </row>
        <row r="198">
          <cell r="A198">
            <v>1611000780</v>
          </cell>
          <cell r="B198" t="str">
            <v>שונות</v>
          </cell>
          <cell r="C198">
            <v>7000</v>
          </cell>
          <cell r="D198">
            <v>5973</v>
          </cell>
          <cell r="E198">
            <v>1027</v>
          </cell>
          <cell r="F198">
            <v>7000</v>
          </cell>
        </row>
        <row r="199">
          <cell r="A199">
            <v>1611100110</v>
          </cell>
          <cell r="B199" t="str">
            <v>שכר ראש העיר</v>
          </cell>
          <cell r="C199">
            <v>636000</v>
          </cell>
          <cell r="D199">
            <v>757091.16</v>
          </cell>
          <cell r="E199">
            <v>0</v>
          </cell>
          <cell r="F199">
            <v>757091.16</v>
          </cell>
        </row>
        <row r="200">
          <cell r="A200">
            <v>1611100510</v>
          </cell>
          <cell r="B200" t="str">
            <v>אשל וכיבוד</v>
          </cell>
          <cell r="C200">
            <v>5100</v>
          </cell>
          <cell r="D200">
            <v>3450</v>
          </cell>
          <cell r="E200">
            <v>900</v>
          </cell>
          <cell r="F200">
            <v>4350</v>
          </cell>
        </row>
        <row r="201">
          <cell r="A201">
            <v>1611100523</v>
          </cell>
          <cell r="B201" t="str">
            <v>דמי חבר</v>
          </cell>
          <cell r="C201">
            <v>3000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1611100541</v>
          </cell>
          <cell r="B202" t="str">
            <v>יו"ר עיריה-סלקום</v>
          </cell>
          <cell r="C202">
            <v>0</v>
          </cell>
          <cell r="D202">
            <v>287.73</v>
          </cell>
          <cell r="E202">
            <v>0</v>
          </cell>
          <cell r="F202">
            <v>287.73</v>
          </cell>
        </row>
        <row r="203">
          <cell r="A203">
            <v>1611110110</v>
          </cell>
          <cell r="B203" t="str">
            <v>שכר סגן יו"ר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1611200110</v>
          </cell>
          <cell r="B204" t="str">
            <v>שכר עובדי לשכה</v>
          </cell>
          <cell r="C204">
            <v>344055</v>
          </cell>
          <cell r="D204">
            <v>40368.79</v>
          </cell>
          <cell r="E204">
            <v>0</v>
          </cell>
          <cell r="F204">
            <v>40368.79</v>
          </cell>
        </row>
        <row r="205">
          <cell r="A205">
            <v>1611200541</v>
          </cell>
          <cell r="B205" t="str">
            <v>מועצת הרשות-סלקום</v>
          </cell>
          <cell r="C205">
            <v>0</v>
          </cell>
          <cell r="D205">
            <v>1302.28</v>
          </cell>
          <cell r="E205">
            <v>0</v>
          </cell>
          <cell r="F205">
            <v>1302.28</v>
          </cell>
        </row>
        <row r="206">
          <cell r="A206">
            <v>1612000110</v>
          </cell>
          <cell r="B206" t="str">
            <v>שכר מבקר</v>
          </cell>
          <cell r="C206">
            <v>414395</v>
          </cell>
          <cell r="D206">
            <v>587182.97</v>
          </cell>
          <cell r="E206">
            <v>0</v>
          </cell>
          <cell r="F206">
            <v>587182.97</v>
          </cell>
        </row>
        <row r="207">
          <cell r="A207">
            <v>1612000470</v>
          </cell>
          <cell r="B207" t="str">
            <v>ציוד משרדי-מבקר</v>
          </cell>
          <cell r="C207">
            <v>2400</v>
          </cell>
          <cell r="D207">
            <v>0</v>
          </cell>
          <cell r="E207">
            <v>1740.5</v>
          </cell>
          <cell r="F207">
            <v>1740.5</v>
          </cell>
        </row>
        <row r="208">
          <cell r="A208">
            <v>1612000780</v>
          </cell>
          <cell r="B208" t="str">
            <v>הוצאות שונות-מבקר</v>
          </cell>
          <cell r="C208">
            <v>3000</v>
          </cell>
          <cell r="D208">
            <v>2939.41</v>
          </cell>
          <cell r="E208">
            <v>850</v>
          </cell>
          <cell r="F208">
            <v>3789.41</v>
          </cell>
        </row>
        <row r="209">
          <cell r="A209">
            <v>1613000110</v>
          </cell>
          <cell r="B209" t="str">
            <v>שכר מזכירות</v>
          </cell>
          <cell r="C209">
            <v>1321000</v>
          </cell>
          <cell r="D209">
            <v>1417709.96</v>
          </cell>
          <cell r="E209">
            <v>0</v>
          </cell>
          <cell r="F209">
            <v>1417709.96</v>
          </cell>
        </row>
        <row r="210">
          <cell r="A210">
            <v>1613000420</v>
          </cell>
          <cell r="B210" t="str">
            <v>תחזוקת מבנים</v>
          </cell>
          <cell r="C210">
            <v>15000</v>
          </cell>
          <cell r="D210">
            <v>4480</v>
          </cell>
          <cell r="E210">
            <v>0</v>
          </cell>
          <cell r="F210">
            <v>4480</v>
          </cell>
        </row>
        <row r="211">
          <cell r="A211">
            <v>1613000430</v>
          </cell>
          <cell r="B211" t="str">
            <v>מים</v>
          </cell>
          <cell r="C211">
            <v>100000</v>
          </cell>
          <cell r="D211">
            <v>60599.4</v>
          </cell>
          <cell r="E211">
            <v>0</v>
          </cell>
          <cell r="F211">
            <v>60599.4</v>
          </cell>
        </row>
        <row r="212">
          <cell r="A212">
            <v>1613000431</v>
          </cell>
          <cell r="B212" t="str">
            <v>חשמל בניין ראשי</v>
          </cell>
          <cell r="C212">
            <v>32000</v>
          </cell>
          <cell r="D212">
            <v>17623.96</v>
          </cell>
          <cell r="E212">
            <v>0</v>
          </cell>
          <cell r="F212">
            <v>17623.96</v>
          </cell>
        </row>
        <row r="213">
          <cell r="A213">
            <v>1613000450</v>
          </cell>
          <cell r="B213" t="str">
            <v>ריהוט ואחזקתו</v>
          </cell>
          <cell r="C213">
            <v>10000</v>
          </cell>
          <cell r="D213">
            <v>9743.7199999999993</v>
          </cell>
          <cell r="E213">
            <v>900</v>
          </cell>
          <cell r="F213">
            <v>10643.72</v>
          </cell>
        </row>
        <row r="214">
          <cell r="A214">
            <v>1613000470</v>
          </cell>
          <cell r="B214" t="str">
            <v>ציוד משרדי</v>
          </cell>
          <cell r="C214">
            <v>30000</v>
          </cell>
          <cell r="D214">
            <v>27395.01</v>
          </cell>
          <cell r="E214">
            <v>245.82</v>
          </cell>
          <cell r="F214">
            <v>27640.83</v>
          </cell>
        </row>
        <row r="215">
          <cell r="A215">
            <v>1613000475</v>
          </cell>
          <cell r="B215" t="str">
            <v>השכרת מכונות צילום</v>
          </cell>
          <cell r="C215">
            <v>40000</v>
          </cell>
          <cell r="D215">
            <v>46221.32</v>
          </cell>
          <cell r="E215">
            <v>0</v>
          </cell>
          <cell r="F215">
            <v>46221.32</v>
          </cell>
        </row>
        <row r="216">
          <cell r="A216">
            <v>1613000510</v>
          </cell>
          <cell r="B216" t="str">
            <v>אשל וכיבודים</v>
          </cell>
          <cell r="C216">
            <v>3500</v>
          </cell>
          <cell r="D216">
            <v>3050</v>
          </cell>
          <cell r="E216">
            <v>0</v>
          </cell>
          <cell r="F216">
            <v>3050</v>
          </cell>
        </row>
        <row r="217">
          <cell r="A217">
            <v>1613000521</v>
          </cell>
          <cell r="B217" t="str">
            <v>השתלמויות ותוכניות ארגוניות</v>
          </cell>
          <cell r="C217">
            <v>20000</v>
          </cell>
          <cell r="D217">
            <v>6000</v>
          </cell>
          <cell r="E217">
            <v>12661.4</v>
          </cell>
          <cell r="F217">
            <v>18661.400000000001</v>
          </cell>
        </row>
        <row r="218">
          <cell r="A218">
            <v>1613000523</v>
          </cell>
          <cell r="B218" t="str">
            <v>דמי חבר וכנסים</v>
          </cell>
          <cell r="C218">
            <v>10000</v>
          </cell>
          <cell r="D218">
            <v>1250</v>
          </cell>
          <cell r="E218">
            <v>2081.52</v>
          </cell>
          <cell r="F218">
            <v>3331.52</v>
          </cell>
        </row>
        <row r="219">
          <cell r="A219">
            <v>1613000525</v>
          </cell>
          <cell r="B219" t="str">
            <v>עמותת לקידום חברתי</v>
          </cell>
          <cell r="C219">
            <v>92000</v>
          </cell>
          <cell r="D219">
            <v>82327.86</v>
          </cell>
          <cell r="E219">
            <v>0</v>
          </cell>
          <cell r="F219">
            <v>82327.86</v>
          </cell>
        </row>
        <row r="220">
          <cell r="A220">
            <v>1613000540</v>
          </cell>
          <cell r="B220" t="str">
            <v>הוצאות תקשורת</v>
          </cell>
          <cell r="C220">
            <v>90000</v>
          </cell>
          <cell r="D220">
            <v>92867.55</v>
          </cell>
          <cell r="E220">
            <v>1478.15</v>
          </cell>
          <cell r="F220">
            <v>94345.7</v>
          </cell>
        </row>
        <row r="221">
          <cell r="A221">
            <v>1613000541</v>
          </cell>
          <cell r="B221" t="str">
            <v>סלקום</v>
          </cell>
          <cell r="C221">
            <v>6000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1613000542</v>
          </cell>
          <cell r="B222" t="str">
            <v>שירותי מחשבים</v>
          </cell>
          <cell r="C222">
            <v>77500</v>
          </cell>
          <cell r="D222">
            <v>8584</v>
          </cell>
          <cell r="E222">
            <v>22373.759999999998</v>
          </cell>
          <cell r="F222">
            <v>30957.759999999998</v>
          </cell>
        </row>
        <row r="223">
          <cell r="A223">
            <v>1613000543</v>
          </cell>
          <cell r="B223" t="str">
            <v>הוצאות דואר וביול</v>
          </cell>
          <cell r="C223">
            <v>110000</v>
          </cell>
          <cell r="D223">
            <v>79982.94</v>
          </cell>
          <cell r="E223">
            <v>3350.8</v>
          </cell>
          <cell r="F223">
            <v>83333.740000000005</v>
          </cell>
        </row>
        <row r="224">
          <cell r="A224">
            <v>1613000544</v>
          </cell>
          <cell r="B224" t="str">
            <v>אינטרנט ושעוני נוכחות</v>
          </cell>
          <cell r="C224">
            <v>27000</v>
          </cell>
          <cell r="D224">
            <v>16053.9</v>
          </cell>
          <cell r="E224">
            <v>12955</v>
          </cell>
          <cell r="F224">
            <v>29008.9</v>
          </cell>
        </row>
        <row r="225">
          <cell r="A225">
            <v>1613000550</v>
          </cell>
          <cell r="B225" t="str">
            <v>פרסום מכרזים</v>
          </cell>
          <cell r="C225">
            <v>20000</v>
          </cell>
          <cell r="D225">
            <v>19432.349999999999</v>
          </cell>
          <cell r="E225">
            <v>2852</v>
          </cell>
          <cell r="F225">
            <v>22284.35</v>
          </cell>
        </row>
        <row r="226">
          <cell r="A226">
            <v>1613000560</v>
          </cell>
          <cell r="B226" t="str">
            <v>משרדיות</v>
          </cell>
          <cell r="C226">
            <v>1400</v>
          </cell>
          <cell r="D226">
            <v>0</v>
          </cell>
          <cell r="E226">
            <v>1085.5999999999999</v>
          </cell>
          <cell r="F226">
            <v>1085.5999999999999</v>
          </cell>
        </row>
        <row r="227">
          <cell r="A227">
            <v>1613000570</v>
          </cell>
          <cell r="B227" t="str">
            <v>מיכון אוטומציה</v>
          </cell>
          <cell r="C227">
            <v>300000</v>
          </cell>
          <cell r="D227">
            <v>194822.38</v>
          </cell>
          <cell r="E227">
            <v>1486.8</v>
          </cell>
          <cell r="F227">
            <v>196309.18</v>
          </cell>
        </row>
        <row r="228">
          <cell r="A228">
            <v>1613000720</v>
          </cell>
          <cell r="B228" t="str">
            <v>חומרים</v>
          </cell>
          <cell r="C228">
            <v>8000</v>
          </cell>
          <cell r="D228">
            <v>7774.2</v>
          </cell>
          <cell r="E228">
            <v>651</v>
          </cell>
          <cell r="F228">
            <v>8425.2000000000007</v>
          </cell>
        </row>
        <row r="229">
          <cell r="A229">
            <v>1613000760</v>
          </cell>
          <cell r="B229" t="str">
            <v>השתתפות בתקציב ועד עובדים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1613000770</v>
          </cell>
          <cell r="B230" t="str">
            <v>טקסים ואירועים</v>
          </cell>
          <cell r="C230">
            <v>20000</v>
          </cell>
          <cell r="D230">
            <v>10779.14</v>
          </cell>
          <cell r="E230">
            <v>9125</v>
          </cell>
          <cell r="F230">
            <v>19904.14</v>
          </cell>
        </row>
        <row r="231">
          <cell r="A231">
            <v>1613001523</v>
          </cell>
          <cell r="B231" t="str">
            <v>דמי חבר -קידום מקצועי וחברתי</v>
          </cell>
          <cell r="C231">
            <v>0</v>
          </cell>
          <cell r="D231">
            <v>12013.5</v>
          </cell>
          <cell r="E231">
            <v>0</v>
          </cell>
          <cell r="F231">
            <v>12013.5</v>
          </cell>
        </row>
        <row r="232">
          <cell r="A232">
            <v>1613001541</v>
          </cell>
          <cell r="B232" t="str">
            <v>סלקום - עובדים</v>
          </cell>
          <cell r="C232">
            <v>0</v>
          </cell>
          <cell r="D232">
            <v>26886.880000000001</v>
          </cell>
          <cell r="E232">
            <v>0</v>
          </cell>
          <cell r="F232">
            <v>26886.880000000001</v>
          </cell>
        </row>
        <row r="233">
          <cell r="A233">
            <v>1613002523</v>
          </cell>
          <cell r="B233" t="str">
            <v>דמי חבר-קרן רווחת עובדי הרשות</v>
          </cell>
          <cell r="C233">
            <v>0</v>
          </cell>
          <cell r="D233">
            <v>9628</v>
          </cell>
          <cell r="E233">
            <v>0</v>
          </cell>
          <cell r="F233">
            <v>9628</v>
          </cell>
        </row>
        <row r="234">
          <cell r="A234">
            <v>1614000410</v>
          </cell>
          <cell r="B234" t="str">
            <v>שכירות שירותים ציבוריים</v>
          </cell>
          <cell r="C234">
            <v>18000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1614000435</v>
          </cell>
          <cell r="B235" t="str">
            <v>צריכת מים שירותים ציבוריים</v>
          </cell>
          <cell r="C235">
            <v>7800</v>
          </cell>
          <cell r="D235">
            <v>7450.3</v>
          </cell>
          <cell r="E235">
            <v>0</v>
          </cell>
          <cell r="F235">
            <v>7450.3</v>
          </cell>
        </row>
        <row r="236">
          <cell r="A236">
            <v>1614000720</v>
          </cell>
          <cell r="B236" t="str">
            <v>חומרי לשירותים ציבוריים</v>
          </cell>
          <cell r="C236">
            <v>3000</v>
          </cell>
          <cell r="D236">
            <v>0</v>
          </cell>
          <cell r="E236">
            <v>500</v>
          </cell>
          <cell r="F236">
            <v>500</v>
          </cell>
        </row>
        <row r="237">
          <cell r="A237">
            <v>1617000581</v>
          </cell>
          <cell r="B237" t="str">
            <v>הוצאות משפטיות-אגרות</v>
          </cell>
          <cell r="C237">
            <v>20000</v>
          </cell>
          <cell r="D237">
            <v>6584</v>
          </cell>
          <cell r="E237">
            <v>0</v>
          </cell>
          <cell r="F237">
            <v>6584</v>
          </cell>
        </row>
        <row r="238">
          <cell r="A238">
            <v>1617000750</v>
          </cell>
          <cell r="B238" t="str">
            <v>משפטיות</v>
          </cell>
          <cell r="C238">
            <v>350000</v>
          </cell>
          <cell r="D238">
            <v>406787.59</v>
          </cell>
          <cell r="E238">
            <v>0</v>
          </cell>
          <cell r="F238">
            <v>406787.59</v>
          </cell>
        </row>
        <row r="239">
          <cell r="A239">
            <v>1617000751</v>
          </cell>
          <cell r="B239" t="str">
            <v>הוצאות משפטיות</v>
          </cell>
          <cell r="C239">
            <v>0</v>
          </cell>
          <cell r="D239">
            <v>38923</v>
          </cell>
          <cell r="E239">
            <v>0</v>
          </cell>
          <cell r="F239">
            <v>38923</v>
          </cell>
        </row>
        <row r="240">
          <cell r="A240">
            <v>1617100750</v>
          </cell>
          <cell r="B240" t="str">
            <v>משפטיות כ"א</v>
          </cell>
          <cell r="C240">
            <v>0</v>
          </cell>
          <cell r="D240">
            <v>5100</v>
          </cell>
          <cell r="E240">
            <v>0</v>
          </cell>
          <cell r="F240">
            <v>5100</v>
          </cell>
        </row>
        <row r="241">
          <cell r="A241">
            <v>1619000780</v>
          </cell>
          <cell r="B241" t="str">
            <v>בחירות-שכר ופרסומים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1621000110</v>
          </cell>
          <cell r="B242" t="str">
            <v>שכר גזברות</v>
          </cell>
          <cell r="C242">
            <v>1164000</v>
          </cell>
          <cell r="D242">
            <v>1277525.5900000001</v>
          </cell>
          <cell r="E242">
            <v>0</v>
          </cell>
          <cell r="F242">
            <v>1277525.5900000001</v>
          </cell>
        </row>
        <row r="243">
          <cell r="A243">
            <v>1621000450</v>
          </cell>
          <cell r="B243" t="str">
            <v>גזברות ריהוט ואחזקתו</v>
          </cell>
          <cell r="C243">
            <v>3000</v>
          </cell>
          <cell r="D243">
            <v>0</v>
          </cell>
          <cell r="E243">
            <v>280</v>
          </cell>
          <cell r="F243">
            <v>280</v>
          </cell>
        </row>
        <row r="244">
          <cell r="A244">
            <v>1621000470</v>
          </cell>
          <cell r="B244" t="str">
            <v>גזברות-ציוד משרדי</v>
          </cell>
          <cell r="C244">
            <v>3000</v>
          </cell>
          <cell r="D244">
            <v>477.2</v>
          </cell>
          <cell r="E244">
            <v>2348.65</v>
          </cell>
          <cell r="F244">
            <v>2825.85</v>
          </cell>
        </row>
        <row r="245">
          <cell r="A245">
            <v>1621000510</v>
          </cell>
          <cell r="B245" t="str">
            <v>כיבודים</v>
          </cell>
          <cell r="C245">
            <v>3000</v>
          </cell>
          <cell r="D245">
            <v>2719.96</v>
          </cell>
          <cell r="E245">
            <v>300</v>
          </cell>
          <cell r="F245">
            <v>3019.96</v>
          </cell>
        </row>
        <row r="246">
          <cell r="A246">
            <v>1621000521</v>
          </cell>
          <cell r="B246" t="str">
            <v>השתלמויות</v>
          </cell>
          <cell r="C246">
            <v>10000</v>
          </cell>
          <cell r="D246">
            <v>15463.5</v>
          </cell>
          <cell r="E246">
            <v>0</v>
          </cell>
          <cell r="F246">
            <v>15463.5</v>
          </cell>
        </row>
        <row r="247">
          <cell r="A247">
            <v>1621000523</v>
          </cell>
          <cell r="B247" t="str">
            <v>דמי חבר</v>
          </cell>
          <cell r="C247">
            <v>5000</v>
          </cell>
          <cell r="D247">
            <v>3000</v>
          </cell>
          <cell r="E247">
            <v>0</v>
          </cell>
          <cell r="F247">
            <v>3000</v>
          </cell>
        </row>
        <row r="248">
          <cell r="A248">
            <v>1621000750</v>
          </cell>
          <cell r="B248" t="str">
            <v>קבלניות</v>
          </cell>
          <cell r="C248">
            <v>260000</v>
          </cell>
          <cell r="D248">
            <v>108981</v>
          </cell>
          <cell r="E248">
            <v>52392</v>
          </cell>
          <cell r="F248">
            <v>161373</v>
          </cell>
        </row>
        <row r="249">
          <cell r="A249">
            <v>1623000110</v>
          </cell>
          <cell r="B249" t="str">
            <v>שכר גבייה</v>
          </cell>
          <cell r="C249">
            <v>629000</v>
          </cell>
          <cell r="D249">
            <v>563343.25</v>
          </cell>
          <cell r="E249">
            <v>0</v>
          </cell>
          <cell r="F249">
            <v>563343.25</v>
          </cell>
        </row>
        <row r="250">
          <cell r="A250">
            <v>1623000410</v>
          </cell>
          <cell r="B250" t="str">
            <v>גביה שכר דירה</v>
          </cell>
          <cell r="C250">
            <v>66000</v>
          </cell>
          <cell r="D250">
            <v>66000</v>
          </cell>
          <cell r="E250">
            <v>0</v>
          </cell>
          <cell r="F250">
            <v>66000</v>
          </cell>
        </row>
        <row r="251">
          <cell r="A251">
            <v>1623000430</v>
          </cell>
          <cell r="B251" t="str">
            <v>גביה חשמל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1623000470</v>
          </cell>
          <cell r="B252" t="str">
            <v>גביה-ציוד משרדי</v>
          </cell>
          <cell r="C252">
            <v>5000</v>
          </cell>
          <cell r="D252">
            <v>6134.06</v>
          </cell>
          <cell r="E252">
            <v>4071</v>
          </cell>
          <cell r="F252">
            <v>10205.06</v>
          </cell>
        </row>
        <row r="253">
          <cell r="A253">
            <v>1623000540</v>
          </cell>
          <cell r="B253" t="str">
            <v>גביה תקשורת</v>
          </cell>
          <cell r="C253">
            <v>5000</v>
          </cell>
          <cell r="D253">
            <v>6684.69</v>
          </cell>
          <cell r="E253">
            <v>0</v>
          </cell>
          <cell r="F253">
            <v>6684.69</v>
          </cell>
        </row>
        <row r="254">
          <cell r="A254">
            <v>1623000720</v>
          </cell>
          <cell r="B254" t="str">
            <v>חומרים - גבייה</v>
          </cell>
          <cell r="C254">
            <v>4000</v>
          </cell>
          <cell r="D254">
            <v>0</v>
          </cell>
          <cell r="E254">
            <v>3421.19</v>
          </cell>
          <cell r="F254">
            <v>3421.19</v>
          </cell>
        </row>
        <row r="255">
          <cell r="A255">
            <v>1623000750</v>
          </cell>
          <cell r="B255" t="str">
            <v>גביה קבלניות</v>
          </cell>
          <cell r="C255">
            <v>500000</v>
          </cell>
          <cell r="D255">
            <v>445964.95</v>
          </cell>
          <cell r="E255">
            <v>9682.3700000000008</v>
          </cell>
          <cell r="F255">
            <v>455647.32</v>
          </cell>
        </row>
        <row r="256">
          <cell r="A256">
            <v>1623000780</v>
          </cell>
          <cell r="B256" t="str">
            <v>גביה הוצ' שונות</v>
          </cell>
          <cell r="C256">
            <v>0</v>
          </cell>
          <cell r="D256">
            <v>195.45</v>
          </cell>
          <cell r="E256">
            <v>0</v>
          </cell>
          <cell r="F256">
            <v>195.45</v>
          </cell>
        </row>
        <row r="257">
          <cell r="A257">
            <v>1631000610</v>
          </cell>
          <cell r="B257" t="str">
            <v>עמלות</v>
          </cell>
          <cell r="C257">
            <v>350000</v>
          </cell>
          <cell r="D257">
            <v>377061.77</v>
          </cell>
          <cell r="E257">
            <v>0</v>
          </cell>
          <cell r="F257">
            <v>377061.77</v>
          </cell>
        </row>
        <row r="258">
          <cell r="A258">
            <v>1631000611</v>
          </cell>
          <cell r="B258" t="str">
            <v>מע"מ עמלות בנק דואר</v>
          </cell>
          <cell r="C258">
            <v>0</v>
          </cell>
          <cell r="D258">
            <v>271.16000000000003</v>
          </cell>
          <cell r="E258">
            <v>0</v>
          </cell>
          <cell r="F258">
            <v>271.16000000000003</v>
          </cell>
        </row>
        <row r="259">
          <cell r="A259">
            <v>1631000650</v>
          </cell>
          <cell r="B259" t="str">
            <v>רבית הו"צ מימון-ספקים</v>
          </cell>
          <cell r="C259">
            <v>2340000</v>
          </cell>
          <cell r="D259">
            <v>3694367.1</v>
          </cell>
          <cell r="E259">
            <v>0</v>
          </cell>
          <cell r="F259">
            <v>3694367.1</v>
          </cell>
        </row>
        <row r="260">
          <cell r="A260">
            <v>1631100610</v>
          </cell>
          <cell r="B260" t="str">
            <v>עמלות עיקולים</v>
          </cell>
          <cell r="C260">
            <v>40000</v>
          </cell>
          <cell r="D260">
            <v>19911.259999999998</v>
          </cell>
          <cell r="E260">
            <v>0</v>
          </cell>
          <cell r="F260">
            <v>19911.259999999998</v>
          </cell>
        </row>
        <row r="261">
          <cell r="A261">
            <v>1632000610</v>
          </cell>
          <cell r="B261" t="str">
            <v>ריבית חובה עו"ש</v>
          </cell>
          <cell r="C261">
            <v>30000</v>
          </cell>
          <cell r="D261">
            <v>95912.639999999999</v>
          </cell>
          <cell r="E261">
            <v>0</v>
          </cell>
          <cell r="F261">
            <v>95912.639999999999</v>
          </cell>
        </row>
        <row r="262">
          <cell r="A262">
            <v>1632000620</v>
          </cell>
          <cell r="B262" t="str">
            <v>רבית משיכת יתר-בנקים</v>
          </cell>
          <cell r="C262">
            <v>120000</v>
          </cell>
          <cell r="D262">
            <v>128272.87</v>
          </cell>
          <cell r="E262">
            <v>0</v>
          </cell>
          <cell r="F262">
            <v>128272.87</v>
          </cell>
        </row>
        <row r="263">
          <cell r="A263">
            <v>1649100691</v>
          </cell>
          <cell r="B263" t="str">
            <v>מלוות קרן</v>
          </cell>
          <cell r="C263">
            <v>1502000</v>
          </cell>
          <cell r="D263">
            <v>1598296.53</v>
          </cell>
          <cell r="E263">
            <v>0</v>
          </cell>
          <cell r="F263">
            <v>1598296.53</v>
          </cell>
        </row>
        <row r="264">
          <cell r="A264">
            <v>1649100692</v>
          </cell>
          <cell r="B264" t="str">
            <v>מלוות ריבית</v>
          </cell>
          <cell r="C264">
            <v>630000</v>
          </cell>
          <cell r="D264">
            <v>689339.75</v>
          </cell>
          <cell r="E264">
            <v>0</v>
          </cell>
          <cell r="F264">
            <v>689339.75</v>
          </cell>
        </row>
        <row r="265">
          <cell r="A265">
            <v>1649100693</v>
          </cell>
          <cell r="B265" t="str">
            <v>מלוות הצמדה</v>
          </cell>
          <cell r="C265">
            <v>195000</v>
          </cell>
          <cell r="D265">
            <v>177837.98</v>
          </cell>
          <cell r="E265">
            <v>0</v>
          </cell>
          <cell r="F265">
            <v>177837.98</v>
          </cell>
        </row>
        <row r="266">
          <cell r="A266">
            <v>1711000735</v>
          </cell>
          <cell r="B266" t="str">
            <v>תברואה-שכירות רכב</v>
          </cell>
          <cell r="C266">
            <v>65000</v>
          </cell>
          <cell r="D266">
            <v>58331.96</v>
          </cell>
          <cell r="E266">
            <v>0</v>
          </cell>
          <cell r="F266">
            <v>58331.96</v>
          </cell>
        </row>
        <row r="267">
          <cell r="A267">
            <v>1711100110</v>
          </cell>
          <cell r="B267" t="str">
            <v>שכר תברואה</v>
          </cell>
          <cell r="C267">
            <v>210000</v>
          </cell>
          <cell r="D267">
            <v>403122</v>
          </cell>
          <cell r="E267">
            <v>0</v>
          </cell>
          <cell r="F267">
            <v>403122</v>
          </cell>
        </row>
        <row r="268">
          <cell r="A268">
            <v>1712200730</v>
          </cell>
          <cell r="B268" t="str">
            <v>אחזקה ודלק</v>
          </cell>
          <cell r="C268">
            <v>36000</v>
          </cell>
          <cell r="D268">
            <v>24504.39</v>
          </cell>
          <cell r="E268">
            <v>0</v>
          </cell>
          <cell r="F268">
            <v>24504.39</v>
          </cell>
        </row>
        <row r="269">
          <cell r="A269">
            <v>1712200750</v>
          </cell>
          <cell r="B269" t="str">
            <v>ניקוי רחובות</v>
          </cell>
          <cell r="C269">
            <v>49413</v>
          </cell>
          <cell r="D269">
            <v>44809.21</v>
          </cell>
          <cell r="E269">
            <v>0</v>
          </cell>
          <cell r="F269">
            <v>44809.21</v>
          </cell>
        </row>
        <row r="270">
          <cell r="A270">
            <v>1712300720</v>
          </cell>
          <cell r="B270" t="str">
            <v>חומרים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1712300750</v>
          </cell>
          <cell r="B271" t="str">
            <v>קבלניות אשפה</v>
          </cell>
          <cell r="C271">
            <v>4760000</v>
          </cell>
          <cell r="D271">
            <v>4413456.21</v>
          </cell>
          <cell r="E271">
            <v>184150.8</v>
          </cell>
          <cell r="F271">
            <v>4597607.01</v>
          </cell>
        </row>
        <row r="272">
          <cell r="A272">
            <v>1712300930</v>
          </cell>
          <cell r="B272" t="str">
            <v>כלי אצירה</v>
          </cell>
          <cell r="C272">
            <v>50000</v>
          </cell>
          <cell r="D272">
            <v>0</v>
          </cell>
          <cell r="E272">
            <v>32190.400000000001</v>
          </cell>
          <cell r="F272">
            <v>32190.400000000001</v>
          </cell>
        </row>
        <row r="273">
          <cell r="A273">
            <v>1713000410</v>
          </cell>
          <cell r="B273" t="str">
            <v>דמי חכירה- קרקע תחנת מעבר</v>
          </cell>
          <cell r="C273">
            <v>60500</v>
          </cell>
          <cell r="D273">
            <v>64900</v>
          </cell>
          <cell r="E273">
            <v>0</v>
          </cell>
          <cell r="F273">
            <v>64900</v>
          </cell>
        </row>
        <row r="274">
          <cell r="A274">
            <v>1713300750</v>
          </cell>
          <cell r="B274" t="str">
            <v>רישוי עסקים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1714300720</v>
          </cell>
          <cell r="B275" t="str">
            <v>מלחמה בכלבת</v>
          </cell>
          <cell r="C275">
            <v>5000</v>
          </cell>
          <cell r="D275">
            <v>6728</v>
          </cell>
          <cell r="E275">
            <v>0</v>
          </cell>
          <cell r="F275">
            <v>6728</v>
          </cell>
        </row>
        <row r="276">
          <cell r="A276">
            <v>1714300721</v>
          </cell>
          <cell r="B276" t="str">
            <v>קבלניות וטרינר</v>
          </cell>
          <cell r="C276">
            <v>100000</v>
          </cell>
          <cell r="D276">
            <v>54604.4</v>
          </cell>
          <cell r="E276">
            <v>35650.58</v>
          </cell>
          <cell r="F276">
            <v>90254.98</v>
          </cell>
        </row>
        <row r="277">
          <cell r="A277">
            <v>1715300750</v>
          </cell>
          <cell r="B277" t="str">
            <v>קבלניות הדברה</v>
          </cell>
          <cell r="C277">
            <v>50000</v>
          </cell>
          <cell r="D277">
            <v>28894</v>
          </cell>
          <cell r="E277">
            <v>15340</v>
          </cell>
          <cell r="F277">
            <v>44234</v>
          </cell>
        </row>
        <row r="278">
          <cell r="A278">
            <v>1720000410</v>
          </cell>
          <cell r="B278" t="str">
            <v>שכירות מרכז צעירים</v>
          </cell>
          <cell r="C278">
            <v>36000</v>
          </cell>
          <cell r="D278">
            <v>44500</v>
          </cell>
          <cell r="E278">
            <v>0</v>
          </cell>
          <cell r="F278">
            <v>44500</v>
          </cell>
        </row>
        <row r="279">
          <cell r="A279">
            <v>1720000431</v>
          </cell>
          <cell r="B279" t="str">
            <v>חשמל ומים מרכז צעירים</v>
          </cell>
          <cell r="C279">
            <v>5000</v>
          </cell>
          <cell r="D279">
            <v>238.39</v>
          </cell>
          <cell r="E279">
            <v>0</v>
          </cell>
          <cell r="F279">
            <v>238.39</v>
          </cell>
        </row>
        <row r="280">
          <cell r="A280">
            <v>1721000110</v>
          </cell>
          <cell r="B280" t="str">
            <v>שכר שמירה וביטחון</v>
          </cell>
          <cell r="C280">
            <v>220000</v>
          </cell>
          <cell r="D280">
            <v>232178.78</v>
          </cell>
          <cell r="E280">
            <v>0</v>
          </cell>
          <cell r="F280">
            <v>232178.78</v>
          </cell>
        </row>
        <row r="281">
          <cell r="A281">
            <v>1721000470</v>
          </cell>
          <cell r="B281" t="str">
            <v>ציוד משרדי</v>
          </cell>
          <cell r="C281">
            <v>1000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1721000540</v>
          </cell>
          <cell r="B282" t="str">
            <v>משמר אזרחי-תקשורת</v>
          </cell>
          <cell r="C282">
            <v>4000</v>
          </cell>
          <cell r="D282">
            <v>9273.57</v>
          </cell>
          <cell r="E282">
            <v>0</v>
          </cell>
          <cell r="F282">
            <v>9273.57</v>
          </cell>
        </row>
        <row r="283">
          <cell r="A283">
            <v>1721000541</v>
          </cell>
          <cell r="B283" t="str">
            <v>מח' שמירה ובטחון-סלקום</v>
          </cell>
          <cell r="C283">
            <v>11000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1721000730</v>
          </cell>
          <cell r="B284" t="str">
            <v>תחזוקת קטנוע</v>
          </cell>
          <cell r="C284">
            <v>8000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1721000731</v>
          </cell>
          <cell r="B285" t="str">
            <v>דלק רכב - קב"ט</v>
          </cell>
          <cell r="C285">
            <v>14400</v>
          </cell>
          <cell r="D285">
            <v>14219.44</v>
          </cell>
          <cell r="E285">
            <v>0</v>
          </cell>
          <cell r="F285">
            <v>14219.44</v>
          </cell>
        </row>
        <row r="286">
          <cell r="A286">
            <v>1721000735</v>
          </cell>
          <cell r="B286" t="str">
            <v>שכירות רכב קב"ט</v>
          </cell>
          <cell r="C286">
            <v>30000</v>
          </cell>
          <cell r="D286">
            <v>26840</v>
          </cell>
          <cell r="E286">
            <v>0</v>
          </cell>
          <cell r="F286">
            <v>26840</v>
          </cell>
        </row>
        <row r="287">
          <cell r="A287">
            <v>1721000750</v>
          </cell>
          <cell r="B287" t="str">
            <v>שמירה עמדה דרומית</v>
          </cell>
          <cell r="C287">
            <v>0</v>
          </cell>
          <cell r="D287">
            <v>1087.52</v>
          </cell>
          <cell r="E287">
            <v>0</v>
          </cell>
          <cell r="F287">
            <v>1087.52</v>
          </cell>
        </row>
        <row r="288">
          <cell r="A288">
            <v>1721000780</v>
          </cell>
          <cell r="B288" t="str">
            <v>חומרים</v>
          </cell>
          <cell r="C288">
            <v>1000</v>
          </cell>
          <cell r="D288">
            <v>0</v>
          </cell>
          <cell r="E288">
            <v>250</v>
          </cell>
          <cell r="F288">
            <v>250</v>
          </cell>
        </row>
        <row r="289">
          <cell r="A289">
            <v>1723000523</v>
          </cell>
          <cell r="B289" t="str">
            <v>דמי חבר קב"ט</v>
          </cell>
          <cell r="C289">
            <v>0</v>
          </cell>
          <cell r="D289">
            <v>495</v>
          </cell>
          <cell r="E289">
            <v>0</v>
          </cell>
          <cell r="F289">
            <v>495</v>
          </cell>
        </row>
        <row r="290">
          <cell r="A290">
            <v>1723000541</v>
          </cell>
          <cell r="B290" t="str">
            <v>מירס -הג"א</v>
          </cell>
          <cell r="C290">
            <v>0</v>
          </cell>
          <cell r="D290">
            <v>10384.48</v>
          </cell>
          <cell r="E290">
            <v>0</v>
          </cell>
          <cell r="F290">
            <v>10384.48</v>
          </cell>
        </row>
        <row r="291">
          <cell r="A291">
            <v>1723000735</v>
          </cell>
          <cell r="B291" t="str">
            <v>שכירות רכב קב"ט</v>
          </cell>
          <cell r="C291">
            <v>0</v>
          </cell>
          <cell r="D291">
            <v>2542</v>
          </cell>
          <cell r="E291">
            <v>0</v>
          </cell>
          <cell r="F291">
            <v>2542</v>
          </cell>
        </row>
        <row r="292">
          <cell r="A292">
            <v>1723000830</v>
          </cell>
          <cell r="B292" t="str">
            <v>הג"א שעת חירום</v>
          </cell>
          <cell r="C292">
            <v>56969</v>
          </cell>
          <cell r="D292">
            <v>28875.56</v>
          </cell>
          <cell r="E292">
            <v>25189.3</v>
          </cell>
          <cell r="F292">
            <v>54064.86</v>
          </cell>
        </row>
        <row r="293">
          <cell r="A293">
            <v>1723100830</v>
          </cell>
          <cell r="B293" t="str">
            <v>הג"א כלל ארצי</v>
          </cell>
          <cell r="C293">
            <v>95936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1724000830</v>
          </cell>
          <cell r="B294" t="str">
            <v>כיבוי אש השתתפויות</v>
          </cell>
          <cell r="C294">
            <v>297319</v>
          </cell>
          <cell r="D294">
            <v>320444</v>
          </cell>
          <cell r="E294">
            <v>0</v>
          </cell>
          <cell r="F294">
            <v>320444</v>
          </cell>
        </row>
        <row r="295">
          <cell r="A295">
            <v>1726200810</v>
          </cell>
          <cell r="B295" t="str">
            <v>הוצאות בטחון שונות</v>
          </cell>
          <cell r="C295">
            <v>4000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1731000110</v>
          </cell>
          <cell r="B296" t="str">
            <v>שכר הנדסה</v>
          </cell>
          <cell r="C296">
            <v>1052000</v>
          </cell>
          <cell r="D296">
            <v>861088.29</v>
          </cell>
          <cell r="E296">
            <v>0</v>
          </cell>
          <cell r="F296">
            <v>861088.29</v>
          </cell>
        </row>
        <row r="297">
          <cell r="A297">
            <v>1731000410</v>
          </cell>
          <cell r="B297" t="str">
            <v>שכ"ד מחלקת הנדסה</v>
          </cell>
          <cell r="C297">
            <v>26400</v>
          </cell>
          <cell r="D297">
            <v>16800</v>
          </cell>
          <cell r="E297">
            <v>0</v>
          </cell>
          <cell r="F297">
            <v>16800</v>
          </cell>
        </row>
        <row r="298">
          <cell r="A298">
            <v>1731000541</v>
          </cell>
          <cell r="B298" t="str">
            <v>הנדסה - השתלמיות ומשרדיות</v>
          </cell>
          <cell r="C298">
            <v>11000</v>
          </cell>
          <cell r="D298">
            <v>13855.64</v>
          </cell>
          <cell r="E298">
            <v>0</v>
          </cell>
          <cell r="F298">
            <v>13855.64</v>
          </cell>
        </row>
        <row r="299">
          <cell r="A299">
            <v>1731000750</v>
          </cell>
          <cell r="B299" t="str">
            <v>קבלניות-תכנון פרוייקטים</v>
          </cell>
          <cell r="C299">
            <v>26000</v>
          </cell>
          <cell r="D299">
            <v>9466.42</v>
          </cell>
          <cell r="E299">
            <v>795</v>
          </cell>
          <cell r="F299">
            <v>10261.42</v>
          </cell>
        </row>
        <row r="300">
          <cell r="A300">
            <v>1733100830</v>
          </cell>
          <cell r="B300" t="str">
            <v>רכס הכרמל -פעולות כלליות</v>
          </cell>
          <cell r="C300">
            <v>2879000</v>
          </cell>
          <cell r="D300">
            <v>1684334</v>
          </cell>
          <cell r="E300">
            <v>0</v>
          </cell>
          <cell r="F300">
            <v>1684334</v>
          </cell>
        </row>
        <row r="301">
          <cell r="A301">
            <v>1742000780</v>
          </cell>
          <cell r="B301" t="str">
            <v>הוצאות בלתי צפויות</v>
          </cell>
          <cell r="C301">
            <v>104987</v>
          </cell>
          <cell r="D301">
            <v>81833</v>
          </cell>
          <cell r="E301">
            <v>14160</v>
          </cell>
          <cell r="F301">
            <v>95993</v>
          </cell>
        </row>
        <row r="302">
          <cell r="A302">
            <v>1742200110</v>
          </cell>
          <cell r="B302" t="str">
            <v>שכר מח' אחזקת נכסים</v>
          </cell>
          <cell r="C302">
            <v>480500</v>
          </cell>
          <cell r="D302">
            <v>516796.44</v>
          </cell>
          <cell r="E302">
            <v>0</v>
          </cell>
          <cell r="F302">
            <v>516796.44</v>
          </cell>
        </row>
        <row r="303">
          <cell r="A303">
            <v>1742200720</v>
          </cell>
          <cell r="B303" t="str">
            <v>כבישים חמרים</v>
          </cell>
          <cell r="C303">
            <v>10000</v>
          </cell>
          <cell r="D303">
            <v>10000</v>
          </cell>
          <cell r="E303">
            <v>0</v>
          </cell>
          <cell r="F303">
            <v>10000</v>
          </cell>
        </row>
        <row r="304">
          <cell r="A304">
            <v>1742200750</v>
          </cell>
          <cell r="B304" t="str">
            <v>כבישים קבלניות</v>
          </cell>
          <cell r="C304">
            <v>262575</v>
          </cell>
          <cell r="D304">
            <v>87843.49</v>
          </cell>
          <cell r="E304">
            <v>170309.41</v>
          </cell>
          <cell r="F304">
            <v>258152.9</v>
          </cell>
        </row>
        <row r="305">
          <cell r="A305">
            <v>1742200780</v>
          </cell>
          <cell r="B305" t="str">
            <v>כבישים שונות</v>
          </cell>
          <cell r="C305">
            <v>800</v>
          </cell>
          <cell r="D305">
            <v>800</v>
          </cell>
          <cell r="E305">
            <v>0</v>
          </cell>
          <cell r="F305">
            <v>800</v>
          </cell>
        </row>
        <row r="306">
          <cell r="A306">
            <v>1743000432</v>
          </cell>
          <cell r="B306" t="str">
            <v>מים לגנים</v>
          </cell>
          <cell r="C306">
            <v>115000</v>
          </cell>
          <cell r="D306">
            <v>87597.9</v>
          </cell>
          <cell r="E306">
            <v>0</v>
          </cell>
          <cell r="F306">
            <v>87597.9</v>
          </cell>
        </row>
        <row r="307">
          <cell r="A307">
            <v>1743000770</v>
          </cell>
          <cell r="B307" t="str">
            <v>תאורת רחובות</v>
          </cell>
          <cell r="C307">
            <v>650000</v>
          </cell>
          <cell r="D307">
            <v>994811.11</v>
          </cell>
          <cell r="E307">
            <v>0</v>
          </cell>
          <cell r="F307">
            <v>994811.11</v>
          </cell>
        </row>
        <row r="308">
          <cell r="A308">
            <v>1743100750</v>
          </cell>
          <cell r="B308" t="str">
            <v>קבלניות ואחזקת חשמל</v>
          </cell>
          <cell r="C308">
            <v>120000</v>
          </cell>
          <cell r="D308">
            <v>75556.399999999994</v>
          </cell>
          <cell r="E308">
            <v>2832</v>
          </cell>
          <cell r="F308">
            <v>78388.399999999994</v>
          </cell>
        </row>
        <row r="309">
          <cell r="A309">
            <v>1744000720</v>
          </cell>
          <cell r="B309" t="str">
            <v>בטיחות בדרכים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1745000810</v>
          </cell>
          <cell r="B310" t="str">
            <v>רשות ניקוז-השתתפות</v>
          </cell>
          <cell r="C310">
            <v>124000</v>
          </cell>
          <cell r="D310">
            <v>124000</v>
          </cell>
          <cell r="E310">
            <v>0</v>
          </cell>
          <cell r="F310">
            <v>124000</v>
          </cell>
        </row>
        <row r="311">
          <cell r="A311">
            <v>1746000750</v>
          </cell>
          <cell r="B311" t="str">
            <v>קבלניות - שדרה ראשית ושצ"פ</v>
          </cell>
          <cell r="C311">
            <v>16000</v>
          </cell>
          <cell r="D311">
            <v>12489</v>
          </cell>
          <cell r="E311">
            <v>1098</v>
          </cell>
          <cell r="F311">
            <v>13587</v>
          </cell>
        </row>
        <row r="312">
          <cell r="A312">
            <v>1748000430</v>
          </cell>
          <cell r="B312" t="str">
            <v>בתי קברות חשמל ומים</v>
          </cell>
          <cell r="C312">
            <v>0</v>
          </cell>
          <cell r="D312">
            <v>335.14</v>
          </cell>
          <cell r="E312">
            <v>0</v>
          </cell>
          <cell r="F312">
            <v>335.14</v>
          </cell>
        </row>
        <row r="313">
          <cell r="A313">
            <v>1748000432</v>
          </cell>
          <cell r="B313" t="str">
            <v>בתי קברות מים</v>
          </cell>
          <cell r="C313">
            <v>8600</v>
          </cell>
          <cell r="D313">
            <v>9443.9</v>
          </cell>
          <cell r="E313">
            <v>0</v>
          </cell>
          <cell r="F313">
            <v>9443.9</v>
          </cell>
        </row>
        <row r="314">
          <cell r="A314">
            <v>1748000720</v>
          </cell>
          <cell r="B314" t="str">
            <v>בית קברות חומרים</v>
          </cell>
          <cell r="C314">
            <v>2000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1767000440</v>
          </cell>
          <cell r="B315" t="str">
            <v>ביטוחים</v>
          </cell>
          <cell r="C315">
            <v>670000</v>
          </cell>
          <cell r="D315">
            <v>916210</v>
          </cell>
          <cell r="E315">
            <v>2950</v>
          </cell>
          <cell r="F315">
            <v>919160</v>
          </cell>
        </row>
        <row r="316">
          <cell r="A316">
            <v>1769000110</v>
          </cell>
          <cell r="B316" t="str">
            <v>רכז הכוונת חיילים משוחררים</v>
          </cell>
          <cell r="C316">
            <v>45000</v>
          </cell>
          <cell r="D316">
            <v>3159.83</v>
          </cell>
          <cell r="E316">
            <v>0</v>
          </cell>
          <cell r="F316">
            <v>3159.83</v>
          </cell>
        </row>
        <row r="317">
          <cell r="A317">
            <v>1781000110</v>
          </cell>
          <cell r="B317" t="str">
            <v>פקחי רישוי-שכר</v>
          </cell>
          <cell r="C317">
            <v>0</v>
          </cell>
          <cell r="D317">
            <v>24437.8</v>
          </cell>
          <cell r="E317">
            <v>0</v>
          </cell>
          <cell r="F317">
            <v>24437.8</v>
          </cell>
        </row>
        <row r="318">
          <cell r="A318">
            <v>1811000410</v>
          </cell>
          <cell r="B318" t="str">
            <v>חינוך שכ"ד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1811000430</v>
          </cell>
          <cell r="B319" t="str">
            <v>חינוך-שכירות החזר חשמל-מים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1811000470</v>
          </cell>
          <cell r="B320" t="str">
            <v>חינוך-ציוד משרדי</v>
          </cell>
          <cell r="C320">
            <v>3000</v>
          </cell>
          <cell r="D320">
            <v>2250.2800000000002</v>
          </cell>
          <cell r="E320">
            <v>365</v>
          </cell>
          <cell r="F320">
            <v>2615.2800000000002</v>
          </cell>
        </row>
        <row r="321">
          <cell r="A321">
            <v>1811000510</v>
          </cell>
          <cell r="B321" t="str">
            <v>כיבוד מחלקת חינוך</v>
          </cell>
          <cell r="C321">
            <v>6000</v>
          </cell>
          <cell r="D321">
            <v>2350</v>
          </cell>
          <cell r="E321">
            <v>150</v>
          </cell>
          <cell r="F321">
            <v>2500</v>
          </cell>
        </row>
        <row r="322">
          <cell r="A322">
            <v>1811000523</v>
          </cell>
          <cell r="B322" t="str">
            <v>דמי חבר</v>
          </cell>
          <cell r="C322">
            <v>2000</v>
          </cell>
          <cell r="D322">
            <v>11000</v>
          </cell>
          <cell r="E322">
            <v>0</v>
          </cell>
          <cell r="F322">
            <v>11000</v>
          </cell>
        </row>
        <row r="323">
          <cell r="A323">
            <v>1811000540</v>
          </cell>
          <cell r="B323" t="str">
            <v>חינוך-תקשורת</v>
          </cell>
          <cell r="C323">
            <v>7200</v>
          </cell>
          <cell r="D323">
            <v>15075.26</v>
          </cell>
          <cell r="E323">
            <v>0</v>
          </cell>
          <cell r="F323">
            <v>15075.26</v>
          </cell>
        </row>
        <row r="324">
          <cell r="A324">
            <v>1811000750</v>
          </cell>
          <cell r="B324" t="str">
            <v>הטמעת ניהול עצמי</v>
          </cell>
          <cell r="C324">
            <v>0</v>
          </cell>
          <cell r="D324">
            <v>11800</v>
          </cell>
          <cell r="E324">
            <v>0</v>
          </cell>
          <cell r="F324">
            <v>11800</v>
          </cell>
        </row>
        <row r="325">
          <cell r="A325">
            <v>1811100110</v>
          </cell>
          <cell r="B325" t="str">
            <v>שכר חינוך</v>
          </cell>
          <cell r="C325">
            <v>873000</v>
          </cell>
          <cell r="D325">
            <v>1015606.61</v>
          </cell>
          <cell r="E325">
            <v>0</v>
          </cell>
          <cell r="F325">
            <v>1015606.61</v>
          </cell>
        </row>
        <row r="326">
          <cell r="A326">
            <v>1812200110</v>
          </cell>
          <cell r="B326" t="str">
            <v>שכר גני ילדים עוזרות</v>
          </cell>
          <cell r="C326">
            <v>2457000</v>
          </cell>
          <cell r="D326">
            <v>2635554.29</v>
          </cell>
          <cell r="E326">
            <v>0</v>
          </cell>
          <cell r="F326">
            <v>2635554.29</v>
          </cell>
        </row>
        <row r="327">
          <cell r="A327">
            <v>1812200431</v>
          </cell>
          <cell r="B327" t="str">
            <v>חשמל גני ילדים</v>
          </cell>
          <cell r="C327">
            <v>70000</v>
          </cell>
          <cell r="D327">
            <v>52190.59</v>
          </cell>
          <cell r="E327">
            <v>0</v>
          </cell>
          <cell r="F327">
            <v>52190.59</v>
          </cell>
        </row>
        <row r="328">
          <cell r="A328">
            <v>1812200432</v>
          </cell>
          <cell r="B328" t="str">
            <v>מים גני ילדים</v>
          </cell>
          <cell r="C328">
            <v>60000</v>
          </cell>
          <cell r="D328">
            <v>64063.1</v>
          </cell>
          <cell r="E328">
            <v>0</v>
          </cell>
          <cell r="F328">
            <v>64063.1</v>
          </cell>
        </row>
        <row r="329">
          <cell r="A329">
            <v>1812200720</v>
          </cell>
          <cell r="B329" t="str">
            <v>גנ"י חומרים</v>
          </cell>
          <cell r="C329">
            <v>20000</v>
          </cell>
          <cell r="D329">
            <v>13173</v>
          </cell>
          <cell r="E329">
            <v>1460.3</v>
          </cell>
          <cell r="F329">
            <v>14633.3</v>
          </cell>
        </row>
        <row r="330">
          <cell r="A330">
            <v>1812200750</v>
          </cell>
          <cell r="B330" t="str">
            <v>גני ילדים-קבלניות</v>
          </cell>
          <cell r="C330">
            <v>20000</v>
          </cell>
          <cell r="D330">
            <v>12380.4</v>
          </cell>
          <cell r="E330">
            <v>3609.56</v>
          </cell>
          <cell r="F330">
            <v>15989.96</v>
          </cell>
        </row>
        <row r="331">
          <cell r="A331">
            <v>1812300110</v>
          </cell>
          <cell r="B331" t="str">
            <v>שכר עוזרות ט.חובה</v>
          </cell>
          <cell r="C331">
            <v>107500</v>
          </cell>
          <cell r="D331">
            <v>13497.47</v>
          </cell>
          <cell r="E331">
            <v>0</v>
          </cell>
          <cell r="F331">
            <v>13497.47</v>
          </cell>
        </row>
        <row r="332">
          <cell r="A332">
            <v>1812300410</v>
          </cell>
          <cell r="B332" t="str">
            <v>גנ"י טרום חובה שכ"ד</v>
          </cell>
          <cell r="C332">
            <v>312000</v>
          </cell>
          <cell r="D332">
            <v>308800</v>
          </cell>
          <cell r="E332">
            <v>0</v>
          </cell>
          <cell r="F332">
            <v>308800</v>
          </cell>
        </row>
        <row r="333">
          <cell r="A333">
            <v>1812300430</v>
          </cell>
          <cell r="B333" t="str">
            <v>מבוטל - גני ילדים חשמל ומים</v>
          </cell>
          <cell r="C333">
            <v>0</v>
          </cell>
          <cell r="D333">
            <v>10166.540000000001</v>
          </cell>
          <cell r="E333">
            <v>0</v>
          </cell>
          <cell r="F333">
            <v>10166.540000000001</v>
          </cell>
        </row>
        <row r="334">
          <cell r="A334">
            <v>1812300470</v>
          </cell>
          <cell r="B334" t="str">
            <v>ציוד משרדי</v>
          </cell>
          <cell r="C334">
            <v>3000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1812300540</v>
          </cell>
          <cell r="B335" t="str">
            <v>גני ילדים ט.חובה-תקשורת</v>
          </cell>
          <cell r="C335">
            <v>15000</v>
          </cell>
          <cell r="D335">
            <v>24125.86</v>
          </cell>
          <cell r="E335">
            <v>0</v>
          </cell>
          <cell r="F335">
            <v>24125.86</v>
          </cell>
        </row>
        <row r="336">
          <cell r="A336">
            <v>1812300720</v>
          </cell>
          <cell r="B336" t="str">
            <v>גנ"י טרום חומרים</v>
          </cell>
          <cell r="C336">
            <v>6000</v>
          </cell>
          <cell r="D336">
            <v>2120</v>
          </cell>
          <cell r="E336">
            <v>3197.2</v>
          </cell>
          <cell r="F336">
            <v>5317.2</v>
          </cell>
        </row>
        <row r="337">
          <cell r="A337">
            <v>1812300750</v>
          </cell>
          <cell r="B337" t="str">
            <v>גנ"י טרום-עב' קבלניות</v>
          </cell>
          <cell r="C337">
            <v>5000</v>
          </cell>
          <cell r="D337">
            <v>3411.8</v>
          </cell>
          <cell r="E337">
            <v>0</v>
          </cell>
          <cell r="F337">
            <v>3411.8</v>
          </cell>
        </row>
        <row r="338">
          <cell r="A338">
            <v>1812300760</v>
          </cell>
          <cell r="B338" t="str">
            <v>קיזוז הזנת גני ילדים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1812300820</v>
          </cell>
          <cell r="B339" t="str">
            <v>השתתפות בתקציב הגנים</v>
          </cell>
          <cell r="C339">
            <v>210000</v>
          </cell>
          <cell r="D339">
            <v>162000</v>
          </cell>
          <cell r="E339">
            <v>0</v>
          </cell>
          <cell r="F339">
            <v>162000</v>
          </cell>
        </row>
        <row r="340">
          <cell r="A340">
            <v>1812300930</v>
          </cell>
          <cell r="B340" t="str">
            <v>ציוד יסודי</v>
          </cell>
          <cell r="C340">
            <v>51000</v>
          </cell>
          <cell r="D340">
            <v>26829.599999999999</v>
          </cell>
          <cell r="E340">
            <v>22457</v>
          </cell>
          <cell r="F340">
            <v>49286.6</v>
          </cell>
        </row>
        <row r="341">
          <cell r="A341">
            <v>1812310414</v>
          </cell>
          <cell r="B341" t="str">
            <v>ג.ע.מדינה</v>
          </cell>
          <cell r="C341">
            <v>2342000</v>
          </cell>
          <cell r="D341">
            <v>2154239.81</v>
          </cell>
          <cell r="E341">
            <v>0</v>
          </cell>
          <cell r="F341">
            <v>2154239.81</v>
          </cell>
        </row>
        <row r="342">
          <cell r="A342">
            <v>1812500110</v>
          </cell>
          <cell r="B342" t="str">
            <v>שכר גני יוח"א-צהרונים</v>
          </cell>
          <cell r="C342">
            <v>310000</v>
          </cell>
          <cell r="D342">
            <v>406979.83</v>
          </cell>
          <cell r="E342">
            <v>0</v>
          </cell>
          <cell r="F342">
            <v>406979.83</v>
          </cell>
        </row>
        <row r="343">
          <cell r="A343">
            <v>1812500760</v>
          </cell>
          <cell r="B343" t="str">
            <v>פנימיות יום מיל"ת</v>
          </cell>
          <cell r="C343">
            <v>260000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1812501110</v>
          </cell>
          <cell r="B344" t="str">
            <v>שכר פנימיות יום</v>
          </cell>
          <cell r="C344">
            <v>10000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1812502110</v>
          </cell>
          <cell r="B345" t="str">
            <v>מבוטל-שכר צהרונים-חונכות</v>
          </cell>
          <cell r="C345">
            <v>0</v>
          </cell>
          <cell r="D345">
            <v>3875.42</v>
          </cell>
          <cell r="E345">
            <v>0</v>
          </cell>
          <cell r="F345">
            <v>3875.42</v>
          </cell>
        </row>
        <row r="346">
          <cell r="A346">
            <v>1812504110</v>
          </cell>
          <cell r="B346" t="str">
            <v>שכר חונכות</v>
          </cell>
          <cell r="C346">
            <v>0</v>
          </cell>
          <cell r="D346">
            <v>59124.9</v>
          </cell>
          <cell r="E346">
            <v>0</v>
          </cell>
          <cell r="F346">
            <v>59124.9</v>
          </cell>
        </row>
        <row r="347">
          <cell r="A347">
            <v>1812800110</v>
          </cell>
          <cell r="B347" t="str">
            <v>משכורת</v>
          </cell>
          <cell r="C347">
            <v>262000</v>
          </cell>
          <cell r="D347">
            <v>321983.03000000003</v>
          </cell>
          <cell r="E347">
            <v>0</v>
          </cell>
          <cell r="F347">
            <v>321983.03000000003</v>
          </cell>
        </row>
        <row r="348">
          <cell r="A348">
            <v>1812801110</v>
          </cell>
          <cell r="B348" t="str">
            <v>ספורט-שכר</v>
          </cell>
          <cell r="C348">
            <v>72000</v>
          </cell>
          <cell r="D348">
            <v>57503.27</v>
          </cell>
          <cell r="E348">
            <v>0</v>
          </cell>
          <cell r="F348">
            <v>57503.27</v>
          </cell>
        </row>
        <row r="349">
          <cell r="A349">
            <v>1813200110</v>
          </cell>
          <cell r="B349" t="str">
            <v>שכר שרתים ביסודי</v>
          </cell>
          <cell r="C349">
            <v>1683000</v>
          </cell>
          <cell r="D349">
            <v>1599895.52</v>
          </cell>
          <cell r="E349">
            <v>0</v>
          </cell>
          <cell r="F349">
            <v>1599895.52</v>
          </cell>
        </row>
        <row r="350">
          <cell r="A350">
            <v>1813200410</v>
          </cell>
          <cell r="B350" t="str">
            <v>בי"ס יסודי אלאישראק</v>
          </cell>
          <cell r="C350">
            <v>10000</v>
          </cell>
          <cell r="D350">
            <v>10000</v>
          </cell>
          <cell r="E350">
            <v>0</v>
          </cell>
          <cell r="F350">
            <v>10000</v>
          </cell>
        </row>
        <row r="351">
          <cell r="A351">
            <v>1813200414</v>
          </cell>
          <cell r="B351" t="str">
            <v>חותם</v>
          </cell>
          <cell r="C351">
            <v>8000</v>
          </cell>
          <cell r="D351">
            <v>7319.48</v>
          </cell>
          <cell r="E351">
            <v>0</v>
          </cell>
          <cell r="F351">
            <v>7319.48</v>
          </cell>
        </row>
        <row r="352">
          <cell r="A352">
            <v>1813200430</v>
          </cell>
          <cell r="B352" t="str">
            <v>מבוטל-חשמל ומים-בתי"ס יסודיים</v>
          </cell>
          <cell r="C352">
            <v>0</v>
          </cell>
          <cell r="D352">
            <v>9741.57</v>
          </cell>
          <cell r="E352">
            <v>0</v>
          </cell>
          <cell r="F352">
            <v>9741.57</v>
          </cell>
        </row>
        <row r="353">
          <cell r="A353">
            <v>1813200760</v>
          </cell>
          <cell r="B353" t="str">
            <v>שירותי מנב"ס</v>
          </cell>
          <cell r="C353">
            <v>4000</v>
          </cell>
          <cell r="D353">
            <v>3991.02</v>
          </cell>
          <cell r="E353">
            <v>0</v>
          </cell>
          <cell r="F353">
            <v>3991.02</v>
          </cell>
        </row>
        <row r="354">
          <cell r="A354">
            <v>1813201750</v>
          </cell>
          <cell r="B354" t="str">
            <v>בתי"ס יסודיים עבודות קבלניות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1813206760</v>
          </cell>
          <cell r="B355" t="str">
            <v>הזנת תלמידים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1813210110</v>
          </cell>
          <cell r="B356" t="str">
            <v>שכר מזכירים יסודי</v>
          </cell>
          <cell r="C356">
            <v>524800</v>
          </cell>
          <cell r="D356">
            <v>585258.06999999995</v>
          </cell>
          <cell r="E356">
            <v>0</v>
          </cell>
          <cell r="F356">
            <v>585258.06999999995</v>
          </cell>
        </row>
        <row r="357">
          <cell r="A357">
            <v>1813210820</v>
          </cell>
          <cell r="B357" t="str">
            <v>השתתפות בתקציב ב"ס א'</v>
          </cell>
          <cell r="C357">
            <v>185310</v>
          </cell>
          <cell r="D357">
            <v>209907.37</v>
          </cell>
          <cell r="E357">
            <v>0</v>
          </cell>
          <cell r="F357">
            <v>209907.37</v>
          </cell>
        </row>
        <row r="358">
          <cell r="A358">
            <v>1813211110</v>
          </cell>
          <cell r="B358" t="str">
            <v>מבוטל-מחוננים</v>
          </cell>
          <cell r="C358">
            <v>24000</v>
          </cell>
          <cell r="D358">
            <v>30948.68</v>
          </cell>
          <cell r="E358">
            <v>0</v>
          </cell>
          <cell r="F358">
            <v>30948.68</v>
          </cell>
        </row>
        <row r="359">
          <cell r="A359">
            <v>1813211430</v>
          </cell>
          <cell r="B359" t="str">
            <v>חשמל ב"ס א'</v>
          </cell>
          <cell r="C359">
            <v>57000</v>
          </cell>
          <cell r="D359">
            <v>15025.37</v>
          </cell>
          <cell r="E359">
            <v>0</v>
          </cell>
          <cell r="F359">
            <v>15025.37</v>
          </cell>
        </row>
        <row r="360">
          <cell r="A360">
            <v>1813211432</v>
          </cell>
          <cell r="B360" t="str">
            <v>מים ב"ס א'</v>
          </cell>
          <cell r="C360">
            <v>10500</v>
          </cell>
          <cell r="D360">
            <v>11935.9</v>
          </cell>
          <cell r="E360">
            <v>0</v>
          </cell>
          <cell r="F360">
            <v>11935.9</v>
          </cell>
        </row>
        <row r="361">
          <cell r="A361">
            <v>1813220110</v>
          </cell>
          <cell r="B361" t="str">
            <v>שכר נקיון מוסדות חנוך</v>
          </cell>
          <cell r="C361">
            <v>0</v>
          </cell>
          <cell r="D361">
            <v>4840.2</v>
          </cell>
          <cell r="E361">
            <v>0</v>
          </cell>
          <cell r="F361">
            <v>4840.2</v>
          </cell>
        </row>
        <row r="362">
          <cell r="A362">
            <v>1813220820</v>
          </cell>
          <cell r="B362" t="str">
            <v>השתתפות בתקציב ב"ס ב'</v>
          </cell>
          <cell r="C362">
            <v>150378</v>
          </cell>
          <cell r="D362">
            <v>113013</v>
          </cell>
          <cell r="E362">
            <v>0</v>
          </cell>
          <cell r="F362">
            <v>113013</v>
          </cell>
        </row>
        <row r="363">
          <cell r="A363">
            <v>1813222430</v>
          </cell>
          <cell r="B363" t="str">
            <v>חשמל ב"ס ב'</v>
          </cell>
          <cell r="C363">
            <v>48000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1813222432</v>
          </cell>
          <cell r="B364" t="str">
            <v>מים ב"ס ב'</v>
          </cell>
          <cell r="C364">
            <v>8500</v>
          </cell>
          <cell r="D364">
            <v>6346.1</v>
          </cell>
          <cell r="E364">
            <v>0</v>
          </cell>
          <cell r="F364">
            <v>6346.1</v>
          </cell>
        </row>
        <row r="365">
          <cell r="A365">
            <v>1813230414</v>
          </cell>
          <cell r="B365" t="str">
            <v>מבוטל-אגרות תלמידי חוץ</v>
          </cell>
          <cell r="C365">
            <v>0</v>
          </cell>
          <cell r="D365">
            <v>172189</v>
          </cell>
          <cell r="E365">
            <v>0</v>
          </cell>
          <cell r="F365">
            <v>172189</v>
          </cell>
        </row>
        <row r="366">
          <cell r="A366">
            <v>1813230760</v>
          </cell>
          <cell r="B366" t="str">
            <v>אגרת תלמידי חוץ</v>
          </cell>
          <cell r="C366">
            <v>287000</v>
          </cell>
          <cell r="D366">
            <v>53662</v>
          </cell>
          <cell r="E366">
            <v>0</v>
          </cell>
          <cell r="F366">
            <v>53662</v>
          </cell>
        </row>
        <row r="367">
          <cell r="A367">
            <v>1813230820</v>
          </cell>
          <cell r="B367" t="str">
            <v>השתתפות בתקציב ב"ס ג'</v>
          </cell>
          <cell r="C367">
            <v>151230</v>
          </cell>
          <cell r="D367">
            <v>151943</v>
          </cell>
          <cell r="E367">
            <v>0</v>
          </cell>
          <cell r="F367">
            <v>151943</v>
          </cell>
        </row>
        <row r="368">
          <cell r="A368">
            <v>1813233430</v>
          </cell>
          <cell r="B368" t="str">
            <v>חשמל ב"ס ג'+ ב"ס א</v>
          </cell>
          <cell r="C368">
            <v>98000</v>
          </cell>
          <cell r="D368">
            <v>101350.85</v>
          </cell>
          <cell r="E368">
            <v>0</v>
          </cell>
          <cell r="F368">
            <v>101350.85</v>
          </cell>
        </row>
        <row r="369">
          <cell r="A369">
            <v>1813233432</v>
          </cell>
          <cell r="B369" t="str">
            <v>מים ב"ס ג'</v>
          </cell>
          <cell r="C369">
            <v>9000</v>
          </cell>
          <cell r="D369">
            <v>12538.1</v>
          </cell>
          <cell r="E369">
            <v>0</v>
          </cell>
          <cell r="F369">
            <v>12538.1</v>
          </cell>
        </row>
        <row r="370">
          <cell r="A370">
            <v>1813240820</v>
          </cell>
          <cell r="B370" t="str">
            <v>השתתפות בתקציב ב"ס חדשני</v>
          </cell>
          <cell r="C370">
            <v>154212</v>
          </cell>
          <cell r="D370">
            <v>144862.6</v>
          </cell>
          <cell r="E370">
            <v>0</v>
          </cell>
          <cell r="F370">
            <v>144862.6</v>
          </cell>
        </row>
        <row r="371">
          <cell r="A371">
            <v>1813244430</v>
          </cell>
          <cell r="B371" t="str">
            <v>חשמל ב"ס חדשני</v>
          </cell>
          <cell r="C371">
            <v>40000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1813244432</v>
          </cell>
          <cell r="B372" t="str">
            <v>מים ב"ס חדשני</v>
          </cell>
          <cell r="C372">
            <v>9000</v>
          </cell>
          <cell r="D372">
            <v>25870.799999999999</v>
          </cell>
          <cell r="E372">
            <v>0</v>
          </cell>
          <cell r="F372">
            <v>25870.799999999999</v>
          </cell>
        </row>
        <row r="373">
          <cell r="A373">
            <v>1813300540</v>
          </cell>
          <cell r="B373" t="str">
            <v>חינוך מיוחד-תקשורת</v>
          </cell>
          <cell r="C373">
            <v>4500</v>
          </cell>
          <cell r="D373">
            <v>6274.05</v>
          </cell>
          <cell r="E373">
            <v>0</v>
          </cell>
          <cell r="F373">
            <v>6274.05</v>
          </cell>
        </row>
        <row r="374">
          <cell r="A374">
            <v>1813300750</v>
          </cell>
          <cell r="B374" t="str">
            <v>קבלניות שיפוצים</v>
          </cell>
          <cell r="C374">
            <v>169333</v>
          </cell>
          <cell r="D374">
            <v>150995.71</v>
          </cell>
          <cell r="E374">
            <v>17000</v>
          </cell>
          <cell r="F374">
            <v>167995.71</v>
          </cell>
        </row>
        <row r="375">
          <cell r="A375">
            <v>1813310110</v>
          </cell>
          <cell r="B375" t="str">
            <v>שכר סייעות כיתתיות</v>
          </cell>
          <cell r="C375">
            <v>611000</v>
          </cell>
          <cell r="D375">
            <v>584642.24</v>
          </cell>
          <cell r="E375">
            <v>0</v>
          </cell>
          <cell r="F375">
            <v>584642.24</v>
          </cell>
        </row>
        <row r="376">
          <cell r="A376">
            <v>1813320110</v>
          </cell>
          <cell r="B376" t="str">
            <v>שכר סייעות לווי הסעות</v>
          </cell>
          <cell r="C376">
            <v>522000</v>
          </cell>
          <cell r="D376">
            <v>593347.94999999995</v>
          </cell>
          <cell r="E376">
            <v>0</v>
          </cell>
          <cell r="F376">
            <v>593347.94999999995</v>
          </cell>
        </row>
        <row r="377">
          <cell r="A377">
            <v>1813330110</v>
          </cell>
          <cell r="B377" t="str">
            <v>שכר סייעות צמודות</v>
          </cell>
          <cell r="C377">
            <v>695600</v>
          </cell>
          <cell r="D377">
            <v>915456.26</v>
          </cell>
          <cell r="E377">
            <v>0</v>
          </cell>
          <cell r="F377">
            <v>915456.26</v>
          </cell>
        </row>
        <row r="378">
          <cell r="A378">
            <v>1813600780</v>
          </cell>
          <cell r="B378" t="str">
            <v>מבוטל-הוצאות שונות</v>
          </cell>
          <cell r="C378">
            <v>0</v>
          </cell>
          <cell r="D378">
            <v>2485.1</v>
          </cell>
          <cell r="E378">
            <v>0</v>
          </cell>
          <cell r="F378">
            <v>2485.1</v>
          </cell>
        </row>
        <row r="379">
          <cell r="A379">
            <v>1813800750</v>
          </cell>
          <cell r="B379" t="str">
            <v>פרוייקטים חינוכיים</v>
          </cell>
          <cell r="C379">
            <v>25000</v>
          </cell>
          <cell r="D379">
            <v>15580.34</v>
          </cell>
          <cell r="E379">
            <v>4638.34</v>
          </cell>
          <cell r="F379">
            <v>20218.68</v>
          </cell>
        </row>
        <row r="380">
          <cell r="A380">
            <v>1813800930</v>
          </cell>
          <cell r="B380" t="str">
            <v>ציוד יסודי לבת"ס</v>
          </cell>
          <cell r="C380">
            <v>26000</v>
          </cell>
          <cell r="D380">
            <v>19470</v>
          </cell>
          <cell r="E380">
            <v>0</v>
          </cell>
          <cell r="F380">
            <v>19470</v>
          </cell>
        </row>
        <row r="381">
          <cell r="A381">
            <v>1814000430</v>
          </cell>
          <cell r="B381" t="str">
            <v>חשמל ומים</v>
          </cell>
          <cell r="C381">
            <v>0</v>
          </cell>
          <cell r="D381">
            <v>42192.15</v>
          </cell>
          <cell r="E381">
            <v>0</v>
          </cell>
          <cell r="F381">
            <v>42192.15</v>
          </cell>
        </row>
        <row r="382">
          <cell r="A382">
            <v>1814750840</v>
          </cell>
          <cell r="B382" t="str">
            <v>מניפה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1816600540</v>
          </cell>
          <cell r="B383" t="str">
            <v>מרכז הדרכה-תקשורת</v>
          </cell>
          <cell r="C383">
            <v>1500</v>
          </cell>
          <cell r="D383">
            <v>4212.3999999999996</v>
          </cell>
          <cell r="E383">
            <v>0</v>
          </cell>
          <cell r="F383">
            <v>4212.3999999999996</v>
          </cell>
        </row>
        <row r="384">
          <cell r="A384">
            <v>1817100110</v>
          </cell>
          <cell r="B384" t="str">
            <v>שכר קב"ט מוסדות חנוך</v>
          </cell>
          <cell r="C384">
            <v>24580</v>
          </cell>
          <cell r="D384">
            <v>45407.82</v>
          </cell>
          <cell r="E384">
            <v>0</v>
          </cell>
          <cell r="F384">
            <v>45407.82</v>
          </cell>
        </row>
        <row r="385">
          <cell r="A385">
            <v>1817100750</v>
          </cell>
          <cell r="B385" t="str">
            <v>אבטחת מוסדות</v>
          </cell>
          <cell r="C385">
            <v>420000</v>
          </cell>
          <cell r="D385">
            <v>358549.35</v>
          </cell>
          <cell r="E385">
            <v>0</v>
          </cell>
          <cell r="F385">
            <v>358549.35</v>
          </cell>
        </row>
        <row r="386">
          <cell r="A386">
            <v>1817110750</v>
          </cell>
          <cell r="B386" t="str">
            <v>מבדקי בטיחות מוסדות חינוך</v>
          </cell>
          <cell r="C386">
            <v>90000</v>
          </cell>
          <cell r="D386">
            <v>68989.8</v>
          </cell>
          <cell r="E386">
            <v>6938.4</v>
          </cell>
          <cell r="F386">
            <v>75928.2</v>
          </cell>
        </row>
        <row r="387">
          <cell r="A387">
            <v>1817300110</v>
          </cell>
          <cell r="B387" t="str">
            <v>שכר שפ"י</v>
          </cell>
          <cell r="C387">
            <v>740000</v>
          </cell>
          <cell r="D387">
            <v>652546.36</v>
          </cell>
          <cell r="E387">
            <v>0</v>
          </cell>
          <cell r="F387">
            <v>652546.36</v>
          </cell>
        </row>
        <row r="388">
          <cell r="A388">
            <v>1817300410</v>
          </cell>
          <cell r="B388" t="str">
            <v>שכ"ד שפ"י</v>
          </cell>
          <cell r="C388">
            <v>24000</v>
          </cell>
          <cell r="D388">
            <v>30000</v>
          </cell>
          <cell r="E388">
            <v>0</v>
          </cell>
          <cell r="F388">
            <v>30000</v>
          </cell>
        </row>
        <row r="389">
          <cell r="A389">
            <v>1817300450</v>
          </cell>
          <cell r="B389" t="str">
            <v>ריהוט ומחשב -שפ"ח</v>
          </cell>
          <cell r="C389">
            <v>5000</v>
          </cell>
          <cell r="D389">
            <v>0</v>
          </cell>
          <cell r="E389">
            <v>531.94000000000005</v>
          </cell>
          <cell r="F389">
            <v>531.94000000000005</v>
          </cell>
        </row>
        <row r="390">
          <cell r="A390">
            <v>1817300720</v>
          </cell>
          <cell r="B390" t="str">
            <v>שפ"י חמרים/ספרים</v>
          </cell>
          <cell r="C390">
            <v>3000</v>
          </cell>
          <cell r="D390">
            <v>3307.33</v>
          </cell>
          <cell r="E390">
            <v>440.2</v>
          </cell>
          <cell r="F390">
            <v>3747.53</v>
          </cell>
        </row>
        <row r="391">
          <cell r="A391">
            <v>1817300750</v>
          </cell>
          <cell r="B391" t="str">
            <v>שפ"י שעות הדרכה</v>
          </cell>
          <cell r="C391">
            <v>33000</v>
          </cell>
          <cell r="D391">
            <v>13821</v>
          </cell>
          <cell r="E391">
            <v>1240</v>
          </cell>
          <cell r="F391">
            <v>15061</v>
          </cell>
        </row>
        <row r="392">
          <cell r="A392">
            <v>1817500440</v>
          </cell>
          <cell r="B392" t="str">
            <v>ביטוח תלמידים</v>
          </cell>
          <cell r="C392">
            <v>200000</v>
          </cell>
          <cell r="D392">
            <v>211327</v>
          </cell>
          <cell r="E392">
            <v>0</v>
          </cell>
          <cell r="F392">
            <v>211327</v>
          </cell>
        </row>
        <row r="393">
          <cell r="A393">
            <v>1817600110</v>
          </cell>
          <cell r="B393" t="str">
            <v>מבוטל-שכר רווחה חינוכית</v>
          </cell>
          <cell r="C393">
            <v>0</v>
          </cell>
          <cell r="D393">
            <v>7384.4</v>
          </cell>
          <cell r="E393">
            <v>0</v>
          </cell>
          <cell r="F393">
            <v>7384.4</v>
          </cell>
        </row>
        <row r="394">
          <cell r="A394">
            <v>1817601110</v>
          </cell>
          <cell r="B394" t="str">
            <v>רווחה חנוכית</v>
          </cell>
          <cell r="C394">
            <v>378000</v>
          </cell>
          <cell r="D394">
            <v>304897.8</v>
          </cell>
          <cell r="E394">
            <v>0</v>
          </cell>
          <cell r="F394">
            <v>304897.8</v>
          </cell>
        </row>
        <row r="395">
          <cell r="A395">
            <v>1817602110</v>
          </cell>
          <cell r="B395" t="str">
            <v>שכר רווחה חינוכית</v>
          </cell>
          <cell r="C395">
            <v>84904</v>
          </cell>
          <cell r="D395">
            <v>12072.64</v>
          </cell>
          <cell r="E395">
            <v>0</v>
          </cell>
          <cell r="F395">
            <v>12072.64</v>
          </cell>
        </row>
        <row r="396">
          <cell r="A396">
            <v>1817602750</v>
          </cell>
          <cell r="B396" t="str">
            <v>פעילות רווחה חיהוכית</v>
          </cell>
          <cell r="C396">
            <v>174647</v>
          </cell>
          <cell r="D396">
            <v>159886</v>
          </cell>
          <cell r="E396">
            <v>13800</v>
          </cell>
          <cell r="F396">
            <v>173686</v>
          </cell>
        </row>
        <row r="397">
          <cell r="A397">
            <v>1817610110</v>
          </cell>
          <cell r="B397" t="str">
            <v>שכר רווחה חינוכית</v>
          </cell>
          <cell r="C397">
            <v>0</v>
          </cell>
          <cell r="D397">
            <v>18695.04</v>
          </cell>
          <cell r="E397">
            <v>0</v>
          </cell>
          <cell r="F397">
            <v>18695.04</v>
          </cell>
        </row>
        <row r="398">
          <cell r="A398">
            <v>1817620110</v>
          </cell>
          <cell r="B398" t="str">
            <v>תוכנית ראשית- שכר</v>
          </cell>
          <cell r="C398">
            <v>125620</v>
          </cell>
          <cell r="D398">
            <v>250169.38</v>
          </cell>
          <cell r="E398">
            <v>0</v>
          </cell>
          <cell r="F398">
            <v>250169.38</v>
          </cell>
        </row>
        <row r="399">
          <cell r="A399">
            <v>1817620750</v>
          </cell>
          <cell r="B399" t="str">
            <v>מעדונית גיל רך -פעילות</v>
          </cell>
          <cell r="C399">
            <v>0</v>
          </cell>
          <cell r="D399">
            <v>4000</v>
          </cell>
          <cell r="E399">
            <v>0</v>
          </cell>
          <cell r="F399">
            <v>4000</v>
          </cell>
        </row>
        <row r="400">
          <cell r="A400">
            <v>1817620780</v>
          </cell>
          <cell r="B400" t="str">
            <v>מעדונית גיל רך -מזון</v>
          </cell>
          <cell r="C400">
            <v>0</v>
          </cell>
          <cell r="D400">
            <v>2500</v>
          </cell>
          <cell r="E400">
            <v>0</v>
          </cell>
          <cell r="F400">
            <v>2500</v>
          </cell>
        </row>
        <row r="401">
          <cell r="A401">
            <v>1817621110</v>
          </cell>
          <cell r="B401" t="str">
            <v>מועדונית ביתית גיל רך</v>
          </cell>
          <cell r="C401">
            <v>60000</v>
          </cell>
          <cell r="D401">
            <v>133179.82999999999</v>
          </cell>
          <cell r="E401">
            <v>0</v>
          </cell>
          <cell r="F401">
            <v>133179.82999999999</v>
          </cell>
        </row>
        <row r="402">
          <cell r="A402">
            <v>1817621470</v>
          </cell>
          <cell r="B402" t="str">
            <v>מרכז נוער - הצטידות</v>
          </cell>
          <cell r="C402">
            <v>0</v>
          </cell>
          <cell r="D402">
            <v>1799.72</v>
          </cell>
          <cell r="E402">
            <v>4775.07</v>
          </cell>
          <cell r="F402">
            <v>6574.79</v>
          </cell>
        </row>
        <row r="403">
          <cell r="A403">
            <v>1817621750</v>
          </cell>
          <cell r="B403" t="str">
            <v>מרכזי נוער - פעילות</v>
          </cell>
          <cell r="C403">
            <v>54000</v>
          </cell>
          <cell r="D403">
            <v>30735</v>
          </cell>
          <cell r="E403">
            <v>8900</v>
          </cell>
          <cell r="F403">
            <v>39635</v>
          </cell>
        </row>
        <row r="404">
          <cell r="A404">
            <v>1817622110</v>
          </cell>
          <cell r="B404" t="str">
            <v>מדריך בינתחומי- מרכז גיל רך</v>
          </cell>
          <cell r="C404">
            <v>45000</v>
          </cell>
          <cell r="D404">
            <v>197028.03</v>
          </cell>
          <cell r="E404">
            <v>0</v>
          </cell>
          <cell r="F404">
            <v>197028.03</v>
          </cell>
        </row>
        <row r="405">
          <cell r="A405">
            <v>1817622750</v>
          </cell>
          <cell r="B405" t="str">
            <v>מועדונית שמיד-סגור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1817623110</v>
          </cell>
          <cell r="B406" t="str">
            <v>מרכז נוער - שכר</v>
          </cell>
          <cell r="C406">
            <v>250000</v>
          </cell>
          <cell r="D406">
            <v>70714.95</v>
          </cell>
          <cell r="E406">
            <v>0</v>
          </cell>
          <cell r="F406">
            <v>70714.95</v>
          </cell>
        </row>
        <row r="407">
          <cell r="A407">
            <v>1817623470</v>
          </cell>
          <cell r="B407" t="str">
            <v>מרכז נוער הצטיידות</v>
          </cell>
          <cell r="C407">
            <v>22800</v>
          </cell>
          <cell r="D407">
            <v>0</v>
          </cell>
          <cell r="E407">
            <v>21732.560000000001</v>
          </cell>
          <cell r="F407">
            <v>21732.560000000001</v>
          </cell>
        </row>
        <row r="408">
          <cell r="A408">
            <v>1817623750</v>
          </cell>
          <cell r="B408" t="str">
            <v>מרכזי נוער- פעילות</v>
          </cell>
          <cell r="C408">
            <v>160000</v>
          </cell>
          <cell r="D408">
            <v>18816</v>
          </cell>
          <cell r="E408">
            <v>141184</v>
          </cell>
          <cell r="F408">
            <v>160000</v>
          </cell>
        </row>
        <row r="409">
          <cell r="A409">
            <v>1817623751</v>
          </cell>
          <cell r="B409" t="str">
            <v>מוקד רואה- עיר ללא אלימות</v>
          </cell>
          <cell r="C409">
            <v>10000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1817624110</v>
          </cell>
          <cell r="B410" t="str">
            <v>תוכנית אור- שכר</v>
          </cell>
          <cell r="C410">
            <v>42020</v>
          </cell>
          <cell r="D410">
            <v>19615.349999999999</v>
          </cell>
          <cell r="E410">
            <v>0</v>
          </cell>
          <cell r="F410">
            <v>19615.349999999999</v>
          </cell>
        </row>
        <row r="411">
          <cell r="A411">
            <v>1817624470</v>
          </cell>
          <cell r="B411" t="str">
            <v>תוכנית אור הצטיידות</v>
          </cell>
          <cell r="C411">
            <v>3000</v>
          </cell>
          <cell r="D411">
            <v>941.77</v>
          </cell>
          <cell r="E411">
            <v>1950</v>
          </cell>
          <cell r="F411">
            <v>2891.77</v>
          </cell>
        </row>
        <row r="412">
          <cell r="A412">
            <v>1817624750</v>
          </cell>
          <cell r="B412" t="str">
            <v>תוכנית אור פעילות</v>
          </cell>
          <cell r="C412">
            <v>80000</v>
          </cell>
          <cell r="D412">
            <v>0</v>
          </cell>
          <cell r="E412">
            <v>79460</v>
          </cell>
          <cell r="F412">
            <v>79460</v>
          </cell>
        </row>
        <row r="413">
          <cell r="A413">
            <v>1817625110</v>
          </cell>
          <cell r="B413" t="str">
            <v>קול קורא לאגדים</v>
          </cell>
          <cell r="C413">
            <v>50000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1817625750</v>
          </cell>
          <cell r="B414" t="str">
            <v>קול קורא לאגדים- פעילות</v>
          </cell>
          <cell r="C414">
            <v>100000</v>
          </cell>
          <cell r="D414">
            <v>0</v>
          </cell>
          <cell r="E414">
            <v>99700</v>
          </cell>
          <cell r="F414">
            <v>99700</v>
          </cell>
        </row>
        <row r="415">
          <cell r="A415">
            <v>1817626110</v>
          </cell>
          <cell r="B415" t="str">
            <v>נתיבים להורות שכר</v>
          </cell>
          <cell r="C415">
            <v>173000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1817626750</v>
          </cell>
          <cell r="B416" t="str">
            <v>פעולות שמידט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1817700110</v>
          </cell>
          <cell r="B417" t="str">
            <v>שכר קב"ס</v>
          </cell>
          <cell r="C417">
            <v>199500</v>
          </cell>
          <cell r="D417">
            <v>251714.84</v>
          </cell>
          <cell r="E417">
            <v>0</v>
          </cell>
          <cell r="F417">
            <v>251714.84</v>
          </cell>
        </row>
        <row r="418">
          <cell r="A418">
            <v>1817700750</v>
          </cell>
          <cell r="B418" t="str">
            <v>פעולות מנ"ע</v>
          </cell>
          <cell r="C418">
            <v>22000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1817800710</v>
          </cell>
          <cell r="B419" t="str">
            <v>הסעות ח.מיוחד</v>
          </cell>
          <cell r="C419">
            <v>1250000</v>
          </cell>
          <cell r="D419">
            <v>870067.16</v>
          </cell>
          <cell r="E419">
            <v>0</v>
          </cell>
          <cell r="F419">
            <v>870067.16</v>
          </cell>
        </row>
        <row r="420">
          <cell r="A420">
            <v>1817810710</v>
          </cell>
          <cell r="B420" t="str">
            <v>הסעות חינוך רגיל</v>
          </cell>
          <cell r="C420">
            <v>2200000</v>
          </cell>
          <cell r="D420">
            <v>2316907</v>
          </cell>
          <cell r="E420">
            <v>0</v>
          </cell>
          <cell r="F420">
            <v>2316907</v>
          </cell>
        </row>
        <row r="421">
          <cell r="A421">
            <v>1817900750</v>
          </cell>
          <cell r="B421" t="str">
            <v>מזון ופעילות</v>
          </cell>
          <cell r="C421">
            <v>0</v>
          </cell>
          <cell r="D421">
            <v>0</v>
          </cell>
          <cell r="E421">
            <v>300</v>
          </cell>
          <cell r="F421">
            <v>300</v>
          </cell>
        </row>
        <row r="422">
          <cell r="A422">
            <v>1817900780</v>
          </cell>
          <cell r="B422" t="str">
            <v>מתי"א שונות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1817950780</v>
          </cell>
          <cell r="B423" t="str">
            <v>תכנית שיקום הצפון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1818000110</v>
          </cell>
          <cell r="B424" t="str">
            <v>שכר קידום נוער</v>
          </cell>
          <cell r="C424">
            <v>0</v>
          </cell>
          <cell r="D424">
            <v>-130</v>
          </cell>
          <cell r="E424">
            <v>0</v>
          </cell>
          <cell r="F424">
            <v>-130</v>
          </cell>
        </row>
        <row r="425">
          <cell r="A425">
            <v>1818000470</v>
          </cell>
          <cell r="B425" t="str">
            <v>קידום נוער - ריהוט וציוד</v>
          </cell>
          <cell r="C425">
            <v>6500</v>
          </cell>
          <cell r="D425">
            <v>6280</v>
          </cell>
          <cell r="E425">
            <v>0</v>
          </cell>
          <cell r="F425">
            <v>6280</v>
          </cell>
        </row>
        <row r="426">
          <cell r="A426">
            <v>1818000750</v>
          </cell>
          <cell r="B426" t="str">
            <v>פעילות קידום נוער</v>
          </cell>
          <cell r="C426">
            <v>21000</v>
          </cell>
          <cell r="D426">
            <v>2348.89</v>
          </cell>
          <cell r="E426">
            <v>6667</v>
          </cell>
          <cell r="F426">
            <v>9015.89</v>
          </cell>
        </row>
        <row r="427">
          <cell r="A427">
            <v>1818100110</v>
          </cell>
          <cell r="B427" t="str">
            <v>תג"ת-שכר</v>
          </cell>
          <cell r="C427">
            <v>38300</v>
          </cell>
          <cell r="D427">
            <v>12915.04</v>
          </cell>
          <cell r="E427">
            <v>0</v>
          </cell>
          <cell r="F427">
            <v>12915.04</v>
          </cell>
        </row>
        <row r="428">
          <cell r="A428">
            <v>1818200110</v>
          </cell>
          <cell r="B428" t="str">
            <v>שכר מחלקת נוער</v>
          </cell>
          <cell r="C428">
            <v>150000</v>
          </cell>
          <cell r="D428">
            <v>215666.53</v>
          </cell>
          <cell r="E428">
            <v>0</v>
          </cell>
          <cell r="F428">
            <v>215666.53</v>
          </cell>
        </row>
        <row r="429">
          <cell r="A429">
            <v>1818810110</v>
          </cell>
          <cell r="B429" t="str">
            <v>רכז פר"י ישובי</v>
          </cell>
          <cell r="C429">
            <v>3000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1818810810</v>
          </cell>
          <cell r="B430" t="str">
            <v>פר"ח השתתפות</v>
          </cell>
          <cell r="C430">
            <v>21000</v>
          </cell>
          <cell r="D430">
            <v>16550</v>
          </cell>
          <cell r="E430">
            <v>0</v>
          </cell>
          <cell r="F430">
            <v>16550</v>
          </cell>
        </row>
        <row r="431">
          <cell r="A431">
            <v>1819000750</v>
          </cell>
          <cell r="B431" t="str">
            <v>פרויקט מ.החינוך בי"ס בחופש הגד</v>
          </cell>
          <cell r="C431">
            <v>1100000</v>
          </cell>
          <cell r="D431">
            <v>992309.94</v>
          </cell>
          <cell r="E431">
            <v>9602.25</v>
          </cell>
          <cell r="F431">
            <v>1001912.19</v>
          </cell>
        </row>
        <row r="432">
          <cell r="A432">
            <v>1821000110</v>
          </cell>
          <cell r="B432" t="str">
            <v>שכר תרבות</v>
          </cell>
          <cell r="C432">
            <v>512300</v>
          </cell>
          <cell r="D432">
            <v>565811.56000000006</v>
          </cell>
          <cell r="E432">
            <v>0</v>
          </cell>
          <cell r="F432">
            <v>565811.56000000006</v>
          </cell>
        </row>
        <row r="433">
          <cell r="A433">
            <v>1821000750</v>
          </cell>
          <cell r="B433" t="str">
            <v>אחזקה קבלניות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1822000780</v>
          </cell>
          <cell r="B434" t="str">
            <v>פעולות תרבות-שונות</v>
          </cell>
          <cell r="C434">
            <v>385000</v>
          </cell>
          <cell r="D434">
            <v>267395.20000000001</v>
          </cell>
          <cell r="E434">
            <v>116656.5</v>
          </cell>
          <cell r="F434">
            <v>384051.7</v>
          </cell>
        </row>
        <row r="435">
          <cell r="A435">
            <v>1823000110</v>
          </cell>
          <cell r="B435" t="str">
            <v>שכר ספרית מקצועית</v>
          </cell>
          <cell r="C435">
            <v>127000</v>
          </cell>
          <cell r="D435">
            <v>132309.82999999999</v>
          </cell>
          <cell r="E435">
            <v>0</v>
          </cell>
          <cell r="F435">
            <v>132309.82999999999</v>
          </cell>
        </row>
        <row r="436">
          <cell r="A436">
            <v>1823000540</v>
          </cell>
          <cell r="B436" t="str">
            <v>ספריה עירונית-תקשורת</v>
          </cell>
          <cell r="C436">
            <v>8000</v>
          </cell>
          <cell r="D436">
            <v>4227.8900000000003</v>
          </cell>
          <cell r="E436">
            <v>0</v>
          </cell>
          <cell r="F436">
            <v>4227.8900000000003</v>
          </cell>
        </row>
        <row r="437">
          <cell r="A437">
            <v>1824000430</v>
          </cell>
          <cell r="B437" t="str">
            <v>חשמל-מתנ"ס</v>
          </cell>
          <cell r="C437">
            <v>70000</v>
          </cell>
          <cell r="D437">
            <v>76629.100000000006</v>
          </cell>
          <cell r="E437">
            <v>0</v>
          </cell>
          <cell r="F437">
            <v>76629.100000000006</v>
          </cell>
        </row>
        <row r="438">
          <cell r="A438">
            <v>1824000720</v>
          </cell>
          <cell r="B438" t="str">
            <v>אחזקה מ.תרבות קבלניות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1824000780</v>
          </cell>
          <cell r="B439" t="str">
            <v>אחזקה מ.תרבות קבלניות</v>
          </cell>
          <cell r="C439">
            <v>10000</v>
          </cell>
          <cell r="D439">
            <v>5079</v>
          </cell>
          <cell r="E439">
            <v>4668.88</v>
          </cell>
          <cell r="F439">
            <v>9747.8799999999992</v>
          </cell>
        </row>
        <row r="440">
          <cell r="A440">
            <v>1824100430</v>
          </cell>
          <cell r="B440" t="str">
            <v>מים מרכז תרבות</v>
          </cell>
          <cell r="C440">
            <v>20000</v>
          </cell>
          <cell r="D440">
            <v>8133.3</v>
          </cell>
          <cell r="E440">
            <v>0</v>
          </cell>
          <cell r="F440">
            <v>8133.3</v>
          </cell>
        </row>
        <row r="441">
          <cell r="A441">
            <v>1824140051</v>
          </cell>
          <cell r="B441" t="str">
            <v>כיבודים</v>
          </cell>
          <cell r="C441">
            <v>2000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1825000110</v>
          </cell>
          <cell r="B442" t="str">
            <v>שכר מדריכים מ. הגיל הרך</v>
          </cell>
          <cell r="C442">
            <v>30000</v>
          </cell>
          <cell r="D442">
            <v>29950.5</v>
          </cell>
          <cell r="E442">
            <v>0</v>
          </cell>
          <cell r="F442">
            <v>29950.5</v>
          </cell>
        </row>
        <row r="443">
          <cell r="A443">
            <v>1825000750</v>
          </cell>
          <cell r="B443" t="str">
            <v>פעולות שונות מ. הגיל הרך</v>
          </cell>
          <cell r="C443">
            <v>70000</v>
          </cell>
          <cell r="D443">
            <v>43239.49</v>
          </cell>
          <cell r="E443">
            <v>29068.1</v>
          </cell>
          <cell r="F443">
            <v>72307.59</v>
          </cell>
        </row>
        <row r="444">
          <cell r="A444">
            <v>1828200110</v>
          </cell>
          <cell r="B444" t="str">
            <v>מוקדי הפעלת נוער-שכר</v>
          </cell>
          <cell r="C444">
            <v>16000</v>
          </cell>
          <cell r="D444">
            <v>-15.58</v>
          </cell>
          <cell r="E444">
            <v>0</v>
          </cell>
          <cell r="F444">
            <v>-15.58</v>
          </cell>
        </row>
        <row r="445">
          <cell r="A445">
            <v>1828200720</v>
          </cell>
          <cell r="B445" t="str">
            <v>מעדונית משותפת -מזון</v>
          </cell>
          <cell r="C445">
            <v>30000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1828200750</v>
          </cell>
          <cell r="B446" t="str">
            <v>מצילה פעילות</v>
          </cell>
          <cell r="C446">
            <v>18000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1828210110</v>
          </cell>
          <cell r="B447" t="str">
            <v>מבוטל-שכר מחלקת נוער</v>
          </cell>
          <cell r="C447">
            <v>131200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1828400750</v>
          </cell>
          <cell r="B448" t="str">
            <v>פעילות קייטנה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1828410750</v>
          </cell>
          <cell r="B449" t="str">
            <v>פעילות קייטנת העמותה לתפנית בח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1828500750</v>
          </cell>
          <cell r="B450" t="str">
            <v>עיר ללא אלימות-רכש</v>
          </cell>
          <cell r="C450">
            <v>50000</v>
          </cell>
          <cell r="D450">
            <v>55243.56</v>
          </cell>
          <cell r="E450">
            <v>1200</v>
          </cell>
          <cell r="F450">
            <v>56443.56</v>
          </cell>
        </row>
        <row r="451">
          <cell r="A451">
            <v>1828501750</v>
          </cell>
          <cell r="B451" t="str">
            <v>עיר ללא אלימות-פעילות</v>
          </cell>
          <cell r="C451">
            <v>21090</v>
          </cell>
          <cell r="D451">
            <v>9992</v>
          </cell>
          <cell r="E451">
            <v>3713.18</v>
          </cell>
          <cell r="F451">
            <v>13705.18</v>
          </cell>
        </row>
        <row r="452">
          <cell r="A452">
            <v>1828504110</v>
          </cell>
          <cell r="B452" t="str">
            <v>עיר ללא אלימות-שכר א.אוכלוסיה</v>
          </cell>
          <cell r="C452">
            <v>323020</v>
          </cell>
          <cell r="D452">
            <v>386057.61</v>
          </cell>
          <cell r="E452">
            <v>0</v>
          </cell>
          <cell r="F452">
            <v>386057.61</v>
          </cell>
        </row>
        <row r="453">
          <cell r="A453">
            <v>1828506410</v>
          </cell>
          <cell r="B453" t="str">
            <v>שכר דירה מלחמה בסמים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1829200432</v>
          </cell>
          <cell r="B454" t="str">
            <v>מים וחשמל -איצטדיון כדורגל</v>
          </cell>
          <cell r="C454">
            <v>0</v>
          </cell>
          <cell r="D454">
            <v>111886.3</v>
          </cell>
          <cell r="E454">
            <v>0</v>
          </cell>
          <cell r="F454">
            <v>111886.3</v>
          </cell>
        </row>
        <row r="455">
          <cell r="A455">
            <v>1829200750</v>
          </cell>
          <cell r="B455" t="str">
            <v>ספורט קבלניות</v>
          </cell>
          <cell r="C455">
            <v>100000</v>
          </cell>
          <cell r="D455">
            <v>120527</v>
          </cell>
          <cell r="E455">
            <v>9284.99</v>
          </cell>
          <cell r="F455">
            <v>129811.99</v>
          </cell>
        </row>
        <row r="456">
          <cell r="A456">
            <v>1829200780</v>
          </cell>
          <cell r="B456" t="str">
            <v>הוצאות שונות -מגרש</v>
          </cell>
          <cell r="C456">
            <v>8000</v>
          </cell>
          <cell r="D456">
            <v>1065</v>
          </cell>
          <cell r="E456">
            <v>0</v>
          </cell>
          <cell r="F456">
            <v>1065</v>
          </cell>
        </row>
        <row r="457">
          <cell r="A457">
            <v>1829210750</v>
          </cell>
          <cell r="B457" t="str">
            <v>חוגים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1829230750</v>
          </cell>
          <cell r="B458" t="str">
            <v>צעדת הכרמל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1829240750</v>
          </cell>
          <cell r="B459" t="str">
            <v>פסטיבל דליה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1829250750</v>
          </cell>
          <cell r="B460" t="str">
            <v>במות ראשיות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1829260110</v>
          </cell>
          <cell r="B461" t="str">
            <v>שכר חוגי בלט</v>
          </cell>
          <cell r="C461">
            <v>49750</v>
          </cell>
          <cell r="D461">
            <v>62365.86</v>
          </cell>
          <cell r="E461">
            <v>0</v>
          </cell>
          <cell r="F461">
            <v>62365.86</v>
          </cell>
        </row>
        <row r="462">
          <cell r="A462">
            <v>1832000410</v>
          </cell>
          <cell r="B462" t="str">
            <v>מרפאה-שכירות</v>
          </cell>
          <cell r="C462">
            <v>44000</v>
          </cell>
          <cell r="D462">
            <v>35000</v>
          </cell>
          <cell r="E462">
            <v>0</v>
          </cell>
          <cell r="F462">
            <v>35000</v>
          </cell>
        </row>
        <row r="463">
          <cell r="A463">
            <v>1832000430</v>
          </cell>
          <cell r="B463" t="str">
            <v>מבוטל-מרפאות-חשמל ומים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1832000431</v>
          </cell>
          <cell r="B464" t="str">
            <v>מרפאות-חשמל</v>
          </cell>
          <cell r="C464">
            <v>30000</v>
          </cell>
          <cell r="D464">
            <v>24380.720000000001</v>
          </cell>
          <cell r="E464">
            <v>0</v>
          </cell>
          <cell r="F464">
            <v>24380.720000000001</v>
          </cell>
        </row>
        <row r="465">
          <cell r="A465">
            <v>1832000432</v>
          </cell>
          <cell r="B465" t="str">
            <v>מרפאות -מים</v>
          </cell>
          <cell r="C465">
            <v>3000</v>
          </cell>
          <cell r="D465">
            <v>1526.5</v>
          </cell>
          <cell r="E465">
            <v>0</v>
          </cell>
          <cell r="F465">
            <v>1526.5</v>
          </cell>
        </row>
        <row r="466">
          <cell r="A466">
            <v>1832000540</v>
          </cell>
          <cell r="B466" t="str">
            <v>מרפאות-תקשורת</v>
          </cell>
          <cell r="C466">
            <v>3000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1832000720</v>
          </cell>
          <cell r="B467" t="str">
            <v>חומרים</v>
          </cell>
          <cell r="C467">
            <v>3000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1832400110</v>
          </cell>
          <cell r="B468" t="str">
            <v>שכר תחנת אם-בריאות</v>
          </cell>
          <cell r="C468">
            <v>189866</v>
          </cell>
          <cell r="D468">
            <v>193360.48</v>
          </cell>
          <cell r="E468">
            <v>0</v>
          </cell>
          <cell r="F468">
            <v>193360.48</v>
          </cell>
        </row>
        <row r="469">
          <cell r="A469">
            <v>1832400410</v>
          </cell>
          <cell r="B469" t="str">
            <v>שכ"ד תחנת אם וילד</v>
          </cell>
          <cell r="C469">
            <v>0</v>
          </cell>
          <cell r="D469">
            <v>22500</v>
          </cell>
          <cell r="E469">
            <v>0</v>
          </cell>
          <cell r="F469">
            <v>22500</v>
          </cell>
        </row>
        <row r="470">
          <cell r="A470">
            <v>1841000110</v>
          </cell>
          <cell r="B470" t="str">
            <v>שכר לשכת רווחה</v>
          </cell>
          <cell r="C470">
            <v>1389333</v>
          </cell>
          <cell r="D470">
            <v>1648609.53</v>
          </cell>
          <cell r="E470">
            <v>0</v>
          </cell>
          <cell r="F470">
            <v>1648609.53</v>
          </cell>
        </row>
        <row r="471">
          <cell r="A471">
            <v>1841000410</v>
          </cell>
          <cell r="B471" t="str">
            <v>שכ"ד רווחה</v>
          </cell>
          <cell r="C471">
            <v>75000</v>
          </cell>
          <cell r="D471">
            <v>77750</v>
          </cell>
          <cell r="E471">
            <v>0</v>
          </cell>
          <cell r="F471">
            <v>77750</v>
          </cell>
        </row>
        <row r="472">
          <cell r="A472">
            <v>1841000430</v>
          </cell>
          <cell r="B472" t="str">
            <v>חשמל ומים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1841000431</v>
          </cell>
          <cell r="B473" t="str">
            <v>חשמל רווחה</v>
          </cell>
          <cell r="C473">
            <v>5000</v>
          </cell>
          <cell r="D473">
            <v>2896.98</v>
          </cell>
          <cell r="E473">
            <v>0</v>
          </cell>
          <cell r="F473">
            <v>2896.98</v>
          </cell>
        </row>
        <row r="474">
          <cell r="A474">
            <v>1841000432</v>
          </cell>
          <cell r="B474" t="str">
            <v>מים רווחה</v>
          </cell>
          <cell r="C474">
            <v>5000</v>
          </cell>
          <cell r="D474">
            <v>101.8</v>
          </cell>
          <cell r="E474">
            <v>0</v>
          </cell>
          <cell r="F474">
            <v>101.8</v>
          </cell>
        </row>
        <row r="475">
          <cell r="A475">
            <v>1841000470</v>
          </cell>
          <cell r="B475" t="str">
            <v>ציוד משרדי רווחה</v>
          </cell>
          <cell r="C475">
            <v>2000</v>
          </cell>
          <cell r="D475">
            <v>-2352</v>
          </cell>
          <cell r="E475">
            <v>2000</v>
          </cell>
          <cell r="F475">
            <v>-352</v>
          </cell>
        </row>
        <row r="476">
          <cell r="A476">
            <v>1841000510</v>
          </cell>
          <cell r="B476" t="str">
            <v>אשל וכיבודים</v>
          </cell>
          <cell r="C476">
            <v>3000</v>
          </cell>
          <cell r="D476">
            <v>700</v>
          </cell>
          <cell r="E476">
            <v>1100</v>
          </cell>
          <cell r="F476">
            <v>1800</v>
          </cell>
        </row>
        <row r="477">
          <cell r="A477">
            <v>1841000520</v>
          </cell>
          <cell r="B477" t="str">
            <v>מינהל רווחה השתלמויות</v>
          </cell>
          <cell r="C477">
            <v>3000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1841000540</v>
          </cell>
          <cell r="B478" t="str">
            <v>רווחה-תקשורת</v>
          </cell>
          <cell r="C478">
            <v>8000</v>
          </cell>
          <cell r="D478">
            <v>13635.12</v>
          </cell>
          <cell r="E478">
            <v>0</v>
          </cell>
          <cell r="F478">
            <v>13635.12</v>
          </cell>
        </row>
        <row r="479">
          <cell r="A479">
            <v>1841000560</v>
          </cell>
          <cell r="B479" t="str">
            <v>רווחה פעולות ארגוניות</v>
          </cell>
          <cell r="C479">
            <v>5000</v>
          </cell>
          <cell r="D479">
            <v>10345</v>
          </cell>
          <cell r="E479">
            <v>2699.94</v>
          </cell>
          <cell r="F479">
            <v>13044.94</v>
          </cell>
        </row>
        <row r="480">
          <cell r="A480">
            <v>1841000840</v>
          </cell>
          <cell r="B480" t="str">
            <v>בטחון עובדים ושמירה</v>
          </cell>
          <cell r="C480">
            <v>8440</v>
          </cell>
          <cell r="D480">
            <v>8445.07</v>
          </cell>
          <cell r="E480">
            <v>0</v>
          </cell>
          <cell r="F480">
            <v>8445.07</v>
          </cell>
        </row>
        <row r="481">
          <cell r="A481">
            <v>1841100440</v>
          </cell>
          <cell r="B481" t="str">
            <v>הוצאות מנהליות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1842200840</v>
          </cell>
          <cell r="B482" t="str">
            <v>סיוע למשפחה עם ילד</v>
          </cell>
          <cell r="C482">
            <v>42000</v>
          </cell>
          <cell r="D482">
            <v>115606</v>
          </cell>
          <cell r="E482">
            <v>0</v>
          </cell>
          <cell r="F482">
            <v>115606</v>
          </cell>
        </row>
        <row r="483">
          <cell r="A483">
            <v>1842201810</v>
          </cell>
          <cell r="B483" t="str">
            <v>מבוטל-מקלט לנשים מוכות</v>
          </cell>
          <cell r="C483">
            <v>0</v>
          </cell>
          <cell r="D483">
            <v>3194</v>
          </cell>
          <cell r="E483">
            <v>0</v>
          </cell>
          <cell r="F483">
            <v>3194</v>
          </cell>
        </row>
        <row r="484">
          <cell r="A484">
            <v>1842201840</v>
          </cell>
          <cell r="B484" t="str">
            <v>מקלטים לנשים מוכות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1842210840</v>
          </cell>
          <cell r="B485" t="str">
            <v>משפחות במצוקה</v>
          </cell>
          <cell r="C485">
            <v>40800</v>
          </cell>
          <cell r="D485">
            <v>41839</v>
          </cell>
          <cell r="E485">
            <v>0</v>
          </cell>
          <cell r="F485">
            <v>41839</v>
          </cell>
        </row>
        <row r="486">
          <cell r="A486">
            <v>1842212840</v>
          </cell>
          <cell r="B486" t="str">
            <v>סיוע חד פעמי לחימום</v>
          </cell>
          <cell r="C486">
            <v>3000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1842400410</v>
          </cell>
          <cell r="B487" t="str">
            <v>שכ"ד מועדון-מלביש</v>
          </cell>
          <cell r="C487">
            <v>27600</v>
          </cell>
          <cell r="D487">
            <v>29940</v>
          </cell>
          <cell r="E487">
            <v>0</v>
          </cell>
          <cell r="F487">
            <v>29940</v>
          </cell>
        </row>
        <row r="488">
          <cell r="A488">
            <v>1842400810</v>
          </cell>
          <cell r="B488" t="str">
            <v>סדנאות לטפול במשפ/קיטנות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1842400840</v>
          </cell>
          <cell r="B489" t="str">
            <v>מרכזי טיפול באלימות</v>
          </cell>
          <cell r="C489">
            <v>105333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1842410110</v>
          </cell>
          <cell r="B490" t="str">
            <v>מבוטל-נתיבים להורות-שמיד</v>
          </cell>
          <cell r="C490">
            <v>0</v>
          </cell>
          <cell r="D490">
            <v>35845.760000000002</v>
          </cell>
          <cell r="E490">
            <v>0</v>
          </cell>
          <cell r="F490">
            <v>35845.760000000002</v>
          </cell>
        </row>
        <row r="491">
          <cell r="A491">
            <v>1842410840</v>
          </cell>
          <cell r="B491" t="str">
            <v>סדנאות לטיפול במשפחה</v>
          </cell>
          <cell r="C491">
            <v>0</v>
          </cell>
          <cell r="D491">
            <v>1296</v>
          </cell>
          <cell r="E491">
            <v>0</v>
          </cell>
          <cell r="F491">
            <v>1296</v>
          </cell>
        </row>
        <row r="492">
          <cell r="A492">
            <v>1842500810</v>
          </cell>
          <cell r="B492" t="str">
            <v>תחנה לטיפול משפחתי</v>
          </cell>
          <cell r="C492">
            <v>0</v>
          </cell>
          <cell r="D492">
            <v>-780</v>
          </cell>
          <cell r="E492">
            <v>0</v>
          </cell>
          <cell r="F492">
            <v>-780</v>
          </cell>
        </row>
        <row r="493">
          <cell r="A493">
            <v>1843500110</v>
          </cell>
          <cell r="B493" t="str">
            <v>שכר נתיבים להורות</v>
          </cell>
          <cell r="C493">
            <v>24000</v>
          </cell>
          <cell r="D493">
            <v>47263.06</v>
          </cell>
          <cell r="E493">
            <v>0</v>
          </cell>
          <cell r="F493">
            <v>47263.06</v>
          </cell>
        </row>
        <row r="494">
          <cell r="A494">
            <v>1843500840</v>
          </cell>
          <cell r="B494" t="str">
            <v>טיפול במשפחות</v>
          </cell>
          <cell r="C494">
            <v>303664</v>
          </cell>
          <cell r="D494">
            <v>0</v>
          </cell>
          <cell r="E494">
            <v>3728.8</v>
          </cell>
          <cell r="F494">
            <v>3728.8</v>
          </cell>
        </row>
        <row r="495">
          <cell r="A495">
            <v>1843520840</v>
          </cell>
          <cell r="B495" t="str">
            <v>טיפול בילד בקהילה</v>
          </cell>
          <cell r="C495">
            <v>281200</v>
          </cell>
          <cell r="D495">
            <v>341119</v>
          </cell>
          <cell r="E495">
            <v>0</v>
          </cell>
          <cell r="F495">
            <v>341119</v>
          </cell>
        </row>
        <row r="496">
          <cell r="A496">
            <v>1843530840</v>
          </cell>
          <cell r="B496" t="str">
            <v>מועדוניות משותפות</v>
          </cell>
          <cell r="C496">
            <v>105333</v>
          </cell>
          <cell r="D496">
            <v>33012</v>
          </cell>
          <cell r="E496">
            <v>19759.29</v>
          </cell>
          <cell r="F496">
            <v>52771.29</v>
          </cell>
        </row>
        <row r="497">
          <cell r="A497">
            <v>1843600810</v>
          </cell>
          <cell r="B497" t="str">
            <v>יצירת קשר הורים</v>
          </cell>
          <cell r="C497">
            <v>39712</v>
          </cell>
          <cell r="D497">
            <v>5919</v>
          </cell>
          <cell r="E497">
            <v>0</v>
          </cell>
          <cell r="F497">
            <v>5919</v>
          </cell>
        </row>
        <row r="498">
          <cell r="A498">
            <v>1843800840</v>
          </cell>
          <cell r="B498" t="str">
            <v>אחזקת ילדים בפנימיות</v>
          </cell>
          <cell r="C498">
            <v>489664</v>
          </cell>
          <cell r="D498">
            <v>792221</v>
          </cell>
          <cell r="E498">
            <v>0</v>
          </cell>
          <cell r="F498">
            <v>792221</v>
          </cell>
        </row>
        <row r="499">
          <cell r="A499">
            <v>1843810840</v>
          </cell>
          <cell r="B499" t="str">
            <v>תוכנית עם הפנים לקהילה</v>
          </cell>
          <cell r="C499">
            <v>115291</v>
          </cell>
          <cell r="D499">
            <v>53641</v>
          </cell>
          <cell r="E499">
            <v>15001</v>
          </cell>
          <cell r="F499">
            <v>68642</v>
          </cell>
        </row>
        <row r="500">
          <cell r="A500">
            <v>1843900840</v>
          </cell>
          <cell r="B500" t="str">
            <v>ילדים במעונות יום</v>
          </cell>
          <cell r="C500">
            <v>699328</v>
          </cell>
          <cell r="D500">
            <v>671142</v>
          </cell>
          <cell r="E500">
            <v>0</v>
          </cell>
          <cell r="F500">
            <v>671142</v>
          </cell>
        </row>
        <row r="501">
          <cell r="A501">
            <v>1843901810</v>
          </cell>
          <cell r="B501" t="str">
            <v>טיפול בפגיעות מיניות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1843902810</v>
          </cell>
          <cell r="B502" t="str">
            <v>תכנית לאומית ילדים בסיכון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1844300840</v>
          </cell>
          <cell r="B503" t="str">
            <v>אחזקת זקנים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1844400410</v>
          </cell>
          <cell r="B504" t="str">
            <v>מועדון זקנים</v>
          </cell>
          <cell r="C504">
            <v>42000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1844400750</v>
          </cell>
          <cell r="B505" t="str">
            <v>פעולות מועדון זקנים</v>
          </cell>
          <cell r="C505">
            <v>13333</v>
          </cell>
          <cell r="D505">
            <v>4100</v>
          </cell>
          <cell r="E505">
            <v>6488.72</v>
          </cell>
          <cell r="F505">
            <v>10588.72</v>
          </cell>
        </row>
        <row r="506">
          <cell r="A506">
            <v>1844400840</v>
          </cell>
          <cell r="B506" t="str">
            <v>שכונה תומכת</v>
          </cell>
          <cell r="C506">
            <v>30267</v>
          </cell>
          <cell r="D506">
            <v>57878</v>
          </cell>
          <cell r="E506">
            <v>0</v>
          </cell>
          <cell r="F506">
            <v>57878</v>
          </cell>
        </row>
        <row r="507">
          <cell r="A507">
            <v>1844410410</v>
          </cell>
          <cell r="B507" t="str">
            <v>טיפול בזקן בקהילה</v>
          </cell>
          <cell r="C507">
            <v>27600</v>
          </cell>
          <cell r="D507">
            <v>42000</v>
          </cell>
          <cell r="E507">
            <v>0</v>
          </cell>
          <cell r="F507">
            <v>42000</v>
          </cell>
        </row>
        <row r="508">
          <cell r="A508">
            <v>1844410840</v>
          </cell>
          <cell r="B508" t="str">
            <v>טיפול בזקן בקהילה</v>
          </cell>
          <cell r="C508">
            <v>0</v>
          </cell>
          <cell r="D508">
            <v>53416</v>
          </cell>
          <cell r="E508">
            <v>0</v>
          </cell>
          <cell r="F508">
            <v>53416</v>
          </cell>
        </row>
        <row r="509">
          <cell r="A509">
            <v>1844430840</v>
          </cell>
          <cell r="B509" t="str">
            <v>מרכזי ועדות חוק סעוד</v>
          </cell>
          <cell r="C509">
            <v>37000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1844510840</v>
          </cell>
          <cell r="B510" t="str">
            <v>מסגרות יומיות לזקן</v>
          </cell>
          <cell r="C510">
            <v>209067</v>
          </cell>
          <cell r="D510">
            <v>469331</v>
          </cell>
          <cell r="E510">
            <v>0</v>
          </cell>
          <cell r="F510">
            <v>469331</v>
          </cell>
        </row>
        <row r="511">
          <cell r="A511">
            <v>1845100840</v>
          </cell>
          <cell r="B511" t="str">
            <v>סידור מפגרים במוסדות</v>
          </cell>
          <cell r="C511">
            <v>3497280</v>
          </cell>
          <cell r="D511">
            <v>2746213</v>
          </cell>
          <cell r="E511">
            <v>0</v>
          </cell>
          <cell r="F511">
            <v>2746213</v>
          </cell>
        </row>
        <row r="512">
          <cell r="A512">
            <v>1845120840</v>
          </cell>
          <cell r="B512" t="str">
            <v>מפגרים במוסד ממשלתי</v>
          </cell>
          <cell r="C512">
            <v>156000</v>
          </cell>
          <cell r="D512">
            <v>146318</v>
          </cell>
          <cell r="E512">
            <v>0</v>
          </cell>
          <cell r="F512">
            <v>146318</v>
          </cell>
        </row>
        <row r="513">
          <cell r="A513">
            <v>1845130840</v>
          </cell>
          <cell r="B513" t="str">
            <v>מועדונים לילדים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1845140840</v>
          </cell>
          <cell r="B514" t="str">
            <v>החזקת אוטיסטים במסגרת</v>
          </cell>
          <cell r="C514">
            <v>288024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1845200810</v>
          </cell>
          <cell r="B515" t="str">
            <v>מפגרים במעון טיפולי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1845200840</v>
          </cell>
          <cell r="B516" t="str">
            <v>מפגרים במעון טיפולי</v>
          </cell>
          <cell r="C516">
            <v>273280</v>
          </cell>
          <cell r="D516">
            <v>215830</v>
          </cell>
          <cell r="E516">
            <v>0</v>
          </cell>
          <cell r="F516">
            <v>215830</v>
          </cell>
        </row>
        <row r="517">
          <cell r="A517">
            <v>1845210840</v>
          </cell>
          <cell r="B517" t="str">
            <v>מפגרים במעון אמוני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1845240810</v>
          </cell>
          <cell r="B518" t="str">
            <v>מעשי"ם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1845240840</v>
          </cell>
          <cell r="B519" t="str">
            <v>מעשי"ם</v>
          </cell>
          <cell r="C519">
            <v>263808</v>
          </cell>
          <cell r="D519">
            <v>336635</v>
          </cell>
          <cell r="E519">
            <v>0</v>
          </cell>
          <cell r="F519">
            <v>336635</v>
          </cell>
        </row>
        <row r="520">
          <cell r="A520">
            <v>1845300840</v>
          </cell>
          <cell r="B520" t="str">
            <v>שירותים תומכים למפגר</v>
          </cell>
          <cell r="C520">
            <v>10000</v>
          </cell>
          <cell r="D520">
            <v>15825</v>
          </cell>
          <cell r="E520">
            <v>0</v>
          </cell>
          <cell r="F520">
            <v>15825</v>
          </cell>
        </row>
        <row r="521">
          <cell r="A521">
            <v>1845310840</v>
          </cell>
          <cell r="B521" t="str">
            <v>נופשונים למפגר</v>
          </cell>
          <cell r="C521">
            <v>17952</v>
          </cell>
          <cell r="D521">
            <v>16681</v>
          </cell>
          <cell r="E521">
            <v>0</v>
          </cell>
          <cell r="F521">
            <v>16681</v>
          </cell>
        </row>
        <row r="522">
          <cell r="A522">
            <v>1845311840</v>
          </cell>
          <cell r="B522" t="str">
            <v>הסעות למ.יום למפגר</v>
          </cell>
          <cell r="C522">
            <v>77200</v>
          </cell>
          <cell r="D522">
            <v>154149</v>
          </cell>
          <cell r="E522">
            <v>0</v>
          </cell>
          <cell r="F522">
            <v>154149</v>
          </cell>
        </row>
        <row r="523">
          <cell r="A523">
            <v>1845320840</v>
          </cell>
          <cell r="B523" t="str">
            <v>מועדון חברתי למפגרים</v>
          </cell>
          <cell r="C523">
            <v>20000</v>
          </cell>
          <cell r="D523">
            <v>13337</v>
          </cell>
          <cell r="E523">
            <v>0</v>
          </cell>
          <cell r="F523">
            <v>13337</v>
          </cell>
        </row>
        <row r="524">
          <cell r="A524">
            <v>1846290840</v>
          </cell>
          <cell r="B524" t="str">
            <v>שיקום העיוור בקהילה</v>
          </cell>
          <cell r="C524">
            <v>55333</v>
          </cell>
          <cell r="D524">
            <v>41166</v>
          </cell>
          <cell r="E524">
            <v>0</v>
          </cell>
          <cell r="F524">
            <v>41166</v>
          </cell>
        </row>
        <row r="525">
          <cell r="A525">
            <v>1846300840</v>
          </cell>
          <cell r="B525" t="str">
            <v>דמי ליווי לעוור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1846310840</v>
          </cell>
          <cell r="B526" t="str">
            <v>הדרכת עוור ובני ביתו</v>
          </cell>
          <cell r="C526">
            <v>32569</v>
          </cell>
          <cell r="D526">
            <v>37695</v>
          </cell>
          <cell r="E526">
            <v>0</v>
          </cell>
          <cell r="F526">
            <v>37695</v>
          </cell>
        </row>
        <row r="527">
          <cell r="A527">
            <v>1846600840</v>
          </cell>
          <cell r="B527" t="str">
            <v>תעסוקה מוגנת למוגבל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1846610810</v>
          </cell>
          <cell r="B528" t="str">
            <v>תוכנית לילד החריג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1846700840</v>
          </cell>
          <cell r="B529" t="str">
            <v>מ.יום שיקומי לנכים</v>
          </cell>
          <cell r="C529">
            <v>44768</v>
          </cell>
          <cell r="D529">
            <v>33171</v>
          </cell>
          <cell r="E529">
            <v>0</v>
          </cell>
          <cell r="F529">
            <v>33171</v>
          </cell>
        </row>
        <row r="530">
          <cell r="A530">
            <v>1846710840</v>
          </cell>
          <cell r="B530" t="str">
            <v>הסעות למ.יום שיקומי לנכים</v>
          </cell>
          <cell r="C530">
            <v>100000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1846720840</v>
          </cell>
          <cell r="B531" t="str">
            <v>ליווי למ.יום שיקומי</v>
          </cell>
          <cell r="C531">
            <v>40000</v>
          </cell>
          <cell r="D531">
            <v>23969</v>
          </cell>
          <cell r="E531">
            <v>0</v>
          </cell>
          <cell r="F531">
            <v>23969</v>
          </cell>
        </row>
        <row r="532">
          <cell r="A532">
            <v>1846740840</v>
          </cell>
          <cell r="B532" t="str">
            <v>מועדון חברתי לבוגרים</v>
          </cell>
          <cell r="C532">
            <v>36000</v>
          </cell>
          <cell r="D532">
            <v>60000</v>
          </cell>
          <cell r="E532">
            <v>0</v>
          </cell>
          <cell r="F532">
            <v>60000</v>
          </cell>
        </row>
        <row r="533">
          <cell r="A533">
            <v>1846750840</v>
          </cell>
          <cell r="B533" t="str">
            <v>תעסוקה נתמכת לנכים</v>
          </cell>
          <cell r="C533">
            <v>6667</v>
          </cell>
          <cell r="D533">
            <v>9622</v>
          </cell>
          <cell r="E533">
            <v>0</v>
          </cell>
          <cell r="F533">
            <v>9622</v>
          </cell>
        </row>
        <row r="534">
          <cell r="A534">
            <v>1846760840</v>
          </cell>
          <cell r="B534" t="str">
            <v>תוכנית מעבר</v>
          </cell>
          <cell r="C534">
            <v>6000</v>
          </cell>
          <cell r="D534">
            <v>5614</v>
          </cell>
          <cell r="E534">
            <v>0</v>
          </cell>
          <cell r="F534">
            <v>5614</v>
          </cell>
        </row>
        <row r="535">
          <cell r="A535">
            <v>1846800810</v>
          </cell>
          <cell r="B535" t="str">
            <v>דמי תקשורת לחירשים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1846800840</v>
          </cell>
          <cell r="B536" t="str">
            <v>מרכזי איבחון ושיקום</v>
          </cell>
          <cell r="C536">
            <v>28000</v>
          </cell>
          <cell r="D536">
            <v>27931</v>
          </cell>
          <cell r="E536">
            <v>0</v>
          </cell>
          <cell r="F536">
            <v>27931</v>
          </cell>
        </row>
        <row r="537">
          <cell r="A537">
            <v>1846805840</v>
          </cell>
          <cell r="B537" t="str">
            <v>מרכזי אבחון ושיקום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1846810840</v>
          </cell>
          <cell r="B538" t="str">
            <v>שיקום נכים</v>
          </cell>
          <cell r="C538">
            <v>16667</v>
          </cell>
          <cell r="D538">
            <v>7702</v>
          </cell>
          <cell r="E538">
            <v>0</v>
          </cell>
          <cell r="F538">
            <v>7702</v>
          </cell>
        </row>
        <row r="539">
          <cell r="A539">
            <v>1846820840</v>
          </cell>
          <cell r="B539" t="str">
            <v>נכים קשים בקהילה</v>
          </cell>
          <cell r="C539">
            <v>0</v>
          </cell>
          <cell r="D539">
            <v>1170</v>
          </cell>
          <cell r="E539">
            <v>0</v>
          </cell>
          <cell r="F539">
            <v>1170</v>
          </cell>
        </row>
        <row r="540">
          <cell r="A540">
            <v>1846825840</v>
          </cell>
          <cell r="B540" t="str">
            <v>בוגרים עוורים בקהילה</v>
          </cell>
          <cell r="C540">
            <v>42667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1846830840</v>
          </cell>
          <cell r="B541" t="str">
            <v>ילדים עוורים בקהילה</v>
          </cell>
          <cell r="C541">
            <v>41333</v>
          </cell>
          <cell r="D541">
            <v>38357</v>
          </cell>
          <cell r="E541">
            <v>0</v>
          </cell>
          <cell r="F541">
            <v>38357</v>
          </cell>
        </row>
        <row r="542">
          <cell r="A542">
            <v>1847100840</v>
          </cell>
          <cell r="B542" t="str">
            <v>טיפול בנוער ובצעירים</v>
          </cell>
          <cell r="C542">
            <v>10667</v>
          </cell>
          <cell r="D542">
            <v>0</v>
          </cell>
          <cell r="E542">
            <v>10473.68</v>
          </cell>
          <cell r="F542">
            <v>10473.68</v>
          </cell>
        </row>
        <row r="543">
          <cell r="A543">
            <v>1847110840</v>
          </cell>
          <cell r="B543" t="str">
            <v>טיפול בנערות במצוקה</v>
          </cell>
          <cell r="C543">
            <v>12287</v>
          </cell>
          <cell r="D543">
            <v>3600</v>
          </cell>
          <cell r="E543">
            <v>4000</v>
          </cell>
          <cell r="F543">
            <v>7600</v>
          </cell>
        </row>
        <row r="544">
          <cell r="A544">
            <v>1847130840</v>
          </cell>
          <cell r="B544" t="str">
            <v>טיפול בחבורות רחוב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1847140840</v>
          </cell>
          <cell r="B545" t="str">
            <v>פרויקט וינגיט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1847300750</v>
          </cell>
          <cell r="B546" t="str">
            <v>פעילות תוכנית סמים ואלכהוול</v>
          </cell>
          <cell r="C546">
            <v>16000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1847300840</v>
          </cell>
          <cell r="B547" t="str">
            <v>טיפול בנוער מתמכר</v>
          </cell>
          <cell r="C547">
            <v>12000</v>
          </cell>
          <cell r="D547">
            <v>133</v>
          </cell>
          <cell r="E547">
            <v>0</v>
          </cell>
          <cell r="F547">
            <v>133</v>
          </cell>
        </row>
        <row r="548">
          <cell r="A548">
            <v>1847310840</v>
          </cell>
          <cell r="B548" t="str">
            <v>מקלט לנערות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1847320840</v>
          </cell>
          <cell r="B549" t="str">
            <v>התמכרויות - מבוגרים</v>
          </cell>
          <cell r="C549">
            <v>26667</v>
          </cell>
          <cell r="D549">
            <v>30975</v>
          </cell>
          <cell r="E549">
            <v>0</v>
          </cell>
          <cell r="F549">
            <v>30975</v>
          </cell>
        </row>
        <row r="550">
          <cell r="A550">
            <v>1847330840</v>
          </cell>
          <cell r="B550" t="str">
            <v>מ.יום לנוער -סמים</v>
          </cell>
          <cell r="C550">
            <v>0</v>
          </cell>
          <cell r="D550">
            <v>2796</v>
          </cell>
          <cell r="E550">
            <v>0</v>
          </cell>
          <cell r="F550">
            <v>2796</v>
          </cell>
        </row>
        <row r="551">
          <cell r="A551">
            <v>1847400110</v>
          </cell>
          <cell r="B551" t="str">
            <v>שכר למפתן(מית"ר)</v>
          </cell>
          <cell r="C551">
            <v>593230</v>
          </cell>
          <cell r="D551">
            <v>562500.84</v>
          </cell>
          <cell r="E551">
            <v>0</v>
          </cell>
          <cell r="F551">
            <v>562500.84</v>
          </cell>
        </row>
        <row r="552">
          <cell r="A552">
            <v>1847400430</v>
          </cell>
          <cell r="B552" t="str">
            <v>מית"ר - חשמל</v>
          </cell>
          <cell r="C552">
            <v>25000</v>
          </cell>
          <cell r="D552">
            <v>2982.62</v>
          </cell>
          <cell r="E552">
            <v>0</v>
          </cell>
          <cell r="F552">
            <v>2982.62</v>
          </cell>
        </row>
        <row r="553">
          <cell r="A553">
            <v>1847400470</v>
          </cell>
          <cell r="B553" t="str">
            <v>מית"ר - ציוד משרדי</v>
          </cell>
          <cell r="C553">
            <v>6000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1847400541</v>
          </cell>
          <cell r="B554" t="str">
            <v>מית"ר טלפונים</v>
          </cell>
          <cell r="C554">
            <v>5400</v>
          </cell>
          <cell r="D554">
            <v>4017.9</v>
          </cell>
          <cell r="E554">
            <v>0</v>
          </cell>
          <cell r="F554">
            <v>4017.9</v>
          </cell>
        </row>
        <row r="555">
          <cell r="A555">
            <v>1847400720</v>
          </cell>
          <cell r="B555" t="str">
            <v>מית"ר חומרים וציוד</v>
          </cell>
          <cell r="C555">
            <v>54000</v>
          </cell>
          <cell r="D555">
            <v>14286.01</v>
          </cell>
          <cell r="E555">
            <v>13100.91</v>
          </cell>
          <cell r="F555">
            <v>27386.92</v>
          </cell>
        </row>
        <row r="556">
          <cell r="A556">
            <v>1847400750</v>
          </cell>
          <cell r="B556" t="str">
            <v>מית"ר - קבלניות</v>
          </cell>
          <cell r="C556">
            <v>128000</v>
          </cell>
          <cell r="D556">
            <v>36477</v>
          </cell>
          <cell r="E556">
            <v>42961.4</v>
          </cell>
          <cell r="F556">
            <v>79438.399999999994</v>
          </cell>
        </row>
        <row r="557">
          <cell r="A557">
            <v>1847400780</v>
          </cell>
          <cell r="B557" t="str">
            <v>מזון מית"ר</v>
          </cell>
          <cell r="C557">
            <v>48000</v>
          </cell>
          <cell r="D557">
            <v>36493</v>
          </cell>
          <cell r="E557">
            <v>10250</v>
          </cell>
          <cell r="F557">
            <v>46743</v>
          </cell>
        </row>
        <row r="558">
          <cell r="A558">
            <v>1847400930</v>
          </cell>
          <cell r="B558" t="str">
            <v>מפתן מקומי-מית"ר</v>
          </cell>
          <cell r="C558">
            <v>3250</v>
          </cell>
          <cell r="D558">
            <v>3450</v>
          </cell>
          <cell r="E558">
            <v>0</v>
          </cell>
          <cell r="F558">
            <v>3450</v>
          </cell>
        </row>
        <row r="559">
          <cell r="A559">
            <v>1847410750</v>
          </cell>
          <cell r="B559" t="str">
            <v>מית"ר הסעות</v>
          </cell>
          <cell r="C559">
            <v>48000</v>
          </cell>
          <cell r="D559">
            <v>9103.2199999999993</v>
          </cell>
          <cell r="E559">
            <v>15850</v>
          </cell>
          <cell r="F559">
            <v>24953.22</v>
          </cell>
        </row>
        <row r="560">
          <cell r="A560">
            <v>1847410840</v>
          </cell>
          <cell r="B560" t="str">
            <v>מניעת אלימות במפתנים</v>
          </cell>
          <cell r="C560">
            <v>16000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1847500540</v>
          </cell>
          <cell r="B561" t="str">
            <v>טלפון מית"ר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1848200840</v>
          </cell>
          <cell r="B562" t="str">
            <v>עבודה קהילתית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1848210840</v>
          </cell>
          <cell r="B563" t="str">
            <v>צח"י צפון ועוטף עז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1848300840</v>
          </cell>
          <cell r="B564" t="str">
            <v>פעולות התנדבות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1851000430</v>
          </cell>
          <cell r="B565" t="str">
            <v>מועצה דתית-חשמל ומים</v>
          </cell>
          <cell r="C565">
            <v>0</v>
          </cell>
          <cell r="D565">
            <v>7070.08</v>
          </cell>
          <cell r="E565">
            <v>0</v>
          </cell>
          <cell r="F565">
            <v>7070.08</v>
          </cell>
        </row>
        <row r="566">
          <cell r="A566">
            <v>1851000431</v>
          </cell>
          <cell r="B566" t="str">
            <v>מועצה דתית - חשמל</v>
          </cell>
          <cell r="C566">
            <v>6000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1851000432</v>
          </cell>
          <cell r="B567" t="str">
            <v>מועצה דתית - מים</v>
          </cell>
          <cell r="C567">
            <v>25000</v>
          </cell>
          <cell r="D567">
            <v>20354</v>
          </cell>
          <cell r="E567">
            <v>0</v>
          </cell>
          <cell r="F567">
            <v>20354</v>
          </cell>
        </row>
        <row r="568">
          <cell r="A568">
            <v>1851000810</v>
          </cell>
          <cell r="B568" t="str">
            <v>השתתפות בתקציב הדתות</v>
          </cell>
          <cell r="C568">
            <v>16000</v>
          </cell>
          <cell r="D568">
            <v>14000</v>
          </cell>
          <cell r="E568">
            <v>0</v>
          </cell>
          <cell r="F568">
            <v>14000</v>
          </cell>
        </row>
        <row r="569">
          <cell r="A569">
            <v>1879000780</v>
          </cell>
          <cell r="B569" t="str">
            <v>איכות הסביבה שונות</v>
          </cell>
          <cell r="C569">
            <v>85000</v>
          </cell>
          <cell r="D569">
            <v>16955.07</v>
          </cell>
          <cell r="E569">
            <v>25273.52</v>
          </cell>
          <cell r="F569">
            <v>42228.59</v>
          </cell>
        </row>
        <row r="570">
          <cell r="A570">
            <v>1913000110</v>
          </cell>
          <cell r="B570" t="str">
            <v>שכר משק המים וביוב</v>
          </cell>
          <cell r="C570">
            <v>316000</v>
          </cell>
          <cell r="D570">
            <v>274122.83</v>
          </cell>
          <cell r="E570">
            <v>0</v>
          </cell>
          <cell r="F570">
            <v>274122.83</v>
          </cell>
        </row>
        <row r="571">
          <cell r="A571">
            <v>1913000420</v>
          </cell>
          <cell r="B571" t="str">
            <v>מים-תיקונים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1913000431</v>
          </cell>
          <cell r="B572" t="str">
            <v>**מבוטל***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1913000719</v>
          </cell>
          <cell r="B573" t="str">
            <v>חומרים מחלקת מים</v>
          </cell>
          <cell r="C573">
            <v>48000</v>
          </cell>
          <cell r="D573">
            <v>17854.25</v>
          </cell>
          <cell r="E573">
            <v>4175</v>
          </cell>
          <cell r="F573">
            <v>22029.25</v>
          </cell>
        </row>
        <row r="574">
          <cell r="A574">
            <v>1913000730</v>
          </cell>
          <cell r="B574" t="str">
            <v>תחזוקת רכב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1913000731</v>
          </cell>
          <cell r="B575" t="str">
            <v>דלק וכביש 6 רכב מח' מים</v>
          </cell>
          <cell r="C575">
            <v>24000</v>
          </cell>
          <cell r="D575">
            <v>22610.45</v>
          </cell>
          <cell r="E575">
            <v>0</v>
          </cell>
          <cell r="F575">
            <v>22610.45</v>
          </cell>
        </row>
        <row r="576">
          <cell r="A576">
            <v>1913000732</v>
          </cell>
          <cell r="B576" t="str">
            <v>מים תיקונים</v>
          </cell>
          <cell r="C576">
            <v>98000</v>
          </cell>
          <cell r="D576">
            <v>96239.2</v>
          </cell>
          <cell r="E576">
            <v>106</v>
          </cell>
          <cell r="F576">
            <v>96345.2</v>
          </cell>
        </row>
        <row r="577">
          <cell r="A577">
            <v>1913000735</v>
          </cell>
          <cell r="B577" t="str">
            <v>שכירות רכב מח' מים</v>
          </cell>
          <cell r="C577">
            <v>54000</v>
          </cell>
          <cell r="D577">
            <v>42345.31</v>
          </cell>
          <cell r="E577">
            <v>0</v>
          </cell>
          <cell r="F577">
            <v>42345.31</v>
          </cell>
        </row>
        <row r="578">
          <cell r="A578">
            <v>1913000750</v>
          </cell>
          <cell r="B578" t="str">
            <v>קבלניות מח' מים</v>
          </cell>
          <cell r="C578">
            <v>250000</v>
          </cell>
          <cell r="D578">
            <v>227745.2</v>
          </cell>
          <cell r="E578">
            <v>19847.400000000001</v>
          </cell>
          <cell r="F578">
            <v>247592.6</v>
          </cell>
        </row>
        <row r="579">
          <cell r="A579">
            <v>1913000780</v>
          </cell>
          <cell r="B579" t="str">
            <v>מדי מים</v>
          </cell>
          <cell r="C579">
            <v>50000</v>
          </cell>
          <cell r="D579">
            <v>38037.5</v>
          </cell>
          <cell r="E579">
            <v>11320</v>
          </cell>
          <cell r="F579">
            <v>49357.5</v>
          </cell>
        </row>
        <row r="580">
          <cell r="A580">
            <v>1913100729</v>
          </cell>
          <cell r="B580" t="str">
            <v>קנית מים</v>
          </cell>
          <cell r="C580">
            <v>13300000</v>
          </cell>
          <cell r="D580">
            <v>11433191</v>
          </cell>
          <cell r="E580">
            <v>0</v>
          </cell>
          <cell r="F580">
            <v>11433191</v>
          </cell>
        </row>
        <row r="581">
          <cell r="A581">
            <v>1913200750</v>
          </cell>
          <cell r="B581" t="str">
            <v>בדיקות מים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1913200770</v>
          </cell>
          <cell r="B582" t="str">
            <v>חשמל-תחנת שאיבה</v>
          </cell>
          <cell r="C582">
            <v>20000</v>
          </cell>
          <cell r="D582">
            <v>8875.5</v>
          </cell>
          <cell r="E582">
            <v>0</v>
          </cell>
          <cell r="F582">
            <v>8875.5</v>
          </cell>
        </row>
        <row r="583">
          <cell r="A583">
            <v>1943100410</v>
          </cell>
          <cell r="B583" t="str">
            <v>שכירות -שירותים ציבוריים וחניה</v>
          </cell>
          <cell r="C583">
            <v>9000</v>
          </cell>
          <cell r="D583">
            <v>15000</v>
          </cell>
          <cell r="E583">
            <v>0</v>
          </cell>
          <cell r="F583">
            <v>15000</v>
          </cell>
        </row>
        <row r="584">
          <cell r="A584">
            <v>1944000970</v>
          </cell>
          <cell r="B584" t="str">
            <v>הוצ' עודפות מס הכנסה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1972000694</v>
          </cell>
          <cell r="B585" t="str">
            <v>ביוב קרן</v>
          </cell>
          <cell r="C585">
            <v>1630000</v>
          </cell>
          <cell r="D585">
            <v>1601089.52</v>
          </cell>
          <cell r="E585">
            <v>0</v>
          </cell>
          <cell r="F585">
            <v>1601089.52</v>
          </cell>
        </row>
        <row r="586">
          <cell r="A586">
            <v>1972000695</v>
          </cell>
          <cell r="B586" t="str">
            <v>ביוב ריבית</v>
          </cell>
          <cell r="C586">
            <v>1315000</v>
          </cell>
          <cell r="D586">
            <v>1309946</v>
          </cell>
          <cell r="E586">
            <v>0</v>
          </cell>
          <cell r="F586">
            <v>1309946</v>
          </cell>
        </row>
        <row r="587">
          <cell r="A587">
            <v>1972000696</v>
          </cell>
          <cell r="B587" t="str">
            <v>ביוב הצמדה</v>
          </cell>
          <cell r="C587">
            <v>212000</v>
          </cell>
          <cell r="D587">
            <v>202936.18</v>
          </cell>
          <cell r="E587">
            <v>0</v>
          </cell>
          <cell r="F587">
            <v>202936.18</v>
          </cell>
        </row>
        <row r="588">
          <cell r="A588">
            <v>1972000720</v>
          </cell>
          <cell r="B588" t="str">
            <v>ביוב עירוני</v>
          </cell>
          <cell r="C588">
            <v>2000</v>
          </cell>
          <cell r="D588">
            <v>1876.2</v>
          </cell>
          <cell r="E588">
            <v>0</v>
          </cell>
          <cell r="F588">
            <v>1876.2</v>
          </cell>
        </row>
        <row r="589">
          <cell r="A589">
            <v>1972000750</v>
          </cell>
          <cell r="B589" t="str">
            <v>אחזקת ביוב</v>
          </cell>
          <cell r="C589">
            <v>353000</v>
          </cell>
          <cell r="D589">
            <v>253574</v>
          </cell>
          <cell r="E589">
            <v>45276</v>
          </cell>
          <cell r="F589">
            <v>298850</v>
          </cell>
        </row>
        <row r="590">
          <cell r="A590">
            <v>1972000780</v>
          </cell>
          <cell r="B590" t="str">
            <v>ביוב-שונות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1973000770</v>
          </cell>
          <cell r="B591" t="str">
            <v>חשמל-מכון שפכים</v>
          </cell>
          <cell r="C591">
            <v>610000</v>
          </cell>
          <cell r="D591">
            <v>564178.78</v>
          </cell>
          <cell r="E591">
            <v>0</v>
          </cell>
          <cell r="F591">
            <v>564178.78</v>
          </cell>
        </row>
        <row r="592">
          <cell r="A592">
            <v>1973100750</v>
          </cell>
          <cell r="B592" t="str">
            <v>אגרת ביוב/חוף כרמל</v>
          </cell>
          <cell r="C592">
            <v>310000</v>
          </cell>
          <cell r="D592">
            <v>115008</v>
          </cell>
          <cell r="E592">
            <v>0</v>
          </cell>
          <cell r="F592">
            <v>115008</v>
          </cell>
        </row>
        <row r="593">
          <cell r="A593">
            <v>1973100770</v>
          </cell>
          <cell r="B593" t="str">
            <v>חשמל מכון שפכים דאליה</v>
          </cell>
          <cell r="C593">
            <v>0</v>
          </cell>
          <cell r="D593">
            <v>143.87</v>
          </cell>
          <cell r="E593">
            <v>0</v>
          </cell>
          <cell r="F593">
            <v>143.87</v>
          </cell>
        </row>
        <row r="594">
          <cell r="A594">
            <v>1993000780</v>
          </cell>
          <cell r="B594" t="str">
            <v>הוצ' בגין שנים קודמות</v>
          </cell>
          <cell r="C594">
            <v>500000</v>
          </cell>
          <cell r="D594">
            <v>177377.46</v>
          </cell>
          <cell r="E594">
            <v>0</v>
          </cell>
          <cell r="F594">
            <v>177377.46</v>
          </cell>
        </row>
        <row r="595">
          <cell r="A595">
            <v>1993000781</v>
          </cell>
          <cell r="B595" t="str">
            <v>הוצאות שכר שנים קודמות</v>
          </cell>
          <cell r="C595">
            <v>0</v>
          </cell>
          <cell r="D595">
            <v>27295</v>
          </cell>
          <cell r="E595">
            <v>0</v>
          </cell>
          <cell r="F595">
            <v>27295</v>
          </cell>
        </row>
        <row r="596">
          <cell r="A596">
            <v>1994000970</v>
          </cell>
          <cell r="B596" t="str">
            <v>עודפות מס הכנסה</v>
          </cell>
          <cell r="C596">
            <v>18000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1995000860</v>
          </cell>
          <cell r="B597" t="str">
            <v>הנחות ארנונה</v>
          </cell>
          <cell r="C597">
            <v>5880000</v>
          </cell>
          <cell r="D597">
            <v>4046027.77</v>
          </cell>
          <cell r="E597">
            <v>0</v>
          </cell>
          <cell r="F597">
            <v>4046027.77</v>
          </cell>
        </row>
        <row r="598">
          <cell r="A598">
            <v>1996000310</v>
          </cell>
          <cell r="B598" t="str">
            <v>משכורת פנסיונרים</v>
          </cell>
          <cell r="C598">
            <v>3140000</v>
          </cell>
          <cell r="D598">
            <v>3759141.63</v>
          </cell>
          <cell r="E598">
            <v>0</v>
          </cell>
          <cell r="F598">
            <v>3759141.63</v>
          </cell>
        </row>
        <row r="599">
          <cell r="A599">
            <v>1996001110</v>
          </cell>
          <cell r="B599" t="str">
            <v>שכר פנסיונרים נוספים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1998000310</v>
          </cell>
          <cell r="B600" t="str">
            <v>שכר פינסיונירם - התייעלות</v>
          </cell>
          <cell r="C600">
            <v>0</v>
          </cell>
          <cell r="D600">
            <v>-13103.02</v>
          </cell>
          <cell r="E600">
            <v>0</v>
          </cell>
          <cell r="F600">
            <v>-13103.02</v>
          </cell>
        </row>
        <row r="601">
          <cell r="A601">
            <v>1998001110</v>
          </cell>
          <cell r="B601" t="str">
            <v>התייעלות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1998001310</v>
          </cell>
          <cell r="B602" t="str">
            <v>שכר פנסיונירים-משפטיות</v>
          </cell>
          <cell r="C602">
            <v>0</v>
          </cell>
          <cell r="D602">
            <v>3248.35</v>
          </cell>
          <cell r="E602">
            <v>0</v>
          </cell>
          <cell r="F602">
            <v>3248.35</v>
          </cell>
        </row>
        <row r="603">
          <cell r="A603">
            <v>1999000980</v>
          </cell>
          <cell r="B603" t="str">
            <v>מענק כסוי גרעון</v>
          </cell>
          <cell r="C603">
            <v>2000000</v>
          </cell>
          <cell r="D603">
            <v>3737000</v>
          </cell>
          <cell r="E603">
            <v>0</v>
          </cell>
          <cell r="F603">
            <v>3737000</v>
          </cell>
        </row>
        <row r="604">
          <cell r="A604">
            <v>1999100590</v>
          </cell>
          <cell r="B604" t="str">
            <v>הוצאות מהסכמי פשרה</v>
          </cell>
          <cell r="C604">
            <v>4000000</v>
          </cell>
          <cell r="D604">
            <v>4118652.08</v>
          </cell>
          <cell r="E604">
            <v>0</v>
          </cell>
          <cell r="F604">
            <v>4118652.08</v>
          </cell>
        </row>
        <row r="605">
          <cell r="A605">
            <v>1999100980</v>
          </cell>
          <cell r="B605" t="str">
            <v>הוצאות מותנות בגביה</v>
          </cell>
          <cell r="C605">
            <v>1971000</v>
          </cell>
          <cell r="D605">
            <v>0</v>
          </cell>
          <cell r="E605">
            <v>0</v>
          </cell>
          <cell r="F60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rightToLeft="1" zoomScaleNormal="100" workbookViewId="0">
      <selection activeCell="C11" sqref="C11:F12"/>
    </sheetView>
  </sheetViews>
  <sheetFormatPr defaultColWidth="9" defaultRowHeight="15" x14ac:dyDescent="0.25"/>
  <cols>
    <col min="1" max="16384" width="9" style="16"/>
  </cols>
  <sheetData>
    <row r="1" spans="1:8" x14ac:dyDescent="0.25">
      <c r="A1" s="19"/>
      <c r="B1" s="20"/>
      <c r="C1" s="20"/>
      <c r="D1" s="20"/>
      <c r="E1" s="20"/>
      <c r="F1" s="20"/>
      <c r="G1" s="20"/>
      <c r="H1" s="21"/>
    </row>
    <row r="2" spans="1:8" x14ac:dyDescent="0.25">
      <c r="A2" s="22"/>
      <c r="H2" s="23"/>
    </row>
    <row r="3" spans="1:8" ht="45.75" x14ac:dyDescent="0.65">
      <c r="A3" s="158" t="s">
        <v>1018</v>
      </c>
      <c r="B3" s="159"/>
      <c r="C3" s="159"/>
      <c r="D3" s="159"/>
      <c r="E3" s="159"/>
      <c r="F3" s="159"/>
      <c r="G3" s="159"/>
      <c r="H3" s="160"/>
    </row>
    <row r="4" spans="1:8" x14ac:dyDescent="0.25">
      <c r="A4" s="22"/>
      <c r="H4" s="23"/>
    </row>
    <row r="5" spans="1:8" ht="15" customHeight="1" x14ac:dyDescent="0.25">
      <c r="A5" s="163" t="s">
        <v>1691</v>
      </c>
      <c r="B5" s="164"/>
      <c r="C5" s="164"/>
      <c r="D5" s="164"/>
      <c r="E5" s="164"/>
      <c r="F5" s="164"/>
      <c r="G5" s="164"/>
      <c r="H5" s="165"/>
    </row>
    <row r="6" spans="1:8" ht="64.5" customHeight="1" x14ac:dyDescent="0.25">
      <c r="A6" s="163"/>
      <c r="B6" s="164"/>
      <c r="C6" s="164"/>
      <c r="D6" s="164"/>
      <c r="E6" s="164"/>
      <c r="F6" s="164"/>
      <c r="G6" s="164"/>
      <c r="H6" s="165"/>
    </row>
    <row r="7" spans="1:8" ht="168" customHeight="1" x14ac:dyDescent="0.25">
      <c r="A7" s="163"/>
      <c r="B7" s="164"/>
      <c r="C7" s="164"/>
      <c r="D7" s="164"/>
      <c r="E7" s="164"/>
      <c r="F7" s="164"/>
      <c r="G7" s="164"/>
      <c r="H7" s="165"/>
    </row>
    <row r="8" spans="1:8" x14ac:dyDescent="0.25">
      <c r="A8" s="163"/>
      <c r="B8" s="164"/>
      <c r="C8" s="164"/>
      <c r="D8" s="164"/>
      <c r="E8" s="164"/>
      <c r="F8" s="164"/>
      <c r="G8" s="164"/>
      <c r="H8" s="165"/>
    </row>
    <row r="9" spans="1:8" x14ac:dyDescent="0.25">
      <c r="A9" s="22"/>
      <c r="H9" s="23"/>
    </row>
    <row r="10" spans="1:8" x14ac:dyDescent="0.25">
      <c r="A10" s="22"/>
      <c r="H10" s="23"/>
    </row>
    <row r="11" spans="1:8" x14ac:dyDescent="0.25">
      <c r="A11" s="22"/>
      <c r="C11" s="161"/>
      <c r="D11" s="161"/>
      <c r="E11" s="161"/>
      <c r="F11" s="161"/>
      <c r="H11" s="23"/>
    </row>
    <row r="12" spans="1:8" x14ac:dyDescent="0.25">
      <c r="A12" s="22"/>
      <c r="C12" s="161"/>
      <c r="D12" s="161"/>
      <c r="E12" s="161"/>
      <c r="F12" s="161"/>
      <c r="H12" s="23"/>
    </row>
    <row r="13" spans="1:8" x14ac:dyDescent="0.25">
      <c r="A13" s="22"/>
      <c r="H13" s="23"/>
    </row>
    <row r="14" spans="1:8" x14ac:dyDescent="0.25">
      <c r="A14" s="22"/>
      <c r="H14" s="23"/>
    </row>
    <row r="15" spans="1:8" x14ac:dyDescent="0.25">
      <c r="A15" s="22"/>
      <c r="H15" s="23"/>
    </row>
    <row r="16" spans="1:8" x14ac:dyDescent="0.25">
      <c r="A16" s="22"/>
      <c r="H16" s="23"/>
    </row>
    <row r="17" spans="1:8" x14ac:dyDescent="0.25">
      <c r="A17" s="22"/>
      <c r="B17" s="162"/>
      <c r="C17" s="162"/>
      <c r="D17" s="162"/>
      <c r="E17" s="162"/>
      <c r="F17" s="162"/>
      <c r="G17" s="162"/>
      <c r="H17" s="23"/>
    </row>
    <row r="18" spans="1:8" x14ac:dyDescent="0.25">
      <c r="A18" s="22"/>
      <c r="B18" s="162"/>
      <c r="C18" s="162"/>
      <c r="D18" s="162"/>
      <c r="E18" s="162"/>
      <c r="F18" s="162"/>
      <c r="G18" s="162"/>
      <c r="H18" s="23"/>
    </row>
    <row r="19" spans="1:8" x14ac:dyDescent="0.25">
      <c r="A19" s="22"/>
      <c r="B19" s="162"/>
      <c r="C19" s="162"/>
      <c r="D19" s="162"/>
      <c r="E19" s="162"/>
      <c r="F19" s="162"/>
      <c r="G19" s="162"/>
      <c r="H19" s="23"/>
    </row>
    <row r="20" spans="1:8" x14ac:dyDescent="0.25">
      <c r="A20" s="22"/>
      <c r="B20" s="162"/>
      <c r="C20" s="162"/>
      <c r="D20" s="162"/>
      <c r="E20" s="162"/>
      <c r="F20" s="162"/>
      <c r="G20" s="162"/>
      <c r="H20" s="23"/>
    </row>
    <row r="21" spans="1:8" x14ac:dyDescent="0.25">
      <c r="A21" s="22"/>
      <c r="H21" s="23"/>
    </row>
    <row r="22" spans="1:8" x14ac:dyDescent="0.25">
      <c r="A22" s="22"/>
      <c r="H22" s="23"/>
    </row>
    <row r="23" spans="1:8" x14ac:dyDescent="0.25">
      <c r="A23" s="22"/>
      <c r="H23" s="23"/>
    </row>
    <row r="24" spans="1:8" x14ac:dyDescent="0.25">
      <c r="A24" s="22"/>
      <c r="H24" s="23"/>
    </row>
    <row r="25" spans="1:8" x14ac:dyDescent="0.25">
      <c r="A25" s="22"/>
      <c r="H25" s="23"/>
    </row>
    <row r="26" spans="1:8" x14ac:dyDescent="0.25">
      <c r="A26" s="22"/>
      <c r="H26" s="23"/>
    </row>
    <row r="27" spans="1:8" x14ac:dyDescent="0.25">
      <c r="A27" s="22"/>
      <c r="H27" s="23"/>
    </row>
    <row r="28" spans="1:8" x14ac:dyDescent="0.25">
      <c r="A28" s="22"/>
      <c r="H28" s="23"/>
    </row>
    <row r="29" spans="1:8" x14ac:dyDescent="0.25">
      <c r="A29" s="22"/>
      <c r="H29" s="23"/>
    </row>
    <row r="30" spans="1:8" x14ac:dyDescent="0.25">
      <c r="A30" s="22"/>
      <c r="H30" s="23"/>
    </row>
    <row r="31" spans="1:8" x14ac:dyDescent="0.25">
      <c r="A31" s="22"/>
      <c r="H31" s="23"/>
    </row>
    <row r="32" spans="1:8" x14ac:dyDescent="0.25">
      <c r="A32" s="22"/>
      <c r="H32" s="23"/>
    </row>
    <row r="33" spans="1:8" x14ac:dyDescent="0.25">
      <c r="A33" s="22"/>
      <c r="H33" s="23"/>
    </row>
    <row r="34" spans="1:8" x14ac:dyDescent="0.25">
      <c r="A34" s="22"/>
      <c r="H34" s="23"/>
    </row>
    <row r="35" spans="1:8" ht="15.75" thickBot="1" x14ac:dyDescent="0.3">
      <c r="A35" s="24"/>
      <c r="B35" s="25"/>
      <c r="C35" s="25"/>
      <c r="D35" s="25"/>
      <c r="E35" s="25"/>
      <c r="F35" s="25"/>
      <c r="G35" s="25"/>
      <c r="H35" s="26"/>
    </row>
  </sheetData>
  <mergeCells count="4">
    <mergeCell ref="A3:H3"/>
    <mergeCell ref="C11:F12"/>
    <mergeCell ref="B17:G20"/>
    <mergeCell ref="A5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6"/>
  <sheetViews>
    <sheetView showGridLines="0" rightToLeft="1" tabSelected="1" view="pageLayout" topLeftCell="B29" zoomScaleNormal="130" zoomScaleSheetLayoutView="100" workbookViewId="0">
      <selection activeCell="L34" sqref="L34"/>
    </sheetView>
  </sheetViews>
  <sheetFormatPr defaultColWidth="9" defaultRowHeight="20.25" x14ac:dyDescent="0.2"/>
  <cols>
    <col min="1" max="1" width="4" style="100" hidden="1" customWidth="1"/>
    <col min="2" max="2" width="32.75" style="128" customWidth="1"/>
    <col min="3" max="5" width="10.75" style="100" hidden="1" customWidth="1"/>
    <col min="6" max="6" width="9" style="100" hidden="1" customWidth="1"/>
    <col min="7" max="8" width="10.5" style="100" hidden="1" customWidth="1"/>
    <col min="9" max="9" width="9" style="100" hidden="1" customWidth="1"/>
    <col min="10" max="10" width="8.5" style="100" hidden="1" customWidth="1"/>
    <col min="11" max="11" width="19.375" style="100" customWidth="1"/>
    <col min="12" max="12" width="9.25" style="100" bestFit="1" customWidth="1"/>
    <col min="13" max="13" width="19.25" style="100" customWidth="1"/>
    <col min="14" max="14" width="21.375" style="100" customWidth="1"/>
    <col min="15" max="15" width="9.875" style="100" bestFit="1" customWidth="1"/>
    <col min="16" max="16384" width="9" style="100"/>
  </cols>
  <sheetData>
    <row r="1" spans="1:15" ht="20.25" customHeight="1" x14ac:dyDescent="0.2">
      <c r="A1" s="166" t="s">
        <v>1018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36" customHeight="1" x14ac:dyDescent="0.2">
      <c r="A2" s="167" t="s">
        <v>1692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4" spans="1:15" ht="60.75" x14ac:dyDescent="0.2">
      <c r="A4" s="101" t="s">
        <v>329</v>
      </c>
      <c r="B4" s="102" t="s">
        <v>331</v>
      </c>
      <c r="C4" s="103" t="s">
        <v>1019</v>
      </c>
      <c r="D4" s="103" t="s">
        <v>1171</v>
      </c>
      <c r="E4" s="103" t="s">
        <v>1170</v>
      </c>
      <c r="F4" s="103" t="s">
        <v>1020</v>
      </c>
      <c r="G4" s="103" t="s">
        <v>1497</v>
      </c>
      <c r="H4" s="103" t="s">
        <v>1495</v>
      </c>
      <c r="I4" s="103" t="s">
        <v>1496</v>
      </c>
      <c r="J4" s="103" t="s">
        <v>1647</v>
      </c>
      <c r="K4" s="103" t="s">
        <v>1652</v>
      </c>
      <c r="L4" s="103" t="s">
        <v>1653</v>
      </c>
      <c r="M4" s="103" t="s">
        <v>1970</v>
      </c>
      <c r="N4" s="103" t="s">
        <v>1926</v>
      </c>
      <c r="O4" s="103" t="s">
        <v>1971</v>
      </c>
    </row>
    <row r="5" spans="1:15" ht="26.25" x14ac:dyDescent="0.2">
      <c r="A5" s="104"/>
      <c r="B5" s="130" t="s">
        <v>1153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x14ac:dyDescent="0.2">
      <c r="A6" s="104">
        <v>1</v>
      </c>
      <c r="B6" s="105" t="s">
        <v>332</v>
      </c>
      <c r="C6" s="106" t="e">
        <f>SUMIFS(#REF!,#REF!,A6)</f>
        <v>#REF!</v>
      </c>
      <c r="D6" s="106" t="e">
        <f>SUMIFS(#REF!,#REF!,A6)</f>
        <v>#REF!</v>
      </c>
      <c r="E6" s="106" t="e">
        <f>SUMIFS(#REF!,#REF!,A6)</f>
        <v>#REF!</v>
      </c>
      <c r="F6" s="106"/>
      <c r="G6" s="106" t="e">
        <f>SUMIFS(#REF!,#REF!,A6)</f>
        <v>#REF!</v>
      </c>
      <c r="H6" s="106" t="e">
        <f>SUMIFS(#REF!,#REF!,A6)</f>
        <v>#REF!</v>
      </c>
      <c r="I6" s="106"/>
      <c r="J6" s="106" t="e">
        <f>SUMIFS(#REF!,#REF!,A6)</f>
        <v>#REF!</v>
      </c>
      <c r="K6" s="106">
        <v>12572000</v>
      </c>
      <c r="L6" s="106"/>
      <c r="M6" s="106">
        <f>SUMIFS('תקציב מפורט 2025'!$K$3:$K$224,'תקציב מפורט 2025'!$C$3:$C$224,B6)</f>
        <v>12441510.51</v>
      </c>
      <c r="N6" s="107">
        <f>SUMIFS('תקציב מפורט 2025'!$L$3:$L$224,'תקציב מפורט 2025'!$C$3:$C$224,B6)</f>
        <v>13627000</v>
      </c>
      <c r="O6" s="106">
        <f>SUMIFS('תקציב מפורט 2025'!$M$3:$M$224,'תקציב מפורט 2025'!$C$3:$C$224,B6)</f>
        <v>0</v>
      </c>
    </row>
    <row r="7" spans="1:15" x14ac:dyDescent="0.2">
      <c r="A7" s="104">
        <v>13</v>
      </c>
      <c r="B7" s="105" t="s">
        <v>333</v>
      </c>
      <c r="C7" s="106" t="e">
        <f>SUMIFS(#REF!,#REF!,A7)</f>
        <v>#REF!</v>
      </c>
      <c r="D7" s="106" t="e">
        <f>SUMIFS(#REF!,#REF!,A7)</f>
        <v>#REF!</v>
      </c>
      <c r="E7" s="106" t="e">
        <f>SUMIFS(#REF!,#REF!,A7)</f>
        <v>#REF!</v>
      </c>
      <c r="F7" s="106"/>
      <c r="G7" s="106" t="e">
        <f>SUMIFS(#REF!,#REF!,A7)</f>
        <v>#REF!</v>
      </c>
      <c r="H7" s="106" t="e">
        <f>SUMIFS(#REF!,#REF!,A7)</f>
        <v>#REF!</v>
      </c>
      <c r="I7" s="106"/>
      <c r="J7" s="106" t="e">
        <f>SUMIFS(#REF!,#REF!,A7)</f>
        <v>#REF!</v>
      </c>
      <c r="K7" s="106">
        <v>750000</v>
      </c>
      <c r="L7" s="106"/>
      <c r="M7" s="106">
        <f>SUMIFS('תקציב מפורט 2025'!$K$3:$K$224,'תקציב מפורט 2025'!$C$3:$C$224,B7)</f>
        <v>917003.91</v>
      </c>
      <c r="N7" s="107">
        <f>SUMIFS('תקציב מפורט 2025'!$L$3:$L$224,'תקציב מפורט 2025'!$C$3:$C$224,B7)</f>
        <v>400000</v>
      </c>
      <c r="O7" s="106">
        <f>SUMIFS('תקציב מפורט 2025'!$M$3:$M$224,'תקציב מפורט 2025'!$C$3:$C$224,B7)</f>
        <v>0</v>
      </c>
    </row>
    <row r="8" spans="1:15" x14ac:dyDescent="0.2">
      <c r="A8" s="104">
        <v>10</v>
      </c>
      <c r="B8" s="105" t="s">
        <v>334</v>
      </c>
      <c r="C8" s="106" t="e">
        <f>SUMIFS(#REF!,#REF!,A8)</f>
        <v>#REF!</v>
      </c>
      <c r="D8" s="106" t="e">
        <f>SUMIFS(#REF!,#REF!,A8)</f>
        <v>#REF!</v>
      </c>
      <c r="E8" s="106" t="e">
        <f>SUMIFS(#REF!,#REF!,A8)</f>
        <v>#REF!</v>
      </c>
      <c r="F8" s="106"/>
      <c r="G8" s="106" t="e">
        <f>SUMIFS(#REF!,#REF!,A8)</f>
        <v>#REF!</v>
      </c>
      <c r="H8" s="106" t="e">
        <f>SUMIFS(#REF!,#REF!,A8)</f>
        <v>#REF!</v>
      </c>
      <c r="I8" s="106"/>
      <c r="J8" s="106" t="e">
        <f>SUMIFS(#REF!,#REF!,A8)</f>
        <v>#REF!</v>
      </c>
      <c r="K8" s="106">
        <v>120000</v>
      </c>
      <c r="L8" s="106"/>
      <c r="M8" s="106">
        <f>SUMIFS('תקציב מפורט 2025'!$K$3:$K$224,'תקציב מפורט 2025'!$C$3:$C$224,B8)</f>
        <v>110000</v>
      </c>
      <c r="N8" s="107">
        <f>SUMIFS('תקציב מפורט 2025'!$L$3:$L$224,'תקציב מפורט 2025'!$C$3:$C$224,B8)</f>
        <v>120000</v>
      </c>
      <c r="O8" s="106">
        <f>SUMIFS('תקציב מפורט 2025'!$M$3:$M$224,'תקציב מפורט 2025'!$C$3:$C$224,B8)</f>
        <v>0</v>
      </c>
    </row>
    <row r="9" spans="1:15" x14ac:dyDescent="0.2">
      <c r="A9" s="104">
        <v>11</v>
      </c>
      <c r="B9" s="105" t="s">
        <v>335</v>
      </c>
      <c r="C9" s="106">
        <v>150000</v>
      </c>
      <c r="D9" s="106" t="e">
        <f>SUMIFS(#REF!,#REF!,A9)</f>
        <v>#REF!</v>
      </c>
      <c r="E9" s="106" t="e">
        <f>SUMIFS(#REF!,#REF!,A9)</f>
        <v>#REF!</v>
      </c>
      <c r="F9" s="106"/>
      <c r="G9" s="106" t="e">
        <f>SUMIFS(#REF!,#REF!,A9)</f>
        <v>#REF!</v>
      </c>
      <c r="H9" s="106" t="e">
        <f>SUMIFS(#REF!,#REF!,A9)</f>
        <v>#REF!</v>
      </c>
      <c r="I9" s="106"/>
      <c r="J9" s="106" t="e">
        <f>SUMIFS(#REF!,#REF!,A9)</f>
        <v>#REF!</v>
      </c>
      <c r="K9" s="106">
        <v>0</v>
      </c>
      <c r="L9" s="106"/>
      <c r="M9" s="106">
        <f>SUMIFS('תקציב מפורט 2025'!$K$3:$K$224,'תקציב מפורט 2025'!$C$3:$C$224,B9)</f>
        <v>15812</v>
      </c>
      <c r="N9" s="107">
        <f>SUMIFS('תקציב מפורט 2025'!$L$3:$L$224,'תקציב מפורט 2025'!$C$3:$C$224,B9)</f>
        <v>15000</v>
      </c>
      <c r="O9" s="106">
        <f>SUMIFS('תקציב מפורט 2025'!$M$3:$M$224,'תקציב מפורט 2025'!$C$3:$C$224,B9)</f>
        <v>0</v>
      </c>
    </row>
    <row r="10" spans="1:15" x14ac:dyDescent="0.2">
      <c r="A10" s="104">
        <v>3</v>
      </c>
      <c r="B10" s="105" t="s">
        <v>336</v>
      </c>
      <c r="C10" s="106" t="e">
        <f>SUMIFS(#REF!,#REF!,A10)</f>
        <v>#REF!</v>
      </c>
      <c r="D10" s="106" t="e">
        <f>SUMIFS(#REF!,#REF!,A10)</f>
        <v>#REF!</v>
      </c>
      <c r="E10" s="106" t="e">
        <f>SUMIFS(#REF!,#REF!,A10)</f>
        <v>#REF!</v>
      </c>
      <c r="F10" s="106"/>
      <c r="G10" s="106" t="e">
        <f>SUMIFS(#REF!,#REF!,A10)</f>
        <v>#REF!</v>
      </c>
      <c r="H10" s="106" t="e">
        <f>SUMIFS(#REF!,#REF!,A10)</f>
        <v>#REF!</v>
      </c>
      <c r="I10" s="106"/>
      <c r="J10" s="106" t="e">
        <f>SUMIFS(#REF!,#REF!,A10)</f>
        <v>#REF!</v>
      </c>
      <c r="K10" s="106">
        <v>4217000</v>
      </c>
      <c r="L10" s="106"/>
      <c r="M10" s="106">
        <f>SUMIFS('תקציב מפורט 2025'!$K$3:$K$224,'תקציב מפורט 2025'!$C$3:$C$224,B10)</f>
        <v>4224731.12</v>
      </c>
      <c r="N10" s="106">
        <f>SUMIFS('תקציב מפורט 2025'!$L$3:$L$224,'תקציב מפורט 2025'!$C$3:$C$224,B10)</f>
        <v>3706000</v>
      </c>
      <c r="O10" s="106">
        <f>SUMIFS('תקציב מפורט 2025'!$M$3:$M$224,'תקציב מפורט 2025'!$C$3:$C$224,B10)</f>
        <v>0</v>
      </c>
    </row>
    <row r="11" spans="1:15" x14ac:dyDescent="0.2">
      <c r="A11" s="108"/>
      <c r="B11" s="109" t="s">
        <v>337</v>
      </c>
      <c r="C11" s="110" t="e">
        <f t="shared" ref="C11:O11" si="0">SUM(C6:C10)</f>
        <v>#REF!</v>
      </c>
      <c r="D11" s="110" t="e">
        <f t="shared" si="0"/>
        <v>#REF!</v>
      </c>
      <c r="E11" s="110" t="e">
        <f t="shared" si="0"/>
        <v>#REF!</v>
      </c>
      <c r="F11" s="110">
        <f t="shared" si="0"/>
        <v>0</v>
      </c>
      <c r="G11" s="110" t="e">
        <f t="shared" si="0"/>
        <v>#REF!</v>
      </c>
      <c r="H11" s="110" t="e">
        <f t="shared" si="0"/>
        <v>#REF!</v>
      </c>
      <c r="I11" s="110">
        <f t="shared" si="0"/>
        <v>0</v>
      </c>
      <c r="J11" s="110" t="e">
        <f t="shared" si="0"/>
        <v>#REF!</v>
      </c>
      <c r="K11" s="110">
        <f t="shared" si="0"/>
        <v>17659000</v>
      </c>
      <c r="L11" s="110">
        <f t="shared" si="0"/>
        <v>0</v>
      </c>
      <c r="M11" s="110">
        <f>SUM(M6:M10)</f>
        <v>17709057.539999999</v>
      </c>
      <c r="N11" s="110">
        <f t="shared" si="0"/>
        <v>17868000</v>
      </c>
      <c r="O11" s="110">
        <f t="shared" si="0"/>
        <v>0</v>
      </c>
    </row>
    <row r="12" spans="1:15" x14ac:dyDescent="0.2">
      <c r="A12" s="104">
        <v>9</v>
      </c>
      <c r="B12" s="105" t="s">
        <v>338</v>
      </c>
      <c r="C12" s="106" t="e">
        <f>SUMIFS(#REF!,#REF!,A12)</f>
        <v>#REF!</v>
      </c>
      <c r="D12" s="106" t="e">
        <f>SUMIFS(#REF!,#REF!,A12)</f>
        <v>#REF!</v>
      </c>
      <c r="E12" s="106" t="e">
        <f>SUMIFS(#REF!,#REF!,A12)</f>
        <v>#REF!</v>
      </c>
      <c r="F12" s="106"/>
      <c r="G12" s="106" t="e">
        <f>SUMIFS(#REF!,#REF!,A12)</f>
        <v>#REF!</v>
      </c>
      <c r="H12" s="106" t="e">
        <f>SUMIFS(#REF!,#REF!,A12)</f>
        <v>#REF!</v>
      </c>
      <c r="I12" s="106"/>
      <c r="J12" s="106" t="e">
        <f>SUMIFS(#REF!,#REF!,A12)</f>
        <v>#REF!</v>
      </c>
      <c r="K12" s="106">
        <v>52987730</v>
      </c>
      <c r="L12" s="106"/>
      <c r="M12" s="111">
        <f>SUMIFS('תקציב מפורט 2025'!$K$3:$K$224,'תקציב מפורט 2025'!$C$3:$C$224,B12)</f>
        <v>58125099.780000001</v>
      </c>
      <c r="N12" s="106">
        <f>SUMIFS('תקציב מפורט 2025'!$L$3:$L$224,'תקציב מפורט 2025'!$C$3:$C$224,B12)</f>
        <v>58491846</v>
      </c>
      <c r="O12" s="106">
        <f>SUMIFS('תקציב מפורט 2025'!$M$3:$M$224,'תקציב מפורט 2025'!$C$3:$C$224,B12)</f>
        <v>0</v>
      </c>
    </row>
    <row r="13" spans="1:15" x14ac:dyDescent="0.2">
      <c r="A13" s="104">
        <v>12</v>
      </c>
      <c r="B13" s="105" t="s">
        <v>339</v>
      </c>
      <c r="C13" s="106" t="e">
        <f>SUMIFS(#REF!,#REF!,A13)</f>
        <v>#REF!</v>
      </c>
      <c r="D13" s="106" t="e">
        <f>SUMIFS(#REF!,#REF!,A13)</f>
        <v>#REF!</v>
      </c>
      <c r="E13" s="106" t="e">
        <f>SUMIFS(#REF!,#REF!,A13)</f>
        <v>#REF!</v>
      </c>
      <c r="F13" s="106">
        <v>0</v>
      </c>
      <c r="G13" s="106" t="e">
        <f>SUMIFS(#REF!,#REF!,A13)</f>
        <v>#REF!</v>
      </c>
      <c r="H13" s="106" t="e">
        <f>SUMIFS(#REF!,#REF!,A13)</f>
        <v>#REF!</v>
      </c>
      <c r="I13" s="106"/>
      <c r="J13" s="106" t="e">
        <f>SUMIFS(#REF!,#REF!,A13)</f>
        <v>#REF!</v>
      </c>
      <c r="K13" s="106">
        <v>29386000</v>
      </c>
      <c r="L13" s="106"/>
      <c r="M13" s="111">
        <f>SUMIFS('תקציב מפורט 2025'!$K$3:$K$224,'תקציב מפורט 2025'!$C$3:$C$224,B13)</f>
        <v>35901318.780000001</v>
      </c>
      <c r="N13" s="106">
        <f>SUMIFS('תקציב מפורט 2025'!$L$3:$L$224,'תקציב מפורט 2025'!$C$3:$C$224,B13)</f>
        <v>36659500</v>
      </c>
      <c r="O13" s="106">
        <f>SUMIFS('תקציב מפורט 2025'!$M$3:$M$224,'תקציב מפורט 2025'!$C$3:$C$224,B13)</f>
        <v>0</v>
      </c>
    </row>
    <row r="14" spans="1:15" x14ac:dyDescent="0.2">
      <c r="A14" s="104">
        <v>8</v>
      </c>
      <c r="B14" s="105" t="s">
        <v>340</v>
      </c>
      <c r="C14" s="106" t="e">
        <f>SUMIFS(#REF!,#REF!,A14)</f>
        <v>#REF!</v>
      </c>
      <c r="D14" s="106" t="e">
        <f>SUMIFS(#REF!,#REF!,A14)</f>
        <v>#REF!</v>
      </c>
      <c r="E14" s="106" t="e">
        <f>SUMIFS(#REF!,#REF!,A14)</f>
        <v>#REF!</v>
      </c>
      <c r="F14" s="106"/>
      <c r="G14" s="106" t="e">
        <f>SUMIFS(#REF!,#REF!,A14)</f>
        <v>#REF!</v>
      </c>
      <c r="H14" s="106" t="e">
        <f>SUMIFS(#REF!,#REF!,A14)</f>
        <v>#REF!</v>
      </c>
      <c r="I14" s="106"/>
      <c r="J14" s="106" t="e">
        <f>SUMIFS(#REF!,#REF!,A14)</f>
        <v>#REF!</v>
      </c>
      <c r="K14" s="106">
        <v>2717000</v>
      </c>
      <c r="L14" s="106"/>
      <c r="M14" s="111">
        <f>SUMIFS('תקציב מפורט 2025'!$K$3:$K$224,'תקציב מפורט 2025'!$C$3:$C$224,B14)</f>
        <v>2477884.0824000002</v>
      </c>
      <c r="N14" s="107">
        <f>SUMIFS('תקציב מפורט 2025'!$L$3:$L$224,'תקציב מפורט 2025'!$C$3:$C$224,B14)</f>
        <v>3750500</v>
      </c>
      <c r="O14" s="106">
        <f>SUMIFS('תקציב מפורט 2025'!$M$3:$M$224,'תקציב מפורט 2025'!$C$3:$C$224,B14)</f>
        <v>0</v>
      </c>
    </row>
    <row r="15" spans="1:15" x14ac:dyDescent="0.2">
      <c r="A15" s="104">
        <v>4</v>
      </c>
      <c r="B15" s="105" t="s">
        <v>264</v>
      </c>
      <c r="C15" s="106" t="e">
        <f>SUMIFS(#REF!,#REF!,A15)</f>
        <v>#REF!</v>
      </c>
      <c r="D15" s="106" t="e">
        <f>SUMIFS(#REF!,#REF!,A15)</f>
        <v>#REF!</v>
      </c>
      <c r="E15" s="106" t="e">
        <f>SUMIFS(#REF!,#REF!,A15)</f>
        <v>#REF!</v>
      </c>
      <c r="F15" s="106"/>
      <c r="G15" s="106" t="e">
        <f>SUMIFS(#REF!,#REF!,A15)</f>
        <v>#REF!</v>
      </c>
      <c r="H15" s="106" t="e">
        <f>SUMIFS(#REF!,#REF!,A15)</f>
        <v>#REF!</v>
      </c>
      <c r="I15" s="106"/>
      <c r="J15" s="106" t="e">
        <f>SUMIFS(#REF!,#REF!,A15)</f>
        <v>#REF!</v>
      </c>
      <c r="K15" s="106">
        <v>15832700</v>
      </c>
      <c r="L15" s="106"/>
      <c r="M15" s="111">
        <f>SUMIFS('תקציב מפורט 2025'!$K$3:$K$224,'תקציב מפורט 2025'!$C$3:$C$224,B15)</f>
        <v>15690890</v>
      </c>
      <c r="N15" s="107">
        <f>SUMIFS('תקציב מפורט 2025'!$L$3:$L$224,'תקציב מפורט 2025'!$C$3:$C$224,B15)</f>
        <v>18108900</v>
      </c>
      <c r="O15" s="106">
        <f>SUMIFS('תקציב מפורט 2025'!$M$3:$M$224,'תקציב מפורט 2025'!$C$3:$C$224,B15)</f>
        <v>0</v>
      </c>
    </row>
    <row r="16" spans="1:15" x14ac:dyDescent="0.2">
      <c r="A16" s="104">
        <v>6</v>
      </c>
      <c r="B16" s="105" t="s">
        <v>341</v>
      </c>
      <c r="C16" s="106" t="e">
        <f>SUMIFS(#REF!,#REF!,A16)</f>
        <v>#REF!</v>
      </c>
      <c r="D16" s="106" t="e">
        <f>SUMIFS(#REF!,#REF!,A16)</f>
        <v>#REF!</v>
      </c>
      <c r="E16" s="106" t="e">
        <f>SUMIFS(#REF!,#REF!,A16)</f>
        <v>#REF!</v>
      </c>
      <c r="F16" s="106">
        <v>0</v>
      </c>
      <c r="G16" s="106" t="e">
        <f>SUMIFS(#REF!,#REF!,A16)</f>
        <v>#REF!</v>
      </c>
      <c r="H16" s="106" t="e">
        <f>SUMIFS(#REF!,#REF!,A16)</f>
        <v>#REF!</v>
      </c>
      <c r="I16" s="106"/>
      <c r="J16" s="106" t="e">
        <f>SUMIFS(#REF!,#REF!,A16)</f>
        <v>#REF!</v>
      </c>
      <c r="K16" s="106">
        <v>2076323</v>
      </c>
      <c r="L16" s="106"/>
      <c r="M16" s="111">
        <f>SUMIFS('תקציב מפורט 2025'!$K$3:$K$224,'תקציב מפורט 2025'!$C$3:$C$224,B16)</f>
        <v>2491808</v>
      </c>
      <c r="N16" s="107">
        <f>SUMIFS('תקציב מפורט 2025'!$L$3:$L$224,'תקציב מפורט 2025'!$C$3:$C$224,B16)</f>
        <v>2462403</v>
      </c>
      <c r="O16" s="106">
        <f>SUMIFS('תקציב מפורט 2025'!$M$3:$M$224,'תקציב מפורט 2025'!$C$3:$C$224,B16)</f>
        <v>0</v>
      </c>
    </row>
    <row r="17" spans="1:15" x14ac:dyDescent="0.2">
      <c r="A17" s="108"/>
      <c r="B17" s="109" t="s">
        <v>342</v>
      </c>
      <c r="C17" s="110" t="e">
        <f t="shared" ref="C17:O17" si="1">SUM(C12:C16)</f>
        <v>#REF!</v>
      </c>
      <c r="D17" s="110" t="e">
        <f t="shared" si="1"/>
        <v>#REF!</v>
      </c>
      <c r="E17" s="110" t="e">
        <f t="shared" si="1"/>
        <v>#REF!</v>
      </c>
      <c r="F17" s="110">
        <f t="shared" si="1"/>
        <v>0</v>
      </c>
      <c r="G17" s="110" t="e">
        <f t="shared" si="1"/>
        <v>#REF!</v>
      </c>
      <c r="H17" s="110" t="e">
        <f t="shared" si="1"/>
        <v>#REF!</v>
      </c>
      <c r="I17" s="110">
        <f t="shared" si="1"/>
        <v>0</v>
      </c>
      <c r="J17" s="110" t="e">
        <f t="shared" si="1"/>
        <v>#REF!</v>
      </c>
      <c r="K17" s="110">
        <f t="shared" si="1"/>
        <v>102999753</v>
      </c>
      <c r="L17" s="110">
        <f t="shared" si="1"/>
        <v>0</v>
      </c>
      <c r="M17" s="110">
        <f>SUM(M12:M16)</f>
        <v>114687000.6424</v>
      </c>
      <c r="N17" s="110">
        <f t="shared" si="1"/>
        <v>119473149</v>
      </c>
      <c r="O17" s="110">
        <f t="shared" si="1"/>
        <v>0</v>
      </c>
    </row>
    <row r="18" spans="1:15" x14ac:dyDescent="0.2">
      <c r="A18" s="104">
        <v>7</v>
      </c>
      <c r="B18" s="105" t="s">
        <v>343</v>
      </c>
      <c r="C18" s="106" t="e">
        <f>SUMIFS(#REF!,#REF!,A18)</f>
        <v>#REF!</v>
      </c>
      <c r="D18" s="106" t="e">
        <f>SUMIFS(#REF!,#REF!,A18)</f>
        <v>#REF!</v>
      </c>
      <c r="E18" s="106" t="e">
        <f>SUMIFS(#REF!,#REF!,A18)</f>
        <v>#REF!</v>
      </c>
      <c r="F18" s="106"/>
      <c r="G18" s="106" t="e">
        <f>SUMIFS(#REF!,#REF!,A18)</f>
        <v>#REF!</v>
      </c>
      <c r="H18" s="106" t="e">
        <f>SUMIFS(#REF!,#REF!,A18)</f>
        <v>#REF!</v>
      </c>
      <c r="I18" s="106"/>
      <c r="J18" s="106" t="e">
        <f>SUMIFS(#REF!,#REF!,A18)</f>
        <v>#REF!</v>
      </c>
      <c r="K18" s="106">
        <v>2600000</v>
      </c>
      <c r="L18" s="106"/>
      <c r="M18" s="106">
        <f>SUMIFS('תקציב מפורט 2025'!$K$3:$K$224,'תקציב מפורט 2025'!$C$3:$C$224,B18)</f>
        <v>2690817.13</v>
      </c>
      <c r="N18" s="107">
        <f>SUMIFS('תקציב מפורט 2025'!$L$3:$L$224,'תקציב מפורט 2025'!$C$3:$C$224,B18)</f>
        <v>2650000</v>
      </c>
      <c r="O18" s="106">
        <f>SUMIFS('תקציב מפורט 2025'!$M$3:$M$224,'תקציב מפורט 2025'!$C$3:$C$224,B18)</f>
        <v>0</v>
      </c>
    </row>
    <row r="19" spans="1:15" x14ac:dyDescent="0.2">
      <c r="A19" s="104"/>
      <c r="B19" s="105" t="s">
        <v>344</v>
      </c>
      <c r="C19" s="106" t="e">
        <f>SUMIFS(#REF!,#REF!,A19)</f>
        <v>#REF!</v>
      </c>
      <c r="D19" s="106" t="e">
        <f>SUMIFS(#REF!,#REF!,A19)</f>
        <v>#REF!</v>
      </c>
      <c r="E19" s="106" t="e">
        <f>SUMIFS(#REF!,#REF!,A19)</f>
        <v>#REF!</v>
      </c>
      <c r="F19" s="106"/>
      <c r="G19" s="106" t="e">
        <f>SUMIFS(#REF!,#REF!,A19)</f>
        <v>#REF!</v>
      </c>
      <c r="H19" s="106" t="e">
        <f>SUMIFS(#REF!,#REF!,A19)</f>
        <v>#REF!</v>
      </c>
      <c r="I19" s="106"/>
      <c r="J19" s="106" t="e">
        <f>SUMIFS(#REF!,#REF!,A19)</f>
        <v>#REF!</v>
      </c>
      <c r="K19" s="106">
        <v>0</v>
      </c>
      <c r="L19" s="106"/>
      <c r="M19" s="106">
        <f>SUMIFS('תקציב מפורט 2025'!$K$3:$K$224,'תקציב מפורט 2025'!$C$3:$C$224,B19)</f>
        <v>0</v>
      </c>
      <c r="N19" s="106">
        <f>SUMIFS('תקציב מפורט 2025'!$L$3:$L$224,'תקציב מפורט 2025'!$C$3:$C$224,B19)</f>
        <v>0</v>
      </c>
      <c r="O19" s="106">
        <f>SUMIFS('תקציב מפורט 2025'!$M$3:$M$224,'תקציב מפורט 2025'!$C$3:$C$224,B19)</f>
        <v>0</v>
      </c>
    </row>
    <row r="20" spans="1:15" ht="40.5" x14ac:dyDescent="0.2">
      <c r="A20" s="108"/>
      <c r="B20" s="112" t="s">
        <v>345</v>
      </c>
      <c r="C20" s="110" t="e">
        <f t="shared" ref="C20:O20" si="2">C17+C11+C18</f>
        <v>#REF!</v>
      </c>
      <c r="D20" s="110" t="e">
        <f t="shared" si="2"/>
        <v>#REF!</v>
      </c>
      <c r="E20" s="110" t="e">
        <f t="shared" si="2"/>
        <v>#REF!</v>
      </c>
      <c r="F20" s="110">
        <f t="shared" si="2"/>
        <v>0</v>
      </c>
      <c r="G20" s="110" t="e">
        <f t="shared" si="2"/>
        <v>#REF!</v>
      </c>
      <c r="H20" s="110" t="e">
        <f t="shared" si="2"/>
        <v>#REF!</v>
      </c>
      <c r="I20" s="110">
        <f t="shared" si="2"/>
        <v>0</v>
      </c>
      <c r="J20" s="110" t="e">
        <f t="shared" si="2"/>
        <v>#REF!</v>
      </c>
      <c r="K20" s="110">
        <f t="shared" si="2"/>
        <v>123258753</v>
      </c>
      <c r="L20" s="110">
        <f t="shared" si="2"/>
        <v>0</v>
      </c>
      <c r="M20" s="110">
        <f>M17+M11+M18</f>
        <v>135086875.31239998</v>
      </c>
      <c r="N20" s="110">
        <f t="shared" si="2"/>
        <v>139991149</v>
      </c>
      <c r="O20" s="110">
        <f t="shared" si="2"/>
        <v>0</v>
      </c>
    </row>
    <row r="21" spans="1:15" x14ac:dyDescent="0.2">
      <c r="A21" s="104">
        <v>2</v>
      </c>
      <c r="B21" s="105" t="s">
        <v>346</v>
      </c>
      <c r="C21" s="106" t="e">
        <f>SUMIFS(#REF!,#REF!,A21)</f>
        <v>#REF!</v>
      </c>
      <c r="D21" s="106" t="e">
        <f>SUMIFS(#REF!,#REF!,A21)</f>
        <v>#REF!</v>
      </c>
      <c r="E21" s="106" t="e">
        <f>SUMIFS(#REF!,#REF!,A21)</f>
        <v>#REF!</v>
      </c>
      <c r="F21" s="106"/>
      <c r="G21" s="106" t="e">
        <f>SUMIFS(#REF!,#REF!,A21)</f>
        <v>#REF!</v>
      </c>
      <c r="H21" s="106" t="e">
        <f>SUMIFS(#REF!,#REF!,A21)</f>
        <v>#REF!</v>
      </c>
      <c r="I21" s="106"/>
      <c r="J21" s="106" t="e">
        <f>SUMIFS(#REF!,#REF!,A21)</f>
        <v>#REF!</v>
      </c>
      <c r="K21" s="106">
        <v>6500000</v>
      </c>
      <c r="L21" s="106"/>
      <c r="M21" s="106">
        <f>SUMIFS('תקציב מפורט 2025'!$K$3:$K$224,'תקציב מפורט 2025'!$C$3:$C$224,B21)</f>
        <v>6591998.6699999999</v>
      </c>
      <c r="N21" s="107">
        <f>SUMIFS('תקציב מפורט 2025'!$L$3:$L$224,'תקציב מפורט 2025'!$C$3:$C$224,B21)</f>
        <v>7000000</v>
      </c>
      <c r="O21" s="106">
        <f>SUMIFS('תקציב מפורט 2025'!$M$3:$M$224,'תקציב מפורט 2025'!$C$3:$C$224,B21)</f>
        <v>0</v>
      </c>
    </row>
    <row r="22" spans="1:15" hidden="1" x14ac:dyDescent="0.2">
      <c r="A22" s="104">
        <v>14</v>
      </c>
      <c r="B22" s="105" t="s">
        <v>347</v>
      </c>
      <c r="C22" s="106" t="e">
        <f>SUMIFS(#REF!,#REF!,A22)</f>
        <v>#REF!</v>
      </c>
      <c r="D22" s="106" t="e">
        <f>SUMIFS(#REF!,#REF!,A22)</f>
        <v>#REF!</v>
      </c>
      <c r="E22" s="106" t="e">
        <f>SUMIFS(#REF!,#REF!,A22)</f>
        <v>#REF!</v>
      </c>
      <c r="F22" s="106"/>
      <c r="G22" s="106" t="e">
        <f>SUMIFS(#REF!,#REF!,A22)</f>
        <v>#REF!</v>
      </c>
      <c r="H22" s="106" t="e">
        <f>SUMIFS(#REF!,#REF!,A22)</f>
        <v>#REF!</v>
      </c>
      <c r="I22" s="106"/>
      <c r="J22" s="106" t="e">
        <f>SUMIFS(#REF!,#REF!,A22)</f>
        <v>#REF!</v>
      </c>
      <c r="K22" s="106">
        <v>0</v>
      </c>
      <c r="L22" s="106"/>
      <c r="M22" s="106">
        <f>SUMIFS('תקציב מפורט 2025'!$K$3:$K$224,'תקציב מפורט 2025'!$C$3:$C$224,B22)</f>
        <v>0</v>
      </c>
      <c r="N22" s="107">
        <f>SUMIFS('תקציב מפורט 2025'!$L$3:$L$224,'תקציב מפורט 2025'!$C$3:$C$224,B22)</f>
        <v>0</v>
      </c>
      <c r="O22" s="106">
        <f>SUMIFS('תקציב מפורט 2025'!$M$3:$M$224,'תקציב מפורט 2025'!$C$3:$C$224,B22)</f>
        <v>0</v>
      </c>
    </row>
    <row r="23" spans="1:15" x14ac:dyDescent="0.2">
      <c r="A23" s="108"/>
      <c r="B23" s="112" t="s">
        <v>348</v>
      </c>
      <c r="C23" s="110" t="e">
        <f t="shared" ref="C23:O23" si="3">C20+C21+C22</f>
        <v>#REF!</v>
      </c>
      <c r="D23" s="110" t="e">
        <f t="shared" si="3"/>
        <v>#REF!</v>
      </c>
      <c r="E23" s="110" t="e">
        <f t="shared" si="3"/>
        <v>#REF!</v>
      </c>
      <c r="F23" s="110">
        <f t="shared" si="3"/>
        <v>0</v>
      </c>
      <c r="G23" s="110" t="e">
        <f t="shared" si="3"/>
        <v>#REF!</v>
      </c>
      <c r="H23" s="110" t="e">
        <f t="shared" si="3"/>
        <v>#REF!</v>
      </c>
      <c r="I23" s="110">
        <f t="shared" si="3"/>
        <v>0</v>
      </c>
      <c r="J23" s="110" t="e">
        <f t="shared" si="3"/>
        <v>#REF!</v>
      </c>
      <c r="K23" s="110">
        <f t="shared" si="3"/>
        <v>129758753</v>
      </c>
      <c r="L23" s="110">
        <f t="shared" si="3"/>
        <v>0</v>
      </c>
      <c r="M23" s="110">
        <f t="shared" si="3"/>
        <v>141678873.98239997</v>
      </c>
      <c r="N23" s="110">
        <f t="shared" si="3"/>
        <v>146991149</v>
      </c>
      <c r="O23" s="110">
        <f t="shared" si="3"/>
        <v>0</v>
      </c>
    </row>
    <row r="24" spans="1:15" x14ac:dyDescent="0.2">
      <c r="A24" s="104">
        <v>5</v>
      </c>
      <c r="B24" s="105" t="s">
        <v>349</v>
      </c>
      <c r="C24" s="106" t="e">
        <f>SUMIFS(#REF!,#REF!,A24)</f>
        <v>#REF!</v>
      </c>
      <c r="D24" s="106" t="e">
        <f>SUMIFS(#REF!,#REF!,A24)</f>
        <v>#REF!</v>
      </c>
      <c r="E24" s="106" t="e">
        <f>SUMIFS(#REF!,#REF!,A24)</f>
        <v>#REF!</v>
      </c>
      <c r="F24" s="106"/>
      <c r="G24" s="106" t="e">
        <f>SUMIFS(#REF!,#REF!,A24)</f>
        <v>#REF!</v>
      </c>
      <c r="H24" s="106" t="e">
        <f>SUMIFS(#REF!,#REF!,A24)</f>
        <v>#REF!</v>
      </c>
      <c r="I24" s="106"/>
      <c r="J24" s="106" t="e">
        <f>SUMIFS(#REF!,#REF!,A24)</f>
        <v>#REF!</v>
      </c>
      <c r="K24" s="106">
        <v>747166.25</v>
      </c>
      <c r="L24" s="106"/>
      <c r="M24" s="106">
        <f>SUMIFS('תקציב מפורט 2025'!$K$3:$K$224,'תקציב מפורט 2025'!$C$3:$C$224,B24)</f>
        <v>1700000</v>
      </c>
      <c r="N24" s="107">
        <f>SUMIFS('תקציב מפורט 2025'!$L$3:$L$224,'תקציב מפורט 2025'!$C$3:$C$224,B24)</f>
        <v>2012100</v>
      </c>
      <c r="O24" s="106">
        <f>SUMIFS('תקציב מפורט 2025'!$M$3:$M$224,'תקציב מפורט 2025'!$C$3:$C$224,B24)</f>
        <v>0</v>
      </c>
    </row>
    <row r="25" spans="1:15" s="116" customFormat="1" x14ac:dyDescent="0.2">
      <c r="A25" s="113"/>
      <c r="B25" s="114" t="s">
        <v>350</v>
      </c>
      <c r="C25" s="115" t="e">
        <f t="shared" ref="C25:O25" si="4">C23+C24</f>
        <v>#REF!</v>
      </c>
      <c r="D25" s="115" t="e">
        <f t="shared" si="4"/>
        <v>#REF!</v>
      </c>
      <c r="E25" s="115" t="e">
        <f t="shared" si="4"/>
        <v>#REF!</v>
      </c>
      <c r="F25" s="115">
        <f t="shared" si="4"/>
        <v>0</v>
      </c>
      <c r="G25" s="115" t="e">
        <f t="shared" si="4"/>
        <v>#REF!</v>
      </c>
      <c r="H25" s="115" t="e">
        <f t="shared" si="4"/>
        <v>#REF!</v>
      </c>
      <c r="I25" s="115">
        <f t="shared" si="4"/>
        <v>0</v>
      </c>
      <c r="J25" s="115" t="e">
        <f t="shared" si="4"/>
        <v>#REF!</v>
      </c>
      <c r="K25" s="115">
        <f t="shared" si="4"/>
        <v>130505919.25</v>
      </c>
      <c r="L25" s="115">
        <f t="shared" si="4"/>
        <v>0</v>
      </c>
      <c r="M25" s="115">
        <f t="shared" si="4"/>
        <v>143378873.98239997</v>
      </c>
      <c r="N25" s="115">
        <f t="shared" si="4"/>
        <v>149003249</v>
      </c>
      <c r="O25" s="115">
        <f t="shared" si="4"/>
        <v>0</v>
      </c>
    </row>
    <row r="26" spans="1:15" ht="26.25" x14ac:dyDescent="0.2">
      <c r="A26" s="104"/>
      <c r="B26" s="130" t="s">
        <v>351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5" x14ac:dyDescent="0.2">
      <c r="A27" s="104">
        <v>16</v>
      </c>
      <c r="B27" s="105" t="s">
        <v>352</v>
      </c>
      <c r="C27" s="106" t="e">
        <f>SUMIFS(#REF!,#REF!,A27)</f>
        <v>#REF!</v>
      </c>
      <c r="D27" s="106" t="e">
        <f>SUMIFS(#REF!,#REF!,A27)</f>
        <v>#REF!</v>
      </c>
      <c r="E27" s="106" t="e">
        <f>SUMIFS(#REF!,#REF!,A27)</f>
        <v>#REF!</v>
      </c>
      <c r="F27" s="106" t="e">
        <f>SUMIFS(#REF!,#REF!,A27)</f>
        <v>#REF!</v>
      </c>
      <c r="G27" s="106" t="e">
        <f>SUMIFS(#REF!,#REF!,A27)</f>
        <v>#REF!</v>
      </c>
      <c r="H27" s="106" t="e">
        <f>SUMIFS(#REF!,#REF!,A27)</f>
        <v>#REF!</v>
      </c>
      <c r="I27" s="106" t="e">
        <f>SUMIFS(#REF!,#REF!,A27)</f>
        <v>#REF!</v>
      </c>
      <c r="J27" s="106" t="e">
        <f>SUMIFS(#REF!,#REF!,A27)</f>
        <v>#REF!</v>
      </c>
      <c r="K27" s="106">
        <v>10710000</v>
      </c>
      <c r="L27" s="106">
        <v>55</v>
      </c>
      <c r="M27" s="106">
        <f>SUMIFS('תקציב מפורט 2025'!$K$230:$K$2026,'תקציב מפורט 2025'!$C$230:$C$2026,B27)</f>
        <v>9753235.9100000001</v>
      </c>
      <c r="N27" s="107">
        <f>SUMIFS('תקציב מפורט 2025'!$L$230:$L$2026,'תקציב מפורט 2025'!$C$230:$C$2026,B27)</f>
        <v>11566367.593900001</v>
      </c>
      <c r="O27" s="106">
        <f>SUMIFS('תקציב מפורט 2025'!M:M,'תקציב מפורט 2025'!C:C,B27)</f>
        <v>53.602818181818179</v>
      </c>
    </row>
    <row r="28" spans="1:15" x14ac:dyDescent="0.2">
      <c r="A28" s="104">
        <v>15</v>
      </c>
      <c r="B28" s="105" t="s">
        <v>353</v>
      </c>
      <c r="C28" s="106" t="e">
        <f>SUMIFS(#REF!,#REF!,A28)</f>
        <v>#REF!</v>
      </c>
      <c r="D28" s="106" t="e">
        <f>SUMIFS(#REF!,#REF!,A28)</f>
        <v>#REF!</v>
      </c>
      <c r="E28" s="106" t="e">
        <f>SUMIFS(#REF!,#REF!,A28)</f>
        <v>#REF!</v>
      </c>
      <c r="F28" s="106" t="e">
        <f>SUMIFS(#REF!,#REF!,A28)</f>
        <v>#REF!</v>
      </c>
      <c r="G28" s="106" t="e">
        <f>SUMIFS(#REF!,#REF!,A28)</f>
        <v>#REF!</v>
      </c>
      <c r="H28" s="106" t="e">
        <f>SUMIFS(#REF!,#REF!,A28)</f>
        <v>#REF!</v>
      </c>
      <c r="I28" s="106" t="e">
        <f>SUMIFS(#REF!,#REF!,A28)</f>
        <v>#REF!</v>
      </c>
      <c r="J28" s="106" t="e">
        <f>SUMIFS(#REF!,#REF!,A28)</f>
        <v>#REF!</v>
      </c>
      <c r="K28" s="106">
        <v>14255305</v>
      </c>
      <c r="L28" s="106"/>
      <c r="M28" s="106">
        <f>SUMIFS('תקציב מפורט 2025'!$K$230:$K$2026,'תקציב מפורט 2025'!$C$230:$C$2026,B28)</f>
        <v>15769753.980000002</v>
      </c>
      <c r="N28" s="107">
        <f>SUMIFS('תקציב מפורט 2025'!$L$230:$L$2026,'תקציב מפורט 2025'!$C$230:$C$2026,B28)</f>
        <v>17218744</v>
      </c>
      <c r="O28" s="106"/>
    </row>
    <row r="29" spans="1:15" x14ac:dyDescent="0.2">
      <c r="A29" s="104">
        <v>27</v>
      </c>
      <c r="B29" s="105" t="s">
        <v>333</v>
      </c>
      <c r="C29" s="106" t="e">
        <f>SUMIFS(#REF!,#REF!,A29)</f>
        <v>#REF!</v>
      </c>
      <c r="D29" s="106" t="e">
        <f>SUMIFS(#REF!,#REF!,A29)</f>
        <v>#REF!</v>
      </c>
      <c r="E29" s="106" t="e">
        <f>SUMIFS(#REF!,#REF!,A29)</f>
        <v>#REF!</v>
      </c>
      <c r="F29" s="106" t="e">
        <f>SUMIFS(#REF!,#REF!,A29)</f>
        <v>#REF!</v>
      </c>
      <c r="G29" s="106" t="e">
        <f>SUMIFS(#REF!,#REF!,A29)</f>
        <v>#REF!</v>
      </c>
      <c r="H29" s="106" t="e">
        <f>SUMIFS(#REF!,#REF!,A29)</f>
        <v>#REF!</v>
      </c>
      <c r="I29" s="106" t="e">
        <f>SUMIFS(#REF!,#REF!,A29)</f>
        <v>#REF!</v>
      </c>
      <c r="J29" s="106" t="e">
        <f>SUMIFS(#REF!,#REF!,A29)</f>
        <v>#REF!</v>
      </c>
      <c r="K29" s="106">
        <v>0</v>
      </c>
      <c r="L29" s="106"/>
      <c r="M29" s="106">
        <f>SUMIFS('תקציב מפורט 2025'!$K$230:$K$2026,'תקציב מפורט 2025'!$C$230:$C$2026,B29)</f>
        <v>0</v>
      </c>
      <c r="N29" s="107">
        <f>SUMIFS('תקציב מפורט 2025'!$L$230:$L$2026,'תקציב מפורט 2025'!$C$230:$C$2026,B29)</f>
        <v>0</v>
      </c>
      <c r="O29" s="106"/>
    </row>
    <row r="30" spans="1:15" x14ac:dyDescent="0.2">
      <c r="A30" s="108"/>
      <c r="B30" s="112" t="s">
        <v>354</v>
      </c>
      <c r="C30" s="110" t="e">
        <f>SUM(C27:C29)</f>
        <v>#REF!</v>
      </c>
      <c r="D30" s="110" t="e">
        <f t="shared" ref="D30:O30" si="5">SUM(D27:D29)</f>
        <v>#REF!</v>
      </c>
      <c r="E30" s="110" t="e">
        <f t="shared" si="5"/>
        <v>#REF!</v>
      </c>
      <c r="F30" s="110" t="e">
        <f t="shared" si="5"/>
        <v>#REF!</v>
      </c>
      <c r="G30" s="110" t="e">
        <f t="shared" si="5"/>
        <v>#REF!</v>
      </c>
      <c r="H30" s="110" t="e">
        <f t="shared" si="5"/>
        <v>#REF!</v>
      </c>
      <c r="I30" s="110" t="e">
        <f t="shared" si="5"/>
        <v>#REF!</v>
      </c>
      <c r="J30" s="110" t="e">
        <f t="shared" si="5"/>
        <v>#REF!</v>
      </c>
      <c r="K30" s="110">
        <f t="shared" si="5"/>
        <v>24965305</v>
      </c>
      <c r="L30" s="110">
        <f t="shared" si="5"/>
        <v>55</v>
      </c>
      <c r="M30" s="110">
        <f t="shared" si="5"/>
        <v>25522989.890000001</v>
      </c>
      <c r="N30" s="110">
        <f t="shared" si="5"/>
        <v>28785111.593900003</v>
      </c>
      <c r="O30" s="110">
        <f t="shared" si="5"/>
        <v>53.602818181818179</v>
      </c>
    </row>
    <row r="31" spans="1:15" x14ac:dyDescent="0.2">
      <c r="A31" s="104">
        <v>20</v>
      </c>
      <c r="B31" s="105" t="s">
        <v>355</v>
      </c>
      <c r="C31" s="106" t="e">
        <f>SUMIFS(#REF!,#REF!,A31)</f>
        <v>#REF!</v>
      </c>
      <c r="D31" s="106" t="e">
        <f>SUMIFS(#REF!,#REF!,A31)</f>
        <v>#REF!</v>
      </c>
      <c r="E31" s="106" t="e">
        <f>SUMIFS(#REF!,#REF!,A31)</f>
        <v>#REF!</v>
      </c>
      <c r="F31" s="106" t="e">
        <f>SUMIFS(#REF!,#REF!,A31)</f>
        <v>#REF!</v>
      </c>
      <c r="G31" s="106" t="e">
        <f>SUMIFS(#REF!,#REF!,A31)</f>
        <v>#REF!</v>
      </c>
      <c r="H31" s="106" t="e">
        <f>SUMIFS(#REF!,#REF!,A31)</f>
        <v>#REF!</v>
      </c>
      <c r="I31" s="106" t="e">
        <f>SUMIFS(#REF!,#REF!,A31)</f>
        <v>#REF!</v>
      </c>
      <c r="J31" s="106" t="e">
        <f>SUMIFS(#REF!,#REF!,A31)</f>
        <v>#REF!</v>
      </c>
      <c r="K31" s="106">
        <v>38062874</v>
      </c>
      <c r="L31" s="106">
        <v>182</v>
      </c>
      <c r="M31" s="106">
        <f>SUMIFS('תקציב מפורט 2025'!$K$230:$K$2026,'תקציב מפורט 2025'!$C$230:$C$2026,B31)</f>
        <v>42581750.329999991</v>
      </c>
      <c r="N31" s="107">
        <f>SUMIFS('תקציב מפורט 2025'!$L$230:$L$2026,'תקציב מפורט 2025'!$C$230:$C$2026,B31)</f>
        <v>43909343</v>
      </c>
      <c r="O31" s="106">
        <f>SUMIFS('תקציב מפורט 2025'!M:M,'תקציב מפורט 2025'!C:C,B31)</f>
        <v>226.38872727272727</v>
      </c>
    </row>
    <row r="32" spans="1:15" x14ac:dyDescent="0.2">
      <c r="A32" s="104">
        <v>19</v>
      </c>
      <c r="B32" s="105" t="s">
        <v>356</v>
      </c>
      <c r="C32" s="106" t="e">
        <f>SUMIFS(#REF!,#REF!,A32)</f>
        <v>#REF!</v>
      </c>
      <c r="D32" s="106" t="e">
        <f>SUMIFS(#REF!,#REF!,A32)</f>
        <v>#REF!</v>
      </c>
      <c r="E32" s="106" t="e">
        <f>SUMIFS(#REF!,#REF!,A32)</f>
        <v>#REF!</v>
      </c>
      <c r="F32" s="106" t="e">
        <f>SUMIFS(#REF!,#REF!,A32)</f>
        <v>#REF!</v>
      </c>
      <c r="G32" s="106" t="e">
        <f>SUMIFS(#REF!,#REF!,A32)</f>
        <v>#REF!</v>
      </c>
      <c r="H32" s="106" t="e">
        <f>SUMIFS(#REF!,#REF!,A32)</f>
        <v>#REF!</v>
      </c>
      <c r="I32" s="106" t="e">
        <f>SUMIFS(#REF!,#REF!,A32)</f>
        <v>#REF!</v>
      </c>
      <c r="J32" s="106" t="e">
        <f>SUMIFS(#REF!,#REF!,A32)</f>
        <v>#REF!</v>
      </c>
      <c r="K32" s="106">
        <v>22894574</v>
      </c>
      <c r="L32" s="106"/>
      <c r="M32" s="106">
        <f>SUMIFS('תקציב מפורט 2025'!$K$230:$K$2026,'תקציב מפורט 2025'!$C$230:$C$2026,B32)</f>
        <v>23465782.519999996</v>
      </c>
      <c r="N32" s="106">
        <f>SUMIFS('תקציב מפורט 2025'!$L$230:$L$2026,'תקציב מפורט 2025'!$C$230:$C$2026,B32)</f>
        <v>23165694</v>
      </c>
      <c r="O32" s="106"/>
    </row>
    <row r="33" spans="1:15" x14ac:dyDescent="0.2">
      <c r="A33" s="108"/>
      <c r="B33" s="112" t="s">
        <v>357</v>
      </c>
      <c r="C33" s="110" t="e">
        <f t="shared" ref="C33:O33" si="6">SUM(C31:C32)</f>
        <v>#REF!</v>
      </c>
      <c r="D33" s="110" t="e">
        <f t="shared" si="6"/>
        <v>#REF!</v>
      </c>
      <c r="E33" s="110" t="e">
        <f t="shared" si="6"/>
        <v>#REF!</v>
      </c>
      <c r="F33" s="110" t="e">
        <f t="shared" si="6"/>
        <v>#REF!</v>
      </c>
      <c r="G33" s="110" t="e">
        <f t="shared" si="6"/>
        <v>#REF!</v>
      </c>
      <c r="H33" s="110" t="e">
        <f t="shared" si="6"/>
        <v>#REF!</v>
      </c>
      <c r="I33" s="110" t="e">
        <f t="shared" si="6"/>
        <v>#REF!</v>
      </c>
      <c r="J33" s="110" t="e">
        <f t="shared" si="6"/>
        <v>#REF!</v>
      </c>
      <c r="K33" s="110">
        <f t="shared" si="6"/>
        <v>60957448</v>
      </c>
      <c r="L33" s="110">
        <f>SUM(L31:L32)+40</f>
        <v>222</v>
      </c>
      <c r="M33" s="110">
        <f t="shared" si="6"/>
        <v>66047532.849999987</v>
      </c>
      <c r="N33" s="110">
        <f t="shared" si="6"/>
        <v>67075037</v>
      </c>
      <c r="O33" s="110">
        <f t="shared" si="6"/>
        <v>226.38872727272727</v>
      </c>
    </row>
    <row r="34" spans="1:15" x14ac:dyDescent="0.2">
      <c r="A34" s="104">
        <v>21</v>
      </c>
      <c r="B34" s="105" t="s">
        <v>358</v>
      </c>
      <c r="C34" s="106" t="e">
        <f>SUMIFS(#REF!,#REF!,A34)</f>
        <v>#REF!</v>
      </c>
      <c r="D34" s="106" t="e">
        <f>SUMIFS(#REF!,#REF!,A34)</f>
        <v>#REF!</v>
      </c>
      <c r="E34" s="106" t="e">
        <f>SUMIFS(#REF!,#REF!,A34)</f>
        <v>#REF!</v>
      </c>
      <c r="F34" s="106" t="e">
        <f>SUMIFS(#REF!,#REF!,A34)</f>
        <v>#REF!</v>
      </c>
      <c r="G34" s="106" t="e">
        <f>SUMIFS(#REF!,#REF!,A34)</f>
        <v>#REF!</v>
      </c>
      <c r="H34" s="106" t="e">
        <f>SUMIFS(#REF!,#REF!,A34)</f>
        <v>#REF!</v>
      </c>
      <c r="I34" s="106" t="e">
        <f>SUMIFS(#REF!,#REF!,A34)</f>
        <v>#REF!</v>
      </c>
      <c r="J34" s="106" t="e">
        <f>SUMIFS(#REF!,#REF!,A34)</f>
        <v>#REF!</v>
      </c>
      <c r="K34" s="106">
        <v>4285000</v>
      </c>
      <c r="L34" s="106">
        <v>21</v>
      </c>
      <c r="M34" s="106">
        <f>SUMIFS('תקציב מפורט 2025'!$K$230:$K$2026,'תקציב מפורט 2025'!$C$230:$C$2026,B34)</f>
        <v>4135074.45</v>
      </c>
      <c r="N34" s="107">
        <f>SUMIFS('תקציב מפורט 2025'!$L$230:$L$2026,'תקציב מפורט 2025'!$C$230:$C$2026,B34)</f>
        <v>4505000</v>
      </c>
      <c r="O34" s="106">
        <f>SUMIFS('תקציב מפורט 2025'!M:M,'תקציב מפורט 2025'!C:C,B34)</f>
        <v>20.759454545454545</v>
      </c>
    </row>
    <row r="35" spans="1:15" x14ac:dyDescent="0.2">
      <c r="A35" s="104">
        <v>22</v>
      </c>
      <c r="B35" s="105" t="s">
        <v>359</v>
      </c>
      <c r="C35" s="106" t="e">
        <f>SUMIFS(#REF!,#REF!,A35)</f>
        <v>#REF!</v>
      </c>
      <c r="D35" s="106" t="e">
        <f>SUMIFS(#REF!,#REF!,A35)</f>
        <v>#REF!</v>
      </c>
      <c r="E35" s="106" t="e">
        <f>SUMIFS(#REF!,#REF!,A35)</f>
        <v>#REF!</v>
      </c>
      <c r="F35" s="106" t="e">
        <f>SUMIFS(#REF!,#REF!,A35)</f>
        <v>#REF!</v>
      </c>
      <c r="G35" s="106" t="e">
        <f>SUMIFS(#REF!,#REF!,A35)</f>
        <v>#REF!</v>
      </c>
      <c r="H35" s="106" t="e">
        <f>SUMIFS(#REF!,#REF!,A35)</f>
        <v>#REF!</v>
      </c>
      <c r="I35" s="106" t="e">
        <f>SUMIFS(#REF!,#REF!,A35)</f>
        <v>#REF!</v>
      </c>
      <c r="J35" s="106" t="e">
        <f>SUMIFS(#REF!,#REF!,A35)</f>
        <v>#REF!</v>
      </c>
      <c r="K35" s="106">
        <v>35429000</v>
      </c>
      <c r="L35" s="106"/>
      <c r="M35" s="106">
        <f>SUMIFS('תקציב מפורט 2025'!$K$230:$K$2026,'תקציב מפורט 2025'!$C$230:$C$2026,B35)</f>
        <v>41668811.369999997</v>
      </c>
      <c r="N35" s="106">
        <f>SUMIFS('תקציב מפורט 2025'!$L$230:$L$2026,'תקציב מפורט 2025'!$C$230:$C$2026,B35)</f>
        <v>41650000</v>
      </c>
      <c r="O35" s="106"/>
    </row>
    <row r="36" spans="1:15" x14ac:dyDescent="0.2">
      <c r="A36" s="108"/>
      <c r="B36" s="112" t="s">
        <v>360</v>
      </c>
      <c r="C36" s="110" t="e">
        <f t="shared" ref="C36:O36" si="7">SUM(C34:C35)</f>
        <v>#REF!</v>
      </c>
      <c r="D36" s="110" t="e">
        <f t="shared" si="7"/>
        <v>#REF!</v>
      </c>
      <c r="E36" s="110" t="e">
        <f t="shared" si="7"/>
        <v>#REF!</v>
      </c>
      <c r="F36" s="110" t="e">
        <f t="shared" si="7"/>
        <v>#REF!</v>
      </c>
      <c r="G36" s="110" t="e">
        <f t="shared" si="7"/>
        <v>#REF!</v>
      </c>
      <c r="H36" s="110" t="e">
        <f t="shared" si="7"/>
        <v>#REF!</v>
      </c>
      <c r="I36" s="110" t="e">
        <f t="shared" si="7"/>
        <v>#REF!</v>
      </c>
      <c r="J36" s="110" t="e">
        <f t="shared" si="7"/>
        <v>#REF!</v>
      </c>
      <c r="K36" s="110">
        <f t="shared" si="7"/>
        <v>39714000</v>
      </c>
      <c r="L36" s="110">
        <f t="shared" si="7"/>
        <v>21</v>
      </c>
      <c r="M36" s="110">
        <f t="shared" si="7"/>
        <v>45803885.82</v>
      </c>
      <c r="N36" s="110">
        <f t="shared" si="7"/>
        <v>46155000</v>
      </c>
      <c r="O36" s="110">
        <f t="shared" si="7"/>
        <v>20.759454545454545</v>
      </c>
    </row>
    <row r="37" spans="1:15" x14ac:dyDescent="0.2">
      <c r="A37" s="104">
        <v>23</v>
      </c>
      <c r="B37" s="105" t="s">
        <v>361</v>
      </c>
      <c r="C37" s="106" t="e">
        <f>SUMIFS(#REF!,#REF!,A37)</f>
        <v>#REF!</v>
      </c>
      <c r="D37" s="106" t="e">
        <f>SUMIFS(#REF!,#REF!,A37)</f>
        <v>#REF!</v>
      </c>
      <c r="E37" s="106" t="e">
        <f>SUMIFS(#REF!,#REF!,A37)</f>
        <v>#REF!</v>
      </c>
      <c r="F37" s="106" t="e">
        <f>SUMIFS(#REF!,#REF!,A37)</f>
        <v>#REF!</v>
      </c>
      <c r="G37" s="106" t="e">
        <f>SUMIFS(#REF!,#REF!,A37)</f>
        <v>#REF!</v>
      </c>
      <c r="H37" s="106" t="e">
        <f>SUMIFS(#REF!,#REF!,A37)</f>
        <v>#REF!</v>
      </c>
      <c r="I37" s="106" t="e">
        <f>SUMIFS(#REF!,#REF!,A37)</f>
        <v>#REF!</v>
      </c>
      <c r="J37" s="106" t="e">
        <f>SUMIFS(#REF!,#REF!,A37)</f>
        <v>#REF!</v>
      </c>
      <c r="K37" s="106">
        <v>600000</v>
      </c>
      <c r="L37" s="106"/>
      <c r="M37" s="106">
        <f>SUMIFS('תקציב מפורט 2025'!$K$230:$K$2026,'תקציב מפורט 2025'!$C$230:$C$2026,B37)</f>
        <v>337278.23</v>
      </c>
      <c r="N37" s="107">
        <f>SUMIFS('תקציב מפורט 2025'!$L$230:$L$2026,'תקציב מפורט 2025'!$C$230:$C$2026,B37)</f>
        <v>310000</v>
      </c>
      <c r="O37" s="106"/>
    </row>
    <row r="38" spans="1:15" x14ac:dyDescent="0.2">
      <c r="A38" s="104">
        <v>18</v>
      </c>
      <c r="B38" s="105" t="s">
        <v>362</v>
      </c>
      <c r="C38" s="106" t="e">
        <f>SUMIFS(#REF!,#REF!,A38)</f>
        <v>#REF!</v>
      </c>
      <c r="D38" s="106" t="e">
        <f>SUMIFS(#REF!,#REF!,A38)</f>
        <v>#REF!</v>
      </c>
      <c r="E38" s="106" t="e">
        <f>SUMIFS(#REF!,#REF!,A38)</f>
        <v>#REF!</v>
      </c>
      <c r="F38" s="106" t="e">
        <f>SUMIFS(#REF!,#REF!,A38)</f>
        <v>#REF!</v>
      </c>
      <c r="G38" s="106" t="e">
        <f>SUMIFS(#REF!,#REF!,A38)</f>
        <v>#REF!</v>
      </c>
      <c r="H38" s="106" t="e">
        <f>SUMIFS(#REF!,#REF!,A38)</f>
        <v>#REF!</v>
      </c>
      <c r="I38" s="106" t="e">
        <f>SUMIFS(#REF!,#REF!,A38)</f>
        <v>#REF!</v>
      </c>
      <c r="J38" s="106" t="e">
        <f>SUMIFS(#REF!,#REF!,A38)</f>
        <v>#REF!</v>
      </c>
      <c r="K38" s="106">
        <v>2170000</v>
      </c>
      <c r="L38" s="106"/>
      <c r="M38" s="106">
        <f>SUMIFS('תקציב מפורט 2025'!$K$230:$K$2026,'תקציב מפורט 2025'!$C$230:$C$2026,B38)</f>
        <v>2436427.7399999998</v>
      </c>
      <c r="N38" s="107">
        <f>SUMIFS('תקציב מפורט 2025'!$L$230:$L$2026,'תקציב מפורט 2025'!$C$230:$C$2026,B38)</f>
        <v>2720000</v>
      </c>
      <c r="O38" s="106"/>
    </row>
    <row r="39" spans="1:15" x14ac:dyDescent="0.2">
      <c r="A39" s="108"/>
      <c r="B39" s="112" t="s">
        <v>363</v>
      </c>
      <c r="C39" s="110" t="e">
        <f t="shared" ref="C39:O39" si="8">SUM(C37:C38)</f>
        <v>#REF!</v>
      </c>
      <c r="D39" s="110" t="e">
        <f t="shared" si="8"/>
        <v>#REF!</v>
      </c>
      <c r="E39" s="110" t="e">
        <f t="shared" si="8"/>
        <v>#REF!</v>
      </c>
      <c r="F39" s="110" t="e">
        <f t="shared" si="8"/>
        <v>#REF!</v>
      </c>
      <c r="G39" s="110" t="e">
        <f t="shared" si="8"/>
        <v>#REF!</v>
      </c>
      <c r="H39" s="110" t="e">
        <f t="shared" si="8"/>
        <v>#REF!</v>
      </c>
      <c r="I39" s="110" t="e">
        <f t="shared" si="8"/>
        <v>#REF!</v>
      </c>
      <c r="J39" s="110" t="e">
        <f t="shared" si="8"/>
        <v>#REF!</v>
      </c>
      <c r="K39" s="110">
        <f t="shared" si="8"/>
        <v>2770000</v>
      </c>
      <c r="L39" s="110">
        <f t="shared" si="8"/>
        <v>0</v>
      </c>
      <c r="M39" s="110">
        <f t="shared" si="8"/>
        <v>2773705.9699999997</v>
      </c>
      <c r="N39" s="110">
        <f t="shared" si="8"/>
        <v>3030000</v>
      </c>
      <c r="O39" s="110">
        <f t="shared" si="8"/>
        <v>0</v>
      </c>
    </row>
    <row r="40" spans="1:15" x14ac:dyDescent="0.2">
      <c r="A40" s="104">
        <v>17</v>
      </c>
      <c r="B40" s="105" t="s">
        <v>364</v>
      </c>
      <c r="C40" s="106" t="e">
        <f>SUMIFS(#REF!,#REF!,A40)</f>
        <v>#REF!</v>
      </c>
      <c r="D40" s="106" t="e">
        <f>SUMIFS(#REF!,#REF!,A40)</f>
        <v>#REF!</v>
      </c>
      <c r="E40" s="106" t="e">
        <f>SUMIFS(#REF!,#REF!,A40)</f>
        <v>#REF!</v>
      </c>
      <c r="F40" s="106" t="e">
        <f>SUMIFS(#REF!,#REF!,A40)</f>
        <v>#REF!</v>
      </c>
      <c r="G40" s="106" t="e">
        <f>SUMIFS(#REF!,#REF!,A40)</f>
        <v>#REF!</v>
      </c>
      <c r="H40" s="106" t="e">
        <f>SUMIFS(#REF!,#REF!,A40)</f>
        <v>#REF!</v>
      </c>
      <c r="I40" s="106" t="e">
        <f>SUMIFS(#REF!,#REF!,A40)</f>
        <v>#REF!</v>
      </c>
      <c r="J40" s="106" t="e">
        <f>SUMIFS(#REF!,#REF!,A40)</f>
        <v>#REF!</v>
      </c>
      <c r="K40" s="106">
        <v>200000</v>
      </c>
      <c r="L40" s="106"/>
      <c r="M40" s="106">
        <f>SUMIFS('תקציב מפורט 2025'!$K$230:$K$2026,'תקציב מפורט 2025'!$C$230:$C$2026,B40)</f>
        <v>267321.26</v>
      </c>
      <c r="N40" s="107">
        <f>SUMIFS('תקציב מפורט 2025'!$L$230:$L$2026,'תקציב מפורט 2025'!$C$230:$C$2026,B40)</f>
        <v>250000</v>
      </c>
      <c r="O40" s="106"/>
    </row>
    <row r="41" spans="1:15" x14ac:dyDescent="0.2">
      <c r="A41" s="104">
        <v>24</v>
      </c>
      <c r="B41" s="105" t="s">
        <v>365</v>
      </c>
      <c r="C41" s="106" t="e">
        <f>SUMIFS(#REF!,#REF!,A41)</f>
        <v>#REF!</v>
      </c>
      <c r="D41" s="106" t="e">
        <f>SUMIFS(#REF!,#REF!,A41)</f>
        <v>#REF!</v>
      </c>
      <c r="E41" s="106" t="e">
        <f>SUMIFS(#REF!,#REF!,A41)</f>
        <v>#REF!</v>
      </c>
      <c r="F41" s="106" t="e">
        <f>SUMIFS(#REF!,#REF!,A41)</f>
        <v>#REF!</v>
      </c>
      <c r="G41" s="106" t="e">
        <f>SUMIFS(#REF!,#REF!,A41)</f>
        <v>#REF!</v>
      </c>
      <c r="H41" s="106" t="e">
        <f>SUMIFS(#REF!,#REF!,A41)</f>
        <v>#REF!</v>
      </c>
      <c r="I41" s="106" t="e">
        <f>SUMIFS(#REF!,#REF!,A41)</f>
        <v>#REF!</v>
      </c>
      <c r="J41" s="106" t="e">
        <f>SUMIFS(#REF!,#REF!,A41)</f>
        <v>#REF!</v>
      </c>
      <c r="K41" s="106">
        <v>0</v>
      </c>
      <c r="L41" s="106"/>
      <c r="M41" s="106">
        <f>SUMIFS('תקציב מפורט 2025'!$K$230:$K$2026,'תקציב מפורט 2025'!$C$230:$C$2026,B41)</f>
        <v>330690.3</v>
      </c>
      <c r="N41" s="107">
        <f>SUMIFS('תקציב מפורט 2025'!$L$230:$L$2026,'תקציב מפורט 2025'!$C$230:$C$2026,B41)</f>
        <v>0</v>
      </c>
      <c r="O41" s="106"/>
    </row>
    <row r="42" spans="1:15" ht="40.5" x14ac:dyDescent="0.2">
      <c r="A42" s="108"/>
      <c r="B42" s="112" t="s">
        <v>366</v>
      </c>
      <c r="C42" s="110" t="e">
        <f t="shared" ref="C42:O42" si="9">C39+C40+C41+C36+C33+C30</f>
        <v>#REF!</v>
      </c>
      <c r="D42" s="110" t="e">
        <f t="shared" si="9"/>
        <v>#REF!</v>
      </c>
      <c r="E42" s="110" t="e">
        <f t="shared" si="9"/>
        <v>#REF!</v>
      </c>
      <c r="F42" s="110" t="e">
        <f t="shared" si="9"/>
        <v>#REF!</v>
      </c>
      <c r="G42" s="110" t="e">
        <f t="shared" si="9"/>
        <v>#REF!</v>
      </c>
      <c r="H42" s="110" t="e">
        <f t="shared" si="9"/>
        <v>#REF!</v>
      </c>
      <c r="I42" s="110" t="e">
        <f t="shared" si="9"/>
        <v>#REF!</v>
      </c>
      <c r="J42" s="110" t="e">
        <f t="shared" si="9"/>
        <v>#REF!</v>
      </c>
      <c r="K42" s="110">
        <f t="shared" si="9"/>
        <v>128606753</v>
      </c>
      <c r="L42" s="110">
        <f t="shared" si="9"/>
        <v>298</v>
      </c>
      <c r="M42" s="110">
        <f t="shared" si="9"/>
        <v>140746126.08999997</v>
      </c>
      <c r="N42" s="110">
        <f t="shared" si="9"/>
        <v>145295148.5939</v>
      </c>
      <c r="O42" s="110">
        <f t="shared" si="9"/>
        <v>300.75099999999998</v>
      </c>
    </row>
    <row r="43" spans="1:15" x14ac:dyDescent="0.2">
      <c r="A43" s="104">
        <v>25</v>
      </c>
      <c r="B43" s="105" t="s">
        <v>346</v>
      </c>
      <c r="C43" s="106" t="e">
        <f>SUMIFS(#REF!,#REF!,A43)</f>
        <v>#REF!</v>
      </c>
      <c r="D43" s="106" t="e">
        <f>SUMIFS(#REF!,#REF!,A43)</f>
        <v>#REF!</v>
      </c>
      <c r="E43" s="106" t="e">
        <f>SUMIFS(#REF!,#REF!,A43)</f>
        <v>#REF!</v>
      </c>
      <c r="F43" s="106" t="e">
        <f>SUMIFS(#REF!,#REF!,A43)</f>
        <v>#REF!</v>
      </c>
      <c r="G43" s="106" t="e">
        <f>SUMIFS(#REF!,#REF!,A43)</f>
        <v>#REF!</v>
      </c>
      <c r="H43" s="106" t="e">
        <f>SUMIFS(#REF!,#REF!,A43)</f>
        <v>#REF!</v>
      </c>
      <c r="I43" s="106" t="e">
        <f>SUMIFS(#REF!,#REF!,A43)</f>
        <v>#REF!</v>
      </c>
      <c r="J43" s="106" t="e">
        <f>SUMIFS(#REF!,#REF!,A43)</f>
        <v>#REF!</v>
      </c>
      <c r="K43" s="106">
        <v>6500000</v>
      </c>
      <c r="L43" s="106"/>
      <c r="M43" s="106">
        <f>SUMIFS('תקציב מפורט 2025'!$K$230:$K$2026,'תקציב מפורט 2025'!$C$230:$C$2026,B43)</f>
        <v>6591998.6699999999</v>
      </c>
      <c r="N43" s="107">
        <f>SUMIFS('תקציב מפורט 2025'!$L$230:$L$2026,'תקציב מפורט 2025'!$C$230:$C$2026,B43)</f>
        <v>7000000</v>
      </c>
      <c r="O43" s="106"/>
    </row>
    <row r="44" spans="1:15" hidden="1" x14ac:dyDescent="0.2">
      <c r="A44" s="104">
        <v>26</v>
      </c>
      <c r="B44" s="105" t="s">
        <v>367</v>
      </c>
      <c r="C44" s="106" t="e">
        <f>SUMIFS(#REF!,#REF!,A44)</f>
        <v>#REF!</v>
      </c>
      <c r="D44" s="106" t="e">
        <f>SUMIFS(#REF!,#REF!,A44)</f>
        <v>#REF!</v>
      </c>
      <c r="E44" s="106" t="e">
        <f>SUMIFS(#REF!,#REF!,A44)</f>
        <v>#REF!</v>
      </c>
      <c r="F44" s="106" t="e">
        <f>SUMIFS(#REF!,#REF!,A44)</f>
        <v>#REF!</v>
      </c>
      <c r="G44" s="106" t="e">
        <f>SUMIFS(#REF!,#REF!,A44)</f>
        <v>#REF!</v>
      </c>
      <c r="H44" s="106" t="e">
        <f>SUMIFS(#REF!,#REF!,A44)</f>
        <v>#REF!</v>
      </c>
      <c r="I44" s="106" t="e">
        <f>SUMIFS(#REF!,#REF!,A44)</f>
        <v>#REF!</v>
      </c>
      <c r="J44" s="106" t="e">
        <f>SUMIFS(#REF!,#REF!,A44)</f>
        <v>#REF!</v>
      </c>
      <c r="K44" s="106">
        <v>0</v>
      </c>
      <c r="L44" s="106"/>
      <c r="M44" s="106">
        <f>SUMIFS('תקציב מפורט 2025'!$K$230:$K$2026,'תקציב מפורט 2025'!$C$230:$C$2026,B44)</f>
        <v>0</v>
      </c>
      <c r="N44" s="107">
        <f>SUMIFS('תקציב מפורט 2025'!$L$230:$L$2026,'תקציב מפורט 2025'!$C$230:$C$2026,B44)</f>
        <v>0</v>
      </c>
      <c r="O44" s="106"/>
    </row>
    <row r="45" spans="1:15" x14ac:dyDescent="0.2">
      <c r="A45" s="108"/>
      <c r="B45" s="112" t="s">
        <v>368</v>
      </c>
      <c r="C45" s="110" t="e">
        <f t="shared" ref="C45:O45" si="10">C42+C43+C44</f>
        <v>#REF!</v>
      </c>
      <c r="D45" s="110" t="e">
        <f t="shared" si="10"/>
        <v>#REF!</v>
      </c>
      <c r="E45" s="110" t="e">
        <f t="shared" si="10"/>
        <v>#REF!</v>
      </c>
      <c r="F45" s="110" t="e">
        <f t="shared" si="10"/>
        <v>#REF!</v>
      </c>
      <c r="G45" s="110" t="e">
        <f t="shared" si="10"/>
        <v>#REF!</v>
      </c>
      <c r="H45" s="110" t="e">
        <f t="shared" si="10"/>
        <v>#REF!</v>
      </c>
      <c r="I45" s="110" t="e">
        <f t="shared" si="10"/>
        <v>#REF!</v>
      </c>
      <c r="J45" s="110" t="e">
        <f t="shared" si="10"/>
        <v>#REF!</v>
      </c>
      <c r="K45" s="110">
        <f t="shared" si="10"/>
        <v>135106753</v>
      </c>
      <c r="L45" s="110">
        <f t="shared" si="10"/>
        <v>298</v>
      </c>
      <c r="M45" s="110">
        <f t="shared" si="10"/>
        <v>147338124.75999996</v>
      </c>
      <c r="N45" s="110">
        <f t="shared" si="10"/>
        <v>152295148.5939</v>
      </c>
      <c r="O45" s="110">
        <f t="shared" si="10"/>
        <v>300.75099999999998</v>
      </c>
    </row>
    <row r="46" spans="1:15" x14ac:dyDescent="0.2">
      <c r="A46" s="104">
        <v>28</v>
      </c>
      <c r="B46" s="105" t="s">
        <v>369</v>
      </c>
      <c r="C46" s="106" t="e">
        <f>SUMIFS(#REF!,#REF!,A46)</f>
        <v>#REF!</v>
      </c>
      <c r="D46" s="106" t="e">
        <f>SUMIFS(#REF!,#REF!,A46)</f>
        <v>#REF!</v>
      </c>
      <c r="E46" s="106" t="e">
        <f>SUMIFS(#REF!,#REF!,A46)</f>
        <v>#REF!</v>
      </c>
      <c r="F46" s="106" t="e">
        <f>SUMIFS(#REF!,#REF!,A46)</f>
        <v>#REF!</v>
      </c>
      <c r="G46" s="106" t="e">
        <f>SUMIFS(#REF!,#REF!,A46)</f>
        <v>#REF!</v>
      </c>
      <c r="H46" s="106" t="e">
        <f>SUMIFS(#REF!,#REF!,A46)</f>
        <v>#REF!</v>
      </c>
      <c r="I46" s="106" t="e">
        <f>SUMIFS(#REF!,#REF!,A46)</f>
        <v>#REF!</v>
      </c>
      <c r="J46" s="106" t="e">
        <f>SUMIFS(#REF!,#REF!,A46)</f>
        <v>#REF!</v>
      </c>
      <c r="K46" s="106">
        <v>747166.25</v>
      </c>
      <c r="L46" s="106"/>
      <c r="M46" s="106">
        <f>SUMIFS('תקציב מפורט 2025'!$K$230:$K$2026,'תקציב מפורט 2025'!$C$230:$C$2026,B46)</f>
        <v>0</v>
      </c>
      <c r="N46" s="107">
        <f>SUMIFS('תקציב מפורט 2025'!$L$230:$L$2026,'תקציב מפורט 2025'!$C$230:$C$2026,B46)</f>
        <v>2012100</v>
      </c>
      <c r="O46" s="106"/>
    </row>
    <row r="47" spans="1:15" s="116" customFormat="1" x14ac:dyDescent="0.2">
      <c r="A47" s="113"/>
      <c r="B47" s="114" t="s">
        <v>370</v>
      </c>
      <c r="C47" s="115" t="e">
        <f t="shared" ref="C47:G47" si="11">C45+C46</f>
        <v>#REF!</v>
      </c>
      <c r="D47" s="115" t="e">
        <f t="shared" ref="D47:E47" si="12">D45+D46</f>
        <v>#REF!</v>
      </c>
      <c r="E47" s="115" t="e">
        <f t="shared" si="12"/>
        <v>#REF!</v>
      </c>
      <c r="F47" s="115" t="e">
        <f t="shared" si="11"/>
        <v>#REF!</v>
      </c>
      <c r="G47" s="115" t="e">
        <f t="shared" si="11"/>
        <v>#REF!</v>
      </c>
      <c r="H47" s="115" t="e">
        <f t="shared" ref="H47" si="13">H45+H46</f>
        <v>#REF!</v>
      </c>
      <c r="I47" s="115" t="e">
        <f t="shared" ref="I47:J47" si="14">I45+I46</f>
        <v>#REF!</v>
      </c>
      <c r="J47" s="115" t="e">
        <f t="shared" si="14"/>
        <v>#REF!</v>
      </c>
      <c r="K47" s="115">
        <f t="shared" ref="K47:O47" si="15">K45+K46</f>
        <v>135853919.25</v>
      </c>
      <c r="L47" s="115">
        <f t="shared" si="15"/>
        <v>298</v>
      </c>
      <c r="M47" s="115">
        <f t="shared" si="15"/>
        <v>147338124.75999996</v>
      </c>
      <c r="N47" s="115">
        <f t="shared" si="15"/>
        <v>154307248.5939</v>
      </c>
      <c r="O47" s="115">
        <f t="shared" si="15"/>
        <v>300.75099999999998</v>
      </c>
    </row>
    <row r="48" spans="1:15" ht="28.5" customHeight="1" x14ac:dyDescent="0.2">
      <c r="A48" s="118"/>
      <c r="B48" s="119" t="s">
        <v>371</v>
      </c>
      <c r="C48" s="120" t="e">
        <f t="shared" ref="C48" si="16">C25-C47</f>
        <v>#REF!</v>
      </c>
      <c r="D48" s="120" t="e">
        <f t="shared" ref="D48:G48" si="17">D25-D47</f>
        <v>#REF!</v>
      </c>
      <c r="E48" s="120" t="e">
        <f t="shared" si="17"/>
        <v>#REF!</v>
      </c>
      <c r="F48" s="120"/>
      <c r="G48" s="120" t="e">
        <f t="shared" si="17"/>
        <v>#REF!</v>
      </c>
      <c r="H48" s="120" t="e">
        <f t="shared" ref="H48:J48" si="18">H25-H47</f>
        <v>#REF!</v>
      </c>
      <c r="I48" s="120"/>
      <c r="J48" s="120" t="e">
        <f t="shared" si="18"/>
        <v>#REF!</v>
      </c>
      <c r="K48" s="120">
        <f t="shared" ref="K48:N48" si="19">K25-K47</f>
        <v>-5348000</v>
      </c>
      <c r="L48" s="120"/>
      <c r="M48" s="120">
        <f t="shared" si="19"/>
        <v>-3959250.7775999904</v>
      </c>
      <c r="N48" s="120">
        <f t="shared" si="19"/>
        <v>-5303999.5938999951</v>
      </c>
      <c r="O48" s="120"/>
    </row>
    <row r="50" spans="2:15" x14ac:dyDescent="0.2">
      <c r="B50" s="121" t="s">
        <v>1545</v>
      </c>
      <c r="C50" s="122"/>
      <c r="D50" s="123"/>
      <c r="E50" s="124" t="e">
        <f>E12/E33</f>
        <v>#REF!</v>
      </c>
      <c r="F50" s="124"/>
      <c r="G50" s="124" t="e">
        <f t="shared" ref="G50:H50" si="20">G12/G33</f>
        <v>#REF!</v>
      </c>
      <c r="H50" s="124" t="e">
        <f t="shared" si="20"/>
        <v>#REF!</v>
      </c>
      <c r="I50" s="124"/>
      <c r="J50" s="124" t="e">
        <f t="shared" ref="J50" si="21">J12/J33</f>
        <v>#REF!</v>
      </c>
      <c r="K50" s="124">
        <f t="shared" ref="K50" si="22">K12/K33</f>
        <v>0.8692576828347538</v>
      </c>
      <c r="L50" s="124"/>
      <c r="M50" s="124">
        <f t="shared" ref="M50:N50" si="23">M12/M33</f>
        <v>0.88004952300046457</v>
      </c>
      <c r="N50" s="124">
        <f t="shared" si="23"/>
        <v>0.87203598560817785</v>
      </c>
      <c r="O50" s="124"/>
    </row>
    <row r="51" spans="2:15" ht="21" thickBot="1" x14ac:dyDescent="0.25">
      <c r="B51" s="125" t="s">
        <v>1546</v>
      </c>
      <c r="C51" s="126"/>
      <c r="D51" s="126"/>
      <c r="E51" s="127" t="e">
        <f>E13/E36</f>
        <v>#REF!</v>
      </c>
      <c r="F51" s="127"/>
      <c r="G51" s="127" t="e">
        <f t="shared" ref="G51" si="24">G13/G36</f>
        <v>#REF!</v>
      </c>
      <c r="H51" s="127" t="e">
        <f>H13/H36</f>
        <v>#REF!</v>
      </c>
      <c r="I51" s="127"/>
      <c r="J51" s="127" t="e">
        <f t="shared" ref="J51" si="25">J13/J36</f>
        <v>#REF!</v>
      </c>
      <c r="K51" s="127">
        <f t="shared" ref="K51" si="26">K13/K36</f>
        <v>0.73994057511205114</v>
      </c>
      <c r="L51" s="127"/>
      <c r="M51" s="127">
        <f t="shared" ref="M51:N51" si="27">M13/M36</f>
        <v>0.78380508852643893</v>
      </c>
      <c r="N51" s="127">
        <f t="shared" si="27"/>
        <v>0.79426930993391831</v>
      </c>
      <c r="O51" s="127"/>
    </row>
    <row r="56" spans="2:15" x14ac:dyDescent="0.2">
      <c r="K56" s="129"/>
    </row>
  </sheetData>
  <mergeCells count="2">
    <mergeCell ref="A1:O1"/>
    <mergeCell ref="A2:O2"/>
  </mergeCells>
  <printOptions horizontalCentered="1"/>
  <pageMargins left="0.70866141732283472" right="0.70866141732283472" top="0.55118110236220474" bottom="0.74803149606299213" header="0.31496062992125984" footer="0.31496062992125984"/>
  <pageSetup paperSize="9" scale="70" orientation="portrait" useFirstPageNumber="1" r:id="rId1"/>
  <headerFooter>
    <oddFooter>&amp;C&amp;P</oddFooter>
  </headerFooter>
  <rowBreaks count="1" manualBreakCount="1">
    <brk id="72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35B1-84E4-40F7-9512-DC1E74967E22}">
  <sheetPr filterMode="1"/>
  <dimension ref="A1:O579"/>
  <sheetViews>
    <sheetView showGridLines="0" rightToLeft="1" view="pageLayout" topLeftCell="A15" zoomScaleNormal="89" workbookViewId="0">
      <selection activeCell="L40" sqref="L40"/>
    </sheetView>
  </sheetViews>
  <sheetFormatPr defaultColWidth="9" defaultRowHeight="23.25" x14ac:dyDescent="0.2"/>
  <cols>
    <col min="1" max="1" width="15" style="141" bestFit="1" customWidth="1"/>
    <col min="2" max="2" width="42.625" style="144" bestFit="1" customWidth="1"/>
    <col min="3" max="3" width="34.5" style="50" hidden="1" customWidth="1"/>
    <col min="4" max="4" width="22.25" style="147" bestFit="1" customWidth="1"/>
    <col min="5" max="5" width="12.875" style="54" hidden="1" customWidth="1"/>
    <col min="6" max="6" width="22.25" style="54" hidden="1" customWidth="1"/>
    <col min="7" max="7" width="18.875" style="54" hidden="1" customWidth="1"/>
    <col min="8" max="8" width="22.25" style="54" hidden="1" customWidth="1"/>
    <col min="9" max="9" width="26" style="54" hidden="1" customWidth="1"/>
    <col min="10" max="10" width="74.25" style="54" hidden="1" customWidth="1"/>
    <col min="11" max="12" width="19.75" style="147" bestFit="1" customWidth="1"/>
    <col min="13" max="13" width="16.25" style="71" bestFit="1" customWidth="1"/>
    <col min="14" max="14" width="22.875" style="54" hidden="1" customWidth="1"/>
    <col min="15" max="15" width="13.875" style="54" hidden="1" customWidth="1"/>
    <col min="16" max="16384" width="9" style="141"/>
  </cols>
  <sheetData>
    <row r="1" spans="1:15" ht="46.5" x14ac:dyDescent="0.2">
      <c r="A1" s="131" t="s">
        <v>0</v>
      </c>
      <c r="B1" s="131" t="s">
        <v>1</v>
      </c>
      <c r="C1" s="43" t="s">
        <v>1927</v>
      </c>
      <c r="D1" s="137" t="s">
        <v>1928</v>
      </c>
      <c r="E1" s="47" t="s">
        <v>1932</v>
      </c>
      <c r="F1" s="47" t="s">
        <v>1921</v>
      </c>
      <c r="G1" s="47" t="s">
        <v>1922</v>
      </c>
      <c r="H1" s="47" t="s">
        <v>1923</v>
      </c>
      <c r="I1" s="47" t="s">
        <v>1924</v>
      </c>
      <c r="J1" s="47" t="s">
        <v>259</v>
      </c>
      <c r="K1" s="137" t="s">
        <v>1925</v>
      </c>
      <c r="L1" s="137" t="s">
        <v>1926</v>
      </c>
      <c r="M1" s="44" t="s">
        <v>1931</v>
      </c>
      <c r="N1" s="47" t="s">
        <v>1929</v>
      </c>
      <c r="O1" s="47" t="s">
        <v>1930</v>
      </c>
    </row>
    <row r="2" spans="1:15" ht="45.75" x14ac:dyDescent="0.2">
      <c r="A2" s="168" t="s">
        <v>1153</v>
      </c>
      <c r="B2" s="169"/>
      <c r="C2" s="170"/>
      <c r="D2" s="169"/>
      <c r="E2" s="170"/>
      <c r="F2" s="170"/>
      <c r="G2" s="170"/>
      <c r="H2" s="170"/>
      <c r="I2" s="170"/>
      <c r="J2" s="170"/>
      <c r="K2" s="169"/>
      <c r="L2" s="169"/>
      <c r="M2" s="170"/>
      <c r="N2" s="170"/>
      <c r="O2" s="171"/>
    </row>
    <row r="3" spans="1:15" x14ac:dyDescent="0.2">
      <c r="A3" s="132">
        <v>1111000100</v>
      </c>
      <c r="B3" s="133" t="s">
        <v>260</v>
      </c>
      <c r="C3" s="51" t="str">
        <f>VLOOKUP(A3,'עזר 2025'!A:C,3,FALSE)</f>
        <v>ארנונה  כללית</v>
      </c>
      <c r="D3" s="138">
        <v>9947000</v>
      </c>
      <c r="E3" s="53"/>
      <c r="F3" s="53">
        <v>7854273.8799999999</v>
      </c>
      <c r="G3" s="53">
        <v>0</v>
      </c>
      <c r="H3" s="53">
        <f>F3+G3</f>
        <v>7854273.8799999999</v>
      </c>
      <c r="I3" s="53">
        <f>9500000-H3</f>
        <v>1645726.12</v>
      </c>
      <c r="J3" s="53"/>
      <c r="K3" s="138">
        <f>VLOOKUP(A3,'ביצוע דוח חשב 12.2024'!A:I,9,FALSE)</f>
        <v>9398568.6799999997</v>
      </c>
      <c r="L3" s="138">
        <v>10500000</v>
      </c>
      <c r="M3" s="53"/>
      <c r="N3" s="53"/>
      <c r="O3" s="53"/>
    </row>
    <row r="4" spans="1:15" x14ac:dyDescent="0.2">
      <c r="A4" s="132">
        <v>1111000114</v>
      </c>
      <c r="B4" s="133" t="s">
        <v>748</v>
      </c>
      <c r="C4" s="51" t="str">
        <f>VLOOKUP(A4,'עזר 2025'!A:C,3,FALSE)</f>
        <v xml:space="preserve"> עצמיות אחר</v>
      </c>
      <c r="D4" s="138">
        <v>20000</v>
      </c>
      <c r="E4" s="53"/>
      <c r="F4" s="53">
        <v>83246.09</v>
      </c>
      <c r="G4" s="53">
        <v>0</v>
      </c>
      <c r="H4" s="53">
        <f t="shared" ref="H4:H32" si="0">F4+G4</f>
        <v>83246.09</v>
      </c>
      <c r="I4" s="53">
        <f>90000-H4</f>
        <v>6753.9100000000035</v>
      </c>
      <c r="J4" s="53"/>
      <c r="K4" s="138">
        <f>VLOOKUP(A4,'ביצוע דוח חשב 12.2024'!A:I,9,FALSE)</f>
        <v>123928.43000000001</v>
      </c>
      <c r="L4" s="138">
        <v>70000</v>
      </c>
      <c r="M4" s="53"/>
      <c r="N4" s="53"/>
      <c r="O4" s="53"/>
    </row>
    <row r="5" spans="1:15" x14ac:dyDescent="0.2">
      <c r="A5" s="132">
        <v>1111200100</v>
      </c>
      <c r="B5" s="133" t="s">
        <v>261</v>
      </c>
      <c r="C5" s="51" t="s">
        <v>332</v>
      </c>
      <c r="D5" s="138">
        <v>2625000</v>
      </c>
      <c r="E5" s="53"/>
      <c r="F5" s="53">
        <v>1438730.19</v>
      </c>
      <c r="G5" s="53">
        <v>0</v>
      </c>
      <c r="H5" s="53">
        <f t="shared" si="0"/>
        <v>1438730.19</v>
      </c>
      <c r="I5" s="53">
        <f>2500000-H5</f>
        <v>1061269.81</v>
      </c>
      <c r="J5" s="53"/>
      <c r="K5" s="138">
        <f>VLOOKUP(A5,'ביצוע דוח חשב 12.2024'!A:I,9,FALSE)</f>
        <v>3042941.83</v>
      </c>
      <c r="L5" s="138">
        <f>3100000+27000</f>
        <v>3127000</v>
      </c>
      <c r="M5" s="53"/>
      <c r="N5" s="53"/>
      <c r="O5" s="53"/>
    </row>
    <row r="6" spans="1:15" x14ac:dyDescent="0.2">
      <c r="A6" s="132">
        <v>1116000100</v>
      </c>
      <c r="B6" s="133" t="s">
        <v>262</v>
      </c>
      <c r="C6" s="51" t="str">
        <f>VLOOKUP(A6,'עזר 2025'!A:C,3,FALSE)</f>
        <v>הנחות ארנונה</v>
      </c>
      <c r="D6" s="138">
        <v>6500000</v>
      </c>
      <c r="E6" s="53"/>
      <c r="F6" s="53">
        <v>6198791</v>
      </c>
      <c r="G6" s="53">
        <v>0</v>
      </c>
      <c r="H6" s="53">
        <f t="shared" si="0"/>
        <v>6198791</v>
      </c>
      <c r="I6" s="53">
        <f>I568</f>
        <v>501209</v>
      </c>
      <c r="J6" s="53"/>
      <c r="K6" s="138">
        <f>VLOOKUP(A6,'ביצוע דוח חשב 12.2024'!A:I,9,FALSE)</f>
        <v>6591998.6699999999</v>
      </c>
      <c r="L6" s="138">
        <v>7000000</v>
      </c>
      <c r="M6" s="53"/>
      <c r="N6" s="53"/>
      <c r="O6" s="53"/>
    </row>
    <row r="7" spans="1:15" ht="26.25" x14ac:dyDescent="0.2">
      <c r="A7" s="134"/>
      <c r="B7" s="135" t="s">
        <v>724</v>
      </c>
      <c r="C7" s="79"/>
      <c r="D7" s="139">
        <f t="shared" ref="D7:O7" si="1">SUM(D3:D6)</f>
        <v>19092000</v>
      </c>
      <c r="E7" s="80">
        <f t="shared" si="1"/>
        <v>0</v>
      </c>
      <c r="F7" s="80">
        <f t="shared" si="1"/>
        <v>15575041.16</v>
      </c>
      <c r="G7" s="80">
        <f t="shared" si="1"/>
        <v>0</v>
      </c>
      <c r="H7" s="80">
        <f t="shared" si="1"/>
        <v>15575041.16</v>
      </c>
      <c r="I7" s="80">
        <f t="shared" si="1"/>
        <v>3214958.84</v>
      </c>
      <c r="J7" s="80">
        <f t="shared" si="1"/>
        <v>0</v>
      </c>
      <c r="K7" s="139">
        <f t="shared" si="1"/>
        <v>19157437.609999999</v>
      </c>
      <c r="L7" s="139">
        <f t="shared" si="1"/>
        <v>20697000</v>
      </c>
      <c r="M7" s="80">
        <f t="shared" si="1"/>
        <v>0</v>
      </c>
      <c r="N7" s="80">
        <f t="shared" si="1"/>
        <v>0</v>
      </c>
      <c r="O7" s="80">
        <f t="shared" si="1"/>
        <v>0</v>
      </c>
    </row>
    <row r="8" spans="1:15" x14ac:dyDescent="0.2">
      <c r="A8" s="132">
        <v>1191000910</v>
      </c>
      <c r="B8" s="133" t="s">
        <v>264</v>
      </c>
      <c r="C8" s="51" t="str">
        <f>VLOOKUP(A8,'עזר 2025'!A:C,3,FALSE)</f>
        <v>מענק כללי לאיזון</v>
      </c>
      <c r="D8" s="138">
        <v>15832700</v>
      </c>
      <c r="E8" s="53"/>
      <c r="F8" s="53">
        <v>14639089.91</v>
      </c>
      <c r="G8" s="53">
        <v>0</v>
      </c>
      <c r="H8" s="53">
        <f t="shared" si="0"/>
        <v>14639089.91</v>
      </c>
      <c r="I8" s="53">
        <v>1051800</v>
      </c>
      <c r="J8" s="53" t="s">
        <v>2108</v>
      </c>
      <c r="K8" s="138">
        <f>VLOOKUP(A8,'ביצוע דוח חשב 12.2024'!A:I,9,FALSE)</f>
        <v>15690890</v>
      </c>
      <c r="L8" s="138">
        <f>20121000*0.9</f>
        <v>18108900</v>
      </c>
      <c r="M8" s="53"/>
      <c r="N8" s="53"/>
      <c r="O8" s="53"/>
    </row>
    <row r="9" spans="1:15" x14ac:dyDescent="0.2">
      <c r="A9" s="132">
        <v>1192000910</v>
      </c>
      <c r="B9" s="133" t="s">
        <v>265</v>
      </c>
      <c r="C9" s="51" t="str">
        <f>VLOOKUP(A9,'עזר 2025'!A:C,3,FALSE)</f>
        <v>מענקים אחרים ממשרד הפנים</v>
      </c>
      <c r="D9" s="138">
        <v>900000</v>
      </c>
      <c r="E9" s="53"/>
      <c r="F9" s="53">
        <v>729405</v>
      </c>
      <c r="G9" s="53">
        <v>0</v>
      </c>
      <c r="H9" s="53">
        <f t="shared" si="0"/>
        <v>729405</v>
      </c>
      <c r="I9" s="53"/>
      <c r="J9" s="53" t="s">
        <v>2109</v>
      </c>
      <c r="K9" s="138">
        <f>VLOOKUP(A9,'ביצוע דוח חשב 12.2024'!A:I,9,FALSE)</f>
        <v>729405</v>
      </c>
      <c r="L9" s="138">
        <v>700000</v>
      </c>
      <c r="M9" s="53"/>
      <c r="N9" s="53"/>
      <c r="O9" s="53"/>
    </row>
    <row r="10" spans="1:15" x14ac:dyDescent="0.2">
      <c r="A10" s="132">
        <v>1192010910</v>
      </c>
      <c r="B10" s="133" t="s">
        <v>266</v>
      </c>
      <c r="C10" s="51" t="str">
        <f>VLOOKUP(A10,'עזר 2025'!A:C,3,FALSE)</f>
        <v>הכנסה מותנה</v>
      </c>
      <c r="D10" s="138">
        <v>747166.25</v>
      </c>
      <c r="E10" s="53"/>
      <c r="F10" s="53">
        <v>0</v>
      </c>
      <c r="G10" s="53">
        <v>0</v>
      </c>
      <c r="H10" s="53">
        <f t="shared" si="0"/>
        <v>0</v>
      </c>
      <c r="I10" s="53">
        <v>1700000</v>
      </c>
      <c r="J10" s="53" t="s">
        <v>2126</v>
      </c>
      <c r="K10" s="138">
        <f>VLOOKUP(A10,'ביצוע דוח חשב 12.2024'!A:I,9,FALSE)</f>
        <v>1700000</v>
      </c>
      <c r="L10" s="138">
        <f>20121000-18108900</f>
        <v>2012100</v>
      </c>
      <c r="M10" s="53"/>
      <c r="N10" s="53"/>
      <c r="O10" s="53"/>
    </row>
    <row r="11" spans="1:15" x14ac:dyDescent="0.2">
      <c r="A11" s="132">
        <v>1196000910</v>
      </c>
      <c r="B11" s="133" t="s">
        <v>1021</v>
      </c>
      <c r="C11" s="51" t="str">
        <f>VLOOKUP(A11,'עזר 2025'!A:C,3,FALSE)</f>
        <v>מענקים אחרים ממשרד הפנים</v>
      </c>
      <c r="D11" s="138">
        <v>1176323</v>
      </c>
      <c r="E11" s="53"/>
      <c r="F11" s="53">
        <v>0</v>
      </c>
      <c r="G11" s="53">
        <v>0</v>
      </c>
      <c r="H11" s="53">
        <f t="shared" si="0"/>
        <v>0</v>
      </c>
      <c r="I11" s="53">
        <v>1762403</v>
      </c>
      <c r="J11" s="53" t="s">
        <v>2110</v>
      </c>
      <c r="K11" s="138">
        <f>VLOOKUP(A11,'ביצוע דוח חשב 12.2024'!A:I,9,FALSE)</f>
        <v>1762403</v>
      </c>
      <c r="L11" s="138">
        <v>1762403</v>
      </c>
      <c r="M11" s="53"/>
      <c r="N11" s="53"/>
      <c r="O11" s="53"/>
    </row>
    <row r="12" spans="1:15" ht="26.25" x14ac:dyDescent="0.2">
      <c r="A12" s="134"/>
      <c r="B12" s="134" t="s">
        <v>2132</v>
      </c>
      <c r="C12" s="79"/>
      <c r="D12" s="139">
        <f>SUM(D8:D11)</f>
        <v>18656189.25</v>
      </c>
      <c r="E12" s="80">
        <f t="shared" ref="E12:O12" si="2">SUM(E8:E11)</f>
        <v>0</v>
      </c>
      <c r="F12" s="80">
        <f t="shared" si="2"/>
        <v>15368494.91</v>
      </c>
      <c r="G12" s="80">
        <f t="shared" si="2"/>
        <v>0</v>
      </c>
      <c r="H12" s="80">
        <f t="shared" si="2"/>
        <v>15368494.91</v>
      </c>
      <c r="I12" s="80">
        <f t="shared" si="2"/>
        <v>4514203</v>
      </c>
      <c r="J12" s="80">
        <f t="shared" si="2"/>
        <v>0</v>
      </c>
      <c r="K12" s="139">
        <f t="shared" si="2"/>
        <v>19882698</v>
      </c>
      <c r="L12" s="139">
        <f t="shared" si="2"/>
        <v>22583403</v>
      </c>
      <c r="M12" s="80">
        <f t="shared" si="2"/>
        <v>0</v>
      </c>
      <c r="N12" s="80">
        <f t="shared" si="2"/>
        <v>0</v>
      </c>
      <c r="O12" s="80">
        <f t="shared" si="2"/>
        <v>0</v>
      </c>
    </row>
    <row r="13" spans="1:15" x14ac:dyDescent="0.2">
      <c r="A13" s="132">
        <v>1121000291</v>
      </c>
      <c r="B13" s="133" t="s">
        <v>263</v>
      </c>
      <c r="C13" s="51" t="str">
        <f>VLOOKUP(A13,'עזר 2025'!A:C,3,FALSE)</f>
        <v xml:space="preserve"> עצמיות אחר</v>
      </c>
      <c r="D13" s="138">
        <v>60000</v>
      </c>
      <c r="E13" s="53"/>
      <c r="F13" s="53">
        <v>29100</v>
      </c>
      <c r="G13" s="53">
        <v>0</v>
      </c>
      <c r="H13" s="53">
        <f>F13+G13</f>
        <v>29100</v>
      </c>
      <c r="I13" s="53">
        <v>5000</v>
      </c>
      <c r="J13" s="53"/>
      <c r="K13" s="138">
        <f>VLOOKUP(A13,'ביצוע דוח חשב 12.2024'!A:I,9,FALSE)</f>
        <v>29100</v>
      </c>
      <c r="L13" s="138">
        <v>40000</v>
      </c>
      <c r="M13" s="53"/>
      <c r="N13" s="53"/>
      <c r="O13" s="53"/>
    </row>
    <row r="14" spans="1:15" x14ac:dyDescent="0.2">
      <c r="A14" s="132">
        <v>1121000292</v>
      </c>
      <c r="B14" s="133" t="s">
        <v>1547</v>
      </c>
      <c r="C14" s="51" t="str">
        <f>VLOOKUP(A14,'עזר 2025'!A:C,3,FALSE)</f>
        <v xml:space="preserve"> עצמיות אחר</v>
      </c>
      <c r="D14" s="138">
        <v>0</v>
      </c>
      <c r="E14" s="53"/>
      <c r="F14" s="53">
        <v>2500</v>
      </c>
      <c r="G14" s="53">
        <v>0</v>
      </c>
      <c r="H14" s="53">
        <f>F14+G14</f>
        <v>2500</v>
      </c>
      <c r="I14" s="53"/>
      <c r="J14" s="53"/>
      <c r="K14" s="138">
        <f>VLOOKUP(A14,'ביצוע דוח חשב 12.2024'!A:I,9,FALSE)</f>
        <v>2500</v>
      </c>
      <c r="L14" s="138">
        <v>3000</v>
      </c>
      <c r="M14" s="53"/>
      <c r="N14" s="53"/>
      <c r="O14" s="53"/>
    </row>
    <row r="15" spans="1:15" x14ac:dyDescent="0.2">
      <c r="A15" s="132">
        <v>1212300220</v>
      </c>
      <c r="B15" s="133" t="s">
        <v>267</v>
      </c>
      <c r="C15" s="51" t="str">
        <f>VLOOKUP(A15,'עזר 2025'!A:C,3,FALSE)</f>
        <v xml:space="preserve"> עצמיות אחר</v>
      </c>
      <c r="D15" s="138">
        <v>3000</v>
      </c>
      <c r="E15" s="53"/>
      <c r="F15" s="53">
        <v>8500</v>
      </c>
      <c r="G15" s="53">
        <v>0</v>
      </c>
      <c r="H15" s="53">
        <f t="shared" si="0"/>
        <v>8500</v>
      </c>
      <c r="I15" s="53"/>
      <c r="J15" s="53"/>
      <c r="K15" s="138">
        <f>VLOOKUP(A15,'ביצוע דוח חשב 12.2024'!A:I,9,FALSE)</f>
        <v>8500</v>
      </c>
      <c r="L15" s="138">
        <v>10000</v>
      </c>
      <c r="M15" s="53"/>
      <c r="N15" s="53"/>
      <c r="O15" s="53"/>
    </row>
    <row r="16" spans="1:15" x14ac:dyDescent="0.2">
      <c r="A16" s="132">
        <v>1233100710</v>
      </c>
      <c r="B16" s="133" t="s">
        <v>268</v>
      </c>
      <c r="C16" s="51" t="str">
        <f>VLOOKUP(A16,'עזר 2025'!A:C,3,FALSE)</f>
        <v xml:space="preserve"> עצמיות אחר</v>
      </c>
      <c r="D16" s="138">
        <v>800000</v>
      </c>
      <c r="E16" s="53"/>
      <c r="F16" s="53">
        <v>191272.8</v>
      </c>
      <c r="G16" s="53">
        <v>0</v>
      </c>
      <c r="H16" s="53">
        <f t="shared" si="0"/>
        <v>191272.8</v>
      </c>
      <c r="I16" s="53">
        <v>50000</v>
      </c>
      <c r="J16" s="53" t="s">
        <v>2113</v>
      </c>
      <c r="K16" s="138">
        <f>VLOOKUP(A16,'ביצוע דוח חשב 12.2024'!A:I,9,FALSE)</f>
        <v>255030.39999999999</v>
      </c>
      <c r="L16" s="138">
        <v>500000</v>
      </c>
      <c r="M16" s="53"/>
      <c r="N16" s="53"/>
      <c r="O16" s="53"/>
    </row>
    <row r="17" spans="1:15" x14ac:dyDescent="0.2">
      <c r="A17" s="132">
        <v>1233410290</v>
      </c>
      <c r="B17" s="133" t="s">
        <v>737</v>
      </c>
      <c r="C17" s="51" t="str">
        <f>VLOOKUP(A17,'עזר 2025'!A:C,3,FALSE)</f>
        <v xml:space="preserve"> עצמיות אחר</v>
      </c>
      <c r="D17" s="138">
        <v>900000</v>
      </c>
      <c r="E17" s="53"/>
      <c r="F17" s="53">
        <v>0</v>
      </c>
      <c r="G17" s="53">
        <v>0</v>
      </c>
      <c r="H17" s="53">
        <f t="shared" si="0"/>
        <v>0</v>
      </c>
      <c r="I17" s="53" t="e">
        <f>1.15*(K307+#REF!+K308+K309+K310)-K16-882362</f>
        <v>#REF!</v>
      </c>
      <c r="J17" s="53" t="s">
        <v>2115</v>
      </c>
      <c r="K17" s="138">
        <f>VLOOKUP(A17,'ביצוע דוח חשב 12.2024'!A:I,9,FALSE)</f>
        <v>1500000</v>
      </c>
      <c r="L17" s="138">
        <v>1500000</v>
      </c>
      <c r="M17" s="53"/>
      <c r="N17" s="53"/>
      <c r="O17" s="53"/>
    </row>
    <row r="18" spans="1:15" x14ac:dyDescent="0.2">
      <c r="A18" s="132">
        <v>1233420290</v>
      </c>
      <c r="B18" s="133" t="s">
        <v>1906</v>
      </c>
      <c r="C18" s="51" t="str">
        <f>VLOOKUP(A18,'עזר 2025'!A:C,3,FALSE)</f>
        <v xml:space="preserve"> עצמיות אחר</v>
      </c>
      <c r="D18" s="138">
        <v>2008000</v>
      </c>
      <c r="E18" s="53"/>
      <c r="F18" s="53">
        <v>0</v>
      </c>
      <c r="G18" s="53">
        <v>0</v>
      </c>
      <c r="H18" s="53">
        <f t="shared" si="0"/>
        <v>0</v>
      </c>
      <c r="I18" s="53">
        <f>D18</f>
        <v>2008000</v>
      </c>
      <c r="J18" s="53" t="s">
        <v>2114</v>
      </c>
      <c r="K18" s="138">
        <f>VLOOKUP(A18,'ביצוע דוח חשב 12.2024'!A:I,9,FALSE)</f>
        <v>2008000</v>
      </c>
      <c r="L18" s="138">
        <v>1300000</v>
      </c>
      <c r="M18" s="53"/>
      <c r="N18" s="53"/>
      <c r="O18" s="53"/>
    </row>
    <row r="19" spans="1:15" x14ac:dyDescent="0.2">
      <c r="A19" s="132">
        <v>1269000690</v>
      </c>
      <c r="B19" s="133" t="s">
        <v>269</v>
      </c>
      <c r="C19" s="51" t="str">
        <f>VLOOKUP(A19,'עזר 2025'!A:C,3,FALSE)</f>
        <v xml:space="preserve"> עצמיות אחר</v>
      </c>
      <c r="D19" s="138">
        <v>250000</v>
      </c>
      <c r="E19" s="53"/>
      <c r="F19" s="53">
        <v>84958.05</v>
      </c>
      <c r="G19" s="53">
        <v>0</v>
      </c>
      <c r="H19" s="53">
        <f t="shared" si="0"/>
        <v>84958.05</v>
      </c>
      <c r="I19" s="53"/>
      <c r="J19" s="53" t="s">
        <v>2116</v>
      </c>
      <c r="K19" s="138">
        <f>VLOOKUP(A19,'ביצוע דוח חשב 12.2024'!A:I,9,FALSE)</f>
        <v>93711.29</v>
      </c>
      <c r="L19" s="138">
        <v>100000</v>
      </c>
      <c r="M19" s="53"/>
      <c r="N19" s="53"/>
      <c r="O19" s="53"/>
    </row>
    <row r="20" spans="1:15" x14ac:dyDescent="0.2">
      <c r="A20" s="132">
        <v>1269000692</v>
      </c>
      <c r="B20" s="133" t="s">
        <v>1022</v>
      </c>
      <c r="C20" s="51" t="str">
        <f>VLOOKUP(A20,'עזר 2025'!A:C,3,FALSE)</f>
        <v xml:space="preserve"> עצמיות אחר</v>
      </c>
      <c r="D20" s="138"/>
      <c r="E20" s="53"/>
      <c r="F20" s="53">
        <v>9000</v>
      </c>
      <c r="G20" s="53">
        <v>0</v>
      </c>
      <c r="H20" s="53">
        <f t="shared" si="0"/>
        <v>9000</v>
      </c>
      <c r="I20" s="53"/>
      <c r="J20" s="53"/>
      <c r="K20" s="138">
        <v>20000</v>
      </c>
      <c r="L20" s="138">
        <v>30000</v>
      </c>
      <c r="M20" s="53"/>
      <c r="N20" s="53"/>
      <c r="O20" s="53"/>
    </row>
    <row r="21" spans="1:15" ht="26.25" x14ac:dyDescent="0.2">
      <c r="A21" s="134"/>
      <c r="B21" s="134" t="s">
        <v>2133</v>
      </c>
      <c r="C21" s="79"/>
      <c r="D21" s="139">
        <f t="shared" ref="D21:O21" si="3">SUM(D13:D20)</f>
        <v>4021000</v>
      </c>
      <c r="E21" s="80">
        <f t="shared" si="3"/>
        <v>0</v>
      </c>
      <c r="F21" s="80">
        <f t="shared" si="3"/>
        <v>325330.84999999998</v>
      </c>
      <c r="G21" s="80">
        <f t="shared" si="3"/>
        <v>0</v>
      </c>
      <c r="H21" s="80">
        <f t="shared" si="3"/>
        <v>325330.84999999998</v>
      </c>
      <c r="I21" s="80" t="e">
        <f t="shared" si="3"/>
        <v>#REF!</v>
      </c>
      <c r="J21" s="80">
        <f t="shared" si="3"/>
        <v>0</v>
      </c>
      <c r="K21" s="139">
        <f t="shared" si="3"/>
        <v>3916841.69</v>
      </c>
      <c r="L21" s="139">
        <f t="shared" si="3"/>
        <v>3483000</v>
      </c>
      <c r="M21" s="80">
        <f t="shared" si="3"/>
        <v>0</v>
      </c>
      <c r="N21" s="80">
        <f t="shared" si="3"/>
        <v>0</v>
      </c>
      <c r="O21" s="80">
        <f t="shared" si="3"/>
        <v>0</v>
      </c>
    </row>
    <row r="22" spans="1:15" x14ac:dyDescent="0.2">
      <c r="A22" s="132">
        <v>1224000970</v>
      </c>
      <c r="B22" s="133" t="s">
        <v>66</v>
      </c>
      <c r="C22" s="51" t="str">
        <f>VLOOKUP(A22,'עזר 2025'!A:C,3,FALSE)</f>
        <v xml:space="preserve"> תקבולים ממשלתיים אחרים</v>
      </c>
      <c r="D22" s="138">
        <v>350000</v>
      </c>
      <c r="E22" s="53"/>
      <c r="F22" s="53">
        <v>392071</v>
      </c>
      <c r="G22" s="53">
        <v>0</v>
      </c>
      <c r="H22" s="53">
        <f>F22+G22</f>
        <v>392071</v>
      </c>
      <c r="I22" s="53">
        <f>0.85*(K302+K303)-H22</f>
        <v>50744.030999999959</v>
      </c>
      <c r="J22" s="53" t="s">
        <v>2111</v>
      </c>
      <c r="K22" s="138">
        <f>VLOOKUP(A22,'ביצוע דוח חשב 12.2024'!A:I,9,FALSE)</f>
        <v>422277</v>
      </c>
      <c r="L22" s="138">
        <v>507500</v>
      </c>
      <c r="M22" s="53"/>
      <c r="N22" s="53"/>
      <c r="O22" s="53"/>
    </row>
    <row r="23" spans="1:15" x14ac:dyDescent="0.2">
      <c r="A23" s="132">
        <v>1224200970</v>
      </c>
      <c r="B23" s="133" t="s">
        <v>1520</v>
      </c>
      <c r="C23" s="51" t="str">
        <f>VLOOKUP(A23,'עזר 2025'!A:C,3,FALSE)</f>
        <v xml:space="preserve"> תקבולים ממשלתיים אחרים</v>
      </c>
      <c r="D23" s="138">
        <v>0</v>
      </c>
      <c r="E23" s="53"/>
      <c r="F23" s="53">
        <v>0</v>
      </c>
      <c r="G23" s="53">
        <v>0</v>
      </c>
      <c r="H23" s="53">
        <f>F23+G23</f>
        <v>0</v>
      </c>
      <c r="I23" s="53"/>
      <c r="J23" s="53"/>
      <c r="K23" s="138">
        <f>VLOOKUP(A23,'ביצוע דוח חשב 12.2024'!A:I,9,FALSE)</f>
        <v>0</v>
      </c>
      <c r="L23" s="138">
        <v>681000</v>
      </c>
      <c r="M23" s="53"/>
      <c r="N23" s="53"/>
      <c r="O23" s="53"/>
    </row>
    <row r="24" spans="1:15" x14ac:dyDescent="0.2">
      <c r="A24" s="132">
        <v>1224300970</v>
      </c>
      <c r="B24" s="133" t="s">
        <v>1521</v>
      </c>
      <c r="C24" s="51" t="str">
        <f>VLOOKUP(A24,'עזר 2025'!A:C,3,FALSE)</f>
        <v xml:space="preserve"> תקבולים ממשלתיים אחרים</v>
      </c>
      <c r="D24" s="138">
        <v>200000</v>
      </c>
      <c r="E24" s="53"/>
      <c r="F24" s="53">
        <v>0</v>
      </c>
      <c r="G24" s="53">
        <v>0</v>
      </c>
      <c r="H24" s="53">
        <f>F24+G24</f>
        <v>0</v>
      </c>
      <c r="I24" s="53">
        <f>K305-H24</f>
        <v>145986.46</v>
      </c>
      <c r="J24" s="53" t="s">
        <v>808</v>
      </c>
      <c r="K24" s="138">
        <f>VLOOKUP(A24,'ביצוע דוח חשב 12.2024'!A:I,9,FALSE)</f>
        <v>140925</v>
      </c>
      <c r="L24" s="138">
        <v>200000</v>
      </c>
      <c r="M24" s="53"/>
      <c r="N24" s="53" t="s">
        <v>2112</v>
      </c>
      <c r="O24" s="53"/>
    </row>
    <row r="25" spans="1:15" x14ac:dyDescent="0.2">
      <c r="A25" s="132">
        <v>1224400970</v>
      </c>
      <c r="B25" s="133" t="s">
        <v>1527</v>
      </c>
      <c r="C25" s="51" t="str">
        <f>VLOOKUP(A25,'עזר 2025'!A:C,3,FALSE)</f>
        <v xml:space="preserve"> תקבולים ממשלתיים אחרים</v>
      </c>
      <c r="D25" s="138">
        <v>637000</v>
      </c>
      <c r="E25" s="53"/>
      <c r="F25" s="53">
        <v>0</v>
      </c>
      <c r="G25" s="53">
        <v>0</v>
      </c>
      <c r="H25" s="53">
        <f>F25+G25</f>
        <v>0</v>
      </c>
      <c r="I25" s="53" t="e">
        <f>0.7*#REF!-H25</f>
        <v>#REF!</v>
      </c>
      <c r="J25" s="53" t="s">
        <v>2127</v>
      </c>
      <c r="K25" s="138">
        <f>VLOOKUP(A25,'ביצוע דוח חשב 12.2024'!A:I,9,FALSE)</f>
        <v>162285</v>
      </c>
      <c r="L25" s="138">
        <v>637000</v>
      </c>
      <c r="M25" s="53"/>
      <c r="N25" s="53"/>
      <c r="O25" s="53"/>
    </row>
    <row r="26" spans="1:15" x14ac:dyDescent="0.2">
      <c r="A26" s="132">
        <v>1244000990</v>
      </c>
      <c r="B26" s="133" t="s">
        <v>67</v>
      </c>
      <c r="C26" s="51" t="str">
        <f>VLOOKUP(A26,'עזר 2025'!A:C,3,FALSE)</f>
        <v xml:space="preserve"> תקבולים ממשלתיים אחרים</v>
      </c>
      <c r="D26" s="138">
        <v>60000</v>
      </c>
      <c r="E26" s="53"/>
      <c r="F26" s="53">
        <v>0</v>
      </c>
      <c r="G26" s="53">
        <v>0</v>
      </c>
      <c r="H26" s="53">
        <f>F26+G26</f>
        <v>0</v>
      </c>
      <c r="I26" s="53"/>
      <c r="J26" s="53"/>
      <c r="K26" s="138">
        <v>60000</v>
      </c>
      <c r="L26" s="138">
        <v>60000</v>
      </c>
      <c r="M26" s="53"/>
      <c r="N26" s="53"/>
      <c r="O26" s="53"/>
    </row>
    <row r="27" spans="1:15" ht="26.25" x14ac:dyDescent="0.2">
      <c r="A27" s="134"/>
      <c r="B27" s="134" t="s">
        <v>2134</v>
      </c>
      <c r="C27" s="79"/>
      <c r="D27" s="139">
        <f t="shared" ref="D27:O27" si="4">SUM(D22:D26)</f>
        <v>1247000</v>
      </c>
      <c r="E27" s="80">
        <f t="shared" si="4"/>
        <v>0</v>
      </c>
      <c r="F27" s="80">
        <f t="shared" si="4"/>
        <v>392071</v>
      </c>
      <c r="G27" s="80">
        <f t="shared" si="4"/>
        <v>0</v>
      </c>
      <c r="H27" s="80">
        <f t="shared" si="4"/>
        <v>392071</v>
      </c>
      <c r="I27" s="80" t="e">
        <f t="shared" si="4"/>
        <v>#REF!</v>
      </c>
      <c r="J27" s="80">
        <f t="shared" si="4"/>
        <v>0</v>
      </c>
      <c r="K27" s="139">
        <f t="shared" si="4"/>
        <v>785487</v>
      </c>
      <c r="L27" s="139">
        <f t="shared" si="4"/>
        <v>2085500</v>
      </c>
      <c r="M27" s="80">
        <f t="shared" si="4"/>
        <v>0</v>
      </c>
      <c r="N27" s="80">
        <f t="shared" si="4"/>
        <v>0</v>
      </c>
      <c r="O27" s="80">
        <f t="shared" si="4"/>
        <v>0</v>
      </c>
    </row>
    <row r="28" spans="1:15" ht="41.25" customHeight="1" x14ac:dyDescent="0.2">
      <c r="A28" s="136"/>
      <c r="B28" s="136" t="s">
        <v>2135</v>
      </c>
      <c r="C28" s="81"/>
      <c r="D28" s="140">
        <f t="shared" ref="D28:O28" si="5">D27+D21+D12+D7</f>
        <v>43016189.25</v>
      </c>
      <c r="E28" s="82">
        <f t="shared" si="5"/>
        <v>0</v>
      </c>
      <c r="F28" s="82">
        <f t="shared" si="5"/>
        <v>31660937.920000002</v>
      </c>
      <c r="G28" s="82">
        <f t="shared" si="5"/>
        <v>0</v>
      </c>
      <c r="H28" s="82">
        <f t="shared" si="5"/>
        <v>31660937.920000002</v>
      </c>
      <c r="I28" s="82" t="e">
        <f t="shared" si="5"/>
        <v>#REF!</v>
      </c>
      <c r="J28" s="82">
        <f t="shared" si="5"/>
        <v>0</v>
      </c>
      <c r="K28" s="140">
        <f t="shared" si="5"/>
        <v>43742464.299999997</v>
      </c>
      <c r="L28" s="140">
        <f t="shared" si="5"/>
        <v>48848903</v>
      </c>
      <c r="M28" s="82">
        <f t="shared" si="5"/>
        <v>0</v>
      </c>
      <c r="N28" s="82">
        <f t="shared" si="5"/>
        <v>0</v>
      </c>
      <c r="O28" s="82">
        <f t="shared" si="5"/>
        <v>0</v>
      </c>
    </row>
    <row r="29" spans="1:15" s="50" customFormat="1" hidden="1" x14ac:dyDescent="0.2">
      <c r="A29" s="51">
        <v>1310000920</v>
      </c>
      <c r="B29" s="52" t="s">
        <v>1548</v>
      </c>
      <c r="C29" s="51" t="str">
        <f>VLOOKUP(A29,'עזר 2025'!A:C,3,FALSE)</f>
        <v>משרד החינוך</v>
      </c>
      <c r="D29" s="53">
        <v>0</v>
      </c>
      <c r="E29" s="53"/>
      <c r="F29" s="53">
        <v>0</v>
      </c>
      <c r="G29" s="53">
        <v>0</v>
      </c>
      <c r="H29" s="53">
        <f t="shared" si="0"/>
        <v>0</v>
      </c>
      <c r="I29" s="53"/>
      <c r="J29" s="53"/>
      <c r="K29" s="53">
        <f>VLOOKUP(A29,'ביצוע דוח חשב 12.2024'!A:I,9,FALSE)</f>
        <v>0</v>
      </c>
      <c r="L29" s="53"/>
      <c r="M29" s="53"/>
      <c r="N29" s="53"/>
      <c r="O29" s="53">
        <v>1</v>
      </c>
    </row>
    <row r="30" spans="1:15" s="50" customFormat="1" hidden="1" x14ac:dyDescent="0.2">
      <c r="A30" s="51">
        <v>1311000790</v>
      </c>
      <c r="B30" s="52" t="s">
        <v>1549</v>
      </c>
      <c r="C30" s="51" t="s">
        <v>338</v>
      </c>
      <c r="D30" s="53">
        <v>0</v>
      </c>
      <c r="E30" s="53"/>
      <c r="F30" s="53">
        <v>0</v>
      </c>
      <c r="G30" s="53">
        <v>0</v>
      </c>
      <c r="H30" s="53">
        <f t="shared" si="0"/>
        <v>0</v>
      </c>
      <c r="I30" s="53"/>
      <c r="J30" s="53"/>
      <c r="K30" s="53">
        <f>VLOOKUP(A30,'ביצוע דוח חשב 12.2024'!A:I,9,FALSE)</f>
        <v>0</v>
      </c>
      <c r="L30" s="53"/>
      <c r="M30" s="53"/>
      <c r="N30" s="53"/>
      <c r="O30" s="53">
        <v>1</v>
      </c>
    </row>
    <row r="31" spans="1:15" x14ac:dyDescent="0.2">
      <c r="A31" s="132">
        <v>1311001920</v>
      </c>
      <c r="B31" s="133" t="s">
        <v>1550</v>
      </c>
      <c r="C31" s="51" t="str">
        <f>VLOOKUP(A31,'עזר 2025'!A:C,3,FALSE)</f>
        <v>משרד החינוך</v>
      </c>
      <c r="D31" s="138">
        <f>38946+6192</f>
        <v>45138</v>
      </c>
      <c r="E31" s="53"/>
      <c r="F31" s="53">
        <v>37589.86</v>
      </c>
      <c r="G31" s="53">
        <v>0</v>
      </c>
      <c r="H31" s="53">
        <f t="shared" si="0"/>
        <v>37589.86</v>
      </c>
      <c r="I31" s="53">
        <v>3875</v>
      </c>
      <c r="J31" s="53" t="s">
        <v>2117</v>
      </c>
      <c r="K31" s="138">
        <f>VLOOKUP(A31,'ביצוע דוח חשב 12.2024'!A:I,9,FALSE)</f>
        <v>41333.440000000002</v>
      </c>
      <c r="L31" s="138">
        <v>46109</v>
      </c>
      <c r="M31" s="53"/>
      <c r="N31" s="53"/>
      <c r="O31" s="53"/>
    </row>
    <row r="32" spans="1:15" s="50" customFormat="1" hidden="1" x14ac:dyDescent="0.2">
      <c r="A32" s="51">
        <v>1312001920</v>
      </c>
      <c r="B32" s="52" t="s">
        <v>1551</v>
      </c>
      <c r="C32" s="51" t="str">
        <f>VLOOKUP(A32,'עזר 2025'!A:C,3,FALSE)</f>
        <v>משרד החינוך</v>
      </c>
      <c r="D32" s="53">
        <v>0</v>
      </c>
      <c r="E32" s="53"/>
      <c r="F32" s="53">
        <v>0</v>
      </c>
      <c r="G32" s="53">
        <v>0</v>
      </c>
      <c r="H32" s="53">
        <f t="shared" si="0"/>
        <v>0</v>
      </c>
      <c r="I32" s="53"/>
      <c r="J32" s="53"/>
      <c r="K32" s="53">
        <f>VLOOKUP(A32,'ביצוע דוח חשב 12.2024'!A:I,9,FALSE)</f>
        <v>0</v>
      </c>
      <c r="L32" s="53"/>
      <c r="M32" s="53"/>
      <c r="N32" s="53"/>
      <c r="O32" s="53">
        <v>1</v>
      </c>
    </row>
    <row r="33" spans="1:15" x14ac:dyDescent="0.2">
      <c r="A33" s="132">
        <v>1312201920</v>
      </c>
      <c r="B33" s="133" t="s">
        <v>270</v>
      </c>
      <c r="C33" s="51" t="str">
        <f>VLOOKUP(A33,'עזר 2025'!A:C,3,FALSE)</f>
        <v>משרד החינוך</v>
      </c>
      <c r="D33" s="138">
        <v>1919276</v>
      </c>
      <c r="E33" s="53"/>
      <c r="F33" s="53">
        <v>2017839.73</v>
      </c>
      <c r="G33" s="53">
        <v>0</v>
      </c>
      <c r="H33" s="53">
        <f t="shared" ref="H33:H63" si="6">F33+G33</f>
        <v>2017839.73</v>
      </c>
      <c r="I33" s="53">
        <v>185000</v>
      </c>
      <c r="J33" s="53" t="s">
        <v>2117</v>
      </c>
      <c r="K33" s="138">
        <f>VLOOKUP(A33,'ביצוע דוח חשב 12.2024'!A:I,9,FALSE)</f>
        <v>2181912.6</v>
      </c>
      <c r="L33" s="138">
        <v>2164037</v>
      </c>
      <c r="M33" s="53"/>
      <c r="N33" s="53"/>
      <c r="O33" s="53"/>
    </row>
    <row r="34" spans="1:15" x14ac:dyDescent="0.2">
      <c r="A34" s="132">
        <v>1312201923</v>
      </c>
      <c r="B34" s="133" t="s">
        <v>657</v>
      </c>
      <c r="C34" s="51" t="str">
        <f>VLOOKUP(A34,'עזר 2025'!A:C,3,FALSE)</f>
        <v>משרד החינוך</v>
      </c>
      <c r="D34" s="138">
        <v>23057</v>
      </c>
      <c r="E34" s="53"/>
      <c r="F34" s="53">
        <v>0</v>
      </c>
      <c r="G34" s="53">
        <v>0</v>
      </c>
      <c r="H34" s="53">
        <f t="shared" si="6"/>
        <v>0</v>
      </c>
      <c r="I34" s="53"/>
      <c r="J34" s="53"/>
      <c r="K34" s="138">
        <v>25974</v>
      </c>
      <c r="L34" s="138">
        <v>25000</v>
      </c>
      <c r="M34" s="53"/>
      <c r="N34" s="53"/>
      <c r="O34" s="53"/>
    </row>
    <row r="35" spans="1:15" s="50" customFormat="1" hidden="1" x14ac:dyDescent="0.2">
      <c r="A35" s="51">
        <v>1312200690</v>
      </c>
      <c r="B35" s="52" t="s">
        <v>2178</v>
      </c>
      <c r="C35" s="51" t="s">
        <v>338</v>
      </c>
      <c r="D35" s="53"/>
      <c r="E35" s="53"/>
      <c r="F35" s="53"/>
      <c r="G35" s="53"/>
      <c r="H35" s="53"/>
      <c r="I35" s="53"/>
      <c r="J35" s="53"/>
      <c r="K35" s="53">
        <v>0</v>
      </c>
      <c r="L35" s="53">
        <v>0</v>
      </c>
      <c r="M35" s="53"/>
      <c r="N35" s="53"/>
      <c r="O35" s="53">
        <v>1</v>
      </c>
    </row>
    <row r="36" spans="1:15" x14ac:dyDescent="0.2">
      <c r="A36" s="132">
        <v>1312203940</v>
      </c>
      <c r="B36" s="133" t="s">
        <v>1023</v>
      </c>
      <c r="C36" s="96" t="s">
        <v>338</v>
      </c>
      <c r="D36" s="138">
        <v>350000</v>
      </c>
      <c r="E36" s="57"/>
      <c r="F36" s="57">
        <v>466838</v>
      </c>
      <c r="G36" s="57">
        <v>0</v>
      </c>
      <c r="H36" s="57">
        <f t="shared" si="6"/>
        <v>466838</v>
      </c>
      <c r="I36" s="57">
        <v>265000</v>
      </c>
      <c r="J36" s="57" t="s">
        <v>2128</v>
      </c>
      <c r="K36" s="138">
        <f>VLOOKUP(A36,'ביצוע דוח חשב 12.2024'!A:I,9,FALSE)</f>
        <v>994375.9</v>
      </c>
      <c r="L36" s="138">
        <v>1000000</v>
      </c>
      <c r="M36" s="53"/>
      <c r="N36" s="53"/>
      <c r="O36" s="53"/>
    </row>
    <row r="37" spans="1:15" x14ac:dyDescent="0.2">
      <c r="A37" s="132">
        <v>1312213940</v>
      </c>
      <c r="B37" s="133" t="s">
        <v>1552</v>
      </c>
      <c r="C37" s="96" t="str">
        <f>VLOOKUP(A37,'עזר 2025'!A:C,3,FALSE)</f>
        <v>משרד החינוך</v>
      </c>
      <c r="D37" s="138">
        <v>200000</v>
      </c>
      <c r="E37" s="57"/>
      <c r="F37" s="57">
        <v>61330</v>
      </c>
      <c r="G37" s="57">
        <v>0</v>
      </c>
      <c r="H37" s="57">
        <f t="shared" si="6"/>
        <v>61330</v>
      </c>
      <c r="I37" s="57"/>
      <c r="J37" s="57"/>
      <c r="K37" s="138">
        <f>VLOOKUP(A37,'ביצוע דוח חשב 12.2024'!A:I,9,FALSE)</f>
        <v>61330</v>
      </c>
      <c r="L37" s="138">
        <v>121000</v>
      </c>
      <c r="M37" s="53"/>
      <c r="N37" s="53"/>
      <c r="O37" s="53"/>
    </row>
    <row r="38" spans="1:15" x14ac:dyDescent="0.2">
      <c r="A38" s="132">
        <v>1312300920</v>
      </c>
      <c r="B38" s="133" t="s">
        <v>271</v>
      </c>
      <c r="C38" s="51" t="str">
        <f>VLOOKUP(A38,'עזר 2025'!A:C,3,FALSE)</f>
        <v>משרד החינוך</v>
      </c>
      <c r="D38" s="138">
        <v>7148054</v>
      </c>
      <c r="E38" s="53"/>
      <c r="F38" s="53">
        <v>6782489.6100000003</v>
      </c>
      <c r="G38" s="53">
        <v>0</v>
      </c>
      <c r="H38" s="53">
        <f t="shared" si="6"/>
        <v>6782489.6100000003</v>
      </c>
      <c r="I38" s="53">
        <v>562000</v>
      </c>
      <c r="J38" s="53" t="s">
        <v>2117</v>
      </c>
      <c r="K38" s="138">
        <f>VLOOKUP(A38,'ביצוע דוח חשב 12.2024'!A:I,9,FALSE)</f>
        <v>7340617.2199999997</v>
      </c>
      <c r="L38" s="138">
        <f>7021245-25000</f>
        <v>6996245</v>
      </c>
      <c r="M38" s="53"/>
      <c r="N38" s="53"/>
      <c r="O38" s="53"/>
    </row>
    <row r="39" spans="1:15" hidden="1" x14ac:dyDescent="0.2">
      <c r="A39" s="132">
        <v>1312300923</v>
      </c>
      <c r="B39" s="133" t="s">
        <v>272</v>
      </c>
      <c r="C39" s="51" t="str">
        <f>VLOOKUP(A39,'עזר 2025'!A:C,3,FALSE)</f>
        <v xml:space="preserve"> עצמיות חינוך</v>
      </c>
      <c r="D39" s="138">
        <v>0</v>
      </c>
      <c r="E39" s="53"/>
      <c r="F39" s="53">
        <v>25974</v>
      </c>
      <c r="G39" s="53">
        <v>0</v>
      </c>
      <c r="H39" s="53">
        <f t="shared" si="6"/>
        <v>25974</v>
      </c>
      <c r="I39" s="53">
        <v>8684</v>
      </c>
      <c r="J39" s="53" t="s">
        <v>2117</v>
      </c>
      <c r="K39" s="138">
        <v>0</v>
      </c>
      <c r="L39" s="138"/>
      <c r="M39" s="53"/>
      <c r="N39" s="53"/>
      <c r="O39" s="53"/>
    </row>
    <row r="40" spans="1:15" x14ac:dyDescent="0.2">
      <c r="A40" s="132">
        <v>1312301920</v>
      </c>
      <c r="B40" s="133" t="s">
        <v>706</v>
      </c>
      <c r="C40" s="51" t="str">
        <f>VLOOKUP(A40,'עזר 2025'!A:C,3,FALSE)</f>
        <v>משרד החינוך</v>
      </c>
      <c r="D40" s="138">
        <v>7161</v>
      </c>
      <c r="E40" s="53"/>
      <c r="F40" s="53">
        <v>62222.5</v>
      </c>
      <c r="G40" s="53">
        <v>0</v>
      </c>
      <c r="H40" s="53">
        <f t="shared" si="6"/>
        <v>62222.5</v>
      </c>
      <c r="I40" s="53"/>
      <c r="J40" s="53"/>
      <c r="K40" s="138">
        <f>VLOOKUP(A40,'ביצוע דוח חשב 12.2024'!A:I,9,FALSE)</f>
        <v>77940.100000000006</v>
      </c>
      <c r="L40" s="138">
        <v>79000</v>
      </c>
      <c r="M40" s="53"/>
      <c r="N40" s="53"/>
      <c r="O40" s="53"/>
    </row>
    <row r="41" spans="1:15" x14ac:dyDescent="0.2">
      <c r="A41" s="132">
        <v>1312302920</v>
      </c>
      <c r="B41" s="133" t="s">
        <v>705</v>
      </c>
      <c r="C41" s="51" t="str">
        <f>VLOOKUP(A41,'עזר 2025'!A:C,3,FALSE)</f>
        <v>משרד החינוך</v>
      </c>
      <c r="D41" s="138">
        <v>5584</v>
      </c>
      <c r="E41" s="53"/>
      <c r="F41" s="53">
        <v>9635</v>
      </c>
      <c r="G41" s="53">
        <v>0</v>
      </c>
      <c r="H41" s="53">
        <f t="shared" si="6"/>
        <v>9635</v>
      </c>
      <c r="I41" s="53"/>
      <c r="J41" s="53"/>
      <c r="K41" s="138">
        <f>VLOOKUP(A41,'ביצוע דוח חשב 12.2024'!A:I,9,FALSE)</f>
        <v>9635</v>
      </c>
      <c r="L41" s="138">
        <v>9635</v>
      </c>
      <c r="M41" s="53"/>
      <c r="N41" s="53"/>
      <c r="O41" s="53"/>
    </row>
    <row r="42" spans="1:15" x14ac:dyDescent="0.2">
      <c r="A42" s="132">
        <v>1312311920</v>
      </c>
      <c r="B42" s="133" t="s">
        <v>704</v>
      </c>
      <c r="C42" s="51" t="str">
        <f>VLOOKUP(A42,'עזר 2025'!A:C,3,FALSE)</f>
        <v>משרד החינוך</v>
      </c>
      <c r="D42" s="138">
        <v>2903666</v>
      </c>
      <c r="E42" s="53"/>
      <c r="F42" s="53">
        <v>2692015.46</v>
      </c>
      <c r="G42" s="53">
        <v>0</v>
      </c>
      <c r="H42" s="53">
        <f t="shared" si="6"/>
        <v>2692015.46</v>
      </c>
      <c r="I42" s="53"/>
      <c r="J42" s="53"/>
      <c r="K42" s="138">
        <f>VLOOKUP(A42,'ביצוע דוח חשב 12.2024'!A:I,9,FALSE)</f>
        <v>2891149.26</v>
      </c>
      <c r="L42" s="138">
        <v>2906192</v>
      </c>
      <c r="M42" s="53"/>
      <c r="N42" s="53"/>
      <c r="O42" s="53"/>
    </row>
    <row r="43" spans="1:15" s="50" customFormat="1" hidden="1" x14ac:dyDescent="0.2">
      <c r="A43" s="51">
        <v>1312312980</v>
      </c>
      <c r="B43" s="52" t="s">
        <v>1553</v>
      </c>
      <c r="C43" s="51" t="str">
        <f>VLOOKUP(A43,'עזר 2025'!A:C,3,FALSE)</f>
        <v>משרד החינוך</v>
      </c>
      <c r="D43" s="53">
        <v>0</v>
      </c>
      <c r="E43" s="53"/>
      <c r="F43" s="53">
        <v>-1097363.3600000001</v>
      </c>
      <c r="G43" s="53">
        <v>0</v>
      </c>
      <c r="H43" s="53">
        <f t="shared" si="6"/>
        <v>-1097363.3600000001</v>
      </c>
      <c r="I43" s="53">
        <f>-H43</f>
        <v>1097363.3600000001</v>
      </c>
      <c r="J43" s="53" t="s">
        <v>2118</v>
      </c>
      <c r="K43" s="53">
        <f>VLOOKUP(A43,'ביצוע דוח חשב 12.2024'!A:I,9,FALSE)</f>
        <v>0</v>
      </c>
      <c r="L43" s="53">
        <v>0</v>
      </c>
      <c r="M43" s="53"/>
      <c r="N43" s="53"/>
      <c r="O43" s="53">
        <v>1</v>
      </c>
    </row>
    <row r="44" spans="1:15" s="50" customFormat="1" ht="26.25" x14ac:dyDescent="0.2">
      <c r="A44" s="79"/>
      <c r="B44" s="79" t="s">
        <v>725</v>
      </c>
      <c r="C44" s="79"/>
      <c r="D44" s="80">
        <f>SUM(D29:D43)</f>
        <v>12601936</v>
      </c>
      <c r="E44" s="80">
        <f t="shared" ref="E44:N44" si="7">SUM(E29:E43)</f>
        <v>0</v>
      </c>
      <c r="F44" s="80">
        <f t="shared" si="7"/>
        <v>11058570.800000001</v>
      </c>
      <c r="G44" s="80">
        <f t="shared" si="7"/>
        <v>0</v>
      </c>
      <c r="H44" s="80">
        <f t="shared" si="7"/>
        <v>11058570.800000001</v>
      </c>
      <c r="I44" s="80">
        <f t="shared" si="7"/>
        <v>2121922.3600000003</v>
      </c>
      <c r="J44" s="80">
        <f t="shared" si="7"/>
        <v>0</v>
      </c>
      <c r="K44" s="80">
        <f t="shared" si="7"/>
        <v>13624267.52</v>
      </c>
      <c r="L44" s="80">
        <f t="shared" si="7"/>
        <v>13347218</v>
      </c>
      <c r="M44" s="80">
        <f t="shared" si="7"/>
        <v>0</v>
      </c>
      <c r="N44" s="80">
        <f t="shared" si="7"/>
        <v>0</v>
      </c>
      <c r="O44" s="80">
        <v>0</v>
      </c>
    </row>
    <row r="45" spans="1:15" s="50" customFormat="1" hidden="1" x14ac:dyDescent="0.2">
      <c r="A45" s="51">
        <v>1313100920</v>
      </c>
      <c r="B45" s="52" t="s">
        <v>1554</v>
      </c>
      <c r="C45" s="51" t="str">
        <f>VLOOKUP(A45,'עזר 2025'!A:C,3,FALSE)</f>
        <v>משרד החינוך</v>
      </c>
      <c r="D45" s="53">
        <v>0</v>
      </c>
      <c r="E45" s="53"/>
      <c r="F45" s="53">
        <v>324708.56</v>
      </c>
      <c r="G45" s="53">
        <v>0</v>
      </c>
      <c r="H45" s="53">
        <f t="shared" si="6"/>
        <v>324708.56</v>
      </c>
      <c r="I45" s="53"/>
      <c r="J45" s="53"/>
      <c r="K45" s="53">
        <v>0</v>
      </c>
      <c r="L45" s="53">
        <v>0</v>
      </c>
      <c r="M45" s="53"/>
      <c r="N45" s="53"/>
      <c r="O45" s="53">
        <v>1</v>
      </c>
    </row>
    <row r="46" spans="1:15" x14ac:dyDescent="0.2">
      <c r="A46" s="132">
        <v>1313200920</v>
      </c>
      <c r="B46" s="133" t="s">
        <v>273</v>
      </c>
      <c r="C46" s="51" t="str">
        <f>VLOOKUP(A46,'עזר 2025'!A:C,3,FALSE)</f>
        <v>משרד החינוך</v>
      </c>
      <c r="D46" s="138">
        <v>550000</v>
      </c>
      <c r="E46" s="53"/>
      <c r="F46" s="53">
        <v>756964.32</v>
      </c>
      <c r="G46" s="53">
        <v>0</v>
      </c>
      <c r="H46" s="53">
        <f t="shared" si="6"/>
        <v>756964.32</v>
      </c>
      <c r="I46" s="53"/>
      <c r="J46" s="53" t="s">
        <v>2119</v>
      </c>
      <c r="K46" s="138">
        <f>VLOOKUP(A46,'ביצוע דוח חשב 12.2024'!A:I,9,FALSE)</f>
        <v>1288075.06</v>
      </c>
      <c r="L46" s="138">
        <v>1300000</v>
      </c>
      <c r="M46" s="53"/>
      <c r="N46" s="53"/>
      <c r="O46" s="53"/>
    </row>
    <row r="47" spans="1:15" x14ac:dyDescent="0.2">
      <c r="A47" s="132">
        <v>1313200921</v>
      </c>
      <c r="B47" s="133" t="s">
        <v>274</v>
      </c>
      <c r="C47" s="51" t="str">
        <f>VLOOKUP(A47,'עזר 2025'!A:C,3,FALSE)</f>
        <v>משרד החינוך</v>
      </c>
      <c r="D47" s="138">
        <v>1934106</v>
      </c>
      <c r="E47" s="53"/>
      <c r="F47" s="53">
        <v>1902719.28</v>
      </c>
      <c r="G47" s="53">
        <v>0</v>
      </c>
      <c r="H47" s="53">
        <f t="shared" si="6"/>
        <v>1902719.28</v>
      </c>
      <c r="I47" s="53"/>
      <c r="J47" s="53"/>
      <c r="K47" s="138">
        <f>VLOOKUP(A47,'ביצוע דוח חשב 12.2024'!A:I,9,FALSE)</f>
        <v>2065121.22</v>
      </c>
      <c r="L47" s="138">
        <v>2034598</v>
      </c>
      <c r="M47" s="53"/>
      <c r="N47" s="53"/>
      <c r="O47" s="53"/>
    </row>
    <row r="48" spans="1:15" x14ac:dyDescent="0.2">
      <c r="A48" s="132">
        <v>1313200923</v>
      </c>
      <c r="B48" s="133" t="s">
        <v>799</v>
      </c>
      <c r="C48" s="51" t="str">
        <f>VLOOKUP(A48,'עזר 2025'!A:C,3,FALSE)</f>
        <v>משרד החינוך</v>
      </c>
      <c r="D48" s="138">
        <v>49340</v>
      </c>
      <c r="E48" s="53"/>
      <c r="F48" s="53">
        <v>55217.55</v>
      </c>
      <c r="G48" s="53">
        <v>0</v>
      </c>
      <c r="H48" s="53">
        <f t="shared" si="6"/>
        <v>55217.55</v>
      </c>
      <c r="I48" s="53">
        <v>165000</v>
      </c>
      <c r="J48" s="53" t="s">
        <v>2117</v>
      </c>
      <c r="K48" s="138">
        <f>VLOOKUP(A48,'ביצוע דוח חשב 12.2024'!A:I,9,FALSE)</f>
        <v>150125.54999999999</v>
      </c>
      <c r="L48" s="138">
        <v>150126</v>
      </c>
      <c r="M48" s="53"/>
      <c r="N48" s="53"/>
      <c r="O48" s="53"/>
    </row>
    <row r="49" spans="1:15" x14ac:dyDescent="0.2">
      <c r="A49" s="132">
        <v>1313200925</v>
      </c>
      <c r="B49" s="133" t="s">
        <v>275</v>
      </c>
      <c r="C49" s="51" t="str">
        <f>VLOOKUP(A49,'עזר 2025'!A:C,3,FALSE)</f>
        <v>משרד החינוך</v>
      </c>
      <c r="D49" s="138">
        <v>241281</v>
      </c>
      <c r="E49" s="53"/>
      <c r="F49" s="53">
        <v>260390.94</v>
      </c>
      <c r="G49" s="53">
        <v>0</v>
      </c>
      <c r="H49" s="53">
        <f t="shared" si="6"/>
        <v>260390.94</v>
      </c>
      <c r="I49" s="53">
        <v>19000</v>
      </c>
      <c r="J49" s="53" t="s">
        <v>2117</v>
      </c>
      <c r="K49" s="138">
        <f>VLOOKUP(A49,'ביצוע דוח חשב 12.2024'!A:I,9,FALSE)</f>
        <v>278430.78000000003</v>
      </c>
      <c r="L49" s="138">
        <v>278431</v>
      </c>
      <c r="M49" s="53"/>
      <c r="N49" s="53"/>
      <c r="O49" s="53"/>
    </row>
    <row r="50" spans="1:15" x14ac:dyDescent="0.2">
      <c r="A50" s="132">
        <v>1313202920</v>
      </c>
      <c r="B50" s="133" t="s">
        <v>749</v>
      </c>
      <c r="C50" s="51" t="str">
        <f>VLOOKUP(A50,'עזר 2025'!A:C,3,FALSE)</f>
        <v>משרד החינוך</v>
      </c>
      <c r="D50" s="138">
        <v>419187</v>
      </c>
      <c r="E50" s="53"/>
      <c r="F50" s="53">
        <v>434201.47</v>
      </c>
      <c r="G50" s="53">
        <v>0</v>
      </c>
      <c r="H50" s="53">
        <f t="shared" si="6"/>
        <v>434201.47</v>
      </c>
      <c r="I50" s="53">
        <v>45000</v>
      </c>
      <c r="J50" s="53" t="s">
        <v>2117</v>
      </c>
      <c r="K50" s="138">
        <f>VLOOKUP(A50,'ביצוע דוח חשב 12.2024'!A:I,9,FALSE)</f>
        <v>469270.13</v>
      </c>
      <c r="L50" s="138">
        <v>309473</v>
      </c>
      <c r="M50" s="53"/>
      <c r="N50" s="53"/>
      <c r="O50" s="53"/>
    </row>
    <row r="51" spans="1:15" x14ac:dyDescent="0.2">
      <c r="A51" s="132">
        <v>1313202926</v>
      </c>
      <c r="B51" s="133" t="s">
        <v>1024</v>
      </c>
      <c r="C51" s="51" t="str">
        <f>VLOOKUP(A51,'עזר 2025'!A:C,3,FALSE)</f>
        <v>משרד החינוך</v>
      </c>
      <c r="D51" s="138">
        <v>1065031</v>
      </c>
      <c r="E51" s="53"/>
      <c r="F51" s="53">
        <v>1176596.33</v>
      </c>
      <c r="G51" s="53">
        <v>0</v>
      </c>
      <c r="H51" s="53">
        <f t="shared" si="6"/>
        <v>1176596.33</v>
      </c>
      <c r="I51" s="53">
        <v>130000</v>
      </c>
      <c r="J51" s="53" t="s">
        <v>2117</v>
      </c>
      <c r="K51" s="138">
        <f>VLOOKUP(A51,'ביצוע דוח חשב 12.2024'!A:I,9,FALSE)</f>
        <v>1300707.04</v>
      </c>
      <c r="L51" s="138">
        <v>1300707</v>
      </c>
      <c r="M51" s="53"/>
      <c r="N51" s="53"/>
      <c r="O51" s="53"/>
    </row>
    <row r="52" spans="1:15" x14ac:dyDescent="0.2">
      <c r="A52" s="132">
        <v>1313202927</v>
      </c>
      <c r="B52" s="133" t="s">
        <v>1025</v>
      </c>
      <c r="C52" s="51" t="str">
        <f>VLOOKUP(A52,'עזר 2025'!A:C,3,FALSE)</f>
        <v>משרד החינוך</v>
      </c>
      <c r="D52" s="138">
        <v>393246</v>
      </c>
      <c r="E52" s="53"/>
      <c r="F52" s="53">
        <v>357302.25</v>
      </c>
      <c r="G52" s="53">
        <v>0</v>
      </c>
      <c r="H52" s="53">
        <f t="shared" si="6"/>
        <v>357302.25</v>
      </c>
      <c r="I52" s="53">
        <v>35000</v>
      </c>
      <c r="J52" s="53" t="s">
        <v>2117</v>
      </c>
      <c r="K52" s="138">
        <f>VLOOKUP(A52,'ביצוע דוח חשב 12.2024'!A:I,9,FALSE)</f>
        <v>386930.64</v>
      </c>
      <c r="L52" s="138">
        <v>372725</v>
      </c>
      <c r="M52" s="53"/>
      <c r="N52" s="53"/>
      <c r="O52" s="53"/>
    </row>
    <row r="53" spans="1:15" x14ac:dyDescent="0.2">
      <c r="A53" s="132">
        <v>1313204920</v>
      </c>
      <c r="B53" s="133" t="s">
        <v>1907</v>
      </c>
      <c r="C53" s="51" t="str">
        <f>VLOOKUP(A53,'עזר 2025'!A:C,3,FALSE)</f>
        <v>משרד החינוך</v>
      </c>
      <c r="D53" s="138">
        <v>220000</v>
      </c>
      <c r="E53" s="53"/>
      <c r="F53" s="53">
        <v>0</v>
      </c>
      <c r="G53" s="53">
        <v>0</v>
      </c>
      <c r="H53" s="53">
        <f t="shared" si="6"/>
        <v>0</v>
      </c>
      <c r="I53" s="53"/>
      <c r="J53" s="53"/>
      <c r="K53" s="138">
        <f>VLOOKUP(A53,'ביצוע דוח חשב 12.2024'!A:I,9,FALSE)</f>
        <v>0</v>
      </c>
      <c r="L53" s="138">
        <v>0</v>
      </c>
      <c r="M53" s="53"/>
      <c r="N53" s="53"/>
      <c r="O53" s="53"/>
    </row>
    <row r="54" spans="1:15" x14ac:dyDescent="0.2">
      <c r="A54" s="132">
        <v>1313206920</v>
      </c>
      <c r="B54" s="133" t="s">
        <v>148</v>
      </c>
      <c r="C54" s="51" t="str">
        <f>VLOOKUP(A54,'עזר 2025'!A:C,3,FALSE)</f>
        <v>משרד החינוך</v>
      </c>
      <c r="D54" s="138">
        <v>0</v>
      </c>
      <c r="E54" s="53"/>
      <c r="F54" s="53">
        <v>389913</v>
      </c>
      <c r="G54" s="53">
        <v>0</v>
      </c>
      <c r="H54" s="53">
        <f t="shared" si="6"/>
        <v>389913</v>
      </c>
      <c r="I54" s="53"/>
      <c r="J54" s="53" t="s">
        <v>2120</v>
      </c>
      <c r="K54" s="138">
        <f>VLOOKUP(A54,'ביצוע דוח חשב 12.2024'!A:I,9,FALSE)</f>
        <v>407913</v>
      </c>
      <c r="L54" s="138">
        <v>500000</v>
      </c>
      <c r="M54" s="53"/>
      <c r="N54" s="53"/>
      <c r="O54" s="53"/>
    </row>
    <row r="55" spans="1:15" x14ac:dyDescent="0.2">
      <c r="A55" s="132">
        <v>1313210921</v>
      </c>
      <c r="B55" s="133" t="s">
        <v>276</v>
      </c>
      <c r="C55" s="51" t="str">
        <f>VLOOKUP(A55,'עזר 2025'!A:C,3,FALSE)</f>
        <v>משרד החינוך</v>
      </c>
      <c r="D55" s="138">
        <v>408288</v>
      </c>
      <c r="E55" s="53"/>
      <c r="F55" s="53">
        <v>545984.99</v>
      </c>
      <c r="G55" s="53">
        <v>0</v>
      </c>
      <c r="H55" s="53">
        <f t="shared" si="6"/>
        <v>545984.99</v>
      </c>
      <c r="I55" s="53">
        <v>45000</v>
      </c>
      <c r="J55" s="53" t="s">
        <v>2117</v>
      </c>
      <c r="K55" s="138">
        <f>VLOOKUP(A55,'ביצוע דוח חשב 12.2024'!A:I,9,FALSE)</f>
        <v>592650.22</v>
      </c>
      <c r="L55" s="138">
        <f>233307</f>
        <v>233307</v>
      </c>
      <c r="M55" s="53"/>
      <c r="N55" s="53"/>
      <c r="O55" s="53"/>
    </row>
    <row r="56" spans="1:15" x14ac:dyDescent="0.2">
      <c r="A56" s="132">
        <v>1313210922</v>
      </c>
      <c r="B56" s="133" t="s">
        <v>277</v>
      </c>
      <c r="C56" s="51" t="str">
        <f>VLOOKUP(A56,'עזר 2025'!A:C,3,FALSE)</f>
        <v>משרד החינוך</v>
      </c>
      <c r="D56" s="138">
        <v>135065</v>
      </c>
      <c r="E56" s="53"/>
      <c r="F56" s="53">
        <v>184876.57</v>
      </c>
      <c r="G56" s="53">
        <v>0</v>
      </c>
      <c r="H56" s="53">
        <f t="shared" si="6"/>
        <v>184876.57</v>
      </c>
      <c r="I56" s="53">
        <v>15000</v>
      </c>
      <c r="J56" s="53" t="s">
        <v>2117</v>
      </c>
      <c r="K56" s="138">
        <f>VLOOKUP(A56,'ביצוע דוח חשב 12.2024'!A:I,9,FALSE)</f>
        <v>200673.93</v>
      </c>
      <c r="L56" s="138">
        <v>200674</v>
      </c>
      <c r="M56" s="53"/>
      <c r="N56" s="53"/>
      <c r="O56" s="53"/>
    </row>
    <row r="57" spans="1:15" x14ac:dyDescent="0.2">
      <c r="A57" s="132">
        <v>1313210924</v>
      </c>
      <c r="B57" s="133" t="s">
        <v>278</v>
      </c>
      <c r="C57" s="51" t="str">
        <f>VLOOKUP(A57,'עזר 2025'!A:C,3,FALSE)</f>
        <v>משרד החינוך</v>
      </c>
      <c r="D57" s="138">
        <v>5355</v>
      </c>
      <c r="E57" s="53"/>
      <c r="F57" s="53">
        <v>5354.91</v>
      </c>
      <c r="G57" s="53">
        <v>0</v>
      </c>
      <c r="H57" s="53">
        <f t="shared" si="6"/>
        <v>5354.91</v>
      </c>
      <c r="I57" s="53">
        <v>1784</v>
      </c>
      <c r="J57" s="53" t="s">
        <v>2117</v>
      </c>
      <c r="K57" s="138">
        <f>VLOOKUP(A57,'ביצוע דוח חשב 12.2024'!A:I,9,FALSE)</f>
        <v>5354.91</v>
      </c>
      <c r="L57" s="138">
        <v>5355</v>
      </c>
      <c r="M57" s="53"/>
      <c r="N57" s="53"/>
      <c r="O57" s="53"/>
    </row>
    <row r="58" spans="1:15" x14ac:dyDescent="0.2">
      <c r="A58" s="132">
        <v>1313210925</v>
      </c>
      <c r="B58" s="133" t="s">
        <v>279</v>
      </c>
      <c r="C58" s="51" t="str">
        <f>VLOOKUP(A58,'עזר 2025'!A:C,3,FALSE)</f>
        <v>משרד החינוך</v>
      </c>
      <c r="D58" s="138">
        <v>1404579</v>
      </c>
      <c r="E58" s="53"/>
      <c r="F58" s="53">
        <v>2131991.41</v>
      </c>
      <c r="G58" s="53">
        <v>0</v>
      </c>
      <c r="H58" s="53">
        <f t="shared" si="6"/>
        <v>2131991.41</v>
      </c>
      <c r="I58" s="53">
        <v>187000</v>
      </c>
      <c r="J58" s="53" t="s">
        <v>2117</v>
      </c>
      <c r="K58" s="138">
        <f>VLOOKUP(A58,'ביצוע דוח חשב 12.2024'!A:I,9,FALSE)</f>
        <v>2318889.52</v>
      </c>
      <c r="L58" s="138">
        <f>1242976+749942</f>
        <v>1992918</v>
      </c>
      <c r="M58" s="53"/>
      <c r="N58" s="53"/>
      <c r="O58" s="53"/>
    </row>
    <row r="59" spans="1:15" x14ac:dyDescent="0.2">
      <c r="A59" s="132">
        <v>1313210926</v>
      </c>
      <c r="B59" s="133" t="s">
        <v>280</v>
      </c>
      <c r="C59" s="51" t="str">
        <f>VLOOKUP(A59,'עזר 2025'!A:C,3,FALSE)</f>
        <v>משרד החינוך</v>
      </c>
      <c r="D59" s="138">
        <v>0</v>
      </c>
      <c r="E59" s="53"/>
      <c r="F59" s="53">
        <v>2268</v>
      </c>
      <c r="G59" s="53">
        <v>0</v>
      </c>
      <c r="H59" s="53">
        <f t="shared" si="6"/>
        <v>2268</v>
      </c>
      <c r="I59" s="53"/>
      <c r="J59" s="53"/>
      <c r="K59" s="138">
        <f>VLOOKUP(A59,'ביצוע דוח חשב 12.2024'!A:I,9,FALSE)</f>
        <v>2268</v>
      </c>
      <c r="L59" s="138">
        <v>2268</v>
      </c>
      <c r="M59" s="53"/>
      <c r="N59" s="53"/>
      <c r="O59" s="53"/>
    </row>
    <row r="60" spans="1:15" x14ac:dyDescent="0.2">
      <c r="A60" s="132">
        <v>1313210929</v>
      </c>
      <c r="B60" s="133" t="s">
        <v>281</v>
      </c>
      <c r="C60" s="51" t="str">
        <f>VLOOKUP(A60,'עזר 2025'!A:C,3,FALSE)</f>
        <v>משרד החינוך</v>
      </c>
      <c r="D60" s="138">
        <v>54715</v>
      </c>
      <c r="E60" s="53"/>
      <c r="F60" s="53">
        <v>129054.9</v>
      </c>
      <c r="G60" s="53">
        <v>0</v>
      </c>
      <c r="H60" s="53">
        <f t="shared" si="6"/>
        <v>129054.9</v>
      </c>
      <c r="I60" s="53">
        <v>20000</v>
      </c>
      <c r="J60" s="53" t="s">
        <v>2117</v>
      </c>
      <c r="K60" s="138">
        <f>VLOOKUP(A60,'ביצוע דוח חשב 12.2024'!A:I,9,FALSE)</f>
        <v>143263.5</v>
      </c>
      <c r="L60" s="138">
        <v>162201</v>
      </c>
      <c r="M60" s="53"/>
      <c r="N60" s="53"/>
      <c r="O60" s="53"/>
    </row>
    <row r="61" spans="1:15" x14ac:dyDescent="0.2">
      <c r="A61" s="132">
        <v>1313225920</v>
      </c>
      <c r="B61" s="133" t="s">
        <v>1555</v>
      </c>
      <c r="C61" s="51" t="str">
        <f>VLOOKUP(A61,'עזר 2025'!A:C,3,FALSE)</f>
        <v>משרד החינוך</v>
      </c>
      <c r="D61" s="138">
        <v>4178</v>
      </c>
      <c r="E61" s="53"/>
      <c r="F61" s="53">
        <v>0</v>
      </c>
      <c r="G61" s="53">
        <v>0</v>
      </c>
      <c r="H61" s="53">
        <f t="shared" si="6"/>
        <v>0</v>
      </c>
      <c r="I61" s="53"/>
      <c r="J61" s="53"/>
      <c r="K61" s="138">
        <f>VLOOKUP(A61,'ביצוע דוח חשב 12.2024'!A:I,9,FALSE)</f>
        <v>4328.1000000000004</v>
      </c>
      <c r="L61" s="138">
        <v>4328</v>
      </c>
      <c r="M61" s="53"/>
      <c r="N61" s="53"/>
      <c r="O61" s="53"/>
    </row>
    <row r="62" spans="1:15" s="50" customFormat="1" hidden="1" x14ac:dyDescent="0.2">
      <c r="A62" s="90">
        <v>1313230922</v>
      </c>
      <c r="B62" s="91" t="s">
        <v>1010</v>
      </c>
      <c r="C62" s="90" t="s">
        <v>338</v>
      </c>
      <c r="D62" s="92"/>
      <c r="E62" s="53"/>
      <c r="F62" s="53">
        <v>0</v>
      </c>
      <c r="G62" s="53">
        <v>0</v>
      </c>
      <c r="H62" s="53">
        <f t="shared" si="6"/>
        <v>0</v>
      </c>
      <c r="I62" s="53"/>
      <c r="J62" s="53"/>
      <c r="K62" s="92">
        <f>VLOOKUP(A62,'ביצוע דוח חשב 12.2024'!A:I,9,FALSE)</f>
        <v>0</v>
      </c>
      <c r="L62" s="92">
        <v>0</v>
      </c>
      <c r="M62" s="53"/>
      <c r="N62" s="53"/>
      <c r="O62" s="53">
        <v>1</v>
      </c>
    </row>
    <row r="63" spans="1:15" x14ac:dyDescent="0.2">
      <c r="A63" s="132">
        <v>1313230925</v>
      </c>
      <c r="B63" s="133" t="s">
        <v>1650</v>
      </c>
      <c r="C63" s="96" t="str">
        <f>VLOOKUP(A63,'עזר 2025'!A:C,3,FALSE)</f>
        <v>משרד החינוך</v>
      </c>
      <c r="D63" s="138">
        <v>3964376</v>
      </c>
      <c r="E63" s="57"/>
      <c r="F63" s="57">
        <v>1638996.3</v>
      </c>
      <c r="G63" s="57">
        <v>0</v>
      </c>
      <c r="H63" s="57">
        <f t="shared" si="6"/>
        <v>1638996.3</v>
      </c>
      <c r="I63" s="57"/>
      <c r="J63" s="57" t="s">
        <v>2121</v>
      </c>
      <c r="K63" s="138">
        <f>VLOOKUP(A63,'ביצוע דוח חשב 12.2024'!A:I,9,FALSE)</f>
        <v>2367013.1800000002</v>
      </c>
      <c r="L63" s="138">
        <v>2291677</v>
      </c>
      <c r="M63" s="53"/>
      <c r="N63" s="53"/>
      <c r="O63" s="53"/>
    </row>
    <row r="64" spans="1:15" s="50" customFormat="1" hidden="1" x14ac:dyDescent="0.2">
      <c r="A64" s="51">
        <v>1313300210</v>
      </c>
      <c r="B64" s="52" t="s">
        <v>282</v>
      </c>
      <c r="C64" s="51" t="str">
        <f>VLOOKUP(A64,'עזר 2025'!A:C,3,FALSE)</f>
        <v xml:space="preserve"> עצמיות חינוך</v>
      </c>
      <c r="D64" s="53">
        <v>0</v>
      </c>
      <c r="E64" s="53"/>
      <c r="F64" s="53">
        <v>-685622</v>
      </c>
      <c r="G64" s="53">
        <v>0</v>
      </c>
      <c r="H64" s="53">
        <f t="shared" ref="H64:H92" si="8">F64+G64</f>
        <v>-685622</v>
      </c>
      <c r="I64" s="53">
        <v>685622</v>
      </c>
      <c r="J64" s="53" t="s">
        <v>2118</v>
      </c>
      <c r="K64" s="53">
        <f>VLOOKUP(A64,'ביצוע דוח חשב 12.2024'!A:I,9,FALSE)</f>
        <v>0</v>
      </c>
      <c r="L64" s="53"/>
      <c r="M64" s="53"/>
      <c r="N64" s="53"/>
      <c r="O64" s="53">
        <v>1</v>
      </c>
    </row>
    <row r="65" spans="1:15" x14ac:dyDescent="0.2">
      <c r="A65" s="132">
        <v>1313301920</v>
      </c>
      <c r="B65" s="133" t="s">
        <v>1556</v>
      </c>
      <c r="C65" s="51" t="str">
        <f>VLOOKUP(A65,'עזר 2025'!A:C,3,FALSE)</f>
        <v>משרד החינוך</v>
      </c>
      <c r="D65" s="138">
        <v>0</v>
      </c>
      <c r="E65" s="53"/>
      <c r="F65" s="53">
        <v>25483.99</v>
      </c>
      <c r="G65" s="53">
        <v>0</v>
      </c>
      <c r="H65" s="53">
        <f t="shared" si="8"/>
        <v>25483.99</v>
      </c>
      <c r="I65" s="53"/>
      <c r="J65" s="53"/>
      <c r="K65" s="138">
        <f>VLOOKUP(A65,'ביצוע דוח חשב 12.2024'!A:I,9,FALSE)</f>
        <v>39501.629999999997</v>
      </c>
      <c r="L65" s="138">
        <v>44085</v>
      </c>
      <c r="M65" s="53"/>
      <c r="N65" s="53"/>
      <c r="O65" s="53"/>
    </row>
    <row r="66" spans="1:15" x14ac:dyDescent="0.2">
      <c r="A66" s="132">
        <v>1313303920</v>
      </c>
      <c r="B66" s="133" t="s">
        <v>1558</v>
      </c>
      <c r="C66" s="51" t="str">
        <f>VLOOKUP(A66,'עזר 2025'!A:C,3,FALSE)</f>
        <v>משרד החינוך</v>
      </c>
      <c r="D66" s="138">
        <v>398472</v>
      </c>
      <c r="E66" s="53"/>
      <c r="F66" s="53">
        <v>273818.58</v>
      </c>
      <c r="G66" s="53">
        <v>0</v>
      </c>
      <c r="H66" s="53">
        <f t="shared" si="8"/>
        <v>273818.58</v>
      </c>
      <c r="I66" s="53"/>
      <c r="J66" s="53"/>
      <c r="K66" s="138">
        <f>VLOOKUP(A66,'ביצוע דוח חשב 12.2024'!A:I,9,FALSE)</f>
        <v>444667.96</v>
      </c>
      <c r="L66" s="138">
        <v>444668</v>
      </c>
      <c r="M66" s="53"/>
      <c r="N66" s="53"/>
      <c r="O66" s="53"/>
    </row>
    <row r="67" spans="1:15" x14ac:dyDescent="0.2">
      <c r="A67" s="132">
        <v>1313306920</v>
      </c>
      <c r="B67" s="133" t="s">
        <v>1559</v>
      </c>
      <c r="C67" s="51" t="str">
        <f>VLOOKUP(A67,'עזר 2025'!A:C,3,FALSE)</f>
        <v>משרד החינוך</v>
      </c>
      <c r="D67" s="138">
        <v>175000</v>
      </c>
      <c r="E67" s="53"/>
      <c r="F67" s="53">
        <v>79400</v>
      </c>
      <c r="G67" s="53">
        <v>0</v>
      </c>
      <c r="H67" s="53">
        <f t="shared" si="8"/>
        <v>79400</v>
      </c>
      <c r="I67" s="53"/>
      <c r="J67" s="53"/>
      <c r="K67" s="138">
        <f>VLOOKUP(A67,'ביצוע דוח חשב 12.2024'!A:I,9,FALSE)</f>
        <v>79400</v>
      </c>
      <c r="L67" s="138">
        <v>79400</v>
      </c>
      <c r="M67" s="53"/>
      <c r="N67" s="53"/>
      <c r="O67" s="53"/>
    </row>
    <row r="68" spans="1:15" x14ac:dyDescent="0.2">
      <c r="A68" s="132">
        <v>1313307920</v>
      </c>
      <c r="B68" s="133" t="s">
        <v>1560</v>
      </c>
      <c r="C68" s="51" t="str">
        <f>VLOOKUP(A68,'עזר 2025'!A:C,3,FALSE)</f>
        <v>משרד החינוך</v>
      </c>
      <c r="D68" s="138">
        <v>45717</v>
      </c>
      <c r="E68" s="53"/>
      <c r="F68" s="53">
        <v>68502.649999999994</v>
      </c>
      <c r="G68" s="53">
        <v>0</v>
      </c>
      <c r="H68" s="53">
        <f t="shared" si="8"/>
        <v>68502.649999999994</v>
      </c>
      <c r="I68" s="53"/>
      <c r="J68" s="53"/>
      <c r="K68" s="138">
        <f>VLOOKUP(A68,'ביצוע דוח חשב 12.2024'!A:I,9,FALSE)</f>
        <v>68502.649999999994</v>
      </c>
      <c r="L68" s="138">
        <v>68503</v>
      </c>
      <c r="M68" s="53"/>
      <c r="N68" s="53"/>
      <c r="O68" s="53"/>
    </row>
    <row r="69" spans="1:15" x14ac:dyDescent="0.2">
      <c r="A69" s="132">
        <v>1313309920</v>
      </c>
      <c r="B69" s="133" t="s">
        <v>1561</v>
      </c>
      <c r="C69" s="51" t="str">
        <f>VLOOKUP(A69,'עזר 2025'!A:C,3,FALSE)</f>
        <v>משרד החינוך</v>
      </c>
      <c r="D69" s="138">
        <v>58076</v>
      </c>
      <c r="E69" s="53"/>
      <c r="F69" s="53">
        <v>57060.99</v>
      </c>
      <c r="G69" s="53">
        <v>0</v>
      </c>
      <c r="H69" s="53">
        <f t="shared" si="8"/>
        <v>57060.99</v>
      </c>
      <c r="I69" s="53"/>
      <c r="J69" s="53"/>
      <c r="K69" s="138">
        <f>VLOOKUP(A69,'ביצוע דוח חשב 12.2024'!A:I,9,FALSE)</f>
        <v>57060.99</v>
      </c>
      <c r="L69" s="138">
        <v>57061</v>
      </c>
      <c r="M69" s="53"/>
      <c r="N69" s="53"/>
      <c r="O69" s="53"/>
    </row>
    <row r="70" spans="1:15" s="50" customFormat="1" hidden="1" x14ac:dyDescent="0.2">
      <c r="A70" s="51">
        <v>1313319920</v>
      </c>
      <c r="B70" s="52" t="s">
        <v>1562</v>
      </c>
      <c r="C70" s="51" t="str">
        <f>VLOOKUP(A70,'עזר 2025'!A:C,3,FALSE)</f>
        <v>משרד החינוך</v>
      </c>
      <c r="D70" s="53">
        <v>0</v>
      </c>
      <c r="E70" s="53"/>
      <c r="F70" s="53">
        <v>0</v>
      </c>
      <c r="G70" s="53">
        <v>0</v>
      </c>
      <c r="H70" s="53">
        <f t="shared" si="8"/>
        <v>0</v>
      </c>
      <c r="I70" s="53"/>
      <c r="J70" s="53"/>
      <c r="K70" s="53">
        <f>VLOOKUP(A70,'ביצוע דוח חשב 12.2024'!A:I,9,FALSE)</f>
        <v>0</v>
      </c>
      <c r="L70" s="53">
        <v>0</v>
      </c>
      <c r="M70" s="53"/>
      <c r="N70" s="53"/>
      <c r="O70" s="53">
        <v>1</v>
      </c>
    </row>
    <row r="71" spans="1:15" x14ac:dyDescent="0.2">
      <c r="A71" s="132">
        <v>1313339920</v>
      </c>
      <c r="B71" s="133" t="s">
        <v>1563</v>
      </c>
      <c r="C71" s="51" t="str">
        <f>VLOOKUP(A71,'עזר 2025'!A:C,3,FALSE)</f>
        <v>משרד החינוך</v>
      </c>
      <c r="D71" s="138">
        <v>2676708</v>
      </c>
      <c r="E71" s="53"/>
      <c r="F71" s="53">
        <v>2013980.2</v>
      </c>
      <c r="G71" s="53">
        <v>0</v>
      </c>
      <c r="H71" s="53">
        <f t="shared" si="8"/>
        <v>2013980.2</v>
      </c>
      <c r="I71" s="53"/>
      <c r="J71" s="53"/>
      <c r="K71" s="138">
        <f>VLOOKUP(A71,'ביצוע דוח חשב 12.2024'!A:I,9,FALSE)</f>
        <v>2200745.2000000002</v>
      </c>
      <c r="L71" s="138">
        <v>2700000</v>
      </c>
      <c r="M71" s="53"/>
      <c r="N71" s="53"/>
      <c r="O71" s="53"/>
    </row>
    <row r="72" spans="1:15" s="50" customFormat="1" hidden="1" x14ac:dyDescent="0.2">
      <c r="A72" s="51">
        <v>1313429920</v>
      </c>
      <c r="B72" s="52" t="s">
        <v>1564</v>
      </c>
      <c r="C72" s="51" t="str">
        <f>VLOOKUP(A72,'עזר 2025'!A:C,3,FALSE)</f>
        <v>משרד החינוך</v>
      </c>
      <c r="D72" s="53">
        <v>0</v>
      </c>
      <c r="E72" s="53"/>
      <c r="F72" s="53">
        <v>0</v>
      </c>
      <c r="G72" s="53">
        <v>0</v>
      </c>
      <c r="H72" s="53">
        <f t="shared" si="8"/>
        <v>0</v>
      </c>
      <c r="I72" s="53"/>
      <c r="J72" s="53"/>
      <c r="K72" s="53">
        <f>VLOOKUP(A72,'ביצוע דוח חשב 12.2024'!A:I,9,FALSE)</f>
        <v>0</v>
      </c>
      <c r="L72" s="53">
        <v>0</v>
      </c>
      <c r="M72" s="53"/>
      <c r="N72" s="53"/>
      <c r="O72" s="53">
        <v>1</v>
      </c>
    </row>
    <row r="73" spans="1:15" x14ac:dyDescent="0.2">
      <c r="A73" s="132">
        <v>1313600420</v>
      </c>
      <c r="B73" s="133" t="s">
        <v>658</v>
      </c>
      <c r="C73" s="51" t="str">
        <f>VLOOKUP(A73,'עזר 2025'!A:C,3,FALSE)</f>
        <v xml:space="preserve"> עצמיות חינוך</v>
      </c>
      <c r="D73" s="138">
        <v>120000</v>
      </c>
      <c r="E73" s="53"/>
      <c r="F73" s="53">
        <v>0</v>
      </c>
      <c r="G73" s="53">
        <v>0</v>
      </c>
      <c r="H73" s="53">
        <f t="shared" si="8"/>
        <v>0</v>
      </c>
      <c r="I73" s="53"/>
      <c r="J73" s="53"/>
      <c r="K73" s="138">
        <v>110000</v>
      </c>
      <c r="L73" s="138">
        <v>120000</v>
      </c>
      <c r="M73" s="53"/>
      <c r="N73" s="53"/>
      <c r="O73" s="53"/>
    </row>
    <row r="74" spans="1:15" x14ac:dyDescent="0.2">
      <c r="A74" s="132">
        <v>1313800920</v>
      </c>
      <c r="B74" s="133" t="s">
        <v>659</v>
      </c>
      <c r="C74" s="51" t="str">
        <f>VLOOKUP(A74,'עזר 2025'!A:C,3,FALSE)</f>
        <v>משרד החינוך</v>
      </c>
      <c r="D74" s="138">
        <v>1200000</v>
      </c>
      <c r="E74" s="53"/>
      <c r="F74" s="53">
        <v>1054592.3999999999</v>
      </c>
      <c r="G74" s="53">
        <v>0</v>
      </c>
      <c r="H74" s="53">
        <f t="shared" si="8"/>
        <v>1054592.3999999999</v>
      </c>
      <c r="I74" s="53"/>
      <c r="J74" s="53"/>
      <c r="K74" s="138">
        <f>VLOOKUP(A74,'ביצוע דוח חשב 12.2024'!A:I,9,FALSE)</f>
        <v>1054593.22</v>
      </c>
      <c r="L74" s="138">
        <v>1054593</v>
      </c>
      <c r="M74" s="53"/>
      <c r="N74" s="53"/>
      <c r="O74" s="53"/>
    </row>
    <row r="75" spans="1:15" x14ac:dyDescent="0.2">
      <c r="A75" s="132">
        <v>1313901920</v>
      </c>
      <c r="B75" s="133" t="s">
        <v>1565</v>
      </c>
      <c r="C75" s="51" t="str">
        <f>VLOOKUP(A75,'עזר 2025'!A:C,3,FALSE)</f>
        <v>משרד החינוך</v>
      </c>
      <c r="D75" s="138">
        <v>67248</v>
      </c>
      <c r="E75" s="53"/>
      <c r="F75" s="53">
        <v>0</v>
      </c>
      <c r="G75" s="53">
        <v>0</v>
      </c>
      <c r="H75" s="53">
        <f t="shared" si="8"/>
        <v>0</v>
      </c>
      <c r="I75" s="53"/>
      <c r="J75" s="53"/>
      <c r="K75" s="138">
        <f>VLOOKUP(A75,'ביצוע דוח חשב 12.2024'!A:I,9,FALSE)</f>
        <v>0</v>
      </c>
      <c r="L75" s="138">
        <v>0</v>
      </c>
      <c r="M75" s="53"/>
      <c r="N75" s="53"/>
      <c r="O75" s="53"/>
    </row>
    <row r="76" spans="1:15" s="50" customFormat="1" ht="26.25" x14ac:dyDescent="0.2">
      <c r="A76" s="79"/>
      <c r="B76" s="79" t="s">
        <v>2136</v>
      </c>
      <c r="C76" s="79"/>
      <c r="D76" s="80">
        <f>SUM(D45:D75)</f>
        <v>15589968</v>
      </c>
      <c r="E76" s="80">
        <f t="shared" ref="E76:N76" si="9">SUM(E45:E75)</f>
        <v>0</v>
      </c>
      <c r="F76" s="80">
        <f t="shared" si="9"/>
        <v>13183757.590000004</v>
      </c>
      <c r="G76" s="80">
        <f t="shared" si="9"/>
        <v>0</v>
      </c>
      <c r="H76" s="80">
        <f t="shared" si="9"/>
        <v>13183757.590000004</v>
      </c>
      <c r="I76" s="80">
        <f t="shared" si="9"/>
        <v>1348406</v>
      </c>
      <c r="J76" s="80">
        <f t="shared" si="9"/>
        <v>0</v>
      </c>
      <c r="K76" s="80">
        <f t="shared" si="9"/>
        <v>16035486.430000002</v>
      </c>
      <c r="L76" s="80">
        <f t="shared" si="9"/>
        <v>15707098</v>
      </c>
      <c r="M76" s="80">
        <f t="shared" si="9"/>
        <v>0</v>
      </c>
      <c r="N76" s="80">
        <f t="shared" si="9"/>
        <v>0</v>
      </c>
      <c r="O76" s="80">
        <v>0</v>
      </c>
    </row>
    <row r="77" spans="1:15" x14ac:dyDescent="0.2">
      <c r="A77" s="132">
        <v>1314000920</v>
      </c>
      <c r="B77" s="133" t="s">
        <v>283</v>
      </c>
      <c r="C77" s="51" t="str">
        <f>VLOOKUP(A77,'עזר 2025'!A:C,3,FALSE)</f>
        <v>משרד החינוך</v>
      </c>
      <c r="D77" s="138">
        <v>2525991</v>
      </c>
      <c r="E77" s="53"/>
      <c r="F77" s="53">
        <v>2295756.36</v>
      </c>
      <c r="G77" s="53">
        <v>0</v>
      </c>
      <c r="H77" s="53">
        <f t="shared" si="8"/>
        <v>2295756.36</v>
      </c>
      <c r="I77" s="53">
        <v>150000</v>
      </c>
      <c r="J77" s="53" t="s">
        <v>2117</v>
      </c>
      <c r="K77" s="138">
        <f>VLOOKUP(A77,'ביצוע דוח חשב 12.2024'!A:I,9,FALSE)</f>
        <v>2470995.1</v>
      </c>
      <c r="L77" s="138">
        <v>2254045</v>
      </c>
      <c r="M77" s="53"/>
      <c r="N77" s="53"/>
      <c r="O77" s="53"/>
    </row>
    <row r="78" spans="1:15" s="50" customFormat="1" hidden="1" x14ac:dyDescent="0.2">
      <c r="A78" s="51">
        <v>1314000924</v>
      </c>
      <c r="B78" s="52" t="s">
        <v>284</v>
      </c>
      <c r="C78" s="51" t="str">
        <f>VLOOKUP(A78,'עזר 2025'!A:C,3,FALSE)</f>
        <v>משרד החינוך</v>
      </c>
      <c r="D78" s="53">
        <v>0</v>
      </c>
      <c r="E78" s="53"/>
      <c r="F78" s="53">
        <v>0</v>
      </c>
      <c r="G78" s="53">
        <v>0</v>
      </c>
      <c r="H78" s="53">
        <f t="shared" si="8"/>
        <v>0</v>
      </c>
      <c r="I78" s="53"/>
      <c r="J78" s="53"/>
      <c r="K78" s="53">
        <f>VLOOKUP(A78,'ביצוע דוח חשב 12.2024'!A:I,9,FALSE)</f>
        <v>0</v>
      </c>
      <c r="L78" s="53">
        <v>0</v>
      </c>
      <c r="M78" s="53"/>
      <c r="N78" s="53"/>
      <c r="O78" s="53">
        <v>1</v>
      </c>
    </row>
    <row r="79" spans="1:15" s="50" customFormat="1" ht="26.25" x14ac:dyDescent="0.2">
      <c r="A79" s="79"/>
      <c r="B79" s="79" t="s">
        <v>726</v>
      </c>
      <c r="C79" s="79"/>
      <c r="D79" s="80">
        <f>SUM(D77:D78)</f>
        <v>2525991</v>
      </c>
      <c r="E79" s="80">
        <f t="shared" ref="E79:N79" si="10">SUM(E77:E78)</f>
        <v>0</v>
      </c>
      <c r="F79" s="80">
        <f t="shared" si="10"/>
        <v>2295756.36</v>
      </c>
      <c r="G79" s="80">
        <f t="shared" si="10"/>
        <v>0</v>
      </c>
      <c r="H79" s="80">
        <f t="shared" si="10"/>
        <v>2295756.36</v>
      </c>
      <c r="I79" s="80">
        <f t="shared" si="10"/>
        <v>150000</v>
      </c>
      <c r="J79" s="80">
        <f t="shared" si="10"/>
        <v>0</v>
      </c>
      <c r="K79" s="80">
        <f t="shared" si="10"/>
        <v>2470995.1</v>
      </c>
      <c r="L79" s="80">
        <f t="shared" si="10"/>
        <v>2254045</v>
      </c>
      <c r="M79" s="80">
        <f t="shared" si="10"/>
        <v>0</v>
      </c>
      <c r="N79" s="80">
        <f t="shared" si="10"/>
        <v>0</v>
      </c>
      <c r="O79" s="80">
        <v>0</v>
      </c>
    </row>
    <row r="80" spans="1:15" x14ac:dyDescent="0.2">
      <c r="A80" s="132">
        <v>1315200927</v>
      </c>
      <c r="B80" s="133" t="s">
        <v>272</v>
      </c>
      <c r="C80" s="51" t="str">
        <f>VLOOKUP(A80,'עזר 2025'!A:C,3,FALSE)</f>
        <v>משרד החינוך</v>
      </c>
      <c r="D80" s="138">
        <v>9000</v>
      </c>
      <c r="E80" s="53"/>
      <c r="F80" s="53">
        <v>0</v>
      </c>
      <c r="G80" s="53">
        <v>0</v>
      </c>
      <c r="H80" s="53">
        <f t="shared" si="8"/>
        <v>0</v>
      </c>
      <c r="I80" s="53"/>
      <c r="J80" s="53"/>
      <c r="K80" s="138">
        <f>VLOOKUP(A80,'ביצוע דוח חשב 12.2024'!A:I,9,FALSE)</f>
        <v>0</v>
      </c>
      <c r="L80" s="138">
        <v>0</v>
      </c>
      <c r="M80" s="53"/>
      <c r="N80" s="53"/>
      <c r="O80" s="53"/>
    </row>
    <row r="81" spans="1:15" x14ac:dyDescent="0.2">
      <c r="A81" s="132">
        <v>1315201920</v>
      </c>
      <c r="B81" s="133" t="s">
        <v>289</v>
      </c>
      <c r="C81" s="51" t="str">
        <f>VLOOKUP(A81,'עזר 2025'!A:C,3,FALSE)</f>
        <v>משרד החינוך</v>
      </c>
      <c r="D81" s="138">
        <v>8724015</v>
      </c>
      <c r="E81" s="53"/>
      <c r="F81" s="53">
        <v>9529361.6999999993</v>
      </c>
      <c r="G81" s="53">
        <v>0</v>
      </c>
      <c r="H81" s="53">
        <f t="shared" si="8"/>
        <v>9529361.6999999993</v>
      </c>
      <c r="I81" s="53">
        <v>1000000</v>
      </c>
      <c r="J81" s="53" t="s">
        <v>2117</v>
      </c>
      <c r="K81" s="138">
        <f>VLOOKUP(A81,'ביצוע דוח חשב 12.2024'!A:I,9,FALSE)</f>
        <v>10412693.050000001</v>
      </c>
      <c r="L81" s="138">
        <v>10994391</v>
      </c>
      <c r="M81" s="53"/>
      <c r="N81" s="53"/>
      <c r="O81" s="53"/>
    </row>
    <row r="82" spans="1:15" x14ac:dyDescent="0.2">
      <c r="A82" s="132">
        <v>1315202920</v>
      </c>
      <c r="B82" s="133" t="s">
        <v>290</v>
      </c>
      <c r="C82" s="51" t="str">
        <f>VLOOKUP(A82,'עזר 2025'!A:C,3,FALSE)</f>
        <v>משרד החינוך</v>
      </c>
      <c r="D82" s="138">
        <v>492452</v>
      </c>
      <c r="E82" s="53"/>
      <c r="F82" s="53">
        <v>512346.5</v>
      </c>
      <c r="G82" s="53">
        <v>0</v>
      </c>
      <c r="H82" s="53">
        <f t="shared" si="8"/>
        <v>512346.5</v>
      </c>
      <c r="I82" s="53"/>
      <c r="J82" s="53"/>
      <c r="K82" s="138">
        <f>VLOOKUP(A82,'ביצוע דוח חשב 12.2024'!A:I,9,FALSE)</f>
        <v>512346.5</v>
      </c>
      <c r="L82" s="138">
        <v>512347</v>
      </c>
      <c r="M82" s="53"/>
      <c r="N82" s="53"/>
      <c r="O82" s="53"/>
    </row>
    <row r="83" spans="1:15" x14ac:dyDescent="0.2">
      <c r="A83" s="132">
        <v>1315203920</v>
      </c>
      <c r="B83" s="133" t="s">
        <v>291</v>
      </c>
      <c r="C83" s="51" t="str">
        <f>VLOOKUP(A83,'עזר 2025'!A:C,3,FALSE)</f>
        <v>משרד החינוך</v>
      </c>
      <c r="D83" s="138">
        <v>49498</v>
      </c>
      <c r="E83" s="53"/>
      <c r="F83" s="53">
        <v>49498.02</v>
      </c>
      <c r="G83" s="53">
        <v>0</v>
      </c>
      <c r="H83" s="53">
        <f t="shared" si="8"/>
        <v>49498.02</v>
      </c>
      <c r="I83" s="53"/>
      <c r="J83" s="53"/>
      <c r="K83" s="138">
        <f>VLOOKUP(A83,'ביצוע דוח חשב 12.2024'!A:I,9,FALSE)</f>
        <v>49498.02</v>
      </c>
      <c r="L83" s="138">
        <v>49498</v>
      </c>
      <c r="M83" s="53"/>
      <c r="N83" s="53"/>
      <c r="O83" s="53"/>
    </row>
    <row r="84" spans="1:15" x14ac:dyDescent="0.2">
      <c r="A84" s="132">
        <v>1315204920</v>
      </c>
      <c r="B84" s="133" t="s">
        <v>292</v>
      </c>
      <c r="C84" s="51" t="str">
        <f>VLOOKUP(A84,'עזר 2025'!A:C,3,FALSE)</f>
        <v>משרד החינוך</v>
      </c>
      <c r="D84" s="138">
        <v>3378</v>
      </c>
      <c r="E84" s="53"/>
      <c r="F84" s="53">
        <v>0</v>
      </c>
      <c r="G84" s="53">
        <v>0</v>
      </c>
      <c r="H84" s="53">
        <f t="shared" si="8"/>
        <v>0</v>
      </c>
      <c r="I84" s="53"/>
      <c r="J84" s="53"/>
      <c r="K84" s="138">
        <f>VLOOKUP(A84,'ביצוע דוח חשב 12.2024'!A:I,9,FALSE)</f>
        <v>0</v>
      </c>
      <c r="L84" s="138">
        <v>0</v>
      </c>
      <c r="M84" s="53"/>
      <c r="N84" s="53"/>
      <c r="O84" s="53"/>
    </row>
    <row r="85" spans="1:15" x14ac:dyDescent="0.2">
      <c r="A85" s="132">
        <v>1315206920</v>
      </c>
      <c r="B85" s="133" t="s">
        <v>293</v>
      </c>
      <c r="C85" s="51" t="str">
        <f>VLOOKUP(A85,'עזר 2025'!A:C,3,FALSE)</f>
        <v>משרד החינוך</v>
      </c>
      <c r="D85" s="138">
        <v>37343</v>
      </c>
      <c r="E85" s="53"/>
      <c r="F85" s="53">
        <v>0</v>
      </c>
      <c r="G85" s="53">
        <v>0</v>
      </c>
      <c r="H85" s="53">
        <f t="shared" si="8"/>
        <v>0</v>
      </c>
      <c r="I85" s="53"/>
      <c r="J85" s="53"/>
      <c r="K85" s="138">
        <f>VLOOKUP(A85,'ביצוע דוח חשב 12.2024'!A:I,9,FALSE)</f>
        <v>0</v>
      </c>
      <c r="L85" s="138">
        <v>0</v>
      </c>
      <c r="M85" s="53"/>
      <c r="N85" s="53"/>
      <c r="O85" s="53"/>
    </row>
    <row r="86" spans="1:15" x14ac:dyDescent="0.2">
      <c r="A86" s="132">
        <v>1315209920</v>
      </c>
      <c r="B86" s="133" t="s">
        <v>752</v>
      </c>
      <c r="C86" s="51" t="str">
        <f>VLOOKUP(A86,'עזר 2025'!A:C,3,FALSE)</f>
        <v>משרד החינוך</v>
      </c>
      <c r="D86" s="138">
        <v>668854</v>
      </c>
      <c r="E86" s="53"/>
      <c r="F86" s="53">
        <v>689810.37</v>
      </c>
      <c r="G86" s="53">
        <v>0</v>
      </c>
      <c r="H86" s="53">
        <f t="shared" si="8"/>
        <v>689810.37</v>
      </c>
      <c r="I86" s="53">
        <v>55000</v>
      </c>
      <c r="J86" s="53" t="s">
        <v>2117</v>
      </c>
      <c r="K86" s="138">
        <f>VLOOKUP(A86,'ביצוע דוח חשב 12.2024'!A:I,9,FALSE)</f>
        <v>750348.25</v>
      </c>
      <c r="L86" s="138">
        <v>757152</v>
      </c>
      <c r="M86" s="53"/>
      <c r="N86" s="53"/>
      <c r="O86" s="53"/>
    </row>
    <row r="87" spans="1:15" x14ac:dyDescent="0.2">
      <c r="A87" s="132">
        <v>1315210920</v>
      </c>
      <c r="B87" s="133" t="s">
        <v>285</v>
      </c>
      <c r="C87" s="51" t="str">
        <f>VLOOKUP(A87,'עזר 2025'!A:C,3,FALSE)</f>
        <v>משרד החינוך</v>
      </c>
      <c r="D87" s="138">
        <v>7398</v>
      </c>
      <c r="E87" s="53"/>
      <c r="F87" s="53">
        <v>1197.46</v>
      </c>
      <c r="G87" s="53">
        <v>0</v>
      </c>
      <c r="H87" s="53">
        <f t="shared" si="8"/>
        <v>1197.46</v>
      </c>
      <c r="I87" s="53"/>
      <c r="J87" s="53"/>
      <c r="K87" s="138">
        <f>VLOOKUP(A87,'ביצוע דוח חשב 12.2024'!A:I,9,FALSE)</f>
        <v>2552.06</v>
      </c>
      <c r="L87" s="138">
        <v>6770</v>
      </c>
      <c r="M87" s="53"/>
      <c r="N87" s="53"/>
      <c r="O87" s="53"/>
    </row>
    <row r="88" spans="1:15" x14ac:dyDescent="0.2">
      <c r="A88" s="132">
        <v>1315211920</v>
      </c>
      <c r="B88" s="133" t="s">
        <v>753</v>
      </c>
      <c r="C88" s="51" t="str">
        <f>VLOOKUP(A88,'עזר 2025'!A:C,3,FALSE)</f>
        <v>משרד החינוך</v>
      </c>
      <c r="D88" s="138">
        <v>16557</v>
      </c>
      <c r="E88" s="53"/>
      <c r="F88" s="53">
        <v>16013.86</v>
      </c>
      <c r="G88" s="53">
        <v>0</v>
      </c>
      <c r="H88" s="53">
        <f t="shared" si="8"/>
        <v>16013.86</v>
      </c>
      <c r="I88" s="53">
        <v>1500</v>
      </c>
      <c r="J88" s="53" t="s">
        <v>2117</v>
      </c>
      <c r="K88" s="138">
        <f>VLOOKUP(A88,'ביצוע דוח חשב 12.2024'!A:I,9,FALSE)</f>
        <v>17393.62</v>
      </c>
      <c r="L88" s="138">
        <v>10038</v>
      </c>
      <c r="M88" s="53"/>
      <c r="N88" s="53"/>
      <c r="O88" s="53"/>
    </row>
    <row r="89" spans="1:15" x14ac:dyDescent="0.2">
      <c r="A89" s="132">
        <v>1315213920</v>
      </c>
      <c r="B89" s="133" t="s">
        <v>286</v>
      </c>
      <c r="C89" s="51" t="str">
        <f>VLOOKUP(A89,'עזר 2025'!A:C,3,FALSE)</f>
        <v>משרד החינוך</v>
      </c>
      <c r="D89" s="138">
        <v>182394</v>
      </c>
      <c r="E89" s="53"/>
      <c r="F89" s="53">
        <v>164556.20000000001</v>
      </c>
      <c r="G89" s="53">
        <v>0</v>
      </c>
      <c r="H89" s="53">
        <f t="shared" si="8"/>
        <v>164556.20000000001</v>
      </c>
      <c r="I89" s="53">
        <v>16500</v>
      </c>
      <c r="J89" s="53" t="s">
        <v>2117</v>
      </c>
      <c r="K89" s="138">
        <f>VLOOKUP(A89,'ביצוע דוח חשב 12.2024'!A:I,9,FALSE)</f>
        <v>179644.72</v>
      </c>
      <c r="L89" s="138">
        <v>190612</v>
      </c>
      <c r="M89" s="53"/>
      <c r="N89" s="53"/>
      <c r="O89" s="53"/>
    </row>
    <row r="90" spans="1:15" x14ac:dyDescent="0.2">
      <c r="A90" s="132">
        <v>1315214920</v>
      </c>
      <c r="B90" s="133" t="s">
        <v>287</v>
      </c>
      <c r="C90" s="51" t="str">
        <f>VLOOKUP(A90,'עזר 2025'!A:C,3,FALSE)</f>
        <v>משרד החינוך</v>
      </c>
      <c r="D90" s="138">
        <v>269615</v>
      </c>
      <c r="E90" s="53"/>
      <c r="F90" s="53">
        <v>271477.89</v>
      </c>
      <c r="G90" s="53">
        <v>0</v>
      </c>
      <c r="H90" s="53">
        <f t="shared" si="8"/>
        <v>271477.89</v>
      </c>
      <c r="I90" s="53">
        <v>34000</v>
      </c>
      <c r="J90" s="53" t="s">
        <v>2117</v>
      </c>
      <c r="K90" s="138">
        <f>VLOOKUP(A90,'ביצוע דוח חשב 12.2024'!A:I,9,FALSE)</f>
        <v>298052.77</v>
      </c>
      <c r="L90" s="138">
        <v>324711</v>
      </c>
      <c r="M90" s="53"/>
      <c r="N90" s="53"/>
      <c r="O90" s="53"/>
    </row>
    <row r="91" spans="1:15" x14ac:dyDescent="0.2">
      <c r="A91" s="132">
        <v>1315216920</v>
      </c>
      <c r="B91" s="133" t="s">
        <v>288</v>
      </c>
      <c r="C91" s="51" t="str">
        <f>VLOOKUP(A91,'עזר 2025'!A:C,3,FALSE)</f>
        <v>משרד החינוך</v>
      </c>
      <c r="D91" s="138">
        <v>9857</v>
      </c>
      <c r="E91" s="53"/>
      <c r="F91" s="53">
        <v>0</v>
      </c>
      <c r="G91" s="53">
        <v>0</v>
      </c>
      <c r="H91" s="53">
        <f t="shared" si="8"/>
        <v>0</v>
      </c>
      <c r="I91" s="53"/>
      <c r="J91" s="53"/>
      <c r="K91" s="138">
        <f>VLOOKUP(A91,'ביצוע דוח חשב 12.2024'!A:I,9,FALSE)</f>
        <v>0</v>
      </c>
      <c r="L91" s="138">
        <v>0</v>
      </c>
      <c r="M91" s="53"/>
      <c r="N91" s="53"/>
      <c r="O91" s="53"/>
    </row>
    <row r="92" spans="1:15" x14ac:dyDescent="0.2">
      <c r="A92" s="132">
        <v>1315218920</v>
      </c>
      <c r="B92" s="133" t="s">
        <v>754</v>
      </c>
      <c r="C92" s="51" t="str">
        <f>VLOOKUP(A92,'עזר 2025'!A:C,3,FALSE)</f>
        <v>משרד החינוך</v>
      </c>
      <c r="D92" s="138">
        <v>282053</v>
      </c>
      <c r="E92" s="53"/>
      <c r="F92" s="53">
        <v>284037.68</v>
      </c>
      <c r="G92" s="53">
        <v>0</v>
      </c>
      <c r="H92" s="53">
        <f t="shared" si="8"/>
        <v>284037.68</v>
      </c>
      <c r="I92" s="53">
        <v>28000</v>
      </c>
      <c r="J92" s="53" t="s">
        <v>2117</v>
      </c>
      <c r="K92" s="138">
        <f>VLOOKUP(A92,'ביצוע דוח חשב 12.2024'!A:I,9,FALSE)</f>
        <v>311977.7</v>
      </c>
      <c r="L92" s="138">
        <v>299066</v>
      </c>
      <c r="M92" s="53"/>
      <c r="N92" s="53"/>
      <c r="O92" s="53"/>
    </row>
    <row r="93" spans="1:15" x14ac:dyDescent="0.2">
      <c r="A93" s="132">
        <v>1315219920</v>
      </c>
      <c r="B93" s="133" t="s">
        <v>755</v>
      </c>
      <c r="C93" s="51" t="str">
        <f>VLOOKUP(A93,'עזר 2025'!A:C,3,FALSE)</f>
        <v>משרד החינוך</v>
      </c>
      <c r="D93" s="138">
        <v>12643</v>
      </c>
      <c r="E93" s="53"/>
      <c r="F93" s="53">
        <v>13442.07</v>
      </c>
      <c r="G93" s="53">
        <v>0</v>
      </c>
      <c r="H93" s="53">
        <f t="shared" ref="H93:H136" si="11">F93+G93</f>
        <v>13442.07</v>
      </c>
      <c r="I93" s="53">
        <v>2000</v>
      </c>
      <c r="J93" s="53" t="s">
        <v>2117</v>
      </c>
      <c r="K93" s="138">
        <f>VLOOKUP(A93,'ביצוע דוח חשב 12.2024'!A:I,9,FALSE)</f>
        <v>15394.51</v>
      </c>
      <c r="L93" s="138">
        <v>21161</v>
      </c>
      <c r="M93" s="53"/>
      <c r="N93" s="53"/>
      <c r="O93" s="53"/>
    </row>
    <row r="94" spans="1:15" x14ac:dyDescent="0.2">
      <c r="A94" s="132">
        <v>1315220920</v>
      </c>
      <c r="B94" s="133" t="s">
        <v>756</v>
      </c>
      <c r="C94" s="51" t="str">
        <f>VLOOKUP(A94,'עזר 2025'!A:C,3,FALSE)</f>
        <v>משרד החינוך</v>
      </c>
      <c r="D94" s="138">
        <v>1547440</v>
      </c>
      <c r="E94" s="53"/>
      <c r="F94" s="53">
        <v>1443774.55</v>
      </c>
      <c r="G94" s="53">
        <v>0</v>
      </c>
      <c r="H94" s="53">
        <f t="shared" si="11"/>
        <v>1443774.55</v>
      </c>
      <c r="I94" s="53">
        <v>130000</v>
      </c>
      <c r="J94" s="53" t="s">
        <v>2117</v>
      </c>
      <c r="K94" s="138">
        <f>VLOOKUP(A94,'ביצוע דוח חשב 12.2024'!A:I,9,FALSE)</f>
        <v>1460023.23</v>
      </c>
      <c r="L94" s="138">
        <v>941515</v>
      </c>
      <c r="M94" s="53"/>
      <c r="N94" s="53"/>
      <c r="O94" s="53"/>
    </row>
    <row r="95" spans="1:15" x14ac:dyDescent="0.2">
      <c r="A95" s="132">
        <v>1315221920</v>
      </c>
      <c r="B95" s="133" t="s">
        <v>757</v>
      </c>
      <c r="C95" s="51" t="str">
        <f>VLOOKUP(A95,'עזר 2025'!A:C,3,FALSE)</f>
        <v>משרד החינוך</v>
      </c>
      <c r="D95" s="138">
        <v>7793</v>
      </c>
      <c r="E95" s="53"/>
      <c r="F95" s="53">
        <v>14005.23</v>
      </c>
      <c r="G95" s="53">
        <v>0</v>
      </c>
      <c r="H95" s="53">
        <f t="shared" si="11"/>
        <v>14005.23</v>
      </c>
      <c r="I95" s="53">
        <v>1000</v>
      </c>
      <c r="J95" s="53" t="s">
        <v>2117</v>
      </c>
      <c r="K95" s="138">
        <f>VLOOKUP(A95,'ביצוע דוח חשב 12.2024'!A:I,9,FALSE)</f>
        <v>14751.4</v>
      </c>
      <c r="L95" s="138">
        <v>8954</v>
      </c>
      <c r="M95" s="53"/>
      <c r="N95" s="53"/>
      <c r="O95" s="53"/>
    </row>
    <row r="96" spans="1:15" x14ac:dyDescent="0.2">
      <c r="A96" s="132">
        <v>1315222920</v>
      </c>
      <c r="B96" s="133" t="s">
        <v>758</v>
      </c>
      <c r="C96" s="51" t="str">
        <f>VLOOKUP(A96,'עזר 2025'!A:C,3,FALSE)</f>
        <v>משרד החינוך</v>
      </c>
      <c r="D96" s="138">
        <v>169211</v>
      </c>
      <c r="E96" s="53"/>
      <c r="F96" s="53">
        <v>156473.01</v>
      </c>
      <c r="G96" s="53">
        <v>0</v>
      </c>
      <c r="H96" s="53">
        <f t="shared" si="11"/>
        <v>156473.01</v>
      </c>
      <c r="I96" s="53">
        <v>11000</v>
      </c>
      <c r="J96" s="53" t="s">
        <v>2117</v>
      </c>
      <c r="K96" s="138">
        <f>VLOOKUP(A96,'ביצוע דוח חשב 12.2024'!A:I,9,FALSE)</f>
        <v>158655.93</v>
      </c>
      <c r="L96" s="138">
        <v>89758</v>
      </c>
      <c r="M96" s="53"/>
      <c r="N96" s="53"/>
      <c r="O96" s="53"/>
    </row>
    <row r="97" spans="1:15" x14ac:dyDescent="0.2">
      <c r="A97" s="132">
        <v>1315223920</v>
      </c>
      <c r="B97" s="133" t="s">
        <v>713</v>
      </c>
      <c r="C97" s="51" t="str">
        <f>VLOOKUP(A97,'עזר 2025'!A:C,3,FALSE)</f>
        <v>משרד החינוך</v>
      </c>
      <c r="D97" s="138">
        <v>636853</v>
      </c>
      <c r="E97" s="53"/>
      <c r="F97" s="53">
        <v>641871.48</v>
      </c>
      <c r="G97" s="53">
        <v>0</v>
      </c>
      <c r="H97" s="53">
        <f t="shared" si="11"/>
        <v>641871.48</v>
      </c>
      <c r="I97" s="53">
        <v>75000</v>
      </c>
      <c r="J97" s="53" t="s">
        <v>2117</v>
      </c>
      <c r="K97" s="138">
        <f>VLOOKUP(A97,'ביצוע דוח חשב 12.2024'!A:I,9,FALSE)</f>
        <v>706354.65</v>
      </c>
      <c r="L97" s="138">
        <v>785041</v>
      </c>
      <c r="M97" s="53"/>
      <c r="N97" s="53"/>
      <c r="O97" s="53"/>
    </row>
    <row r="98" spans="1:15" x14ac:dyDescent="0.2">
      <c r="A98" s="132">
        <v>1315224920</v>
      </c>
      <c r="B98" s="133" t="s">
        <v>709</v>
      </c>
      <c r="C98" s="51" t="str">
        <f>VLOOKUP(A98,'עזר 2025'!A:C,3,FALSE)</f>
        <v>משרד החינוך</v>
      </c>
      <c r="D98" s="138">
        <v>108743</v>
      </c>
      <c r="E98" s="53"/>
      <c r="F98" s="53">
        <v>112024.42</v>
      </c>
      <c r="G98" s="53">
        <v>0</v>
      </c>
      <c r="H98" s="53">
        <f t="shared" si="11"/>
        <v>112024.42</v>
      </c>
      <c r="I98" s="53">
        <v>15000</v>
      </c>
      <c r="J98" s="53" t="s">
        <v>2117</v>
      </c>
      <c r="K98" s="138">
        <f>VLOOKUP(A98,'ביצוע דוח חשב 12.2024'!A:I,9,FALSE)</f>
        <v>123108.93</v>
      </c>
      <c r="L98" s="138">
        <v>142025</v>
      </c>
      <c r="M98" s="53"/>
      <c r="N98" s="53"/>
      <c r="O98" s="53"/>
    </row>
    <row r="99" spans="1:15" x14ac:dyDescent="0.2">
      <c r="A99" s="132">
        <v>1315225920</v>
      </c>
      <c r="B99" s="133" t="s">
        <v>759</v>
      </c>
      <c r="C99" s="51" t="str">
        <f>VLOOKUP(A99,'עזר 2025'!A:C,3,FALSE)</f>
        <v>משרד החינוך</v>
      </c>
      <c r="D99" s="138">
        <v>44823</v>
      </c>
      <c r="E99" s="53"/>
      <c r="F99" s="53">
        <v>45507.48</v>
      </c>
      <c r="G99" s="53">
        <v>0</v>
      </c>
      <c r="H99" s="53">
        <f t="shared" si="11"/>
        <v>45507.48</v>
      </c>
      <c r="I99" s="53">
        <v>5800</v>
      </c>
      <c r="J99" s="53" t="s">
        <v>2117</v>
      </c>
      <c r="K99" s="138">
        <f>VLOOKUP(A99,'ביצוע דוח חשב 12.2024'!A:I,9,FALSE)</f>
        <v>49855.39</v>
      </c>
      <c r="L99" s="138">
        <v>55518</v>
      </c>
      <c r="M99" s="53"/>
      <c r="N99" s="53"/>
      <c r="O99" s="53"/>
    </row>
    <row r="100" spans="1:15" x14ac:dyDescent="0.2">
      <c r="A100" s="132">
        <v>1315226920</v>
      </c>
      <c r="B100" s="133" t="s">
        <v>1670</v>
      </c>
      <c r="C100" s="51" t="s">
        <v>338</v>
      </c>
      <c r="D100" s="138">
        <v>117171</v>
      </c>
      <c r="E100" s="53"/>
      <c r="F100" s="53">
        <v>0</v>
      </c>
      <c r="G100" s="53">
        <v>0</v>
      </c>
      <c r="H100" s="53">
        <f t="shared" si="11"/>
        <v>0</v>
      </c>
      <c r="I100" s="53"/>
      <c r="J100" s="53"/>
      <c r="K100" s="138">
        <f>VLOOKUP(A100,'ביצוע דוח חשב 12.2024'!A:I,9,FALSE)</f>
        <v>0</v>
      </c>
      <c r="L100" s="138">
        <v>907500</v>
      </c>
      <c r="M100" s="53"/>
      <c r="N100" s="53"/>
      <c r="O100" s="53"/>
    </row>
    <row r="101" spans="1:15" x14ac:dyDescent="0.2">
      <c r="A101" s="132">
        <v>1315228920</v>
      </c>
      <c r="B101" s="133" t="s">
        <v>710</v>
      </c>
      <c r="C101" s="51" t="str">
        <f>VLOOKUP(A101,'עזר 2025'!A:C,3,FALSE)</f>
        <v>משרד החינוך</v>
      </c>
      <c r="D101" s="138">
        <v>342603</v>
      </c>
      <c r="E101" s="53"/>
      <c r="F101" s="53">
        <v>340410.78</v>
      </c>
      <c r="G101" s="53">
        <v>0</v>
      </c>
      <c r="H101" s="53">
        <f t="shared" si="11"/>
        <v>340410.78</v>
      </c>
      <c r="I101" s="53">
        <v>26000</v>
      </c>
      <c r="J101" s="53" t="s">
        <v>2117</v>
      </c>
      <c r="K101" s="138">
        <f>VLOOKUP(A101,'ביצוע דוח חשב 12.2024'!A:I,9,FALSE)</f>
        <v>365417.28</v>
      </c>
      <c r="L101" s="138">
        <v>340805</v>
      </c>
      <c r="M101" s="53"/>
      <c r="N101" s="53"/>
      <c r="O101" s="53"/>
    </row>
    <row r="102" spans="1:15" x14ac:dyDescent="0.2">
      <c r="A102" s="132">
        <v>1315229920</v>
      </c>
      <c r="B102" s="133" t="s">
        <v>760</v>
      </c>
      <c r="C102" s="51" t="str">
        <f>VLOOKUP(A102,'עזר 2025'!A:C,3,FALSE)</f>
        <v>משרד החינוך</v>
      </c>
      <c r="D102" s="138">
        <v>302867</v>
      </c>
      <c r="E102" s="53"/>
      <c r="F102" s="53">
        <v>283953.55</v>
      </c>
      <c r="G102" s="53">
        <v>0</v>
      </c>
      <c r="H102" s="53">
        <f t="shared" si="11"/>
        <v>283953.55</v>
      </c>
      <c r="I102" s="53">
        <v>33000</v>
      </c>
      <c r="J102" s="53" t="s">
        <v>2117</v>
      </c>
      <c r="K102" s="138">
        <f>VLOOKUP(A102,'ביצוע דוח חשב 12.2024'!A:I,9,FALSE)</f>
        <v>311639.87</v>
      </c>
      <c r="L102" s="138">
        <v>332317</v>
      </c>
      <c r="M102" s="53"/>
      <c r="N102" s="53"/>
      <c r="O102" s="53"/>
    </row>
    <row r="103" spans="1:15" x14ac:dyDescent="0.2">
      <c r="A103" s="132">
        <v>1315230920</v>
      </c>
      <c r="B103" s="133" t="s">
        <v>761</v>
      </c>
      <c r="C103" s="51" t="str">
        <f>VLOOKUP(A103,'עזר 2025'!A:C,3,FALSE)</f>
        <v>משרד החינוך</v>
      </c>
      <c r="D103" s="138">
        <v>52351</v>
      </c>
      <c r="E103" s="53"/>
      <c r="F103" s="53">
        <v>52294.14</v>
      </c>
      <c r="G103" s="53">
        <v>0</v>
      </c>
      <c r="H103" s="53">
        <f t="shared" si="11"/>
        <v>52294.14</v>
      </c>
      <c r="I103" s="53">
        <v>6500</v>
      </c>
      <c r="J103" s="53" t="s">
        <v>2117</v>
      </c>
      <c r="K103" s="138">
        <f>VLOOKUP(A103,'ביצוע דוח חשב 12.2024'!A:I,9,FALSE)</f>
        <v>57310.39</v>
      </c>
      <c r="L103" s="138">
        <v>62906</v>
      </c>
      <c r="M103" s="53"/>
      <c r="N103" s="53"/>
      <c r="O103" s="53"/>
    </row>
    <row r="104" spans="1:15" x14ac:dyDescent="0.2">
      <c r="A104" s="132">
        <v>1315230921</v>
      </c>
      <c r="B104" s="133" t="s">
        <v>1523</v>
      </c>
      <c r="C104" s="51" t="str">
        <f>VLOOKUP(A104,'עזר 2025'!A:C,3,FALSE)</f>
        <v>משרד החינוך</v>
      </c>
      <c r="D104" s="138">
        <v>100000</v>
      </c>
      <c r="E104" s="53"/>
      <c r="F104" s="53">
        <v>0</v>
      </c>
      <c r="G104" s="53">
        <v>0</v>
      </c>
      <c r="H104" s="53">
        <f t="shared" si="11"/>
        <v>0</v>
      </c>
      <c r="I104" s="53"/>
      <c r="J104" s="53"/>
      <c r="K104" s="138">
        <v>90000</v>
      </c>
      <c r="L104" s="138">
        <v>100000</v>
      </c>
      <c r="M104" s="53"/>
      <c r="N104" s="53"/>
      <c r="O104" s="53"/>
    </row>
    <row r="105" spans="1:15" x14ac:dyDescent="0.2">
      <c r="A105" s="132">
        <v>1315233920</v>
      </c>
      <c r="B105" s="133" t="s">
        <v>762</v>
      </c>
      <c r="C105" s="51" t="str">
        <f>VLOOKUP(A105,'עזר 2025'!A:C,3,FALSE)</f>
        <v>משרד החינוך</v>
      </c>
      <c r="D105" s="138">
        <v>2579066</v>
      </c>
      <c r="E105" s="53"/>
      <c r="F105" s="53">
        <v>2693552.44</v>
      </c>
      <c r="G105" s="53">
        <v>0</v>
      </c>
      <c r="H105" s="53">
        <f t="shared" si="11"/>
        <v>2693552.44</v>
      </c>
      <c r="I105" s="53">
        <v>350000</v>
      </c>
      <c r="J105" s="53" t="s">
        <v>2117</v>
      </c>
      <c r="K105" s="138">
        <f>VLOOKUP(A105,'ביצוע דוח חשב 12.2024'!A:I,9,FALSE)</f>
        <v>2927107.47</v>
      </c>
      <c r="L105" s="138">
        <v>3138402</v>
      </c>
      <c r="M105" s="53"/>
      <c r="N105" s="53"/>
      <c r="O105" s="53"/>
    </row>
    <row r="106" spans="1:15" x14ac:dyDescent="0.2">
      <c r="A106" s="132">
        <v>1315326920</v>
      </c>
      <c r="B106" s="133" t="s">
        <v>1566</v>
      </c>
      <c r="C106" s="51" t="str">
        <f>VLOOKUP(A106,'עזר 2025'!A:C,3,FALSE)</f>
        <v>משרד החינוך</v>
      </c>
      <c r="D106" s="138">
        <v>0</v>
      </c>
      <c r="E106" s="53"/>
      <c r="F106" s="53">
        <v>-1022260.78</v>
      </c>
      <c r="G106" s="53">
        <v>0</v>
      </c>
      <c r="H106" s="53">
        <f t="shared" si="11"/>
        <v>-1022260.78</v>
      </c>
      <c r="I106" s="53"/>
      <c r="J106" s="53"/>
      <c r="K106" s="138">
        <v>1025000</v>
      </c>
      <c r="L106" s="138">
        <v>1000000</v>
      </c>
      <c r="M106" s="53"/>
      <c r="N106" s="53"/>
      <c r="O106" s="53"/>
    </row>
    <row r="107" spans="1:15" x14ac:dyDescent="0.2">
      <c r="A107" s="132">
        <v>1315426920</v>
      </c>
      <c r="B107" s="133" t="s">
        <v>1567</v>
      </c>
      <c r="C107" s="51" t="str">
        <f>VLOOKUP(A107,'עזר 2025'!A:C,3,FALSE)</f>
        <v>משרד החינוך</v>
      </c>
      <c r="D107" s="138">
        <v>51939</v>
      </c>
      <c r="E107" s="53"/>
      <c r="F107" s="53">
        <v>87105.600000000006</v>
      </c>
      <c r="G107" s="53">
        <v>0</v>
      </c>
      <c r="H107" s="53">
        <f t="shared" si="11"/>
        <v>87105.600000000006</v>
      </c>
      <c r="I107" s="53"/>
      <c r="J107" s="53"/>
      <c r="K107" s="138">
        <f>VLOOKUP(A107,'ביצוע דוח חשב 12.2024'!A:I,9,FALSE)</f>
        <v>87105.600000000006</v>
      </c>
      <c r="L107" s="138">
        <v>87106</v>
      </c>
      <c r="M107" s="53"/>
      <c r="N107" s="53"/>
      <c r="O107" s="53"/>
    </row>
    <row r="108" spans="1:15" x14ac:dyDescent="0.2">
      <c r="A108" s="132">
        <v>1315526920</v>
      </c>
      <c r="B108" s="133" t="s">
        <v>1568</v>
      </c>
      <c r="C108" s="51" t="str">
        <f>VLOOKUP(A108,'עזר 2025'!A:C,3,FALSE)</f>
        <v>משרד החינוך</v>
      </c>
      <c r="D108" s="138">
        <v>111581</v>
      </c>
      <c r="E108" s="53"/>
      <c r="F108" s="53">
        <v>178528</v>
      </c>
      <c r="G108" s="53">
        <v>0</v>
      </c>
      <c r="H108" s="53">
        <f t="shared" si="11"/>
        <v>178528</v>
      </c>
      <c r="I108" s="53"/>
      <c r="J108" s="53"/>
      <c r="K108" s="138">
        <f>VLOOKUP(A108,'ביצוע דוח חשב 12.2024'!A:I,9,FALSE)</f>
        <v>178528</v>
      </c>
      <c r="L108" s="138">
        <v>186480</v>
      </c>
      <c r="M108" s="53"/>
      <c r="N108" s="53"/>
      <c r="O108" s="53"/>
    </row>
    <row r="109" spans="1:15" x14ac:dyDescent="0.2">
      <c r="A109" s="132">
        <v>1315626920</v>
      </c>
      <c r="B109" s="133" t="s">
        <v>1569</v>
      </c>
      <c r="C109" s="51" t="str">
        <f>VLOOKUP(A109,'עזר 2025'!A:C,3,FALSE)</f>
        <v>משרד החינוך</v>
      </c>
      <c r="D109" s="138">
        <v>0</v>
      </c>
      <c r="E109" s="53"/>
      <c r="F109" s="53">
        <v>822594</v>
      </c>
      <c r="G109" s="53">
        <v>0</v>
      </c>
      <c r="H109" s="53">
        <f t="shared" si="11"/>
        <v>822594</v>
      </c>
      <c r="I109" s="53"/>
      <c r="J109" s="53"/>
      <c r="K109" s="138">
        <f>VLOOKUP(A109,'ביצוע דוח חשב 12.2024'!A:I,9,FALSE)</f>
        <v>822594</v>
      </c>
      <c r="L109" s="138">
        <v>10000</v>
      </c>
      <c r="M109" s="53"/>
      <c r="N109" s="53"/>
      <c r="O109" s="53"/>
    </row>
    <row r="110" spans="1:15" ht="26.25" x14ac:dyDescent="0.2">
      <c r="A110" s="134"/>
      <c r="B110" s="134" t="s">
        <v>727</v>
      </c>
      <c r="C110" s="79"/>
      <c r="D110" s="139">
        <f>SUM(D80:D109)</f>
        <v>16937498</v>
      </c>
      <c r="E110" s="80">
        <f t="shared" ref="E110:O110" si="12">SUM(E80:E109)</f>
        <v>0</v>
      </c>
      <c r="F110" s="80">
        <f t="shared" si="12"/>
        <v>17381575.650000002</v>
      </c>
      <c r="G110" s="80">
        <f t="shared" si="12"/>
        <v>0</v>
      </c>
      <c r="H110" s="80">
        <f t="shared" si="12"/>
        <v>17381575.650000002</v>
      </c>
      <c r="I110" s="80">
        <f t="shared" si="12"/>
        <v>1790300</v>
      </c>
      <c r="J110" s="80">
        <f t="shared" si="12"/>
        <v>0</v>
      </c>
      <c r="K110" s="139">
        <f t="shared" si="12"/>
        <v>20927353.34</v>
      </c>
      <c r="L110" s="139">
        <f t="shared" si="12"/>
        <v>21354073</v>
      </c>
      <c r="M110" s="80">
        <f t="shared" si="12"/>
        <v>0</v>
      </c>
      <c r="N110" s="80">
        <f t="shared" si="12"/>
        <v>0</v>
      </c>
      <c r="O110" s="80">
        <f t="shared" si="12"/>
        <v>0</v>
      </c>
    </row>
    <row r="111" spans="1:15" x14ac:dyDescent="0.2">
      <c r="A111" s="132">
        <v>1317100990</v>
      </c>
      <c r="B111" s="133" t="s">
        <v>294</v>
      </c>
      <c r="C111" s="56" t="str">
        <f>VLOOKUP(A111,'עזר 2025'!A:C,3,FALSE)</f>
        <v xml:space="preserve"> תקבולים ממשלתיים אחרים</v>
      </c>
      <c r="D111" s="138">
        <v>700000</v>
      </c>
      <c r="E111" s="57"/>
      <c r="F111" s="57">
        <v>0</v>
      </c>
      <c r="G111" s="57">
        <v>0</v>
      </c>
      <c r="H111" s="57">
        <f t="shared" si="11"/>
        <v>0</v>
      </c>
      <c r="I111" s="57">
        <f>0.64*K396-H111</f>
        <v>781290.5024</v>
      </c>
      <c r="J111" s="57" t="s">
        <v>2131</v>
      </c>
      <c r="K111" s="138">
        <f>VLOOKUP(A111,'ביצוע דוח חשב 12.2024'!A:I,9,FALSE)</f>
        <v>781290.5024</v>
      </c>
      <c r="L111" s="138">
        <v>800000</v>
      </c>
      <c r="M111" s="53"/>
      <c r="N111" s="53"/>
      <c r="O111" s="53"/>
    </row>
    <row r="112" spans="1:15" x14ac:dyDescent="0.2">
      <c r="A112" s="132">
        <v>1317301920</v>
      </c>
      <c r="B112" s="133" t="s">
        <v>763</v>
      </c>
      <c r="C112" s="51" t="str">
        <f>VLOOKUP(A112,'עזר 2025'!A:C,3,FALSE)</f>
        <v>משרד החינוך</v>
      </c>
      <c r="D112" s="138">
        <v>640205</v>
      </c>
      <c r="E112" s="53"/>
      <c r="F112" s="53">
        <v>835813</v>
      </c>
      <c r="G112" s="53">
        <v>0</v>
      </c>
      <c r="H112" s="53">
        <f t="shared" si="11"/>
        <v>835813</v>
      </c>
      <c r="I112" s="53">
        <v>75000</v>
      </c>
      <c r="J112" s="53" t="s">
        <v>2117</v>
      </c>
      <c r="K112" s="138">
        <f>VLOOKUP(A112,'ביצוע דוח חשב 12.2024'!A:I,9,FALSE)</f>
        <v>906236.71</v>
      </c>
      <c r="L112" s="138">
        <v>885930</v>
      </c>
      <c r="M112" s="53"/>
      <c r="N112" s="53"/>
      <c r="O112" s="53"/>
    </row>
    <row r="113" spans="1:15" x14ac:dyDescent="0.2">
      <c r="A113" s="132">
        <v>1317302920</v>
      </c>
      <c r="B113" s="133" t="s">
        <v>296</v>
      </c>
      <c r="C113" s="51" t="str">
        <f>VLOOKUP(A113,'עזר 2025'!A:C,3,FALSE)</f>
        <v>משרד החינוך</v>
      </c>
      <c r="D113" s="138">
        <v>42277</v>
      </c>
      <c r="E113" s="53"/>
      <c r="F113" s="53">
        <v>29799</v>
      </c>
      <c r="G113" s="53">
        <v>0</v>
      </c>
      <c r="H113" s="53">
        <f t="shared" si="11"/>
        <v>29799</v>
      </c>
      <c r="I113" s="53"/>
      <c r="J113" s="53"/>
      <c r="K113" s="138">
        <f>VLOOKUP(A113,'ביצוע דוח חשב 12.2024'!A:I,9,FALSE)</f>
        <v>49665</v>
      </c>
      <c r="L113" s="138">
        <v>49665</v>
      </c>
      <c r="M113" s="53"/>
      <c r="N113" s="53"/>
      <c r="O113" s="53"/>
    </row>
    <row r="114" spans="1:15" x14ac:dyDescent="0.2">
      <c r="A114" s="132">
        <v>1317603920</v>
      </c>
      <c r="B114" s="133" t="s">
        <v>183</v>
      </c>
      <c r="C114" s="51" t="str">
        <f>VLOOKUP(A114,'עזר 2025'!A:C,3,FALSE)</f>
        <v>משרד החינוך</v>
      </c>
      <c r="D114" s="138">
        <v>255237</v>
      </c>
      <c r="E114" s="53"/>
      <c r="F114" s="53">
        <v>72998</v>
      </c>
      <c r="G114" s="53">
        <v>0</v>
      </c>
      <c r="H114" s="53">
        <f t="shared" si="11"/>
        <v>72998</v>
      </c>
      <c r="I114" s="53"/>
      <c r="J114" s="53"/>
      <c r="K114" s="138">
        <f>VLOOKUP(A114,'ביצוע דוח חשב 12.2024'!A:I,9,FALSE)</f>
        <v>255237</v>
      </c>
      <c r="L114" s="138">
        <v>255237</v>
      </c>
      <c r="M114" s="53"/>
      <c r="N114" s="53"/>
      <c r="O114" s="53"/>
    </row>
    <row r="115" spans="1:15" x14ac:dyDescent="0.2">
      <c r="A115" s="132">
        <v>1317610920</v>
      </c>
      <c r="B115" s="133" t="s">
        <v>297</v>
      </c>
      <c r="C115" s="51" t="str">
        <f>VLOOKUP(A115,'עזר 2025'!A:C,3,FALSE)</f>
        <v>משרד החינוך</v>
      </c>
      <c r="D115" s="138">
        <v>95874</v>
      </c>
      <c r="E115" s="53"/>
      <c r="F115" s="53">
        <v>0</v>
      </c>
      <c r="G115" s="53">
        <v>0</v>
      </c>
      <c r="H115" s="53">
        <f t="shared" si="11"/>
        <v>0</v>
      </c>
      <c r="I115" s="53"/>
      <c r="J115" s="53"/>
      <c r="K115" s="138">
        <f>VLOOKUP(A115,'ביצוע דוח חשב 12.2024'!A:I,9,FALSE)</f>
        <v>58002</v>
      </c>
      <c r="L115" s="138">
        <v>95874</v>
      </c>
      <c r="M115" s="53"/>
      <c r="N115" s="53"/>
      <c r="O115" s="53"/>
    </row>
    <row r="116" spans="1:15" x14ac:dyDescent="0.2">
      <c r="A116" s="132">
        <v>1317620920</v>
      </c>
      <c r="B116" s="133" t="s">
        <v>245</v>
      </c>
      <c r="C116" s="51" t="str">
        <f>VLOOKUP(A116,'עזר 2025'!A:C,3,FALSE)</f>
        <v>משרד החינוך</v>
      </c>
      <c r="D116" s="138">
        <v>185828</v>
      </c>
      <c r="E116" s="53"/>
      <c r="F116" s="53">
        <v>20900</v>
      </c>
      <c r="G116" s="53">
        <v>0</v>
      </c>
      <c r="H116" s="53">
        <f t="shared" si="11"/>
        <v>20900</v>
      </c>
      <c r="I116" s="53"/>
      <c r="J116" s="53"/>
      <c r="K116" s="138">
        <f>VLOOKUP(A116,'ביצוע דוח חשב 12.2024'!A:I,9,FALSE)</f>
        <v>147919</v>
      </c>
      <c r="L116" s="138">
        <v>185828</v>
      </c>
      <c r="M116" s="53"/>
      <c r="N116" s="53"/>
      <c r="O116" s="53"/>
    </row>
    <row r="117" spans="1:15" x14ac:dyDescent="0.2">
      <c r="A117" s="132">
        <v>1317700920</v>
      </c>
      <c r="B117" s="133" t="s">
        <v>299</v>
      </c>
      <c r="C117" s="96" t="str">
        <f>VLOOKUP(A117,'עזר 2025'!A:C,3,FALSE)</f>
        <v>משרד החינוך</v>
      </c>
      <c r="D117" s="138">
        <v>100000</v>
      </c>
      <c r="E117" s="57"/>
      <c r="F117" s="57">
        <v>76781</v>
      </c>
      <c r="G117" s="57">
        <v>0</v>
      </c>
      <c r="H117" s="57">
        <f t="shared" si="11"/>
        <v>76781</v>
      </c>
      <c r="I117" s="57"/>
      <c r="J117" s="57" t="s">
        <v>2086</v>
      </c>
      <c r="K117" s="138">
        <v>0</v>
      </c>
      <c r="L117" s="138">
        <v>0</v>
      </c>
      <c r="M117" s="53"/>
      <c r="N117" s="53"/>
      <c r="O117" s="53"/>
    </row>
    <row r="118" spans="1:15" x14ac:dyDescent="0.2">
      <c r="A118" s="132">
        <v>1317710920</v>
      </c>
      <c r="B118" s="133" t="s">
        <v>300</v>
      </c>
      <c r="C118" s="51" t="str">
        <f>VLOOKUP(A118,'עזר 2025'!A:C,3,FALSE)</f>
        <v>משרד החינוך</v>
      </c>
      <c r="D118" s="138">
        <v>322152</v>
      </c>
      <c r="E118" s="53"/>
      <c r="F118" s="53">
        <v>307619.59000000003</v>
      </c>
      <c r="G118" s="53">
        <v>0</v>
      </c>
      <c r="H118" s="53">
        <f t="shared" si="11"/>
        <v>307619.59000000003</v>
      </c>
      <c r="I118" s="53">
        <v>26763</v>
      </c>
      <c r="J118" s="53" t="s">
        <v>2117</v>
      </c>
      <c r="K118" s="138">
        <f>VLOOKUP(A118,'ביצוע דוח חשב 12.2024'!A:I,9,FALSE)</f>
        <v>334383.45</v>
      </c>
      <c r="L118" s="138">
        <v>336689</v>
      </c>
      <c r="M118" s="53"/>
      <c r="N118" s="53"/>
      <c r="O118" s="53"/>
    </row>
    <row r="119" spans="1:15" x14ac:dyDescent="0.2">
      <c r="A119" s="132">
        <v>1317721920</v>
      </c>
      <c r="B119" s="133" t="s">
        <v>764</v>
      </c>
      <c r="C119" s="51" t="str">
        <f>VLOOKUP(A119,'עזר 2025'!A:C,3,FALSE)</f>
        <v>משרד החינוך</v>
      </c>
      <c r="D119" s="138">
        <v>55824</v>
      </c>
      <c r="E119" s="53"/>
      <c r="F119" s="53">
        <v>54104.45</v>
      </c>
      <c r="G119" s="53">
        <v>0</v>
      </c>
      <c r="H119" s="53">
        <f t="shared" si="11"/>
        <v>54104.45</v>
      </c>
      <c r="I119" s="53">
        <v>5000</v>
      </c>
      <c r="J119" s="53" t="s">
        <v>2117</v>
      </c>
      <c r="K119" s="138">
        <f>VLOOKUP(A119,'ביצוע דוח חשב 12.2024'!A:I,9,FALSE)</f>
        <v>58750.31</v>
      </c>
      <c r="L119" s="138">
        <v>58445</v>
      </c>
      <c r="M119" s="53"/>
      <c r="N119" s="53"/>
      <c r="O119" s="53"/>
    </row>
    <row r="120" spans="1:15" x14ac:dyDescent="0.2">
      <c r="A120" s="132">
        <v>1317730920</v>
      </c>
      <c r="B120" s="133" t="s">
        <v>1570</v>
      </c>
      <c r="C120" s="51" t="str">
        <f>VLOOKUP(A120,'עזר 2025'!A:C,3,FALSE)</f>
        <v>משרד החינוך</v>
      </c>
      <c r="D120" s="138">
        <v>42341</v>
      </c>
      <c r="E120" s="53"/>
      <c r="F120" s="53">
        <v>21465.759999999998</v>
      </c>
      <c r="G120" s="53">
        <v>0</v>
      </c>
      <c r="H120" s="53">
        <f t="shared" si="11"/>
        <v>21465.759999999998</v>
      </c>
      <c r="I120" s="53"/>
      <c r="J120" s="53"/>
      <c r="K120" s="138">
        <f>VLOOKUP(A120,'ביצוע דוח חשב 12.2024'!A:I,9,FALSE)</f>
        <v>50867.96</v>
      </c>
      <c r="L120" s="138">
        <v>50868</v>
      </c>
      <c r="M120" s="53"/>
      <c r="N120" s="53"/>
      <c r="O120" s="53"/>
    </row>
    <row r="121" spans="1:15" x14ac:dyDescent="0.2">
      <c r="A121" s="132">
        <v>1317800920</v>
      </c>
      <c r="B121" s="133" t="s">
        <v>179</v>
      </c>
      <c r="C121" s="51" t="str">
        <f>VLOOKUP(A121,'עזר 2025'!A:C,3,FALSE)</f>
        <v>משרד החינוך</v>
      </c>
      <c r="D121" s="138">
        <v>158185</v>
      </c>
      <c r="E121" s="53"/>
      <c r="F121" s="53">
        <v>130817.24</v>
      </c>
      <c r="G121" s="53">
        <v>0</v>
      </c>
      <c r="H121" s="53">
        <f t="shared" si="11"/>
        <v>130817.24</v>
      </c>
      <c r="I121" s="53">
        <v>8000</v>
      </c>
      <c r="J121" s="53" t="s">
        <v>2117</v>
      </c>
      <c r="K121" s="138">
        <f>VLOOKUP(A121,'ביצוע דוח חשב 12.2024'!A:I,9,FALSE)</f>
        <v>130817.24</v>
      </c>
      <c r="L121" s="138">
        <v>142068</v>
      </c>
      <c r="M121" s="53"/>
      <c r="N121" s="53"/>
      <c r="O121" s="53"/>
    </row>
    <row r="122" spans="1:15" x14ac:dyDescent="0.2">
      <c r="A122" s="132">
        <v>1317810920</v>
      </c>
      <c r="B122" s="133" t="s">
        <v>301</v>
      </c>
      <c r="C122" s="51" t="str">
        <f>VLOOKUP(A122,'עזר 2025'!A:C,3,FALSE)</f>
        <v>משרד החינוך</v>
      </c>
      <c r="D122" s="138">
        <v>1494822</v>
      </c>
      <c r="E122" s="53"/>
      <c r="F122" s="53">
        <v>997307.35</v>
      </c>
      <c r="G122" s="53">
        <v>0</v>
      </c>
      <c r="H122" s="53">
        <f t="shared" si="11"/>
        <v>997307.35</v>
      </c>
      <c r="I122" s="53">
        <v>75000</v>
      </c>
      <c r="J122" s="53" t="s">
        <v>2117</v>
      </c>
      <c r="K122" s="138">
        <f>VLOOKUP(A122,'ביצוע דוח חשב 12.2024'!A:I,9,FALSE)</f>
        <v>997307.35</v>
      </c>
      <c r="L122" s="138">
        <v>1779409</v>
      </c>
      <c r="M122" s="53"/>
      <c r="N122" s="53"/>
      <c r="O122" s="53"/>
    </row>
    <row r="123" spans="1:15" x14ac:dyDescent="0.2">
      <c r="A123" s="132">
        <v>1317820690</v>
      </c>
      <c r="B123" s="133" t="s">
        <v>302</v>
      </c>
      <c r="C123" s="51" t="str">
        <f>VLOOKUP(A123,'עזר 2025'!A:C,3,FALSE)</f>
        <v xml:space="preserve">תקבולים אחרים </v>
      </c>
      <c r="D123" s="138">
        <v>2500000</v>
      </c>
      <c r="E123" s="53"/>
      <c r="F123" s="53">
        <v>2634319</v>
      </c>
      <c r="G123" s="53">
        <v>0</v>
      </c>
      <c r="H123" s="53">
        <f t="shared" si="11"/>
        <v>2634319</v>
      </c>
      <c r="I123" s="53"/>
      <c r="J123" s="53"/>
      <c r="K123" s="138">
        <f>VLOOKUP(A123,'ביצוע דוח חשב 12.2024'!A:I,9,FALSE)</f>
        <v>2634319</v>
      </c>
      <c r="L123" s="138">
        <v>2600000</v>
      </c>
      <c r="M123" s="53"/>
      <c r="N123" s="53"/>
      <c r="O123" s="53"/>
    </row>
    <row r="124" spans="1:15" x14ac:dyDescent="0.2">
      <c r="A124" s="132">
        <v>1317820920</v>
      </c>
      <c r="B124" s="133" t="s">
        <v>303</v>
      </c>
      <c r="C124" s="51" t="str">
        <f>VLOOKUP(A124,'עזר 2025'!A:C,3,FALSE)</f>
        <v>משרד החינוך</v>
      </c>
      <c r="D124" s="138">
        <v>1142592</v>
      </c>
      <c r="E124" s="53"/>
      <c r="F124" s="53">
        <v>1465984.48</v>
      </c>
      <c r="G124" s="53">
        <v>0</v>
      </c>
      <c r="H124" s="53">
        <f t="shared" si="11"/>
        <v>1465984.48</v>
      </c>
      <c r="I124" s="53">
        <v>88000</v>
      </c>
      <c r="J124" s="53" t="s">
        <v>2117</v>
      </c>
      <c r="K124" s="138">
        <f>VLOOKUP(A124,'ביצוע דוח חשב 12.2024'!A:I,9,FALSE)</f>
        <v>1465984.48</v>
      </c>
      <c r="L124" s="138">
        <v>1253098</v>
      </c>
      <c r="M124" s="53"/>
      <c r="N124" s="53"/>
      <c r="O124" s="53"/>
    </row>
    <row r="125" spans="1:15" x14ac:dyDescent="0.2">
      <c r="A125" s="132">
        <v>1319000920</v>
      </c>
      <c r="B125" s="133" t="s">
        <v>798</v>
      </c>
      <c r="C125" s="51" t="str">
        <f>VLOOKUP(A125,'עזר 2025'!A:C,3,FALSE)</f>
        <v>משרד החינוך</v>
      </c>
      <c r="D125" s="138">
        <v>100000</v>
      </c>
      <c r="E125" s="53"/>
      <c r="F125" s="53">
        <v>0</v>
      </c>
      <c r="G125" s="53">
        <v>0</v>
      </c>
      <c r="H125" s="53">
        <f t="shared" si="11"/>
        <v>0</v>
      </c>
      <c r="I125" s="53"/>
      <c r="J125" s="53"/>
      <c r="K125" s="138">
        <f>VLOOKUP(A125,'ביצוע דוח חשב 12.2024'!A:I,9,FALSE)</f>
        <v>0</v>
      </c>
      <c r="L125" s="138">
        <v>0</v>
      </c>
      <c r="M125" s="53"/>
      <c r="N125" s="53"/>
      <c r="O125" s="53"/>
    </row>
    <row r="126" spans="1:15" x14ac:dyDescent="0.2">
      <c r="A126" s="132">
        <v>1319101920</v>
      </c>
      <c r="B126" s="133" t="s">
        <v>715</v>
      </c>
      <c r="C126" s="51" t="str">
        <f>VLOOKUP(A126,'עזר 2025'!A:C,3,FALSE)</f>
        <v>משרד החינוך</v>
      </c>
      <c r="D126" s="138">
        <v>100000</v>
      </c>
      <c r="E126" s="53"/>
      <c r="F126" s="53">
        <v>51845</v>
      </c>
      <c r="G126" s="53">
        <v>0</v>
      </c>
      <c r="H126" s="53">
        <f t="shared" si="11"/>
        <v>51845</v>
      </c>
      <c r="I126" s="53">
        <f>0.3*K433-H126</f>
        <v>26229.409</v>
      </c>
      <c r="J126" s="53" t="s">
        <v>2122</v>
      </c>
      <c r="K126" s="138">
        <f>VLOOKUP(A126,'ביצוע דוח חשב 12.2024'!A:I,9,FALSE)</f>
        <v>51845</v>
      </c>
      <c r="L126" s="138">
        <v>60000</v>
      </c>
      <c r="M126" s="53"/>
      <c r="N126" s="53"/>
      <c r="O126" s="53"/>
    </row>
    <row r="127" spans="1:15" x14ac:dyDescent="0.2">
      <c r="A127" s="132">
        <v>1319200920</v>
      </c>
      <c r="B127" s="133" t="s">
        <v>2186</v>
      </c>
      <c r="C127" s="51" t="s">
        <v>338</v>
      </c>
      <c r="D127" s="138"/>
      <c r="E127" s="53"/>
      <c r="F127" s="53"/>
      <c r="G127" s="53"/>
      <c r="H127" s="53"/>
      <c r="I127" s="53"/>
      <c r="J127" s="53"/>
      <c r="K127" s="138">
        <f>VLOOKUP(A127,'ביצוע דוח חשב 12.2024'!A:I,9,FALSE)</f>
        <v>110087</v>
      </c>
      <c r="L127" s="138">
        <f>52800+203501</f>
        <v>256301</v>
      </c>
      <c r="M127" s="53"/>
      <c r="N127" s="53"/>
      <c r="O127" s="53"/>
    </row>
    <row r="128" spans="1:15" x14ac:dyDescent="0.2">
      <c r="A128" s="132">
        <v>1319102920</v>
      </c>
      <c r="B128" s="133" t="s">
        <v>716</v>
      </c>
      <c r="C128" s="51" t="str">
        <f>VLOOKUP(A128,'עזר 2025'!A:C,3,FALSE)</f>
        <v>משרד החינוך</v>
      </c>
      <c r="D128" s="138">
        <v>400000</v>
      </c>
      <c r="E128" s="53"/>
      <c r="F128" s="53">
        <v>112543.89</v>
      </c>
      <c r="G128" s="53">
        <v>0</v>
      </c>
      <c r="H128" s="53">
        <f t="shared" si="11"/>
        <v>112543.89</v>
      </c>
      <c r="I128" s="53">
        <f>0.45*K430-H128</f>
        <v>288885.99</v>
      </c>
      <c r="J128" s="53" t="s">
        <v>2123</v>
      </c>
      <c r="K128" s="138">
        <f>VLOOKUP(A128,'ביצוע דוח חשב 12.2024'!A:I,9,FALSE)</f>
        <v>423394.89</v>
      </c>
      <c r="L128" s="138">
        <v>400000</v>
      </c>
      <c r="M128" s="53"/>
      <c r="N128" s="53"/>
      <c r="O128" s="53"/>
    </row>
    <row r="129" spans="1:15" x14ac:dyDescent="0.2">
      <c r="A129" s="132">
        <v>1319103920</v>
      </c>
      <c r="B129" s="133" t="s">
        <v>717</v>
      </c>
      <c r="C129" s="51" t="str">
        <f>VLOOKUP(A129,'עזר 2025'!A:C,3,FALSE)</f>
        <v>משרד החינוך</v>
      </c>
      <c r="D129" s="138">
        <v>200000</v>
      </c>
      <c r="E129" s="53"/>
      <c r="F129" s="53">
        <v>0</v>
      </c>
      <c r="G129" s="53">
        <v>0</v>
      </c>
      <c r="H129" s="53">
        <f t="shared" si="11"/>
        <v>0</v>
      </c>
      <c r="I129" s="53">
        <f>0.64*K433-H129</f>
        <v>166558.73920000001</v>
      </c>
      <c r="J129" s="53" t="s">
        <v>2124</v>
      </c>
      <c r="K129" s="138">
        <f>VLOOKUP(A129,'ביצוע דוח חשב 12.2024'!A:I,9,FALSE)</f>
        <v>0</v>
      </c>
      <c r="L129" s="138">
        <v>0</v>
      </c>
      <c r="M129" s="53"/>
      <c r="N129" s="53"/>
      <c r="O129" s="53"/>
    </row>
    <row r="130" spans="1:15" ht="26.25" x14ac:dyDescent="0.2">
      <c r="A130" s="134"/>
      <c r="B130" s="134" t="s">
        <v>2134</v>
      </c>
      <c r="C130" s="79"/>
      <c r="D130" s="139">
        <f>SUM(D111:D129)</f>
        <v>8535337</v>
      </c>
      <c r="E130" s="80">
        <f t="shared" ref="E130:O130" si="13">SUM(E111:E129)</f>
        <v>0</v>
      </c>
      <c r="F130" s="80">
        <f t="shared" si="13"/>
        <v>6812297.7600000007</v>
      </c>
      <c r="G130" s="80">
        <f t="shared" si="13"/>
        <v>0</v>
      </c>
      <c r="H130" s="80">
        <f t="shared" si="13"/>
        <v>6812297.7600000007</v>
      </c>
      <c r="I130" s="80">
        <f t="shared" si="13"/>
        <v>1540727.6406</v>
      </c>
      <c r="J130" s="80">
        <f t="shared" si="13"/>
        <v>0</v>
      </c>
      <c r="K130" s="139">
        <f t="shared" si="13"/>
        <v>8456106.8924000021</v>
      </c>
      <c r="L130" s="139">
        <f t="shared" si="13"/>
        <v>9209412</v>
      </c>
      <c r="M130" s="80">
        <f t="shared" si="13"/>
        <v>0</v>
      </c>
      <c r="N130" s="80">
        <f t="shared" si="13"/>
        <v>0</v>
      </c>
      <c r="O130" s="80">
        <f t="shared" si="13"/>
        <v>0</v>
      </c>
    </row>
    <row r="131" spans="1:15" s="50" customFormat="1" ht="41.25" customHeight="1" x14ac:dyDescent="0.2">
      <c r="A131" s="81"/>
      <c r="B131" s="81" t="s">
        <v>357</v>
      </c>
      <c r="C131" s="81"/>
      <c r="D131" s="82">
        <f>D130+D110+D79+D76+D44</f>
        <v>56190730</v>
      </c>
      <c r="E131" s="82">
        <f t="shared" ref="E131:O131" si="14">E130+E110+E79+E76+E44</f>
        <v>0</v>
      </c>
      <c r="F131" s="82">
        <f t="shared" si="14"/>
        <v>50731958.160000011</v>
      </c>
      <c r="G131" s="82">
        <f t="shared" si="14"/>
        <v>0</v>
      </c>
      <c r="H131" s="82">
        <f t="shared" si="14"/>
        <v>50731958.160000011</v>
      </c>
      <c r="I131" s="82">
        <f t="shared" si="14"/>
        <v>6951356.0005999999</v>
      </c>
      <c r="J131" s="82">
        <f t="shared" si="14"/>
        <v>0</v>
      </c>
      <c r="K131" s="82">
        <f t="shared" si="14"/>
        <v>61514209.282399997</v>
      </c>
      <c r="L131" s="82">
        <f t="shared" si="14"/>
        <v>61871846</v>
      </c>
      <c r="M131" s="82">
        <f t="shared" si="14"/>
        <v>0</v>
      </c>
      <c r="N131" s="82">
        <f t="shared" si="14"/>
        <v>0</v>
      </c>
      <c r="O131" s="82">
        <f t="shared" si="14"/>
        <v>0</v>
      </c>
    </row>
    <row r="132" spans="1:15" x14ac:dyDescent="0.2">
      <c r="A132" s="132">
        <v>1322300410</v>
      </c>
      <c r="B132" s="133" t="s">
        <v>1571</v>
      </c>
      <c r="C132" s="51" t="str">
        <f>VLOOKUP(A132,'עזר 2025'!A:C,3,FALSE)</f>
        <v>משרד החינוך</v>
      </c>
      <c r="D132" s="138">
        <v>117000</v>
      </c>
      <c r="E132" s="53"/>
      <c r="F132" s="53">
        <v>78000</v>
      </c>
      <c r="G132" s="53">
        <v>0</v>
      </c>
      <c r="H132" s="53">
        <f t="shared" si="11"/>
        <v>78000</v>
      </c>
      <c r="I132" s="53">
        <f>9750*4</f>
        <v>39000</v>
      </c>
      <c r="J132" s="53" t="s">
        <v>2125</v>
      </c>
      <c r="K132" s="138">
        <f>VLOOKUP(A132,'ביצוע דוח חשב 12.2024'!A:I,9,FALSE)</f>
        <v>136500</v>
      </c>
      <c r="L132" s="138">
        <v>140000</v>
      </c>
      <c r="M132" s="53"/>
      <c r="N132" s="53"/>
      <c r="O132" s="53"/>
    </row>
    <row r="133" spans="1:15" x14ac:dyDescent="0.2">
      <c r="A133" s="132">
        <v>1322000990</v>
      </c>
      <c r="B133" s="133" t="s">
        <v>2182</v>
      </c>
      <c r="C133" s="51" t="s">
        <v>340</v>
      </c>
      <c r="D133" s="138"/>
      <c r="E133" s="53"/>
      <c r="F133" s="53"/>
      <c r="G133" s="53"/>
      <c r="H133" s="53"/>
      <c r="I133" s="53"/>
      <c r="J133" s="53"/>
      <c r="K133" s="138">
        <f>VLOOKUP(A133,'ביצוע דוח חשב 12.2024'!A:I,9,FALSE)</f>
        <v>144865</v>
      </c>
      <c r="L133" s="138">
        <v>145000</v>
      </c>
      <c r="M133" s="53"/>
      <c r="N133" s="53"/>
      <c r="O133" s="53"/>
    </row>
    <row r="134" spans="1:15" x14ac:dyDescent="0.2">
      <c r="A134" s="132">
        <v>1324000920</v>
      </c>
      <c r="B134" s="133" t="s">
        <v>973</v>
      </c>
      <c r="C134" s="51" t="str">
        <f>VLOOKUP(A134,'עזר 2025'!A:C,3,FALSE)</f>
        <v xml:space="preserve"> תקבולים ממשלתיים אחרים</v>
      </c>
      <c r="D134" s="138">
        <v>350000</v>
      </c>
      <c r="E134" s="53"/>
      <c r="F134" s="53">
        <v>26407.5</v>
      </c>
      <c r="G134" s="53">
        <v>0</v>
      </c>
      <c r="H134" s="53">
        <f t="shared" si="11"/>
        <v>26407.5</v>
      </c>
      <c r="I134" s="53"/>
      <c r="J134" s="53"/>
      <c r="K134" s="138">
        <v>190000</v>
      </c>
      <c r="L134" s="138">
        <v>280000</v>
      </c>
      <c r="M134" s="53"/>
      <c r="N134" s="53"/>
      <c r="O134" s="53"/>
    </row>
    <row r="135" spans="1:15" x14ac:dyDescent="0.2">
      <c r="A135" s="132">
        <v>1328200750</v>
      </c>
      <c r="B135" s="133" t="s">
        <v>747</v>
      </c>
      <c r="C135" s="51" t="str">
        <f>VLOOKUP(A135,'עזר 2025'!A:C,3,FALSE)</f>
        <v xml:space="preserve"> תקבולים ממשלתיים אחרים</v>
      </c>
      <c r="D135" s="138">
        <v>120000</v>
      </c>
      <c r="E135" s="53"/>
      <c r="F135" s="53">
        <v>304928.58</v>
      </c>
      <c r="G135" s="53">
        <v>0</v>
      </c>
      <c r="H135" s="53">
        <f t="shared" si="11"/>
        <v>304928.58</v>
      </c>
      <c r="I135" s="53"/>
      <c r="J135" s="53"/>
      <c r="K135" s="138">
        <f>VLOOKUP(A135,'ביצוע דוח חשב 12.2024'!A:I,9,FALSE)</f>
        <v>304928.58</v>
      </c>
      <c r="L135" s="138">
        <v>0</v>
      </c>
      <c r="M135" s="53"/>
      <c r="N135" s="53"/>
      <c r="O135" s="53"/>
    </row>
    <row r="136" spans="1:15" x14ac:dyDescent="0.2">
      <c r="A136" s="132">
        <v>1328300920</v>
      </c>
      <c r="B136" s="133" t="s">
        <v>660</v>
      </c>
      <c r="C136" s="51" t="str">
        <f>VLOOKUP(A136,'עזר 2025'!A:C,3,FALSE)</f>
        <v xml:space="preserve"> תקבולים ממשלתיים אחרים</v>
      </c>
      <c r="D136" s="138">
        <v>0</v>
      </c>
      <c r="E136" s="53"/>
      <c r="F136" s="53">
        <v>0</v>
      </c>
      <c r="G136" s="53">
        <v>0</v>
      </c>
      <c r="H136" s="53">
        <f t="shared" si="11"/>
        <v>0</v>
      </c>
      <c r="I136" s="53"/>
      <c r="J136" s="53"/>
      <c r="K136" s="138">
        <f>VLOOKUP(A136,'ביצוע דוח חשב 12.2024'!A:I,9,FALSE)</f>
        <v>0</v>
      </c>
      <c r="L136" s="138">
        <v>100000</v>
      </c>
      <c r="M136" s="53"/>
      <c r="N136" s="53"/>
      <c r="O136" s="53"/>
    </row>
    <row r="137" spans="1:15" x14ac:dyDescent="0.2">
      <c r="A137" s="132">
        <v>1329200420</v>
      </c>
      <c r="B137" s="133" t="s">
        <v>304</v>
      </c>
      <c r="C137" s="51" t="str">
        <f>VLOOKUP(A137,'עזר 2025'!A:C,3,FALSE)</f>
        <v xml:space="preserve"> עצמיות אחר</v>
      </c>
      <c r="D137" s="138">
        <v>70000</v>
      </c>
      <c r="E137" s="53"/>
      <c r="F137" s="53">
        <v>75313</v>
      </c>
      <c r="G137" s="53">
        <v>0</v>
      </c>
      <c r="H137" s="53">
        <f t="shared" ref="H137:H175" si="15">F137+G137</f>
        <v>75313</v>
      </c>
      <c r="I137" s="53"/>
      <c r="J137" s="53"/>
      <c r="K137" s="138">
        <f>VLOOKUP(A137,'ביצוע דוח חשב 12.2024'!A:I,9,FALSE)</f>
        <v>84963</v>
      </c>
      <c r="L137" s="138">
        <v>90000</v>
      </c>
      <c r="M137" s="53"/>
      <c r="N137" s="53"/>
      <c r="O137" s="53"/>
    </row>
    <row r="138" spans="1:15" x14ac:dyDescent="0.2">
      <c r="A138" s="132">
        <v>1329200650</v>
      </c>
      <c r="B138" s="133" t="s">
        <v>661</v>
      </c>
      <c r="C138" s="51" t="str">
        <f>VLOOKUP(A138,'עזר 2025'!A:C,3,FALSE)</f>
        <v xml:space="preserve"> עצמיות אחר</v>
      </c>
      <c r="D138" s="138">
        <v>66000</v>
      </c>
      <c r="E138" s="53"/>
      <c r="F138" s="53">
        <v>2600</v>
      </c>
      <c r="G138" s="53">
        <v>0</v>
      </c>
      <c r="H138" s="53">
        <f t="shared" si="15"/>
        <v>2600</v>
      </c>
      <c r="I138" s="53"/>
      <c r="J138" s="53"/>
      <c r="K138" s="138">
        <f>VLOOKUP(A138,'ביצוע דוח חשב 12.2024'!A:I,9,FALSE)</f>
        <v>2600</v>
      </c>
      <c r="L138" s="138">
        <v>30000</v>
      </c>
      <c r="M138" s="53"/>
      <c r="N138" s="53"/>
      <c r="O138" s="53"/>
    </row>
    <row r="139" spans="1:15" x14ac:dyDescent="0.2">
      <c r="A139" s="132">
        <v>1329200990</v>
      </c>
      <c r="B139" s="133" t="s">
        <v>305</v>
      </c>
      <c r="C139" s="51" t="str">
        <f>VLOOKUP(A139,'עזר 2025'!A:C,3,FALSE)</f>
        <v xml:space="preserve"> תקבולים ממשלתיים אחרים</v>
      </c>
      <c r="D139" s="138">
        <v>200000</v>
      </c>
      <c r="E139" s="53"/>
      <c r="F139" s="53">
        <v>231650</v>
      </c>
      <c r="G139" s="53">
        <v>0</v>
      </c>
      <c r="H139" s="53">
        <f t="shared" si="15"/>
        <v>231650</v>
      </c>
      <c r="I139" s="53"/>
      <c r="J139" s="53"/>
      <c r="K139" s="138">
        <f>VLOOKUP(A139,'ביצוע דוח חשב 12.2024'!A:I,9,FALSE)</f>
        <v>181313</v>
      </c>
      <c r="L139" s="138">
        <v>240000</v>
      </c>
      <c r="M139" s="53"/>
      <c r="N139" s="53"/>
      <c r="O139" s="53"/>
    </row>
    <row r="140" spans="1:15" x14ac:dyDescent="0.2">
      <c r="A140" s="132">
        <v>1329300990</v>
      </c>
      <c r="B140" s="133" t="s">
        <v>1523</v>
      </c>
      <c r="C140" s="51" t="str">
        <f>VLOOKUP(A140,'עזר 2025'!A:C,3,FALSE)</f>
        <v xml:space="preserve"> תקבולים ממשלתיים אחרים</v>
      </c>
      <c r="D140" s="138">
        <v>100000</v>
      </c>
      <c r="E140" s="53"/>
      <c r="F140" s="53">
        <v>0</v>
      </c>
      <c r="G140" s="53">
        <v>0</v>
      </c>
      <c r="H140" s="53">
        <f t="shared" si="15"/>
        <v>0</v>
      </c>
      <c r="I140" s="53"/>
      <c r="J140" s="53"/>
      <c r="K140" s="138">
        <v>90000</v>
      </c>
      <c r="L140" s="138">
        <v>100000</v>
      </c>
      <c r="M140" s="53"/>
      <c r="N140" s="53"/>
      <c r="O140" s="53"/>
    </row>
    <row r="141" spans="1:15" ht="41.25" customHeight="1" x14ac:dyDescent="0.2">
      <c r="A141" s="136"/>
      <c r="B141" s="136" t="s">
        <v>428</v>
      </c>
      <c r="C141" s="81"/>
      <c r="D141" s="140">
        <f>SUM(D132:D140)</f>
        <v>1023000</v>
      </c>
      <c r="E141" s="82">
        <f t="shared" ref="E141:O141" si="16">SUM(E132:E140)</f>
        <v>0</v>
      </c>
      <c r="F141" s="82">
        <f t="shared" si="16"/>
        <v>718899.08000000007</v>
      </c>
      <c r="G141" s="82">
        <f t="shared" si="16"/>
        <v>0</v>
      </c>
      <c r="H141" s="82">
        <f t="shared" si="16"/>
        <v>718899.08000000007</v>
      </c>
      <c r="I141" s="82">
        <f t="shared" si="16"/>
        <v>39000</v>
      </c>
      <c r="J141" s="82">
        <f t="shared" si="16"/>
        <v>0</v>
      </c>
      <c r="K141" s="140">
        <f t="shared" si="16"/>
        <v>1135169.58</v>
      </c>
      <c r="L141" s="140">
        <f t="shared" si="16"/>
        <v>1125000</v>
      </c>
      <c r="M141" s="82">
        <f t="shared" si="16"/>
        <v>0</v>
      </c>
      <c r="N141" s="82">
        <f t="shared" si="16"/>
        <v>0</v>
      </c>
      <c r="O141" s="82">
        <f t="shared" si="16"/>
        <v>0</v>
      </c>
    </row>
    <row r="142" spans="1:15" x14ac:dyDescent="0.2">
      <c r="A142" s="132">
        <v>1341000420</v>
      </c>
      <c r="B142" s="133" t="s">
        <v>306</v>
      </c>
      <c r="C142" s="51" t="str">
        <f>VLOOKUP(A142,'עזר 2025'!A:C,3,FALSE)</f>
        <v xml:space="preserve"> עצמיות רווחה</v>
      </c>
      <c r="D142" s="138">
        <v>0</v>
      </c>
      <c r="E142" s="53"/>
      <c r="F142" s="53">
        <v>4770</v>
      </c>
      <c r="G142" s="53">
        <v>0</v>
      </c>
      <c r="H142" s="53">
        <f t="shared" si="15"/>
        <v>4770</v>
      </c>
      <c r="I142" s="53"/>
      <c r="J142" s="53"/>
      <c r="K142" s="138">
        <f>VLOOKUP(A142,'ביצוע דוח חשב 12.2024'!A:I,9,FALSE)</f>
        <v>5850</v>
      </c>
      <c r="L142" s="138">
        <v>15000</v>
      </c>
      <c r="M142" s="53"/>
      <c r="N142" s="53"/>
      <c r="O142" s="53"/>
    </row>
    <row r="143" spans="1:15" x14ac:dyDescent="0.2">
      <c r="A143" s="132">
        <v>1341001930</v>
      </c>
      <c r="B143" s="133" t="s">
        <v>307</v>
      </c>
      <c r="C143" s="51" t="str">
        <f>VLOOKUP(A143,'עזר 2025'!A:C,3,FALSE)</f>
        <v>משרד הרווחה</v>
      </c>
      <c r="D143" s="142">
        <v>2400000</v>
      </c>
      <c r="E143" s="53"/>
      <c r="F143" s="53">
        <v>1826158</v>
      </c>
      <c r="G143" s="53">
        <v>0</v>
      </c>
      <c r="H143" s="53">
        <f t="shared" si="15"/>
        <v>1826158</v>
      </c>
      <c r="I143" s="53">
        <f>173000*2</f>
        <v>346000</v>
      </c>
      <c r="J143" s="53" t="s">
        <v>2081</v>
      </c>
      <c r="K143" s="142">
        <f>VLOOKUP(A143,'ביצוע דוח חשב 12.2024'!A:I,9,FALSE)</f>
        <v>2019430</v>
      </c>
      <c r="L143" s="142">
        <f>3800000*0.75</f>
        <v>2850000</v>
      </c>
      <c r="M143" s="53"/>
      <c r="N143" s="53"/>
      <c r="O143" s="53"/>
    </row>
    <row r="144" spans="1:15" x14ac:dyDescent="0.2">
      <c r="A144" s="132">
        <v>1341002930</v>
      </c>
      <c r="B144" s="133" t="s">
        <v>308</v>
      </c>
      <c r="C144" s="51" t="str">
        <f>VLOOKUP(A144,'עזר 2025'!A:C,3,FALSE)</f>
        <v>משרד הרווחה</v>
      </c>
      <c r="D144" s="142">
        <v>60000</v>
      </c>
      <c r="E144" s="53"/>
      <c r="F144" s="53">
        <v>0</v>
      </c>
      <c r="G144" s="53">
        <v>0</v>
      </c>
      <c r="H144" s="53">
        <f t="shared" si="15"/>
        <v>0</v>
      </c>
      <c r="I144" s="53"/>
      <c r="J144" s="53"/>
      <c r="K144" s="142">
        <f>VLOOKUP(A144,'ביצוע דוח חשב 12.2024'!A:I,9,FALSE)</f>
        <v>0</v>
      </c>
      <c r="L144" s="142"/>
      <c r="M144" s="53"/>
      <c r="N144" s="53"/>
      <c r="O144" s="53"/>
    </row>
    <row r="145" spans="1:15" x14ac:dyDescent="0.2">
      <c r="A145" s="132">
        <v>1341004930</v>
      </c>
      <c r="B145" s="133" t="s">
        <v>662</v>
      </c>
      <c r="C145" s="51" t="str">
        <f>VLOOKUP(A145,'עזר 2025'!A:C,3,FALSE)</f>
        <v>משרד הרווחה</v>
      </c>
      <c r="D145" s="142">
        <v>5000</v>
      </c>
      <c r="E145" s="53"/>
      <c r="F145" s="53">
        <v>0</v>
      </c>
      <c r="G145" s="53">
        <v>0</v>
      </c>
      <c r="H145" s="53">
        <f t="shared" si="15"/>
        <v>0</v>
      </c>
      <c r="I145" s="53"/>
      <c r="J145" s="53"/>
      <c r="K145" s="142">
        <f>VLOOKUP(A145,'ביצוע דוח חשב 12.2024'!A:I,9,FALSE)</f>
        <v>0</v>
      </c>
      <c r="L145" s="142"/>
      <c r="M145" s="53"/>
      <c r="N145" s="53"/>
      <c r="O145" s="53"/>
    </row>
    <row r="146" spans="1:15" x14ac:dyDescent="0.2">
      <c r="A146" s="132">
        <v>1341100930</v>
      </c>
      <c r="B146" s="133" t="s">
        <v>1118</v>
      </c>
      <c r="C146" s="51" t="str">
        <f>VLOOKUP(A146,'עזר 2025'!A:C,3,FALSE)</f>
        <v>משרד הרווחה</v>
      </c>
      <c r="D146" s="142">
        <v>336000</v>
      </c>
      <c r="E146" s="53"/>
      <c r="F146" s="53">
        <v>253944</v>
      </c>
      <c r="G146" s="53">
        <v>0</v>
      </c>
      <c r="H146" s="53">
        <f t="shared" si="15"/>
        <v>253944</v>
      </c>
      <c r="I146" s="53">
        <v>21361</v>
      </c>
      <c r="J146" s="53" t="s">
        <v>2081</v>
      </c>
      <c r="K146" s="142">
        <f>VLOOKUP(A146,'ביצוע דוח חשב 12.2024'!A:I,9,FALSE)</f>
        <v>276174</v>
      </c>
      <c r="L146" s="142">
        <v>280000</v>
      </c>
      <c r="M146" s="53"/>
      <c r="N146" s="53"/>
      <c r="O146" s="53"/>
    </row>
    <row r="147" spans="1:15" x14ac:dyDescent="0.2">
      <c r="A147" s="132">
        <v>1341105930</v>
      </c>
      <c r="B147" s="133" t="s">
        <v>1119</v>
      </c>
      <c r="C147" s="51" t="str">
        <f>VLOOKUP(A147,'עזר 2025'!A:C,3,FALSE)</f>
        <v>משרד הרווחה</v>
      </c>
      <c r="D147" s="142">
        <v>10000</v>
      </c>
      <c r="E147" s="53"/>
      <c r="F147" s="53">
        <v>0</v>
      </c>
      <c r="G147" s="53">
        <v>0</v>
      </c>
      <c r="H147" s="53">
        <f t="shared" si="15"/>
        <v>0</v>
      </c>
      <c r="I147" s="53"/>
      <c r="J147" s="53"/>
      <c r="K147" s="142">
        <f>VLOOKUP(A147,'ביצוע דוח חשב 12.2024'!A:I,9,FALSE)</f>
        <v>0</v>
      </c>
      <c r="L147" s="142"/>
      <c r="M147" s="53"/>
      <c r="N147" s="53"/>
      <c r="O147" s="53"/>
    </row>
    <row r="148" spans="1:15" x14ac:dyDescent="0.2">
      <c r="A148" s="132">
        <v>1341200930</v>
      </c>
      <c r="B148" s="133" t="s">
        <v>1120</v>
      </c>
      <c r="C148" s="51" t="str">
        <f>VLOOKUP(A148,'עזר 2025'!A:C,3,FALSE)</f>
        <v>משרד הרווחה</v>
      </c>
      <c r="D148" s="142">
        <v>100000</v>
      </c>
      <c r="E148" s="53"/>
      <c r="F148" s="53">
        <f>72746+22656</f>
        <v>95402</v>
      </c>
      <c r="G148" s="53">
        <v>0</v>
      </c>
      <c r="H148" s="53">
        <f t="shared" si="15"/>
        <v>95402</v>
      </c>
      <c r="I148" s="53">
        <v>5000</v>
      </c>
      <c r="J148" s="53" t="s">
        <v>2081</v>
      </c>
      <c r="K148" s="142">
        <f>VLOOKUP(A148,'ביצוע דוח חשב 12.2024'!A:I,9,FALSE)</f>
        <v>111473</v>
      </c>
      <c r="L148" s="142">
        <v>120000</v>
      </c>
      <c r="M148" s="53"/>
      <c r="N148" s="53"/>
      <c r="O148" s="53"/>
    </row>
    <row r="149" spans="1:15" x14ac:dyDescent="0.2">
      <c r="A149" s="132">
        <v>1341206930</v>
      </c>
      <c r="B149" s="133" t="s">
        <v>1572</v>
      </c>
      <c r="C149" s="51" t="str">
        <f>VLOOKUP(A149,'עזר 2025'!A:C,3,FALSE)</f>
        <v>משרד הרווחה</v>
      </c>
      <c r="D149" s="142">
        <v>60000</v>
      </c>
      <c r="E149" s="53"/>
      <c r="F149" s="53">
        <v>9167</v>
      </c>
      <c r="G149" s="53">
        <v>0</v>
      </c>
      <c r="H149" s="53">
        <f t="shared" si="15"/>
        <v>9167</v>
      </c>
      <c r="I149" s="53">
        <v>834</v>
      </c>
      <c r="J149" s="53" t="s">
        <v>2081</v>
      </c>
      <c r="K149" s="142">
        <f>VLOOKUP(A149,'ביצוע דוח חשב 12.2024'!A:I,9,FALSE)</f>
        <v>67476</v>
      </c>
      <c r="L149" s="142">
        <v>70000</v>
      </c>
      <c r="M149" s="53"/>
      <c r="N149" s="53"/>
      <c r="O149" s="53"/>
    </row>
    <row r="150" spans="1:15" ht="26.25" x14ac:dyDescent="0.2">
      <c r="A150" s="134"/>
      <c r="B150" s="134" t="s">
        <v>728</v>
      </c>
      <c r="C150" s="79"/>
      <c r="D150" s="139">
        <f>SUM(D142:D149)</f>
        <v>2971000</v>
      </c>
      <c r="E150" s="80">
        <f t="shared" ref="E150:O150" si="17">SUM(E142:E149)</f>
        <v>0</v>
      </c>
      <c r="F150" s="80">
        <f t="shared" si="17"/>
        <v>2189441</v>
      </c>
      <c r="G150" s="80">
        <f t="shared" si="17"/>
        <v>0</v>
      </c>
      <c r="H150" s="80">
        <f t="shared" si="17"/>
        <v>2189441</v>
      </c>
      <c r="I150" s="80">
        <f t="shared" si="17"/>
        <v>373195</v>
      </c>
      <c r="J150" s="80">
        <f t="shared" si="17"/>
        <v>0</v>
      </c>
      <c r="K150" s="139">
        <f t="shared" si="17"/>
        <v>2480403</v>
      </c>
      <c r="L150" s="139">
        <f t="shared" si="17"/>
        <v>3335000</v>
      </c>
      <c r="M150" s="80">
        <f t="shared" si="17"/>
        <v>0</v>
      </c>
      <c r="N150" s="80">
        <f t="shared" si="17"/>
        <v>0</v>
      </c>
      <c r="O150" s="80">
        <f t="shared" si="17"/>
        <v>0</v>
      </c>
    </row>
    <row r="151" spans="1:15" x14ac:dyDescent="0.2">
      <c r="A151" s="132">
        <v>1342101930</v>
      </c>
      <c r="B151" s="133" t="s">
        <v>241</v>
      </c>
      <c r="C151" s="51" t="str">
        <f>VLOOKUP(A151,'עזר 2025'!A:C,3,FALSE)</f>
        <v>משרד הרווחה</v>
      </c>
      <c r="D151" s="142">
        <v>188000</v>
      </c>
      <c r="E151" s="53"/>
      <c r="F151" s="53">
        <v>0</v>
      </c>
      <c r="G151" s="53">
        <v>0</v>
      </c>
      <c r="H151" s="53">
        <f t="shared" si="15"/>
        <v>0</v>
      </c>
      <c r="I151" s="53"/>
      <c r="J151" s="53"/>
      <c r="K151" s="142">
        <f>VLOOKUP(A151,'ביצוע דוח חשב 12.2024'!A:I,9,FALSE)</f>
        <v>0</v>
      </c>
      <c r="L151" s="142">
        <v>188000</v>
      </c>
      <c r="M151" s="53"/>
      <c r="N151" s="53"/>
      <c r="O151" s="53"/>
    </row>
    <row r="152" spans="1:15" x14ac:dyDescent="0.2">
      <c r="A152" s="132">
        <v>1342102930</v>
      </c>
      <c r="B152" s="133" t="s">
        <v>1123</v>
      </c>
      <c r="C152" s="51" t="str">
        <f>VLOOKUP(A152,'עזר 2025'!A:C,3,FALSE)</f>
        <v>משרד הרווחה</v>
      </c>
      <c r="D152" s="142">
        <v>190000</v>
      </c>
      <c r="E152" s="53"/>
      <c r="F152" s="53">
        <v>86308</v>
      </c>
      <c r="G152" s="53">
        <v>0</v>
      </c>
      <c r="H152" s="53">
        <f t="shared" si="15"/>
        <v>86308</v>
      </c>
      <c r="I152" s="53"/>
      <c r="J152" s="53"/>
      <c r="K152" s="142">
        <f>VLOOKUP(A152,'ביצוע דוח חשב 12.2024'!A:I,9,FALSE)</f>
        <v>86308</v>
      </c>
      <c r="L152" s="142">
        <v>100000</v>
      </c>
      <c r="M152" s="53"/>
      <c r="N152" s="53"/>
      <c r="O152" s="53"/>
    </row>
    <row r="153" spans="1:15" x14ac:dyDescent="0.2">
      <c r="A153" s="132">
        <v>1342202930</v>
      </c>
      <c r="B153" s="133" t="s">
        <v>309</v>
      </c>
      <c r="C153" s="51" t="str">
        <f>VLOOKUP(A153,'עזר 2025'!A:C,3,FALSE)</f>
        <v>משרד הרווחה</v>
      </c>
      <c r="D153" s="142">
        <v>110000</v>
      </c>
      <c r="E153" s="53"/>
      <c r="F153" s="53">
        <v>49245</v>
      </c>
      <c r="G153" s="53">
        <v>0</v>
      </c>
      <c r="H153" s="53">
        <f t="shared" si="15"/>
        <v>49245</v>
      </c>
      <c r="I153" s="53">
        <v>4480</v>
      </c>
      <c r="J153" s="53" t="s">
        <v>2081</v>
      </c>
      <c r="K153" s="142">
        <f>VLOOKUP(A153,'ביצוע דוח חשב 12.2024'!A:I,9,FALSE)</f>
        <v>111059</v>
      </c>
      <c r="L153" s="142">
        <v>120000</v>
      </c>
      <c r="M153" s="53"/>
      <c r="N153" s="53"/>
      <c r="O153" s="53"/>
    </row>
    <row r="154" spans="1:15" x14ac:dyDescent="0.2">
      <c r="A154" s="132">
        <v>1342208930</v>
      </c>
      <c r="B154" s="133" t="s">
        <v>765</v>
      </c>
      <c r="C154" s="51" t="str">
        <f>VLOOKUP(A154,'עזר 2025'!A:C,3,FALSE)</f>
        <v>משרד הרווחה</v>
      </c>
      <c r="D154" s="142">
        <v>100000</v>
      </c>
      <c r="E154" s="53"/>
      <c r="F154" s="53">
        <v>96227</v>
      </c>
      <c r="G154" s="53">
        <v>0</v>
      </c>
      <c r="H154" s="53">
        <f t="shared" si="15"/>
        <v>96227</v>
      </c>
      <c r="I154" s="53">
        <v>10000</v>
      </c>
      <c r="J154" s="53" t="s">
        <v>2081</v>
      </c>
      <c r="K154" s="142">
        <f>VLOOKUP(A154,'ביצוע דוח חשב 12.2024'!A:I,9,FALSE)</f>
        <v>107563</v>
      </c>
      <c r="L154" s="142">
        <v>110000</v>
      </c>
      <c r="M154" s="53"/>
      <c r="N154" s="53"/>
      <c r="O154" s="53"/>
    </row>
    <row r="155" spans="1:15" x14ac:dyDescent="0.2">
      <c r="A155" s="132">
        <v>1342232930</v>
      </c>
      <c r="B155" s="133" t="s">
        <v>2228</v>
      </c>
      <c r="C155" s="51" t="s">
        <v>339</v>
      </c>
      <c r="D155" s="142"/>
      <c r="E155" s="53"/>
      <c r="F155" s="53"/>
      <c r="G155" s="53"/>
      <c r="H155" s="53"/>
      <c r="I155" s="53"/>
      <c r="J155" s="53"/>
      <c r="K155" s="142">
        <f>VLOOKUP(A155,'ביצוע דוח חשב 12.2024'!A:I,9,FALSE)</f>
        <v>283581</v>
      </c>
      <c r="L155" s="142">
        <v>0</v>
      </c>
      <c r="M155" s="53"/>
      <c r="N155" s="53"/>
      <c r="O155" s="53"/>
    </row>
    <row r="156" spans="1:15" x14ac:dyDescent="0.2">
      <c r="A156" s="132">
        <v>1342233930</v>
      </c>
      <c r="B156" s="133" t="s">
        <v>2229</v>
      </c>
      <c r="C156" s="95" t="s">
        <v>339</v>
      </c>
      <c r="D156" s="142"/>
      <c r="E156" s="53"/>
      <c r="F156" s="53"/>
      <c r="G156" s="53"/>
      <c r="H156" s="53"/>
      <c r="I156" s="53"/>
      <c r="J156" s="53"/>
      <c r="K156" s="142">
        <f>VLOOKUP(A156,'ביצוע דוח חשב 12.2024'!A:I,9,FALSE)</f>
        <v>3249366</v>
      </c>
      <c r="L156" s="142">
        <v>1900000</v>
      </c>
      <c r="M156" s="53"/>
      <c r="N156" s="53"/>
      <c r="O156" s="53"/>
    </row>
    <row r="157" spans="1:15" x14ac:dyDescent="0.2">
      <c r="A157" s="132">
        <v>1342231930</v>
      </c>
      <c r="B157" s="133" t="s">
        <v>209</v>
      </c>
      <c r="C157" s="51" t="str">
        <f>VLOOKUP(A157,'עזר 2025'!A:C,3,FALSE)</f>
        <v>משרד הרווחה</v>
      </c>
      <c r="D157" s="142"/>
      <c r="E157" s="53"/>
      <c r="F157" s="53">
        <v>947646</v>
      </c>
      <c r="G157" s="53">
        <v>0</v>
      </c>
      <c r="H157" s="53">
        <f t="shared" si="15"/>
        <v>947646</v>
      </c>
      <c r="I157" s="53">
        <v>45000</v>
      </c>
      <c r="J157" s="53" t="s">
        <v>2081</v>
      </c>
      <c r="K157" s="142">
        <f>VLOOKUP(A157,'ביצוע דוח חשב 12.2024'!A:I,9,FALSE)</f>
        <v>161236</v>
      </c>
      <c r="L157" s="142">
        <v>160000</v>
      </c>
      <c r="M157" s="53"/>
      <c r="N157" s="53"/>
      <c r="O157" s="53"/>
    </row>
    <row r="158" spans="1:15" x14ac:dyDescent="0.2">
      <c r="A158" s="132">
        <v>1342301930</v>
      </c>
      <c r="B158" s="133" t="s">
        <v>981</v>
      </c>
      <c r="C158" s="51" t="str">
        <f>VLOOKUP(A158,'עזר 2025'!A:C,3,FALSE)</f>
        <v>משרד הרווחה</v>
      </c>
      <c r="D158" s="142"/>
      <c r="E158" s="53"/>
      <c r="F158" s="53">
        <v>39494</v>
      </c>
      <c r="G158" s="53">
        <v>0</v>
      </c>
      <c r="H158" s="53">
        <f t="shared" si="15"/>
        <v>39494</v>
      </c>
      <c r="I158" s="53">
        <v>3604</v>
      </c>
      <c r="J158" s="53" t="s">
        <v>2081</v>
      </c>
      <c r="K158" s="142">
        <f>VLOOKUP(A158,'ביצוע דוח חשב 12.2024'!A:I,9,FALSE)</f>
        <v>61532</v>
      </c>
      <c r="L158" s="142">
        <v>60000</v>
      </c>
      <c r="M158" s="53"/>
      <c r="N158" s="53"/>
      <c r="O158" s="53"/>
    </row>
    <row r="159" spans="1:15" x14ac:dyDescent="0.2">
      <c r="A159" s="132">
        <v>1342401930</v>
      </c>
      <c r="B159" s="133" t="s">
        <v>210</v>
      </c>
      <c r="C159" s="96" t="str">
        <f>VLOOKUP(A159,'עזר 2025'!A:C,3,FALSE)</f>
        <v>משרד הרווחה</v>
      </c>
      <c r="D159" s="142">
        <v>26000</v>
      </c>
      <c r="E159" s="57"/>
      <c r="F159" s="57">
        <v>-33805</v>
      </c>
      <c r="G159" s="57">
        <v>0</v>
      </c>
      <c r="H159" s="57">
        <f t="shared" si="15"/>
        <v>-33805</v>
      </c>
      <c r="I159" s="57"/>
      <c r="J159" s="57"/>
      <c r="K159" s="142">
        <v>0</v>
      </c>
      <c r="L159" s="142">
        <v>10000</v>
      </c>
      <c r="M159" s="53"/>
      <c r="N159" s="53"/>
      <c r="O159" s="53"/>
    </row>
    <row r="160" spans="1:15" x14ac:dyDescent="0.2">
      <c r="A160" s="132">
        <v>1342402930</v>
      </c>
      <c r="B160" s="133" t="s">
        <v>211</v>
      </c>
      <c r="C160" s="51" t="str">
        <f>VLOOKUP(A160,'עזר 2025'!A:C,3,FALSE)</f>
        <v>משרד הרווחה</v>
      </c>
      <c r="D160" s="142">
        <v>100000</v>
      </c>
      <c r="E160" s="53"/>
      <c r="F160" s="53">
        <v>102504</v>
      </c>
      <c r="G160" s="53">
        <v>0</v>
      </c>
      <c r="H160" s="53">
        <f t="shared" si="15"/>
        <v>102504</v>
      </c>
      <c r="I160" s="53">
        <v>9300</v>
      </c>
      <c r="J160" s="53" t="s">
        <v>2081</v>
      </c>
      <c r="K160" s="142">
        <f>VLOOKUP(A160,'ביצוע דוח חשב 12.2024'!A:I,9,FALSE)</f>
        <v>112011</v>
      </c>
      <c r="L160" s="142">
        <v>120000</v>
      </c>
      <c r="M160" s="53"/>
      <c r="N160" s="53"/>
      <c r="O160" s="53"/>
    </row>
    <row r="161" spans="1:15" x14ac:dyDescent="0.2">
      <c r="A161" s="132">
        <v>1342405930</v>
      </c>
      <c r="B161" s="133" t="s">
        <v>992</v>
      </c>
      <c r="C161" s="51" t="str">
        <f>VLOOKUP(A161,'עזר 2025'!A:C,3,FALSE)</f>
        <v>משרד הרווחה</v>
      </c>
      <c r="D161" s="142">
        <v>18000</v>
      </c>
      <c r="E161" s="53"/>
      <c r="F161" s="53">
        <v>0</v>
      </c>
      <c r="G161" s="53">
        <v>0</v>
      </c>
      <c r="H161" s="53">
        <f t="shared" si="15"/>
        <v>0</v>
      </c>
      <c r="I161" s="53"/>
      <c r="J161" s="53"/>
      <c r="K161" s="142">
        <f>VLOOKUP(A161,'ביצוע דוח חשב 12.2024'!A:I,9,FALSE)</f>
        <v>0</v>
      </c>
      <c r="L161" s="142"/>
      <c r="M161" s="53"/>
      <c r="N161" s="53"/>
      <c r="O161" s="53"/>
    </row>
    <row r="162" spans="1:15" ht="26.25" x14ac:dyDescent="0.2">
      <c r="A162" s="134"/>
      <c r="B162" s="134" t="s">
        <v>729</v>
      </c>
      <c r="C162" s="79"/>
      <c r="D162" s="139">
        <f t="shared" ref="D162:O162" si="18">SUM(D151:D161)</f>
        <v>732000</v>
      </c>
      <c r="E162" s="80">
        <f t="shared" si="18"/>
        <v>0</v>
      </c>
      <c r="F162" s="80">
        <f t="shared" si="18"/>
        <v>1287619</v>
      </c>
      <c r="G162" s="80">
        <f t="shared" si="18"/>
        <v>0</v>
      </c>
      <c r="H162" s="80">
        <f t="shared" si="18"/>
        <v>1287619</v>
      </c>
      <c r="I162" s="80">
        <f t="shared" si="18"/>
        <v>72384</v>
      </c>
      <c r="J162" s="80">
        <f t="shared" si="18"/>
        <v>0</v>
      </c>
      <c r="K162" s="139">
        <f t="shared" si="18"/>
        <v>4172656</v>
      </c>
      <c r="L162" s="139">
        <f t="shared" si="18"/>
        <v>2768000</v>
      </c>
      <c r="M162" s="80">
        <f t="shared" si="18"/>
        <v>0</v>
      </c>
      <c r="N162" s="80">
        <f t="shared" si="18"/>
        <v>0</v>
      </c>
      <c r="O162" s="80">
        <f t="shared" si="18"/>
        <v>0</v>
      </c>
    </row>
    <row r="163" spans="1:15" x14ac:dyDescent="0.2">
      <c r="A163" s="132">
        <v>1343501930</v>
      </c>
      <c r="B163" s="133" t="s">
        <v>310</v>
      </c>
      <c r="C163" s="51" t="str">
        <f>VLOOKUP(A163,'עזר 2025'!A:C,3,FALSE)</f>
        <v>משרד הרווחה</v>
      </c>
      <c r="D163" s="142">
        <v>74000</v>
      </c>
      <c r="E163" s="53"/>
      <c r="F163" s="53">
        <v>0</v>
      </c>
      <c r="G163" s="53">
        <v>0</v>
      </c>
      <c r="H163" s="53">
        <f t="shared" si="15"/>
        <v>0</v>
      </c>
      <c r="I163" s="53"/>
      <c r="J163" s="53"/>
      <c r="K163" s="142">
        <f>VLOOKUP(A163,'ביצוע דוח חשב 12.2024'!A:I,9,FALSE)</f>
        <v>0</v>
      </c>
      <c r="L163" s="142"/>
      <c r="M163" s="53"/>
      <c r="N163" s="53"/>
      <c r="O163" s="53"/>
    </row>
    <row r="164" spans="1:15" x14ac:dyDescent="0.2">
      <c r="A164" s="132">
        <v>1343502930</v>
      </c>
      <c r="B164" s="133" t="s">
        <v>311</v>
      </c>
      <c r="C164" s="51" t="str">
        <f>VLOOKUP(A164,'עזר 2025'!A:C,3,FALSE)</f>
        <v>משרד הרווחה</v>
      </c>
      <c r="D164" s="142">
        <v>433000</v>
      </c>
      <c r="E164" s="53"/>
      <c r="F164" s="53">
        <v>395631</v>
      </c>
      <c r="G164" s="53">
        <v>0</v>
      </c>
      <c r="H164" s="53">
        <f t="shared" si="15"/>
        <v>395631</v>
      </c>
      <c r="I164" s="53">
        <v>36000</v>
      </c>
      <c r="J164" s="53" t="s">
        <v>2081</v>
      </c>
      <c r="K164" s="142">
        <f>VLOOKUP(A164,'ביצוע דוח חשב 12.2024'!A:I,9,FALSE)</f>
        <v>463021</v>
      </c>
      <c r="L164" s="142">
        <f>650000*0.75</f>
        <v>487500</v>
      </c>
      <c r="M164" s="53"/>
      <c r="N164" s="53"/>
      <c r="O164" s="53"/>
    </row>
    <row r="165" spans="1:15" x14ac:dyDescent="0.2">
      <c r="A165" s="132">
        <v>1343503930</v>
      </c>
      <c r="B165" s="133" t="s">
        <v>214</v>
      </c>
      <c r="C165" s="51" t="str">
        <f>VLOOKUP(A165,'עזר 2025'!A:C,3,FALSE)</f>
        <v>משרד הרווחה</v>
      </c>
      <c r="D165" s="142">
        <v>450000</v>
      </c>
      <c r="E165" s="57"/>
      <c r="F165" s="57">
        <v>0</v>
      </c>
      <c r="G165" s="57">
        <v>0</v>
      </c>
      <c r="H165" s="57">
        <f t="shared" si="15"/>
        <v>0</v>
      </c>
      <c r="I165" s="57">
        <f>0.75*K491-H165</f>
        <v>168750</v>
      </c>
      <c r="J165" s="57" t="s">
        <v>2130</v>
      </c>
      <c r="K165" s="142">
        <f>VLOOKUP(A165,'ביצוע דוח חשב 12.2024'!A:I,9,FALSE)</f>
        <v>0</v>
      </c>
      <c r="L165" s="142">
        <v>180000</v>
      </c>
      <c r="M165" s="53"/>
      <c r="N165" s="53"/>
      <c r="O165" s="53"/>
    </row>
    <row r="166" spans="1:15" x14ac:dyDescent="0.2">
      <c r="A166" s="132">
        <v>1343505930</v>
      </c>
      <c r="B166" s="133" t="s">
        <v>991</v>
      </c>
      <c r="C166" s="51" t="str">
        <f>VLOOKUP(A166,'עזר 2025'!A:C,3,FALSE)</f>
        <v>משרד הרווחה</v>
      </c>
      <c r="D166" s="142">
        <v>70000</v>
      </c>
      <c r="E166" s="53"/>
      <c r="F166" s="53">
        <v>101256</v>
      </c>
      <c r="G166" s="53">
        <v>0</v>
      </c>
      <c r="H166" s="53">
        <f t="shared" si="15"/>
        <v>101256</v>
      </c>
      <c r="I166" s="53">
        <v>9912</v>
      </c>
      <c r="J166" s="53" t="s">
        <v>2081</v>
      </c>
      <c r="K166" s="142">
        <f>VLOOKUP(A166,'ביצוע דוח חשב 12.2024'!A:I,9,FALSE)</f>
        <v>144844</v>
      </c>
      <c r="L166" s="142">
        <v>150000</v>
      </c>
      <c r="M166" s="53"/>
      <c r="N166" s="53"/>
      <c r="O166" s="53"/>
    </row>
    <row r="167" spans="1:15" x14ac:dyDescent="0.2">
      <c r="A167" s="132">
        <v>1343801930</v>
      </c>
      <c r="B167" s="133" t="s">
        <v>217</v>
      </c>
      <c r="C167" s="51" t="str">
        <f>VLOOKUP(A167,'עזר 2025'!A:C,3,FALSE)</f>
        <v>משרד הרווחה</v>
      </c>
      <c r="D167" s="142">
        <v>4200000</v>
      </c>
      <c r="E167" s="53"/>
      <c r="F167" s="53">
        <v>4288514</v>
      </c>
      <c r="G167" s="53">
        <v>0</v>
      </c>
      <c r="H167" s="53">
        <f t="shared" si="15"/>
        <v>4288514</v>
      </c>
      <c r="I167" s="53">
        <v>398000</v>
      </c>
      <c r="J167" s="53" t="s">
        <v>2081</v>
      </c>
      <c r="K167" s="142">
        <f>VLOOKUP(A167,'ביצוע דוח חשב 12.2024'!A:I,9,FALSE)</f>
        <v>4756489</v>
      </c>
      <c r="L167" s="142">
        <v>5250000</v>
      </c>
      <c r="M167" s="53"/>
      <c r="N167" s="53"/>
      <c r="O167" s="53"/>
    </row>
    <row r="168" spans="1:15" x14ac:dyDescent="0.2">
      <c r="A168" s="132">
        <v>1343901930</v>
      </c>
      <c r="B168" s="133" t="s">
        <v>218</v>
      </c>
      <c r="C168" s="51" t="str">
        <f>VLOOKUP(A168,'עזר 2025'!A:C,3,FALSE)</f>
        <v>משרד הרווחה</v>
      </c>
      <c r="D168" s="142">
        <v>4800000</v>
      </c>
      <c r="E168" s="53"/>
      <c r="F168" s="53">
        <v>4756889</v>
      </c>
      <c r="G168" s="53">
        <v>0</v>
      </c>
      <c r="H168" s="53">
        <f t="shared" si="15"/>
        <v>4756889</v>
      </c>
      <c r="I168" s="53">
        <v>400000</v>
      </c>
      <c r="J168" s="53" t="s">
        <v>2081</v>
      </c>
      <c r="K168" s="142">
        <f>VLOOKUP(A168,'ביצוע דוח חשב 12.2024'!A:I,9,FALSE)</f>
        <v>5291805.78</v>
      </c>
      <c r="L168" s="142">
        <v>5500000</v>
      </c>
      <c r="M168" s="53"/>
      <c r="N168" s="53"/>
      <c r="O168" s="53"/>
    </row>
    <row r="169" spans="1:15" x14ac:dyDescent="0.2">
      <c r="A169" s="132">
        <v>1343903930</v>
      </c>
      <c r="B169" s="133" t="s">
        <v>1908</v>
      </c>
      <c r="C169" s="51" t="str">
        <f>VLOOKUP(A169,'עזר 2025'!A:C,3,FALSE)</f>
        <v>משרד הרווחה</v>
      </c>
      <c r="D169" s="142"/>
      <c r="E169" s="53"/>
      <c r="F169" s="53">
        <v>172759</v>
      </c>
      <c r="G169" s="53">
        <v>0</v>
      </c>
      <c r="H169" s="53">
        <f t="shared" si="15"/>
        <v>172759</v>
      </c>
      <c r="I169" s="53">
        <v>28000</v>
      </c>
      <c r="J169" s="53" t="s">
        <v>2081</v>
      </c>
      <c r="K169" s="142">
        <f>VLOOKUP(A169,'ביצוע דוח חשב 12.2024'!A:I,9,FALSE)</f>
        <v>202840</v>
      </c>
      <c r="L169" s="142">
        <v>225000</v>
      </c>
      <c r="M169" s="53"/>
      <c r="N169" s="53"/>
      <c r="O169" s="53"/>
    </row>
    <row r="170" spans="1:15" s="50" customFormat="1" hidden="1" x14ac:dyDescent="0.2">
      <c r="A170" s="51">
        <v>1343904930</v>
      </c>
      <c r="B170" s="52" t="s">
        <v>767</v>
      </c>
      <c r="C170" s="51" t="str">
        <f>VLOOKUP(A170,'עזר 2025'!A:C,3,FALSE)</f>
        <v>משרד הרווחה</v>
      </c>
      <c r="D170" s="53">
        <v>0</v>
      </c>
      <c r="E170" s="53"/>
      <c r="F170" s="53">
        <v>5594</v>
      </c>
      <c r="G170" s="53">
        <v>0</v>
      </c>
      <c r="H170" s="53">
        <f t="shared" si="15"/>
        <v>5594</v>
      </c>
      <c r="I170" s="53"/>
      <c r="J170" s="53"/>
      <c r="K170" s="53">
        <v>0</v>
      </c>
      <c r="L170" s="53"/>
      <c r="M170" s="53"/>
      <c r="N170" s="53"/>
      <c r="O170" s="53">
        <v>1</v>
      </c>
    </row>
    <row r="171" spans="1:15" s="50" customFormat="1" ht="26.25" x14ac:dyDescent="0.2">
      <c r="A171" s="79"/>
      <c r="B171" s="79" t="s">
        <v>2137</v>
      </c>
      <c r="C171" s="79"/>
      <c r="D171" s="80">
        <f>SUM(D163:D170)</f>
        <v>10027000</v>
      </c>
      <c r="E171" s="80">
        <f t="shared" ref="E171:N171" si="19">SUM(E163:E170)</f>
        <v>0</v>
      </c>
      <c r="F171" s="80">
        <f t="shared" si="19"/>
        <v>9720643</v>
      </c>
      <c r="G171" s="80">
        <f t="shared" si="19"/>
        <v>0</v>
      </c>
      <c r="H171" s="80">
        <f t="shared" si="19"/>
        <v>9720643</v>
      </c>
      <c r="I171" s="80">
        <f t="shared" si="19"/>
        <v>1040662</v>
      </c>
      <c r="J171" s="80">
        <f t="shared" si="19"/>
        <v>0</v>
      </c>
      <c r="K171" s="80">
        <f t="shared" si="19"/>
        <v>10858999.780000001</v>
      </c>
      <c r="L171" s="80">
        <f t="shared" si="19"/>
        <v>11792500</v>
      </c>
      <c r="M171" s="80">
        <f t="shared" si="19"/>
        <v>0</v>
      </c>
      <c r="N171" s="80">
        <f t="shared" si="19"/>
        <v>0</v>
      </c>
      <c r="O171" s="80">
        <v>0</v>
      </c>
    </row>
    <row r="172" spans="1:15" x14ac:dyDescent="0.2">
      <c r="A172" s="132">
        <v>1344300930</v>
      </c>
      <c r="B172" s="133" t="s">
        <v>219</v>
      </c>
      <c r="C172" s="51" t="str">
        <f>VLOOKUP(A172,'עזר 2025'!A:C,3,FALSE)</f>
        <v>משרד הרווחה</v>
      </c>
      <c r="D172" s="142">
        <v>95000</v>
      </c>
      <c r="E172" s="53"/>
      <c r="F172" s="53">
        <v>85935</v>
      </c>
      <c r="G172" s="53">
        <v>0</v>
      </c>
      <c r="H172" s="53">
        <f t="shared" si="15"/>
        <v>85935</v>
      </c>
      <c r="I172" s="53">
        <v>7862</v>
      </c>
      <c r="J172" s="53" t="s">
        <v>2081</v>
      </c>
      <c r="K172" s="142">
        <f>VLOOKUP(A172,'ביצוע דוח חשב 12.2024'!A:I,9,FALSE)</f>
        <v>96415</v>
      </c>
      <c r="L172" s="142">
        <v>100000</v>
      </c>
      <c r="M172" s="53"/>
      <c r="N172" s="53"/>
      <c r="O172" s="53"/>
    </row>
    <row r="173" spans="1:15" s="50" customFormat="1" hidden="1" x14ac:dyDescent="0.2">
      <c r="A173" s="51">
        <v>1344402420</v>
      </c>
      <c r="B173" s="52" t="s">
        <v>222</v>
      </c>
      <c r="C173" s="51" t="str">
        <f>VLOOKUP(A173,'עזר 2025'!A:C,3,FALSE)</f>
        <v>משרד הרווחה</v>
      </c>
      <c r="D173" s="53">
        <v>0</v>
      </c>
      <c r="E173" s="53"/>
      <c r="F173" s="53">
        <v>4100</v>
      </c>
      <c r="G173" s="53">
        <v>0</v>
      </c>
      <c r="H173" s="53">
        <f t="shared" si="15"/>
        <v>4100</v>
      </c>
      <c r="I173" s="53"/>
      <c r="J173" s="53"/>
      <c r="K173" s="53">
        <v>0</v>
      </c>
      <c r="L173" s="53"/>
      <c r="M173" s="53"/>
      <c r="N173" s="53"/>
      <c r="O173" s="53">
        <v>1</v>
      </c>
    </row>
    <row r="174" spans="1:15" x14ac:dyDescent="0.2">
      <c r="A174" s="132">
        <v>1344402930</v>
      </c>
      <c r="B174" s="133" t="s">
        <v>222</v>
      </c>
      <c r="C174" s="51" t="str">
        <f>VLOOKUP(A174,'עזר 2025'!A:C,3,FALSE)</f>
        <v>משרד הרווחה</v>
      </c>
      <c r="D174" s="142">
        <v>190000</v>
      </c>
      <c r="E174" s="53"/>
      <c r="F174" s="53">
        <v>192036</v>
      </c>
      <c r="G174" s="53">
        <v>0</v>
      </c>
      <c r="H174" s="53">
        <f t="shared" si="15"/>
        <v>192036</v>
      </c>
      <c r="I174" s="53">
        <v>23000</v>
      </c>
      <c r="J174" s="53" t="s">
        <v>2081</v>
      </c>
      <c r="K174" s="142">
        <f>VLOOKUP(A174,'ביצוע דוח חשב 12.2024'!A:I,9,FALSE)</f>
        <v>209501</v>
      </c>
      <c r="L174" s="142">
        <v>220000</v>
      </c>
      <c r="M174" s="53"/>
      <c r="N174" s="53"/>
      <c r="O174" s="53"/>
    </row>
    <row r="175" spans="1:15" x14ac:dyDescent="0.2">
      <c r="A175" s="132">
        <v>1344403930</v>
      </c>
      <c r="B175" s="133" t="s">
        <v>312</v>
      </c>
      <c r="C175" s="51" t="str">
        <f>VLOOKUP(A175,'עזר 2025'!A:C,3,FALSE)</f>
        <v>משרד הרווחה</v>
      </c>
      <c r="D175" s="142">
        <v>17000</v>
      </c>
      <c r="E175" s="53"/>
      <c r="F175" s="53">
        <v>0</v>
      </c>
      <c r="G175" s="53">
        <v>0</v>
      </c>
      <c r="H175" s="53">
        <f t="shared" si="15"/>
        <v>0</v>
      </c>
      <c r="I175" s="53"/>
      <c r="J175" s="53"/>
      <c r="K175" s="142">
        <f>VLOOKUP(A175,'ביצוע דוח חשב 12.2024'!A:I,9,FALSE)</f>
        <v>0</v>
      </c>
      <c r="L175" s="142"/>
      <c r="M175" s="53"/>
      <c r="N175" s="53"/>
      <c r="O175" s="53"/>
    </row>
    <row r="176" spans="1:15" s="50" customFormat="1" ht="26.25" x14ac:dyDescent="0.2">
      <c r="A176" s="79"/>
      <c r="B176" s="79" t="s">
        <v>2138</v>
      </c>
      <c r="C176" s="79"/>
      <c r="D176" s="80">
        <f>SUM(D172:D175)</f>
        <v>302000</v>
      </c>
      <c r="E176" s="80">
        <f t="shared" ref="E176:N176" si="20">SUM(E172:E175)</f>
        <v>0</v>
      </c>
      <c r="F176" s="80">
        <f t="shared" si="20"/>
        <v>282071</v>
      </c>
      <c r="G176" s="80">
        <f t="shared" si="20"/>
        <v>0</v>
      </c>
      <c r="H176" s="80">
        <f t="shared" si="20"/>
        <v>282071</v>
      </c>
      <c r="I176" s="80">
        <f t="shared" si="20"/>
        <v>30862</v>
      </c>
      <c r="J176" s="80">
        <f t="shared" si="20"/>
        <v>0</v>
      </c>
      <c r="K176" s="80">
        <f t="shared" si="20"/>
        <v>305916</v>
      </c>
      <c r="L176" s="80">
        <f t="shared" si="20"/>
        <v>320000</v>
      </c>
      <c r="M176" s="80">
        <f t="shared" si="20"/>
        <v>0</v>
      </c>
      <c r="N176" s="80">
        <f t="shared" si="20"/>
        <v>0</v>
      </c>
      <c r="O176" s="80">
        <v>0</v>
      </c>
    </row>
    <row r="177" spans="1:15" x14ac:dyDescent="0.2">
      <c r="A177" s="132">
        <v>1345101930</v>
      </c>
      <c r="B177" s="133" t="s">
        <v>223</v>
      </c>
      <c r="C177" s="51" t="str">
        <f>VLOOKUP(A177,'עזר 2025'!A:C,3,FALSE)</f>
        <v>משרד הרווחה</v>
      </c>
      <c r="D177" s="142">
        <v>5250000</v>
      </c>
      <c r="E177" s="53"/>
      <c r="F177" s="53">
        <v>4749067</v>
      </c>
      <c r="G177" s="53">
        <v>0</v>
      </c>
      <c r="H177" s="53">
        <f t="shared" ref="H177:H213" si="21">F177+G177</f>
        <v>4749067</v>
      </c>
      <c r="I177" s="53">
        <v>450000</v>
      </c>
      <c r="J177" s="53" t="s">
        <v>2081</v>
      </c>
      <c r="K177" s="142">
        <f>VLOOKUP(A177,'ביצוע דוח חשב 12.2024'!A:I,9,FALSE)</f>
        <v>5184780</v>
      </c>
      <c r="L177" s="142">
        <v>5250000</v>
      </c>
      <c r="M177" s="53"/>
      <c r="N177" s="53"/>
      <c r="O177" s="53"/>
    </row>
    <row r="178" spans="1:15" x14ac:dyDescent="0.2">
      <c r="A178" s="132">
        <v>1345102930</v>
      </c>
      <c r="B178" s="133" t="s">
        <v>224</v>
      </c>
      <c r="C178" s="51" t="str">
        <f>VLOOKUP(A178,'עזר 2025'!A:C,3,FALSE)</f>
        <v>משרד הרווחה</v>
      </c>
      <c r="D178" s="142">
        <v>10000</v>
      </c>
      <c r="E178" s="53"/>
      <c r="F178" s="53">
        <v>7331</v>
      </c>
      <c r="G178" s="53">
        <v>0</v>
      </c>
      <c r="H178" s="53">
        <f t="shared" si="21"/>
        <v>7331</v>
      </c>
      <c r="I178" s="53">
        <v>667</v>
      </c>
      <c r="J178" s="53" t="s">
        <v>2081</v>
      </c>
      <c r="K178" s="142">
        <f>VLOOKUP(A178,'ביצוע דוח חשב 12.2024'!A:I,9,FALSE)</f>
        <v>10978</v>
      </c>
      <c r="L178" s="142"/>
      <c r="M178" s="53"/>
      <c r="N178" s="53"/>
      <c r="O178" s="53"/>
    </row>
    <row r="179" spans="1:15" x14ac:dyDescent="0.2">
      <c r="A179" s="132">
        <v>1345201930</v>
      </c>
      <c r="B179" s="133" t="s">
        <v>225</v>
      </c>
      <c r="C179" s="51" t="str">
        <f>VLOOKUP(A179,'עזר 2025'!A:C,3,FALSE)</f>
        <v>משרד הרווחה</v>
      </c>
      <c r="D179" s="142">
        <v>4150000</v>
      </c>
      <c r="E179" s="53"/>
      <c r="F179" s="53">
        <v>4220022</v>
      </c>
      <c r="G179" s="53">
        <v>0</v>
      </c>
      <c r="H179" s="53">
        <f t="shared" si="21"/>
        <v>4220022</v>
      </c>
      <c r="I179" s="57">
        <f>385000+1800000</f>
        <v>2185000</v>
      </c>
      <c r="J179" s="53" t="s">
        <v>2129</v>
      </c>
      <c r="K179" s="142">
        <f>VLOOKUP(A179,'ביצוע דוח חשב 12.2024'!A:I,9,FALSE)</f>
        <v>6030999</v>
      </c>
      <c r="L179" s="142">
        <v>6000000</v>
      </c>
      <c r="M179" s="53"/>
      <c r="N179" s="53"/>
      <c r="O179" s="53"/>
    </row>
    <row r="180" spans="1:15" x14ac:dyDescent="0.2">
      <c r="A180" s="132">
        <v>1345202930</v>
      </c>
      <c r="B180" s="133" t="s">
        <v>226</v>
      </c>
      <c r="C180" s="51" t="str">
        <f>VLOOKUP(A180,'עזר 2025'!A:C,3,FALSE)</f>
        <v>משרד הרווחה</v>
      </c>
      <c r="D180" s="142">
        <v>60000</v>
      </c>
      <c r="E180" s="53"/>
      <c r="F180" s="53">
        <v>40247</v>
      </c>
      <c r="G180" s="53">
        <v>0</v>
      </c>
      <c r="H180" s="53">
        <f t="shared" si="21"/>
        <v>40247</v>
      </c>
      <c r="I180" s="53">
        <v>2500</v>
      </c>
      <c r="J180" s="53" t="s">
        <v>2081</v>
      </c>
      <c r="K180" s="142">
        <f>VLOOKUP(A180,'ביצוע דוח חשב 12.2024'!A:I,9,FALSE)</f>
        <v>40245</v>
      </c>
      <c r="L180" s="142">
        <v>40000</v>
      </c>
      <c r="M180" s="53"/>
      <c r="N180" s="53"/>
      <c r="O180" s="53"/>
    </row>
    <row r="181" spans="1:15" x14ac:dyDescent="0.2">
      <c r="A181" s="132">
        <v>1345203930</v>
      </c>
      <c r="B181" s="133" t="s">
        <v>313</v>
      </c>
      <c r="C181" s="51" t="str">
        <f>VLOOKUP(A181,'עזר 2025'!A:C,3,FALSE)</f>
        <v>משרד הרווחה</v>
      </c>
      <c r="D181" s="142">
        <v>450000</v>
      </c>
      <c r="E181" s="53"/>
      <c r="F181" s="53">
        <v>400379</v>
      </c>
      <c r="G181" s="53">
        <v>0</v>
      </c>
      <c r="H181" s="53">
        <f t="shared" si="21"/>
        <v>400379</v>
      </c>
      <c r="I181" s="53">
        <v>30000</v>
      </c>
      <c r="J181" s="53" t="s">
        <v>2081</v>
      </c>
      <c r="K181" s="142">
        <f>VLOOKUP(A181,'ביצוע דוח חשב 12.2024'!A:I,9,FALSE)</f>
        <v>450089</v>
      </c>
      <c r="L181" s="142">
        <v>490000</v>
      </c>
      <c r="M181" s="53"/>
      <c r="N181" s="53"/>
      <c r="O181" s="53"/>
    </row>
    <row r="182" spans="1:15" x14ac:dyDescent="0.2">
      <c r="A182" s="132">
        <v>1345301930</v>
      </c>
      <c r="B182" s="133" t="s">
        <v>228</v>
      </c>
      <c r="C182" s="51" t="str">
        <f>VLOOKUP(A182,'עזר 2025'!A:C,3,FALSE)</f>
        <v>משרד הרווחה</v>
      </c>
      <c r="D182" s="142">
        <v>10000</v>
      </c>
      <c r="E182" s="53"/>
      <c r="F182" s="53">
        <v>0</v>
      </c>
      <c r="G182" s="53">
        <v>0</v>
      </c>
      <c r="H182" s="53">
        <f t="shared" si="21"/>
        <v>0</v>
      </c>
      <c r="I182" s="53"/>
      <c r="J182" s="53"/>
      <c r="K182" s="142">
        <f>VLOOKUP(A182,'ביצוע דוח חשב 12.2024'!A:I,9,FALSE)</f>
        <v>0</v>
      </c>
      <c r="L182" s="142"/>
      <c r="M182" s="53"/>
      <c r="N182" s="53"/>
      <c r="O182" s="53"/>
    </row>
    <row r="183" spans="1:15" x14ac:dyDescent="0.2">
      <c r="A183" s="132">
        <v>1345302420</v>
      </c>
      <c r="B183" s="133" t="s">
        <v>229</v>
      </c>
      <c r="C183" s="51" t="str">
        <f>VLOOKUP(A183,'עזר 2025'!A:C,3,FALSE)</f>
        <v xml:space="preserve"> עצמיות רווחה</v>
      </c>
      <c r="D183" s="138"/>
      <c r="E183" s="53"/>
      <c r="F183" s="53">
        <v>6669</v>
      </c>
      <c r="G183" s="53">
        <v>0</v>
      </c>
      <c r="H183" s="53">
        <f t="shared" si="21"/>
        <v>6669</v>
      </c>
      <c r="I183" s="53"/>
      <c r="J183" s="53"/>
      <c r="K183" s="138">
        <f>VLOOKUP(A183,'ביצוע דוח חשב 12.2024'!A:I,9,FALSE)</f>
        <v>9962</v>
      </c>
      <c r="L183" s="138"/>
      <c r="M183" s="53"/>
      <c r="N183" s="53"/>
      <c r="O183" s="53"/>
    </row>
    <row r="184" spans="1:15" x14ac:dyDescent="0.2">
      <c r="A184" s="132">
        <v>1345302930</v>
      </c>
      <c r="B184" s="133" t="s">
        <v>229</v>
      </c>
      <c r="C184" s="51" t="str">
        <f>VLOOKUP(A184,'עזר 2025'!A:C,3,FALSE)</f>
        <v>משרד הרווחה</v>
      </c>
      <c r="D184" s="142">
        <v>10000</v>
      </c>
      <c r="E184" s="53"/>
      <c r="F184" s="53">
        <v>0</v>
      </c>
      <c r="G184" s="53">
        <v>0</v>
      </c>
      <c r="H184" s="53">
        <f t="shared" si="21"/>
        <v>0</v>
      </c>
      <c r="I184" s="53"/>
      <c r="J184" s="53"/>
      <c r="K184" s="142">
        <f>VLOOKUP(A184,'ביצוע דוח חשב 12.2024'!A:I,9,FALSE)</f>
        <v>0</v>
      </c>
      <c r="L184" s="142">
        <v>10000</v>
      </c>
      <c r="M184" s="53"/>
      <c r="N184" s="53"/>
      <c r="O184" s="53"/>
    </row>
    <row r="185" spans="1:15" s="50" customFormat="1" hidden="1" x14ac:dyDescent="0.2">
      <c r="A185" s="51">
        <v>1345303930</v>
      </c>
      <c r="B185" s="52" t="s">
        <v>314</v>
      </c>
      <c r="C185" s="51" t="str">
        <f>VLOOKUP(A185,'עזר 2025'!A:C,3,FALSE)</f>
        <v>משרד הרווחה</v>
      </c>
      <c r="D185" s="53">
        <v>0</v>
      </c>
      <c r="E185" s="53"/>
      <c r="F185" s="53">
        <v>0</v>
      </c>
      <c r="G185" s="53">
        <v>0</v>
      </c>
      <c r="H185" s="53">
        <f t="shared" si="21"/>
        <v>0</v>
      </c>
      <c r="I185" s="53"/>
      <c r="J185" s="53"/>
      <c r="K185" s="53">
        <f>VLOOKUP(A185,'ביצוע דוח חשב 12.2024'!A:I,9,FALSE)</f>
        <v>0</v>
      </c>
      <c r="L185" s="53"/>
      <c r="M185" s="53"/>
      <c r="N185" s="53"/>
      <c r="O185" s="53">
        <v>1</v>
      </c>
    </row>
    <row r="186" spans="1:15" x14ac:dyDescent="0.2">
      <c r="A186" s="132">
        <v>1345401840</v>
      </c>
      <c r="B186" s="133" t="s">
        <v>1573</v>
      </c>
      <c r="C186" s="51" t="str">
        <f>VLOOKUP(A186,'עזר 2025'!A:C,3,FALSE)</f>
        <v>משרד הרווחה</v>
      </c>
      <c r="D186" s="142">
        <v>240000</v>
      </c>
      <c r="E186" s="53"/>
      <c r="F186" s="53">
        <v>461361</v>
      </c>
      <c r="G186" s="53">
        <v>0</v>
      </c>
      <c r="H186" s="53">
        <f t="shared" si="21"/>
        <v>461361</v>
      </c>
      <c r="I186" s="53">
        <v>50000</v>
      </c>
      <c r="J186" s="53" t="s">
        <v>2081</v>
      </c>
      <c r="K186" s="142">
        <f>VLOOKUP(A186,'ביצוע דוח חשב 12.2024'!A:I,9,FALSE)</f>
        <v>352366</v>
      </c>
      <c r="L186" s="142">
        <v>350000</v>
      </c>
      <c r="M186" s="53"/>
      <c r="N186" s="53"/>
      <c r="O186" s="53"/>
    </row>
    <row r="187" spans="1:15" x14ac:dyDescent="0.2">
      <c r="A187" s="132">
        <v>1345902930</v>
      </c>
      <c r="B187" s="133" t="s">
        <v>1574</v>
      </c>
      <c r="C187" s="51" t="str">
        <f>VLOOKUP(A187,'עזר 2025'!A:C,3,FALSE)</f>
        <v>משרד הרווחה</v>
      </c>
      <c r="D187" s="142">
        <v>6000</v>
      </c>
      <c r="E187" s="53"/>
      <c r="F187" s="53">
        <v>0</v>
      </c>
      <c r="G187" s="53">
        <v>0</v>
      </c>
      <c r="H187" s="53">
        <f t="shared" si="21"/>
        <v>0</v>
      </c>
      <c r="I187" s="53"/>
      <c r="J187" s="53"/>
      <c r="K187" s="142">
        <f>VLOOKUP(A187,'ביצוע דוח חשב 12.2024'!A:I,9,FALSE)</f>
        <v>0</v>
      </c>
      <c r="L187" s="142">
        <v>6000</v>
      </c>
      <c r="M187" s="53"/>
      <c r="N187" s="53"/>
      <c r="O187" s="53"/>
    </row>
    <row r="188" spans="1:15" s="50" customFormat="1" ht="26.25" x14ac:dyDescent="0.2">
      <c r="A188" s="79"/>
      <c r="B188" s="79" t="s">
        <v>2139</v>
      </c>
      <c r="C188" s="79"/>
      <c r="D188" s="80">
        <f>SUM(D177:D187)</f>
        <v>10186000</v>
      </c>
      <c r="E188" s="80">
        <f t="shared" ref="E188:N188" si="22">SUM(E177:E187)</f>
        <v>0</v>
      </c>
      <c r="F188" s="80">
        <f t="shared" si="22"/>
        <v>9885076</v>
      </c>
      <c r="G188" s="80">
        <f t="shared" si="22"/>
        <v>0</v>
      </c>
      <c r="H188" s="80">
        <f t="shared" si="22"/>
        <v>9885076</v>
      </c>
      <c r="I188" s="80">
        <f t="shared" si="22"/>
        <v>2718167</v>
      </c>
      <c r="J188" s="80">
        <f t="shared" si="22"/>
        <v>0</v>
      </c>
      <c r="K188" s="80">
        <f t="shared" si="22"/>
        <v>12079419</v>
      </c>
      <c r="L188" s="80">
        <f t="shared" si="22"/>
        <v>12146000</v>
      </c>
      <c r="M188" s="80">
        <f t="shared" si="22"/>
        <v>0</v>
      </c>
      <c r="N188" s="80">
        <f t="shared" si="22"/>
        <v>0</v>
      </c>
      <c r="O188" s="80">
        <v>0</v>
      </c>
    </row>
    <row r="189" spans="1:15" x14ac:dyDescent="0.2">
      <c r="A189" s="132">
        <v>1346302930</v>
      </c>
      <c r="B189" s="133" t="s">
        <v>315</v>
      </c>
      <c r="C189" s="51" t="str">
        <f>VLOOKUP(A189,'עזר 2025'!A:C,3,FALSE)</f>
        <v>משרד הרווחה</v>
      </c>
      <c r="D189" s="142">
        <v>0</v>
      </c>
      <c r="E189" s="53"/>
      <c r="F189" s="53">
        <v>21294</v>
      </c>
      <c r="G189" s="53">
        <v>0</v>
      </c>
      <c r="H189" s="53">
        <f t="shared" si="21"/>
        <v>21294</v>
      </c>
      <c r="I189" s="53">
        <v>1800</v>
      </c>
      <c r="J189" s="53" t="s">
        <v>2081</v>
      </c>
      <c r="K189" s="142">
        <f>VLOOKUP(A189,'ביצוע דוח חשב 12.2024'!A:I,9,FALSE)</f>
        <v>45269</v>
      </c>
      <c r="L189" s="142">
        <v>45000</v>
      </c>
      <c r="M189" s="53"/>
      <c r="N189" s="53"/>
      <c r="O189" s="53"/>
    </row>
    <row r="190" spans="1:15" x14ac:dyDescent="0.2">
      <c r="A190" s="132">
        <v>1346401930</v>
      </c>
      <c r="B190" s="133" t="s">
        <v>316</v>
      </c>
      <c r="C190" s="51" t="str">
        <f>VLOOKUP(A190,'עזר 2025'!A:C,3,FALSE)</f>
        <v>משרד הרווחה</v>
      </c>
      <c r="D190" s="142">
        <v>10000</v>
      </c>
      <c r="E190" s="53"/>
      <c r="F190" s="53">
        <v>0</v>
      </c>
      <c r="G190" s="53">
        <v>0</v>
      </c>
      <c r="H190" s="53">
        <f t="shared" si="21"/>
        <v>0</v>
      </c>
      <c r="I190" s="53"/>
      <c r="J190" s="53"/>
      <c r="K190" s="142">
        <f>VLOOKUP(A190,'ביצוע דוח חשב 12.2024'!A:I,9,FALSE)</f>
        <v>0</v>
      </c>
      <c r="L190" s="142"/>
      <c r="M190" s="53"/>
      <c r="N190" s="53"/>
      <c r="O190" s="53"/>
    </row>
    <row r="191" spans="1:15" x14ac:dyDescent="0.2">
      <c r="A191" s="132">
        <v>1346500930</v>
      </c>
      <c r="B191" s="133" t="s">
        <v>230</v>
      </c>
      <c r="C191" s="51" t="str">
        <f>VLOOKUP(A191,'עזר 2025'!A:C,3,FALSE)</f>
        <v>משרד הרווחה</v>
      </c>
      <c r="D191" s="142">
        <v>600000</v>
      </c>
      <c r="E191" s="53"/>
      <c r="F191" s="53">
        <v>766899</v>
      </c>
      <c r="G191" s="53">
        <v>0</v>
      </c>
      <c r="H191" s="53">
        <f t="shared" si="21"/>
        <v>766899</v>
      </c>
      <c r="I191" s="53">
        <v>55000</v>
      </c>
      <c r="J191" s="53" t="s">
        <v>2081</v>
      </c>
      <c r="K191" s="142">
        <f>VLOOKUP(A191,'ביצוע דוח חשב 12.2024'!A:I,9,FALSE)</f>
        <v>859513</v>
      </c>
      <c r="L191" s="142">
        <v>900000</v>
      </c>
      <c r="M191" s="53"/>
      <c r="N191" s="53"/>
      <c r="O191" s="53"/>
    </row>
    <row r="192" spans="1:15" x14ac:dyDescent="0.2">
      <c r="A192" s="132">
        <v>1346601930</v>
      </c>
      <c r="B192" s="133" t="s">
        <v>233</v>
      </c>
      <c r="C192" s="51" t="str">
        <f>VLOOKUP(A192,'עזר 2025'!A:C,3,FALSE)</f>
        <v>משרד הרווחה</v>
      </c>
      <c r="D192" s="142">
        <v>260000</v>
      </c>
      <c r="E192" s="53"/>
      <c r="F192" s="53">
        <v>206388</v>
      </c>
      <c r="G192" s="53">
        <v>0</v>
      </c>
      <c r="H192" s="53">
        <f t="shared" si="21"/>
        <v>206388</v>
      </c>
      <c r="I192" s="53">
        <v>19000</v>
      </c>
      <c r="J192" s="53" t="s">
        <v>2081</v>
      </c>
      <c r="K192" s="142">
        <f>VLOOKUP(A192,'ביצוע דוח חשב 12.2024'!A:I,9,FALSE)</f>
        <v>291299</v>
      </c>
      <c r="L192" s="142">
        <v>300000</v>
      </c>
      <c r="M192" s="53"/>
      <c r="N192" s="53"/>
      <c r="O192" s="53"/>
    </row>
    <row r="193" spans="1:15" x14ac:dyDescent="0.2">
      <c r="A193" s="132">
        <v>1346603930</v>
      </c>
      <c r="B193" s="133" t="s">
        <v>663</v>
      </c>
      <c r="C193" s="51" t="str">
        <f>VLOOKUP(A193,'עזר 2025'!A:C,3,FALSE)</f>
        <v>משרד הרווחה</v>
      </c>
      <c r="D193" s="142">
        <v>40000</v>
      </c>
      <c r="E193" s="53"/>
      <c r="F193" s="53">
        <v>0</v>
      </c>
      <c r="G193" s="53">
        <v>0</v>
      </c>
      <c r="H193" s="53">
        <f t="shared" si="21"/>
        <v>0</v>
      </c>
      <c r="I193" s="53"/>
      <c r="J193" s="53"/>
      <c r="K193" s="142">
        <f>VLOOKUP(A193,'ביצוע דוח חשב 12.2024'!A:I,9,FALSE)</f>
        <v>0</v>
      </c>
      <c r="L193" s="142"/>
      <c r="M193" s="53"/>
      <c r="N193" s="53"/>
      <c r="O193" s="53"/>
    </row>
    <row r="194" spans="1:15" x14ac:dyDescent="0.2">
      <c r="A194" s="132">
        <v>1346604930</v>
      </c>
      <c r="B194" s="133" t="s">
        <v>1654</v>
      </c>
      <c r="C194" s="51" t="str">
        <f>VLOOKUP(A194,'עזר 2025'!A:C,3,FALSE)</f>
        <v>משרד הרווחה</v>
      </c>
      <c r="D194" s="142">
        <v>0</v>
      </c>
      <c r="E194" s="53"/>
      <c r="F194" s="53">
        <v>88897</v>
      </c>
      <c r="G194" s="53">
        <v>0</v>
      </c>
      <c r="H194" s="53">
        <f t="shared" si="21"/>
        <v>88897</v>
      </c>
      <c r="I194" s="53">
        <v>8100</v>
      </c>
      <c r="J194" s="53" t="s">
        <v>2081</v>
      </c>
      <c r="K194" s="142">
        <f>VLOOKUP(A194,'ביצוע דוח חשב 12.2024'!A:I,9,FALSE)</f>
        <v>196558</v>
      </c>
      <c r="L194" s="142">
        <v>200000</v>
      </c>
      <c r="M194" s="53"/>
      <c r="N194" s="53"/>
      <c r="O194" s="53"/>
    </row>
    <row r="195" spans="1:15" x14ac:dyDescent="0.2">
      <c r="A195" s="132">
        <v>1346701930</v>
      </c>
      <c r="B195" s="133" t="s">
        <v>317</v>
      </c>
      <c r="C195" s="51" t="str">
        <f>VLOOKUP(A195,'עזר 2025'!A:C,3,FALSE)</f>
        <v>משרד הרווחה</v>
      </c>
      <c r="D195" s="142">
        <v>1000000</v>
      </c>
      <c r="E195" s="53"/>
      <c r="F195" s="53">
        <v>928697</v>
      </c>
      <c r="G195" s="53">
        <v>0</v>
      </c>
      <c r="H195" s="53">
        <f t="shared" si="21"/>
        <v>928697</v>
      </c>
      <c r="I195" s="53">
        <v>120000</v>
      </c>
      <c r="J195" s="53" t="s">
        <v>2081</v>
      </c>
      <c r="K195" s="142">
        <f>VLOOKUP(A195,'ביצוע דוח חשב 12.2024'!A:I,9,FALSE)</f>
        <v>1073484</v>
      </c>
      <c r="L195" s="142">
        <v>1100000</v>
      </c>
      <c r="M195" s="53"/>
      <c r="N195" s="53"/>
      <c r="O195" s="53"/>
    </row>
    <row r="196" spans="1:15" x14ac:dyDescent="0.2">
      <c r="A196" s="132">
        <v>1346702930</v>
      </c>
      <c r="B196" s="133" t="s">
        <v>235</v>
      </c>
      <c r="C196" s="51" t="str">
        <f>VLOOKUP(A196,'עזר 2025'!A:C,3,FALSE)</f>
        <v>משרד הרווחה</v>
      </c>
      <c r="D196" s="142">
        <v>0</v>
      </c>
      <c r="E196" s="53"/>
      <c r="F196" s="53">
        <v>22095</v>
      </c>
      <c r="G196" s="53">
        <v>0</v>
      </c>
      <c r="H196" s="53">
        <f t="shared" si="21"/>
        <v>22095</v>
      </c>
      <c r="I196" s="53">
        <v>2010</v>
      </c>
      <c r="J196" s="53" t="s">
        <v>2081</v>
      </c>
      <c r="K196" s="142">
        <f>VLOOKUP(A196,'ביצוע דוח חשב 12.2024'!A:I,9,FALSE)</f>
        <v>36347</v>
      </c>
      <c r="L196" s="142">
        <v>40000</v>
      </c>
      <c r="M196" s="53"/>
      <c r="N196" s="53"/>
      <c r="O196" s="53"/>
    </row>
    <row r="197" spans="1:15" x14ac:dyDescent="0.2">
      <c r="A197" s="132">
        <v>1346703930</v>
      </c>
      <c r="B197" s="133" t="s">
        <v>236</v>
      </c>
      <c r="C197" s="51" t="str">
        <f>VLOOKUP(A197,'עזר 2025'!A:C,3,FALSE)</f>
        <v>משרד הרווחה</v>
      </c>
      <c r="D197" s="142">
        <v>600000</v>
      </c>
      <c r="E197" s="53"/>
      <c r="F197" s="53">
        <v>338051</v>
      </c>
      <c r="G197" s="53">
        <v>0</v>
      </c>
      <c r="H197" s="53">
        <f t="shared" si="21"/>
        <v>338051</v>
      </c>
      <c r="I197" s="53">
        <v>18000</v>
      </c>
      <c r="J197" s="53" t="s">
        <v>2081</v>
      </c>
      <c r="K197" s="142">
        <f>VLOOKUP(A197,'ביצוע דוח חשב 12.2024'!A:I,9,FALSE)</f>
        <v>500752</v>
      </c>
      <c r="L197" s="142">
        <v>500000</v>
      </c>
      <c r="M197" s="53"/>
      <c r="N197" s="53"/>
      <c r="O197" s="53"/>
    </row>
    <row r="198" spans="1:15" x14ac:dyDescent="0.2">
      <c r="A198" s="132">
        <v>1346704930</v>
      </c>
      <c r="B198" s="133" t="s">
        <v>237</v>
      </c>
      <c r="C198" s="51" t="str">
        <f>VLOOKUP(A198,'עזר 2025'!A:C,3,FALSE)</f>
        <v>משרד הרווחה</v>
      </c>
      <c r="D198" s="142">
        <v>150000</v>
      </c>
      <c r="E198" s="53"/>
      <c r="F198" s="53">
        <v>96203</v>
      </c>
      <c r="G198" s="53">
        <v>0</v>
      </c>
      <c r="H198" s="53">
        <f t="shared" si="21"/>
        <v>96203</v>
      </c>
      <c r="I198" s="53">
        <v>4000</v>
      </c>
      <c r="J198" s="53" t="s">
        <v>2081</v>
      </c>
      <c r="K198" s="142">
        <f>VLOOKUP(A198,'ביצוע דוח חשב 12.2024'!A:I,9,FALSE)</f>
        <v>102609</v>
      </c>
      <c r="L198" s="142">
        <v>100000</v>
      </c>
      <c r="M198" s="53"/>
      <c r="N198" s="53"/>
      <c r="O198" s="53"/>
    </row>
    <row r="199" spans="1:15" x14ac:dyDescent="0.2">
      <c r="A199" s="132">
        <v>1346705930</v>
      </c>
      <c r="B199" s="133" t="s">
        <v>768</v>
      </c>
      <c r="C199" s="51" t="str">
        <f>VLOOKUP(A199,'עזר 2025'!A:C,3,FALSE)</f>
        <v>משרד הרווחה</v>
      </c>
      <c r="D199" s="142">
        <v>50000</v>
      </c>
      <c r="E199" s="53"/>
      <c r="F199" s="53">
        <v>152579</v>
      </c>
      <c r="G199" s="53">
        <v>0</v>
      </c>
      <c r="H199" s="53">
        <f t="shared" si="21"/>
        <v>152579</v>
      </c>
      <c r="I199" s="53">
        <v>14000</v>
      </c>
      <c r="J199" s="53" t="s">
        <v>2081</v>
      </c>
      <c r="K199" s="142">
        <f>VLOOKUP(A199,'ביצוע דוח חשב 12.2024'!A:I,9,FALSE)</f>
        <v>204579</v>
      </c>
      <c r="L199" s="142">
        <v>200000</v>
      </c>
      <c r="M199" s="53"/>
      <c r="N199" s="53"/>
      <c r="O199" s="53"/>
    </row>
    <row r="200" spans="1:15" x14ac:dyDescent="0.2">
      <c r="A200" s="132">
        <v>1346801930</v>
      </c>
      <c r="B200" s="133" t="s">
        <v>238</v>
      </c>
      <c r="C200" s="51" t="str">
        <f>VLOOKUP(A200,'עזר 2025'!A:C,3,FALSE)</f>
        <v>משרד הרווחה</v>
      </c>
      <c r="D200" s="142">
        <v>200000</v>
      </c>
      <c r="E200" s="53"/>
      <c r="F200" s="53">
        <v>256384</v>
      </c>
      <c r="G200" s="53">
        <v>0</v>
      </c>
      <c r="H200" s="53">
        <f t="shared" si="21"/>
        <v>256384</v>
      </c>
      <c r="I200" s="53">
        <f>16000+7700</f>
        <v>23700</v>
      </c>
      <c r="J200" s="53" t="s">
        <v>2081</v>
      </c>
      <c r="K200" s="142">
        <f>VLOOKUP(A200,'ביצוע דוח חשב 12.2024'!A:I,9,FALSE)</f>
        <v>354739</v>
      </c>
      <c r="L200" s="142">
        <v>200000</v>
      </c>
      <c r="M200" s="53"/>
      <c r="N200" s="53"/>
      <c r="O200" s="53"/>
    </row>
    <row r="201" spans="1:15" ht="26.25" x14ac:dyDescent="0.2">
      <c r="A201" s="134"/>
      <c r="B201" s="134" t="s">
        <v>2140</v>
      </c>
      <c r="C201" s="79"/>
      <c r="D201" s="139">
        <f>SUM(D189:D200)</f>
        <v>2910000</v>
      </c>
      <c r="E201" s="80">
        <f t="shared" ref="E201:O201" si="23">SUM(E189:E200)</f>
        <v>0</v>
      </c>
      <c r="F201" s="80">
        <f t="shared" si="23"/>
        <v>2877487</v>
      </c>
      <c r="G201" s="80">
        <f t="shared" si="23"/>
        <v>0</v>
      </c>
      <c r="H201" s="80">
        <f t="shared" si="23"/>
        <v>2877487</v>
      </c>
      <c r="I201" s="80">
        <f t="shared" si="23"/>
        <v>265610</v>
      </c>
      <c r="J201" s="80">
        <f t="shared" si="23"/>
        <v>0</v>
      </c>
      <c r="K201" s="139">
        <f t="shared" si="23"/>
        <v>3665149</v>
      </c>
      <c r="L201" s="139">
        <f t="shared" si="23"/>
        <v>3585000</v>
      </c>
      <c r="M201" s="80">
        <f t="shared" si="23"/>
        <v>0</v>
      </c>
      <c r="N201" s="80">
        <f t="shared" si="23"/>
        <v>0</v>
      </c>
      <c r="O201" s="80">
        <f t="shared" si="23"/>
        <v>0</v>
      </c>
    </row>
    <row r="202" spans="1:15" x14ac:dyDescent="0.2">
      <c r="A202" s="132">
        <v>1347101930</v>
      </c>
      <c r="B202" s="133" t="s">
        <v>318</v>
      </c>
      <c r="C202" s="51" t="str">
        <f>VLOOKUP(A202,'עזר 2025'!A:C,3,FALSE)</f>
        <v>משרד הרווחה</v>
      </c>
      <c r="D202" s="142">
        <v>20000</v>
      </c>
      <c r="E202" s="53"/>
      <c r="F202" s="53">
        <v>0</v>
      </c>
      <c r="G202" s="53">
        <v>0</v>
      </c>
      <c r="H202" s="53">
        <f t="shared" si="21"/>
        <v>0</v>
      </c>
      <c r="I202" s="53"/>
      <c r="J202" s="53"/>
      <c r="K202" s="142">
        <f>VLOOKUP(A202,'ביצוע דוח חשב 12.2024'!A:I,9,FALSE)</f>
        <v>0</v>
      </c>
      <c r="L202" s="142">
        <v>20000</v>
      </c>
      <c r="M202" s="53"/>
      <c r="N202" s="53"/>
      <c r="O202" s="53"/>
    </row>
    <row r="203" spans="1:15" x14ac:dyDescent="0.2">
      <c r="A203" s="132">
        <v>1347102930</v>
      </c>
      <c r="B203" s="133" t="s">
        <v>239</v>
      </c>
      <c r="C203" s="51" t="str">
        <f>VLOOKUP(A203,'עזר 2025'!A:C,3,FALSE)</f>
        <v>משרד הרווחה</v>
      </c>
      <c r="D203" s="142">
        <v>38000</v>
      </c>
      <c r="E203" s="53"/>
      <c r="F203" s="53">
        <v>0</v>
      </c>
      <c r="G203" s="53">
        <v>0</v>
      </c>
      <c r="H203" s="53">
        <f t="shared" si="21"/>
        <v>0</v>
      </c>
      <c r="I203" s="53"/>
      <c r="J203" s="53"/>
      <c r="K203" s="142">
        <f>VLOOKUP(A203,'ביצוע דוח חשב 12.2024'!A:I,9,FALSE)</f>
        <v>0</v>
      </c>
      <c r="L203" s="142">
        <v>38000</v>
      </c>
      <c r="M203" s="53"/>
      <c r="N203" s="53"/>
      <c r="O203" s="53"/>
    </row>
    <row r="204" spans="1:15" x14ac:dyDescent="0.2">
      <c r="A204" s="132">
        <v>1347103930</v>
      </c>
      <c r="B204" s="133" t="s">
        <v>240</v>
      </c>
      <c r="C204" s="51" t="str">
        <f>VLOOKUP(A204,'עזר 2025'!A:C,3,FALSE)</f>
        <v>משרד הרווחה</v>
      </c>
      <c r="D204" s="142">
        <v>180000</v>
      </c>
      <c r="E204" s="53"/>
      <c r="F204" s="53">
        <v>0</v>
      </c>
      <c r="G204" s="53">
        <v>0</v>
      </c>
      <c r="H204" s="53">
        <f t="shared" si="21"/>
        <v>0</v>
      </c>
      <c r="I204" s="53"/>
      <c r="J204" s="53"/>
      <c r="K204" s="142">
        <f>VLOOKUP(A204,'ביצוע דוח חשב 12.2024'!A:I,9,FALSE)</f>
        <v>0</v>
      </c>
      <c r="L204" s="142">
        <v>180000</v>
      </c>
      <c r="M204" s="53"/>
      <c r="N204" s="53"/>
      <c r="O204" s="53"/>
    </row>
    <row r="205" spans="1:15" x14ac:dyDescent="0.2">
      <c r="A205" s="132">
        <v>1347104930</v>
      </c>
      <c r="B205" s="133" t="s">
        <v>241</v>
      </c>
      <c r="C205" s="51" t="str">
        <f>VLOOKUP(A205,'עזר 2025'!A:C,3,FALSE)</f>
        <v>משרד הרווחה</v>
      </c>
      <c r="D205" s="142">
        <v>25000</v>
      </c>
      <c r="E205" s="53"/>
      <c r="F205" s="53">
        <v>132453</v>
      </c>
      <c r="G205" s="53">
        <v>0</v>
      </c>
      <c r="H205" s="53">
        <f t="shared" si="21"/>
        <v>132453</v>
      </c>
      <c r="I205" s="53"/>
      <c r="J205" s="53"/>
      <c r="K205" s="142">
        <f>VLOOKUP(A205,'ביצוע דוח חשב 12.2024'!A:I,9,FALSE)</f>
        <v>243866</v>
      </c>
      <c r="L205" s="142">
        <v>250000</v>
      </c>
      <c r="M205" s="53"/>
      <c r="N205" s="53"/>
      <c r="O205" s="53"/>
    </row>
    <row r="206" spans="1:15" x14ac:dyDescent="0.2">
      <c r="A206" s="132">
        <v>1347201930</v>
      </c>
      <c r="B206" s="133" t="s">
        <v>242</v>
      </c>
      <c r="C206" s="51" t="str">
        <f>VLOOKUP(A206,'עזר 2025'!A:C,3,FALSE)</f>
        <v>משרד הרווחה</v>
      </c>
      <c r="D206" s="142">
        <v>150000</v>
      </c>
      <c r="E206" s="53"/>
      <c r="F206" s="53">
        <v>0</v>
      </c>
      <c r="G206" s="53">
        <v>0</v>
      </c>
      <c r="H206" s="53">
        <f t="shared" si="21"/>
        <v>0</v>
      </c>
      <c r="I206" s="53"/>
      <c r="J206" s="53"/>
      <c r="K206" s="142">
        <f>VLOOKUP(A206,'ביצוע דוח חשב 12.2024'!A:I,9,FALSE)</f>
        <v>0</v>
      </c>
      <c r="L206" s="142"/>
      <c r="M206" s="53"/>
      <c r="N206" s="53"/>
      <c r="O206" s="53"/>
    </row>
    <row r="207" spans="1:15" x14ac:dyDescent="0.2">
      <c r="A207" s="132">
        <v>1347202930</v>
      </c>
      <c r="B207" s="133" t="s">
        <v>319</v>
      </c>
      <c r="C207" s="51" t="str">
        <f>VLOOKUP(A207,'עזר 2025'!A:C,3,FALSE)</f>
        <v>משרד הרווחה</v>
      </c>
      <c r="D207" s="142">
        <v>75000</v>
      </c>
      <c r="E207" s="53"/>
      <c r="F207" s="53">
        <v>0</v>
      </c>
      <c r="G207" s="53">
        <v>0</v>
      </c>
      <c r="H207" s="53">
        <f t="shared" si="21"/>
        <v>0</v>
      </c>
      <c r="I207" s="53"/>
      <c r="J207" s="53"/>
      <c r="K207" s="142">
        <f>VLOOKUP(A207,'ביצוע דוח חשב 12.2024'!A:I,9,FALSE)</f>
        <v>0</v>
      </c>
      <c r="L207" s="142">
        <v>75000</v>
      </c>
      <c r="M207" s="53"/>
      <c r="N207" s="53"/>
      <c r="O207" s="53"/>
    </row>
    <row r="208" spans="1:15" x14ac:dyDescent="0.2">
      <c r="A208" s="132">
        <v>1347220930</v>
      </c>
      <c r="B208" s="133" t="s">
        <v>983</v>
      </c>
      <c r="C208" s="51" t="str">
        <f>VLOOKUP(A208,'עזר 2025'!A:C,3,FALSE)</f>
        <v>משרד הרווחה</v>
      </c>
      <c r="D208" s="142">
        <v>430000</v>
      </c>
      <c r="E208" s="53"/>
      <c r="F208" s="53">
        <v>395978</v>
      </c>
      <c r="G208" s="53">
        <v>0</v>
      </c>
      <c r="H208" s="53">
        <f t="shared" si="21"/>
        <v>395978</v>
      </c>
      <c r="I208" s="53">
        <v>35000</v>
      </c>
      <c r="J208" s="53" t="s">
        <v>2081</v>
      </c>
      <c r="K208" s="142">
        <f>VLOOKUP(A208,'ביצוע דוח חשב 12.2024'!A:I,9,FALSE)</f>
        <v>428049</v>
      </c>
      <c r="L208" s="142">
        <v>450000</v>
      </c>
      <c r="M208" s="53"/>
      <c r="N208" s="53"/>
      <c r="O208" s="53"/>
    </row>
    <row r="209" spans="1:15" x14ac:dyDescent="0.2">
      <c r="A209" s="132">
        <v>1347301930</v>
      </c>
      <c r="B209" s="133" t="s">
        <v>320</v>
      </c>
      <c r="C209" s="51" t="str">
        <f>VLOOKUP(A209,'עזר 2025'!A:C,3,FALSE)</f>
        <v>משרד הרווחה</v>
      </c>
      <c r="D209" s="142">
        <v>70000</v>
      </c>
      <c r="E209" s="53"/>
      <c r="F209" s="53">
        <v>74873</v>
      </c>
      <c r="G209" s="53">
        <v>0</v>
      </c>
      <c r="H209" s="53">
        <f t="shared" si="21"/>
        <v>74873</v>
      </c>
      <c r="I209" s="53">
        <v>7000</v>
      </c>
      <c r="J209" s="53" t="s">
        <v>2081</v>
      </c>
      <c r="K209" s="142">
        <f>VLOOKUP(A209,'ביצוע דוח חשב 12.2024'!A:I,9,FALSE)</f>
        <v>141539</v>
      </c>
      <c r="L209" s="142">
        <v>150000</v>
      </c>
      <c r="M209" s="53"/>
      <c r="N209" s="53"/>
      <c r="O209" s="53"/>
    </row>
    <row r="210" spans="1:15" x14ac:dyDescent="0.2">
      <c r="A210" s="132">
        <v>1347305930</v>
      </c>
      <c r="B210" s="133" t="s">
        <v>643</v>
      </c>
      <c r="C210" s="51" t="str">
        <f>VLOOKUP(A210,'עזר 2025'!A:C,3,FALSE)</f>
        <v>משרד הרווחה</v>
      </c>
      <c r="D210" s="142">
        <v>1250000</v>
      </c>
      <c r="E210" s="53"/>
      <c r="F210" s="53">
        <v>1126484</v>
      </c>
      <c r="G210" s="53">
        <v>0</v>
      </c>
      <c r="H210" s="53">
        <f t="shared" si="21"/>
        <v>1126484</v>
      </c>
      <c r="I210" s="53">
        <v>120000</v>
      </c>
      <c r="J210" s="53" t="s">
        <v>2081</v>
      </c>
      <c r="K210" s="142">
        <f>VLOOKUP(A210,'ביצוע דוח חשב 12.2024'!A:I,9,FALSE)</f>
        <v>1260343</v>
      </c>
      <c r="L210" s="142">
        <f>1700000*0.75</f>
        <v>1275000</v>
      </c>
      <c r="M210" s="53"/>
      <c r="N210" s="53"/>
      <c r="O210" s="53"/>
    </row>
    <row r="211" spans="1:15" x14ac:dyDescent="0.2">
      <c r="A211" s="132">
        <v>1347400930</v>
      </c>
      <c r="B211" s="133" t="s">
        <v>321</v>
      </c>
      <c r="C211" s="51" t="str">
        <f>VLOOKUP(A211,'עזר 2025'!A:C,3,FALSE)</f>
        <v>משרד הרווחה</v>
      </c>
      <c r="D211" s="142">
        <v>20000</v>
      </c>
      <c r="E211" s="53"/>
      <c r="F211" s="53">
        <v>25955</v>
      </c>
      <c r="G211" s="53">
        <v>0</v>
      </c>
      <c r="H211" s="53">
        <f t="shared" si="21"/>
        <v>25955</v>
      </c>
      <c r="I211" s="53">
        <v>2000</v>
      </c>
      <c r="J211" s="53" t="s">
        <v>2081</v>
      </c>
      <c r="K211" s="142">
        <f>VLOOKUP(A211,'ביצוע דוח חשב 12.2024'!A:I,9,FALSE)</f>
        <v>28290</v>
      </c>
      <c r="L211" s="142">
        <v>30000</v>
      </c>
      <c r="M211" s="53"/>
      <c r="N211" s="53"/>
      <c r="O211" s="53"/>
    </row>
    <row r="212" spans="1:15" hidden="1" x14ac:dyDescent="0.2">
      <c r="A212" s="132">
        <v>1348501930</v>
      </c>
      <c r="B212" s="133" t="s">
        <v>322</v>
      </c>
      <c r="C212" s="51" t="s">
        <v>339</v>
      </c>
      <c r="D212" s="142"/>
      <c r="E212" s="53"/>
      <c r="F212" s="53">
        <v>43109</v>
      </c>
      <c r="G212" s="53">
        <v>0</v>
      </c>
      <c r="H212" s="53">
        <f t="shared" si="21"/>
        <v>43109</v>
      </c>
      <c r="I212" s="53"/>
      <c r="J212" s="53"/>
      <c r="K212" s="142">
        <v>0</v>
      </c>
      <c r="L212" s="142"/>
      <c r="M212" s="53"/>
      <c r="N212" s="53"/>
      <c r="O212" s="53"/>
    </row>
    <row r="213" spans="1:15" x14ac:dyDescent="0.2">
      <c r="A213" s="132">
        <v>1348900930</v>
      </c>
      <c r="B213" s="133" t="s">
        <v>2230</v>
      </c>
      <c r="C213" s="51" t="str">
        <f>VLOOKUP(A213,'עזר 2025'!A:C,3,FALSE)</f>
        <v>משרד הרווחה</v>
      </c>
      <c r="D213" s="142">
        <v>0</v>
      </c>
      <c r="E213" s="53"/>
      <c r="F213" s="53">
        <v>230942</v>
      </c>
      <c r="G213" s="53">
        <v>0</v>
      </c>
      <c r="H213" s="53">
        <f t="shared" si="21"/>
        <v>230942</v>
      </c>
      <c r="I213" s="53">
        <v>22000</v>
      </c>
      <c r="J213" s="53" t="s">
        <v>2081</v>
      </c>
      <c r="K213" s="142">
        <f>VLOOKUP(A213,'ביצוע דוח חשב 12.2024'!A:I,9,FALSE)</f>
        <v>252501</v>
      </c>
      <c r="L213" s="142">
        <v>260000</v>
      </c>
      <c r="M213" s="53"/>
      <c r="N213" s="53"/>
      <c r="O213" s="53"/>
    </row>
    <row r="214" spans="1:15" ht="26.25" x14ac:dyDescent="0.2">
      <c r="A214" s="134"/>
      <c r="B214" s="134" t="s">
        <v>2141</v>
      </c>
      <c r="C214" s="79"/>
      <c r="D214" s="139">
        <f>SUM(D202:D213)</f>
        <v>2258000</v>
      </c>
      <c r="E214" s="80">
        <f t="shared" ref="E214:O214" si="24">SUM(E202:E213)</f>
        <v>0</v>
      </c>
      <c r="F214" s="80">
        <f t="shared" si="24"/>
        <v>2029794</v>
      </c>
      <c r="G214" s="80">
        <f t="shared" si="24"/>
        <v>0</v>
      </c>
      <c r="H214" s="80">
        <f t="shared" si="24"/>
        <v>2029794</v>
      </c>
      <c r="I214" s="80">
        <f t="shared" si="24"/>
        <v>186000</v>
      </c>
      <c r="J214" s="80">
        <f t="shared" si="24"/>
        <v>0</v>
      </c>
      <c r="K214" s="139">
        <f t="shared" si="24"/>
        <v>2354588</v>
      </c>
      <c r="L214" s="139">
        <f t="shared" si="24"/>
        <v>2728000</v>
      </c>
      <c r="M214" s="80">
        <f t="shared" si="24"/>
        <v>0</v>
      </c>
      <c r="N214" s="80">
        <f t="shared" si="24"/>
        <v>0</v>
      </c>
      <c r="O214" s="80">
        <f t="shared" si="24"/>
        <v>0</v>
      </c>
    </row>
    <row r="215" spans="1:15" s="50" customFormat="1" ht="41.25" customHeight="1" x14ac:dyDescent="0.2">
      <c r="A215" s="81"/>
      <c r="B215" s="81" t="s">
        <v>360</v>
      </c>
      <c r="C215" s="81"/>
      <c r="D215" s="82">
        <f t="shared" ref="D215:O215" si="25">D214+D201+D188+D176+D171+D162+D150</f>
        <v>29386000</v>
      </c>
      <c r="E215" s="82">
        <f t="shared" si="25"/>
        <v>0</v>
      </c>
      <c r="F215" s="82">
        <f t="shared" si="25"/>
        <v>28272131</v>
      </c>
      <c r="G215" s="82">
        <f t="shared" si="25"/>
        <v>0</v>
      </c>
      <c r="H215" s="82">
        <f t="shared" si="25"/>
        <v>28272131</v>
      </c>
      <c r="I215" s="82">
        <f t="shared" si="25"/>
        <v>4686880</v>
      </c>
      <c r="J215" s="82">
        <f t="shared" si="25"/>
        <v>0</v>
      </c>
      <c r="K215" s="82">
        <f t="shared" si="25"/>
        <v>35917130.780000001</v>
      </c>
      <c r="L215" s="82">
        <f t="shared" si="25"/>
        <v>36674500</v>
      </c>
      <c r="M215" s="82">
        <f t="shared" si="25"/>
        <v>0</v>
      </c>
      <c r="N215" s="82">
        <f t="shared" si="25"/>
        <v>0</v>
      </c>
      <c r="O215" s="82">
        <f t="shared" si="25"/>
        <v>0</v>
      </c>
    </row>
    <row r="216" spans="1:15" x14ac:dyDescent="0.2">
      <c r="A216" s="132">
        <v>1413110210</v>
      </c>
      <c r="B216" s="133" t="s">
        <v>323</v>
      </c>
      <c r="C216" s="51" t="str">
        <f>VLOOKUP(A216,'עזר 2025'!A:C,3,FALSE)</f>
        <v>מפעל המים</v>
      </c>
      <c r="D216" s="138">
        <v>750000</v>
      </c>
      <c r="E216" s="53"/>
      <c r="F216" s="53">
        <v>717132.63</v>
      </c>
      <c r="G216" s="53">
        <v>0</v>
      </c>
      <c r="H216" s="53">
        <f t="shared" ref="H216:H246" si="26">F216+G216</f>
        <v>717132.63</v>
      </c>
      <c r="I216" s="53">
        <f>870000-H216</f>
        <v>152867.37</v>
      </c>
      <c r="J216" s="53"/>
      <c r="K216" s="138">
        <f>VLOOKUP(A216,'ביצוע דוח חשב 12.2024'!A:I,9,FALSE)</f>
        <v>917003.91</v>
      </c>
      <c r="L216" s="138">
        <v>400000</v>
      </c>
      <c r="M216" s="53"/>
      <c r="N216" s="53"/>
      <c r="O216" s="53"/>
    </row>
    <row r="217" spans="1:15" x14ac:dyDescent="0.2">
      <c r="A217" s="132">
        <v>1433000290</v>
      </c>
      <c r="B217" s="133" t="s">
        <v>324</v>
      </c>
      <c r="C217" s="51" t="str">
        <f>VLOOKUP(A217,'עזר 2025'!A:C,3,FALSE)</f>
        <v xml:space="preserve"> עצמיות אחר</v>
      </c>
      <c r="D217" s="138">
        <v>0</v>
      </c>
      <c r="E217" s="53"/>
      <c r="F217" s="53">
        <v>1028</v>
      </c>
      <c r="G217" s="53">
        <v>0</v>
      </c>
      <c r="H217" s="53">
        <f t="shared" si="26"/>
        <v>1028</v>
      </c>
      <c r="I217" s="53">
        <f>1500-H217</f>
        <v>472</v>
      </c>
      <c r="J217" s="53"/>
      <c r="K217" s="138">
        <f>VLOOKUP(A217,'ביצוע דוח חשב 12.2024'!A:I,9,FALSE)</f>
        <v>1398</v>
      </c>
      <c r="L217" s="138">
        <v>3000</v>
      </c>
      <c r="M217" s="53"/>
      <c r="N217" s="53"/>
      <c r="O217" s="53"/>
    </row>
    <row r="218" spans="1:15" ht="41.25" customHeight="1" x14ac:dyDescent="0.2">
      <c r="A218" s="136"/>
      <c r="B218" s="136" t="s">
        <v>2142</v>
      </c>
      <c r="C218" s="81"/>
      <c r="D218" s="140">
        <f t="shared" ref="D218:O218" si="27">SUM(D216:D217)</f>
        <v>750000</v>
      </c>
      <c r="E218" s="82">
        <f t="shared" si="27"/>
        <v>0</v>
      </c>
      <c r="F218" s="82">
        <f t="shared" si="27"/>
        <v>718160.63</v>
      </c>
      <c r="G218" s="82">
        <f t="shared" si="27"/>
        <v>0</v>
      </c>
      <c r="H218" s="82">
        <f t="shared" si="27"/>
        <v>718160.63</v>
      </c>
      <c r="I218" s="82">
        <f t="shared" si="27"/>
        <v>153339.37</v>
      </c>
      <c r="J218" s="82">
        <f t="shared" si="27"/>
        <v>0</v>
      </c>
      <c r="K218" s="140">
        <f t="shared" si="27"/>
        <v>918401.91</v>
      </c>
      <c r="L218" s="140">
        <f t="shared" si="27"/>
        <v>403000</v>
      </c>
      <c r="M218" s="82">
        <f t="shared" si="27"/>
        <v>0</v>
      </c>
      <c r="N218" s="82">
        <f t="shared" si="27"/>
        <v>0</v>
      </c>
      <c r="O218" s="82">
        <f t="shared" si="27"/>
        <v>0</v>
      </c>
    </row>
    <row r="219" spans="1:15" x14ac:dyDescent="0.2">
      <c r="A219" s="132">
        <v>1472100210</v>
      </c>
      <c r="B219" s="133" t="s">
        <v>769</v>
      </c>
      <c r="C219" s="51" t="str">
        <f>VLOOKUP(A219,'עזר 2025'!A:C,3,FALSE)</f>
        <v xml:space="preserve"> עצמיות אחר</v>
      </c>
      <c r="D219" s="138">
        <v>40000</v>
      </c>
      <c r="E219" s="53"/>
      <c r="F219" s="53">
        <v>52246.26</v>
      </c>
      <c r="G219" s="53">
        <v>0</v>
      </c>
      <c r="H219" s="53">
        <f t="shared" si="26"/>
        <v>52246.26</v>
      </c>
      <c r="I219" s="53">
        <f>65000-H219</f>
        <v>12753.739999999998</v>
      </c>
      <c r="J219" s="53"/>
      <c r="K219" s="138">
        <v>95000</v>
      </c>
      <c r="L219" s="138">
        <v>30000</v>
      </c>
      <c r="M219" s="53"/>
      <c r="N219" s="53"/>
      <c r="O219" s="53"/>
    </row>
    <row r="220" spans="1:15" ht="41.25" customHeight="1" x14ac:dyDescent="0.2">
      <c r="A220" s="136"/>
      <c r="B220" s="136" t="s">
        <v>2143</v>
      </c>
      <c r="C220" s="81"/>
      <c r="D220" s="140">
        <f t="shared" ref="D220:O220" si="28">SUM(D219:D219)</f>
        <v>40000</v>
      </c>
      <c r="E220" s="82">
        <f t="shared" si="28"/>
        <v>0</v>
      </c>
      <c r="F220" s="82">
        <f t="shared" si="28"/>
        <v>52246.26</v>
      </c>
      <c r="G220" s="82">
        <f t="shared" si="28"/>
        <v>0</v>
      </c>
      <c r="H220" s="82">
        <f t="shared" si="28"/>
        <v>52246.26</v>
      </c>
      <c r="I220" s="82">
        <f t="shared" si="28"/>
        <v>12753.739999999998</v>
      </c>
      <c r="J220" s="82">
        <f t="shared" si="28"/>
        <v>0</v>
      </c>
      <c r="K220" s="140">
        <f t="shared" si="28"/>
        <v>95000</v>
      </c>
      <c r="L220" s="140">
        <f t="shared" si="28"/>
        <v>30000</v>
      </c>
      <c r="M220" s="82">
        <f t="shared" si="28"/>
        <v>0</v>
      </c>
      <c r="N220" s="82">
        <f t="shared" si="28"/>
        <v>0</v>
      </c>
      <c r="O220" s="82">
        <f t="shared" si="28"/>
        <v>0</v>
      </c>
    </row>
    <row r="221" spans="1:15" x14ac:dyDescent="0.2">
      <c r="A221" s="132">
        <v>1511000661</v>
      </c>
      <c r="B221" s="133" t="s">
        <v>664</v>
      </c>
      <c r="C221" s="51" t="str">
        <f>VLOOKUP(A221,'עזר 2025'!A:C,3,FALSE)</f>
        <v xml:space="preserve">תקבולים אחרים </v>
      </c>
      <c r="D221" s="138">
        <v>100000</v>
      </c>
      <c r="E221" s="53"/>
      <c r="F221" s="53">
        <v>49936.55</v>
      </c>
      <c r="G221" s="53">
        <v>0</v>
      </c>
      <c r="H221" s="53">
        <f t="shared" si="26"/>
        <v>49936.55</v>
      </c>
      <c r="I221" s="53"/>
      <c r="J221" s="53"/>
      <c r="K221" s="138">
        <f>VLOOKUP(A221,'ביצוע דוח חשב 12.2024'!A:I,9,FALSE)</f>
        <v>56498.13</v>
      </c>
      <c r="L221" s="138">
        <v>50000</v>
      </c>
      <c r="M221" s="53"/>
      <c r="N221" s="53"/>
      <c r="O221" s="53"/>
    </row>
    <row r="222" spans="1:15" s="50" customFormat="1" hidden="1" x14ac:dyDescent="0.2">
      <c r="A222" s="51">
        <v>1599000590</v>
      </c>
      <c r="B222" s="52" t="s">
        <v>800</v>
      </c>
      <c r="C222" s="51" t="s">
        <v>344</v>
      </c>
      <c r="D222" s="53"/>
      <c r="E222" s="53"/>
      <c r="F222" s="53">
        <v>0</v>
      </c>
      <c r="G222" s="53">
        <v>0</v>
      </c>
      <c r="H222" s="53">
        <f t="shared" si="26"/>
        <v>0</v>
      </c>
      <c r="I222" s="53"/>
      <c r="J222" s="53"/>
      <c r="K222" s="53">
        <f>VLOOKUP(A222,'ביצוע דוח חשב 12.2024'!A:I,9,FALSE)</f>
        <v>0</v>
      </c>
      <c r="L222" s="53"/>
      <c r="M222" s="53"/>
      <c r="N222" s="53"/>
      <c r="O222" s="53">
        <v>1</v>
      </c>
    </row>
    <row r="223" spans="1:15" s="50" customFormat="1" hidden="1" x14ac:dyDescent="0.2">
      <c r="A223" s="51">
        <v>1599100910</v>
      </c>
      <c r="B223" s="52" t="s">
        <v>809</v>
      </c>
      <c r="C223" s="51" t="str">
        <f>VLOOKUP(A223,'עזר 2025'!A:C,3,FALSE)</f>
        <v>הכנסה  לכיסוי גרעון נצבר</v>
      </c>
      <c r="D223" s="53">
        <v>0</v>
      </c>
      <c r="E223" s="53"/>
      <c r="F223" s="53">
        <v>0</v>
      </c>
      <c r="G223" s="53">
        <v>0</v>
      </c>
      <c r="H223" s="53">
        <f t="shared" si="26"/>
        <v>0</v>
      </c>
      <c r="I223" s="53"/>
      <c r="J223" s="53"/>
      <c r="K223" s="53">
        <f>VLOOKUP(A223,'ביצוע דוח חשב 12.2024'!A:I,9,FALSE)</f>
        <v>0</v>
      </c>
      <c r="L223" s="53"/>
      <c r="M223" s="53"/>
      <c r="N223" s="53"/>
      <c r="O223" s="53">
        <v>1</v>
      </c>
    </row>
    <row r="224" spans="1:15" s="50" customFormat="1" hidden="1" x14ac:dyDescent="0.2">
      <c r="A224" s="51">
        <v>1599200910</v>
      </c>
      <c r="B224" s="52" t="s">
        <v>665</v>
      </c>
      <c r="C224" s="51" t="str">
        <f>VLOOKUP(A224,'עזר 2025'!A:C,3,FALSE)</f>
        <v>הכנסה  לכיסוי גרעון נצבר</v>
      </c>
      <c r="D224" s="53">
        <v>0</v>
      </c>
      <c r="E224" s="53"/>
      <c r="F224" s="53">
        <v>0</v>
      </c>
      <c r="G224" s="53">
        <v>0</v>
      </c>
      <c r="H224" s="53">
        <f t="shared" si="26"/>
        <v>0</v>
      </c>
      <c r="I224" s="53"/>
      <c r="J224" s="53"/>
      <c r="K224" s="53">
        <f>VLOOKUP(A224,'ביצוע דוח חשב 12.2024'!A:I,9,FALSE)</f>
        <v>0</v>
      </c>
      <c r="L224" s="53"/>
      <c r="M224" s="53"/>
      <c r="N224" s="53"/>
      <c r="O224" s="53">
        <v>1</v>
      </c>
    </row>
    <row r="225" spans="1:15" s="50" customFormat="1" ht="41.25" customHeight="1" x14ac:dyDescent="0.2">
      <c r="A225" s="81"/>
      <c r="B225" s="81" t="s">
        <v>2144</v>
      </c>
      <c r="C225" s="81"/>
      <c r="D225" s="82">
        <f>SUM(D221:D224)</f>
        <v>100000</v>
      </c>
      <c r="E225" s="82">
        <f t="shared" ref="E225:N225" si="29">SUM(E221:E224)</f>
        <v>0</v>
      </c>
      <c r="F225" s="82">
        <f t="shared" si="29"/>
        <v>49936.55</v>
      </c>
      <c r="G225" s="82">
        <f t="shared" si="29"/>
        <v>0</v>
      </c>
      <c r="H225" s="82">
        <f t="shared" si="29"/>
        <v>49936.55</v>
      </c>
      <c r="I225" s="82">
        <f t="shared" si="29"/>
        <v>0</v>
      </c>
      <c r="J225" s="82">
        <f t="shared" si="29"/>
        <v>0</v>
      </c>
      <c r="K225" s="82">
        <f t="shared" si="29"/>
        <v>56498.13</v>
      </c>
      <c r="L225" s="82">
        <f t="shared" si="29"/>
        <v>50000</v>
      </c>
      <c r="M225" s="82">
        <f t="shared" si="29"/>
        <v>0</v>
      </c>
      <c r="N225" s="82">
        <f t="shared" si="29"/>
        <v>0</v>
      </c>
      <c r="O225" s="82">
        <v>0</v>
      </c>
    </row>
    <row r="226" spans="1:15" s="86" customFormat="1" ht="60" customHeight="1" x14ac:dyDescent="0.2">
      <c r="A226" s="83"/>
      <c r="B226" s="84"/>
      <c r="C226" s="83" t="s">
        <v>426</v>
      </c>
      <c r="D226" s="85">
        <f t="shared" ref="D226:O226" si="30">D225+D220+D218+D215+D141+D131+D28</f>
        <v>130505919.25</v>
      </c>
      <c r="E226" s="85">
        <f t="shared" si="30"/>
        <v>0</v>
      </c>
      <c r="F226" s="85">
        <f t="shared" si="30"/>
        <v>112204269.60000001</v>
      </c>
      <c r="G226" s="85">
        <f t="shared" si="30"/>
        <v>0</v>
      </c>
      <c r="H226" s="85">
        <f t="shared" si="30"/>
        <v>112204269.60000001</v>
      </c>
      <c r="I226" s="85" t="e">
        <f t="shared" si="30"/>
        <v>#REF!</v>
      </c>
      <c r="J226" s="85">
        <f t="shared" si="30"/>
        <v>0</v>
      </c>
      <c r="K226" s="85">
        <f t="shared" si="30"/>
        <v>143378873.9824</v>
      </c>
      <c r="L226" s="85">
        <f t="shared" si="30"/>
        <v>149003249</v>
      </c>
      <c r="M226" s="85">
        <f t="shared" si="30"/>
        <v>0</v>
      </c>
      <c r="N226" s="85">
        <f t="shared" si="30"/>
        <v>0</v>
      </c>
      <c r="O226" s="85">
        <f t="shared" si="30"/>
        <v>0</v>
      </c>
    </row>
    <row r="227" spans="1:15" s="86" customFormat="1" ht="60" customHeight="1" x14ac:dyDescent="0.2">
      <c r="A227" s="155"/>
      <c r="B227" s="156"/>
      <c r="C227" s="152"/>
      <c r="D227" s="157"/>
      <c r="E227" s="153"/>
      <c r="F227" s="153"/>
      <c r="G227" s="153"/>
      <c r="H227" s="153"/>
      <c r="I227" s="153"/>
      <c r="J227" s="153"/>
      <c r="K227" s="157"/>
      <c r="L227" s="157"/>
      <c r="M227" s="157"/>
      <c r="N227" s="153"/>
      <c r="O227" s="154"/>
    </row>
    <row r="228" spans="1:15" s="86" customFormat="1" ht="60" customHeight="1" x14ac:dyDescent="0.2">
      <c r="A228" s="155"/>
      <c r="B228" s="156"/>
      <c r="C228" s="152"/>
      <c r="D228" s="157"/>
      <c r="E228" s="153"/>
      <c r="F228" s="153"/>
      <c r="G228" s="153"/>
      <c r="H228" s="153"/>
      <c r="I228" s="153"/>
      <c r="J228" s="153"/>
      <c r="K228" s="157"/>
      <c r="L228" s="157"/>
      <c r="M228" s="157"/>
      <c r="N228" s="153"/>
      <c r="O228" s="154"/>
    </row>
    <row r="229" spans="1:15" s="86" customFormat="1" ht="60" customHeight="1" x14ac:dyDescent="0.2">
      <c r="A229" s="155"/>
      <c r="B229" s="156"/>
      <c r="C229" s="152"/>
      <c r="D229" s="157"/>
      <c r="E229" s="153"/>
      <c r="F229" s="153"/>
      <c r="G229" s="153"/>
      <c r="H229" s="153"/>
      <c r="I229" s="153"/>
      <c r="J229" s="153"/>
      <c r="K229" s="157"/>
      <c r="L229" s="157"/>
      <c r="M229" s="157"/>
      <c r="N229" s="153"/>
      <c r="O229" s="154"/>
    </row>
    <row r="230" spans="1:15" ht="45.75" x14ac:dyDescent="0.2">
      <c r="A230" s="168" t="s">
        <v>351</v>
      </c>
      <c r="B230" s="169"/>
      <c r="C230" s="170"/>
      <c r="D230" s="169"/>
      <c r="E230" s="170"/>
      <c r="F230" s="170"/>
      <c r="G230" s="170"/>
      <c r="H230" s="170"/>
      <c r="I230" s="170"/>
      <c r="J230" s="170"/>
      <c r="K230" s="169"/>
      <c r="L230" s="169"/>
      <c r="M230" s="170"/>
      <c r="N230" s="170"/>
      <c r="O230" s="171"/>
    </row>
    <row r="231" spans="1:15" x14ac:dyDescent="0.2">
      <c r="A231" s="132">
        <v>1611100110</v>
      </c>
      <c r="B231" s="133" t="s">
        <v>2</v>
      </c>
      <c r="C231" s="51" t="str">
        <f>VLOOKUP(A231,'עזר 2025'!A:C,3,FALSE)</f>
        <v>שכר כללי</v>
      </c>
      <c r="D231" s="138">
        <v>1600000</v>
      </c>
      <c r="E231" s="53">
        <v>2</v>
      </c>
      <c r="F231" s="53">
        <v>1142273.3</v>
      </c>
      <c r="G231" s="53">
        <v>0</v>
      </c>
      <c r="H231" s="53">
        <f t="shared" si="26"/>
        <v>1142273.3</v>
      </c>
      <c r="I231" s="53">
        <f>SUMIFS('תקציב שכר'!J:J,'תקציב שכר'!A:A,A231)-H231</f>
        <v>145358.93999999994</v>
      </c>
      <c r="J231" s="53" t="s">
        <v>2052</v>
      </c>
      <c r="K231" s="138">
        <f>VLOOKUP(A231,'ביצוע דוח חשב 12.2024'!A:I,9,FALSE)</f>
        <v>1307296.6499999999</v>
      </c>
      <c r="L231" s="138">
        <v>1500000</v>
      </c>
      <c r="M231" s="69">
        <v>2</v>
      </c>
      <c r="N231" s="53"/>
      <c r="O231" s="53"/>
    </row>
    <row r="232" spans="1:15" x14ac:dyDescent="0.2">
      <c r="A232" s="132">
        <v>1611100511</v>
      </c>
      <c r="B232" s="133" t="s">
        <v>3</v>
      </c>
      <c r="C232" s="90" t="str">
        <f>VLOOKUP(A232,'עזר 2025'!A:C,3,FALSE)</f>
        <v>פעולות כלליות</v>
      </c>
      <c r="D232" s="142">
        <v>50000</v>
      </c>
      <c r="E232" s="92">
        <v>0</v>
      </c>
      <c r="F232" s="53">
        <v>39250.33</v>
      </c>
      <c r="G232" s="53">
        <v>9378</v>
      </c>
      <c r="H232" s="53">
        <f t="shared" si="26"/>
        <v>48628.33</v>
      </c>
      <c r="I232" s="53"/>
      <c r="J232" s="92"/>
      <c r="K232" s="142">
        <f>VLOOKUP(A232,'ביצוע דוח חשב 12.2024'!A:I,9,FALSE)</f>
        <v>45003.33</v>
      </c>
      <c r="L232" s="142">
        <v>50000</v>
      </c>
      <c r="M232" s="53"/>
      <c r="N232" s="53"/>
      <c r="O232" s="53"/>
    </row>
    <row r="233" spans="1:15" x14ac:dyDescent="0.2">
      <c r="A233" s="132">
        <v>1611100523</v>
      </c>
      <c r="B233" s="133" t="s">
        <v>7</v>
      </c>
      <c r="C233" s="90" t="str">
        <f>VLOOKUP(A233,'עזר 2025'!A:C,3,FALSE)</f>
        <v>פעולות כלליות</v>
      </c>
      <c r="D233" s="142">
        <v>0</v>
      </c>
      <c r="E233" s="92">
        <v>0</v>
      </c>
      <c r="F233" s="53">
        <v>300</v>
      </c>
      <c r="G233" s="53">
        <v>0</v>
      </c>
      <c r="H233" s="53">
        <f t="shared" si="26"/>
        <v>300</v>
      </c>
      <c r="I233" s="53"/>
      <c r="J233" s="92"/>
      <c r="K233" s="142"/>
      <c r="L233" s="142">
        <v>2200</v>
      </c>
      <c r="M233" s="53"/>
      <c r="N233" s="53"/>
      <c r="O233" s="53"/>
    </row>
    <row r="234" spans="1:15" x14ac:dyDescent="0.2">
      <c r="A234" s="132">
        <v>1611100560</v>
      </c>
      <c r="B234" s="133" t="s">
        <v>10</v>
      </c>
      <c r="C234" s="90" t="str">
        <f>VLOOKUP(A234,'עזר 2025'!A:C,3,FALSE)</f>
        <v>פעולות כלליות</v>
      </c>
      <c r="D234" s="142">
        <v>85000</v>
      </c>
      <c r="E234" s="92">
        <v>0</v>
      </c>
      <c r="F234" s="53">
        <v>74671.990000000005</v>
      </c>
      <c r="G234" s="53">
        <v>10213</v>
      </c>
      <c r="H234" s="53">
        <f t="shared" si="26"/>
        <v>84884.99</v>
      </c>
      <c r="I234" s="53"/>
      <c r="J234" s="92"/>
      <c r="K234" s="142">
        <f>VLOOKUP(A234,'ביצוע דוח חשב 12.2024'!A:I,9,FALSE)</f>
        <v>78239.990000000005</v>
      </c>
      <c r="L234" s="142">
        <v>80000</v>
      </c>
      <c r="M234" s="53"/>
      <c r="N234" s="53"/>
      <c r="O234" s="53"/>
    </row>
    <row r="235" spans="1:15" x14ac:dyDescent="0.2">
      <c r="A235" s="132">
        <v>1611100750</v>
      </c>
      <c r="B235" s="133" t="s">
        <v>11</v>
      </c>
      <c r="C235" s="90" t="str">
        <f>VLOOKUP(A235,'עזר 2025'!A:C,3,FALSE)</f>
        <v>פעולות כלליות</v>
      </c>
      <c r="D235" s="142">
        <v>150000</v>
      </c>
      <c r="E235" s="92">
        <v>0</v>
      </c>
      <c r="F235" s="53">
        <v>186884.66</v>
      </c>
      <c r="G235" s="53">
        <v>0</v>
      </c>
      <c r="H235" s="53">
        <f t="shared" si="26"/>
        <v>186884.66</v>
      </c>
      <c r="I235" s="53">
        <v>15528</v>
      </c>
      <c r="J235" s="92" t="s">
        <v>2055</v>
      </c>
      <c r="K235" s="142">
        <f>VLOOKUP(A235,'ביצוע דוח חשב 12.2024'!A:I,9,FALSE)</f>
        <v>202412.66</v>
      </c>
      <c r="L235" s="142">
        <v>200000</v>
      </c>
      <c r="M235" s="53"/>
      <c r="N235" s="53"/>
      <c r="O235" s="53"/>
    </row>
    <row r="236" spans="1:15" x14ac:dyDescent="0.2">
      <c r="A236" s="132">
        <v>1611100780</v>
      </c>
      <c r="B236" s="133" t="s">
        <v>13</v>
      </c>
      <c r="C236" s="90" t="str">
        <f>VLOOKUP(A236,'עזר 2025'!A:C,3,FALSE)</f>
        <v>פעולות כלליות</v>
      </c>
      <c r="D236" s="142">
        <v>75000</v>
      </c>
      <c r="E236" s="92">
        <v>0</v>
      </c>
      <c r="F236" s="53">
        <v>97265.99</v>
      </c>
      <c r="G236" s="53">
        <v>7138</v>
      </c>
      <c r="H236" s="53">
        <f t="shared" si="26"/>
        <v>104403.99</v>
      </c>
      <c r="I236" s="53"/>
      <c r="J236" s="92"/>
      <c r="K236" s="142">
        <f>VLOOKUP(A236,'ביצוע דוח חשב 12.2024'!A:I,9,FALSE)</f>
        <v>103305.99</v>
      </c>
      <c r="L236" s="142">
        <v>105000</v>
      </c>
      <c r="M236" s="53"/>
      <c r="N236" s="53"/>
      <c r="O236" s="53"/>
    </row>
    <row r="237" spans="1:15" x14ac:dyDescent="0.2">
      <c r="A237" s="132">
        <v>1611110110</v>
      </c>
      <c r="B237" s="133" t="s">
        <v>1909</v>
      </c>
      <c r="C237" s="51" t="str">
        <f>VLOOKUP(A237,'עזר 2025'!A:C,3,FALSE)</f>
        <v>שכר כללי</v>
      </c>
      <c r="D237" s="142">
        <v>330000</v>
      </c>
      <c r="E237" s="53">
        <v>2</v>
      </c>
      <c r="F237" s="53">
        <v>314999.33</v>
      </c>
      <c r="G237" s="53">
        <v>0</v>
      </c>
      <c r="H237" s="53">
        <f t="shared" si="26"/>
        <v>314999.33</v>
      </c>
      <c r="I237" s="53">
        <f>SUMIFS('תקציב שכר'!J:J,'תקציב שכר'!A:A,A237)-H237</f>
        <v>72013.38</v>
      </c>
      <c r="J237" s="53" t="s">
        <v>2052</v>
      </c>
      <c r="K237" s="142">
        <f>VLOOKUP(A237,'ביצוע דוח חשב 12.2024'!A:I,9,FALSE)</f>
        <v>384788.73</v>
      </c>
      <c r="L237" s="142">
        <v>400000</v>
      </c>
      <c r="M237" s="69">
        <v>2</v>
      </c>
      <c r="N237" s="53"/>
      <c r="O237" s="53"/>
    </row>
    <row r="238" spans="1:15" ht="26.25" x14ac:dyDescent="0.2">
      <c r="A238" s="134"/>
      <c r="B238" s="134" t="s">
        <v>730</v>
      </c>
      <c r="C238" s="79"/>
      <c r="D238" s="139">
        <f>SUM(D231:D237)</f>
        <v>2290000</v>
      </c>
      <c r="E238" s="80">
        <f t="shared" ref="E238:O238" si="31">SUM(E231:E237)</f>
        <v>4</v>
      </c>
      <c r="F238" s="80">
        <f t="shared" si="31"/>
        <v>1855645.6</v>
      </c>
      <c r="G238" s="80">
        <f t="shared" si="31"/>
        <v>26729</v>
      </c>
      <c r="H238" s="80">
        <f t="shared" si="31"/>
        <v>1882374.6</v>
      </c>
      <c r="I238" s="80">
        <f t="shared" si="31"/>
        <v>232900.31999999995</v>
      </c>
      <c r="J238" s="80">
        <f t="shared" si="31"/>
        <v>0</v>
      </c>
      <c r="K238" s="139">
        <f t="shared" si="31"/>
        <v>2121047.3499999996</v>
      </c>
      <c r="L238" s="139">
        <f t="shared" si="31"/>
        <v>2337200</v>
      </c>
      <c r="M238" s="80">
        <f t="shared" si="31"/>
        <v>4</v>
      </c>
      <c r="N238" s="80">
        <f t="shared" si="31"/>
        <v>0</v>
      </c>
      <c r="O238" s="80">
        <f t="shared" si="31"/>
        <v>0</v>
      </c>
    </row>
    <row r="239" spans="1:15" x14ac:dyDescent="0.2">
      <c r="A239" s="132">
        <v>1612000523</v>
      </c>
      <c r="B239" s="133" t="s">
        <v>16</v>
      </c>
      <c r="C239" s="90" t="str">
        <f>VLOOKUP(A239,'עזר 2025'!A:C,3,FALSE)</f>
        <v>פעולות כלליות</v>
      </c>
      <c r="D239" s="142">
        <v>2000</v>
      </c>
      <c r="E239" s="92">
        <v>0</v>
      </c>
      <c r="F239" s="53">
        <v>1400</v>
      </c>
      <c r="G239" s="53">
        <v>0</v>
      </c>
      <c r="H239" s="53">
        <f t="shared" si="26"/>
        <v>1400</v>
      </c>
      <c r="I239" s="53"/>
      <c r="J239" s="92"/>
      <c r="K239" s="142">
        <f>VLOOKUP(A239,'ביצוע דוח חשב 12.2024'!A:I,9,FALSE)</f>
        <v>1400</v>
      </c>
      <c r="L239" s="142">
        <v>1400</v>
      </c>
      <c r="M239" s="53"/>
      <c r="N239" s="53"/>
      <c r="O239" s="53"/>
    </row>
    <row r="240" spans="1:15" x14ac:dyDescent="0.2">
      <c r="A240" s="132">
        <v>1612000930</v>
      </c>
      <c r="B240" s="133" t="s">
        <v>18</v>
      </c>
      <c r="C240" s="90" t="str">
        <f>VLOOKUP(A240,'עזר 2025'!A:C,3,FALSE)</f>
        <v>פעולות כלליות</v>
      </c>
      <c r="D240" s="142">
        <v>5000</v>
      </c>
      <c r="E240" s="92">
        <v>0</v>
      </c>
      <c r="F240" s="53">
        <v>0</v>
      </c>
      <c r="G240" s="53">
        <v>0</v>
      </c>
      <c r="H240" s="53">
        <f t="shared" si="26"/>
        <v>0</v>
      </c>
      <c r="I240" s="53"/>
      <c r="J240" s="92"/>
      <c r="K240" s="142">
        <f>VLOOKUP(A240,'ביצוע דוח חשב 12.2024'!A:I,9,FALSE)</f>
        <v>0</v>
      </c>
      <c r="L240" s="142">
        <v>5000</v>
      </c>
      <c r="M240" s="53"/>
      <c r="N240" s="53"/>
      <c r="O240" s="53"/>
    </row>
    <row r="241" spans="1:15" x14ac:dyDescent="0.2">
      <c r="A241" s="132">
        <v>1613000110</v>
      </c>
      <c r="B241" s="133" t="s">
        <v>2221</v>
      </c>
      <c r="C241" s="51" t="str">
        <f>VLOOKUP(A241,'עזר 2025'!A:C,3,FALSE)</f>
        <v>שכר כללי</v>
      </c>
      <c r="D241" s="142">
        <v>450000</v>
      </c>
      <c r="E241" s="53">
        <v>2</v>
      </c>
      <c r="F241" s="53">
        <v>426246.53</v>
      </c>
      <c r="G241" s="53">
        <v>0</v>
      </c>
      <c r="H241" s="53">
        <f t="shared" si="26"/>
        <v>426246.53</v>
      </c>
      <c r="I241" s="53">
        <f>SUMIFS('תקציב שכר'!J:J,'תקציב שכר'!A:A,A241)-H241</f>
        <v>155456.45999999996</v>
      </c>
      <c r="J241" s="53" t="s">
        <v>2052</v>
      </c>
      <c r="K241" s="142">
        <f>VLOOKUP(A241,'ביצוע דוח חשב 12.2024'!A:I,9,FALSE)</f>
        <v>580595.04</v>
      </c>
      <c r="L241" s="142">
        <v>900000</v>
      </c>
      <c r="M241" s="69">
        <v>3</v>
      </c>
      <c r="N241" s="53"/>
      <c r="O241" s="53"/>
    </row>
    <row r="242" spans="1:15" x14ac:dyDescent="0.2">
      <c r="A242" s="132">
        <v>1613000431</v>
      </c>
      <c r="B242" s="133" t="s">
        <v>20</v>
      </c>
      <c r="C242" s="90" t="str">
        <f>VLOOKUP(A242,'עזר 2025'!A:C,3,FALSE)</f>
        <v>פעולות כלליות</v>
      </c>
      <c r="D242" s="142">
        <v>30000</v>
      </c>
      <c r="E242" s="92">
        <v>0</v>
      </c>
      <c r="F242" s="53">
        <v>65984.899999999994</v>
      </c>
      <c r="G242" s="53">
        <v>0</v>
      </c>
      <c r="H242" s="53">
        <f t="shared" si="26"/>
        <v>65984.899999999994</v>
      </c>
      <c r="I242" s="53">
        <v>5000</v>
      </c>
      <c r="J242" s="92"/>
      <c r="K242" s="142">
        <v>55000</v>
      </c>
      <c r="L242" s="142">
        <v>60000</v>
      </c>
      <c r="M242" s="53"/>
      <c r="N242" s="53"/>
      <c r="O242" s="53"/>
    </row>
    <row r="243" spans="1:15" x14ac:dyDescent="0.2">
      <c r="A243" s="132">
        <v>1613000523</v>
      </c>
      <c r="B243" s="133" t="s">
        <v>22</v>
      </c>
      <c r="C243" s="90" t="str">
        <f>VLOOKUP(A243,'עזר 2025'!A:C,3,FALSE)</f>
        <v>פעולות כלליות</v>
      </c>
      <c r="D243" s="142">
        <v>33000</v>
      </c>
      <c r="E243" s="92">
        <v>0</v>
      </c>
      <c r="F243" s="53">
        <v>49721</v>
      </c>
      <c r="G243" s="53">
        <v>0</v>
      </c>
      <c r="H243" s="53">
        <f t="shared" si="26"/>
        <v>49721</v>
      </c>
      <c r="I243" s="53"/>
      <c r="J243" s="92"/>
      <c r="K243" s="142">
        <f>VLOOKUP(A243,'ביצוע דוח חשב 12.2024'!A:I,9,FALSE)</f>
        <v>49721</v>
      </c>
      <c r="L243" s="142">
        <v>50000</v>
      </c>
      <c r="M243" s="53"/>
      <c r="N243" s="53"/>
      <c r="O243" s="53"/>
    </row>
    <row r="244" spans="1:15" x14ac:dyDescent="0.2">
      <c r="A244" s="132">
        <v>1613000550</v>
      </c>
      <c r="B244" s="133" t="s">
        <v>1655</v>
      </c>
      <c r="C244" s="90" t="str">
        <f>VLOOKUP(A244,'עזר 2025'!A:C,3,FALSE)</f>
        <v>פעולות כלליות</v>
      </c>
      <c r="D244" s="142">
        <v>40000</v>
      </c>
      <c r="E244" s="92">
        <v>0</v>
      </c>
      <c r="F244" s="53">
        <v>0</v>
      </c>
      <c r="G244" s="53">
        <v>0</v>
      </c>
      <c r="H244" s="53">
        <f t="shared" si="26"/>
        <v>0</v>
      </c>
      <c r="I244" s="53"/>
      <c r="J244" s="92"/>
      <c r="K244" s="142">
        <f>VLOOKUP(A244,'ביצוע דוח חשב 12.2024'!A:I,9,FALSE)</f>
        <v>4102</v>
      </c>
      <c r="L244" s="142">
        <v>10000</v>
      </c>
      <c r="M244" s="53"/>
      <c r="N244" s="53"/>
      <c r="O244" s="53"/>
    </row>
    <row r="245" spans="1:15" x14ac:dyDescent="0.2">
      <c r="A245" s="132">
        <v>1613000560</v>
      </c>
      <c r="B245" s="133" t="s">
        <v>666</v>
      </c>
      <c r="C245" s="90" t="str">
        <f>VLOOKUP(A245,'עזר 2025'!A:C,3,FALSE)</f>
        <v>פעולות כלליות</v>
      </c>
      <c r="D245" s="142">
        <v>0</v>
      </c>
      <c r="E245" s="92">
        <v>0</v>
      </c>
      <c r="F245" s="53">
        <v>19847.5</v>
      </c>
      <c r="G245" s="53">
        <v>2050</v>
      </c>
      <c r="H245" s="53">
        <f t="shared" si="26"/>
        <v>21897.5</v>
      </c>
      <c r="I245" s="53"/>
      <c r="J245" s="92"/>
      <c r="K245" s="142">
        <f>VLOOKUP(A245,'ביצוע דוח חשב 12.2024'!A:I,9,FALSE)</f>
        <v>19847.5</v>
      </c>
      <c r="L245" s="142">
        <v>20000</v>
      </c>
      <c r="M245" s="53"/>
      <c r="N245" s="53"/>
      <c r="O245" s="53"/>
    </row>
    <row r="246" spans="1:15" x14ac:dyDescent="0.2">
      <c r="A246" s="132">
        <v>1613000750</v>
      </c>
      <c r="B246" s="133" t="s">
        <v>27</v>
      </c>
      <c r="C246" s="90" t="str">
        <f>VLOOKUP(A246,'עזר 2025'!A:C,3,FALSE)</f>
        <v>פעולות כלליות</v>
      </c>
      <c r="D246" s="142">
        <v>85000</v>
      </c>
      <c r="E246" s="92">
        <v>0</v>
      </c>
      <c r="F246" s="53">
        <v>76477.83</v>
      </c>
      <c r="G246" s="53">
        <v>20938.099999999999</v>
      </c>
      <c r="H246" s="53">
        <f t="shared" si="26"/>
        <v>97415.93</v>
      </c>
      <c r="I246" s="53"/>
      <c r="J246" s="92"/>
      <c r="K246" s="142">
        <f>VLOOKUP(A246,'ביצוע דוח חשב 12.2024'!A:I,9,FALSE)</f>
        <v>78777.83</v>
      </c>
      <c r="L246" s="142">
        <v>80000</v>
      </c>
      <c r="M246" s="53"/>
      <c r="N246" s="53"/>
      <c r="O246" s="53"/>
    </row>
    <row r="247" spans="1:15" x14ac:dyDescent="0.2">
      <c r="A247" s="132">
        <v>1613000780</v>
      </c>
      <c r="B247" s="133" t="s">
        <v>13</v>
      </c>
      <c r="C247" s="90" t="str">
        <f>VLOOKUP(A247,'עזר 2025'!A:C,3,FALSE)</f>
        <v>פעולות כלליות</v>
      </c>
      <c r="D247" s="142">
        <v>50000</v>
      </c>
      <c r="E247" s="92">
        <v>0</v>
      </c>
      <c r="F247" s="53">
        <v>35316.19</v>
      </c>
      <c r="G247" s="53">
        <v>15610</v>
      </c>
      <c r="H247" s="53">
        <f t="shared" ref="H247:H280" si="32">F247+G247</f>
        <v>50926.19</v>
      </c>
      <c r="I247" s="53"/>
      <c r="J247" s="92"/>
      <c r="K247" s="142">
        <f>VLOOKUP(A247,'ביצוע דוח חשב 12.2024'!A:I,9,FALSE)</f>
        <v>35316.19</v>
      </c>
      <c r="L247" s="142">
        <v>40000</v>
      </c>
      <c r="M247" s="53"/>
      <c r="N247" s="53"/>
      <c r="O247" s="53"/>
    </row>
    <row r="248" spans="1:15" ht="26.25" x14ac:dyDescent="0.2">
      <c r="A248" s="134"/>
      <c r="B248" s="134" t="s">
        <v>635</v>
      </c>
      <c r="C248" s="79"/>
      <c r="D248" s="139">
        <f>SUM(D239:D247)</f>
        <v>695000</v>
      </c>
      <c r="E248" s="80">
        <f t="shared" ref="E248:O248" si="33">SUM(E239:E247)</f>
        <v>2</v>
      </c>
      <c r="F248" s="80">
        <f t="shared" si="33"/>
        <v>674993.95</v>
      </c>
      <c r="G248" s="80">
        <f t="shared" si="33"/>
        <v>38598.1</v>
      </c>
      <c r="H248" s="80">
        <f t="shared" si="33"/>
        <v>713592.05</v>
      </c>
      <c r="I248" s="80">
        <f t="shared" si="33"/>
        <v>160456.45999999996</v>
      </c>
      <c r="J248" s="80">
        <f t="shared" si="33"/>
        <v>0</v>
      </c>
      <c r="K248" s="139">
        <f t="shared" si="33"/>
        <v>824759.56</v>
      </c>
      <c r="L248" s="139">
        <f t="shared" si="33"/>
        <v>1166400</v>
      </c>
      <c r="M248" s="80">
        <f t="shared" si="33"/>
        <v>3</v>
      </c>
      <c r="N248" s="80">
        <f t="shared" si="33"/>
        <v>0</v>
      </c>
      <c r="O248" s="80">
        <f t="shared" si="33"/>
        <v>0</v>
      </c>
    </row>
    <row r="249" spans="1:15" x14ac:dyDescent="0.2">
      <c r="A249" s="132">
        <v>1615000110</v>
      </c>
      <c r="B249" s="133" t="s">
        <v>29</v>
      </c>
      <c r="C249" s="51" t="str">
        <f>VLOOKUP(A249,'עזר 2025'!A:C,3,FALSE)</f>
        <v>שכר כללי</v>
      </c>
      <c r="D249" s="138">
        <v>560000</v>
      </c>
      <c r="E249" s="53">
        <v>1</v>
      </c>
      <c r="F249" s="53">
        <v>455588.98</v>
      </c>
      <c r="G249" s="53">
        <v>0</v>
      </c>
      <c r="H249" s="53">
        <f t="shared" si="32"/>
        <v>455588.98</v>
      </c>
      <c r="I249" s="53">
        <f>SUMIFS('תקציב שכר'!J:J,'תקציב שכר'!A:A,A249)-H249</f>
        <v>85054.5</v>
      </c>
      <c r="J249" s="53" t="s">
        <v>2052</v>
      </c>
      <c r="K249" s="138">
        <f>VLOOKUP(A249,'ביצוע דוח חשב 12.2024'!A:I,9,FALSE)</f>
        <v>544117.52</v>
      </c>
      <c r="L249" s="138">
        <v>560000</v>
      </c>
      <c r="M249" s="69">
        <f>SUMIFS('תקציב שכר'!M:M,'תקציב שכר'!A:A,A249)</f>
        <v>1</v>
      </c>
      <c r="N249" s="53"/>
      <c r="O249" s="53"/>
    </row>
    <row r="250" spans="1:15" x14ac:dyDescent="0.2">
      <c r="A250" s="132">
        <v>1615101110</v>
      </c>
      <c r="B250" s="133" t="s">
        <v>2222</v>
      </c>
      <c r="C250" s="51" t="str">
        <f>VLOOKUP(A250,'עזר 2025'!A:C,3,FALSE)</f>
        <v>שכר כללי</v>
      </c>
      <c r="D250" s="138">
        <v>300000</v>
      </c>
      <c r="E250" s="53">
        <v>2</v>
      </c>
      <c r="F250" s="53">
        <v>159550.14000000001</v>
      </c>
      <c r="G250" s="53">
        <v>0</v>
      </c>
      <c r="H250" s="53">
        <f t="shared" si="32"/>
        <v>159550.14000000001</v>
      </c>
      <c r="I250" s="53">
        <f>SUMIFS('תקציב שכר'!J:J,'תקציב שכר'!A:A,A250)-H250</f>
        <v>0</v>
      </c>
      <c r="J250" s="53" t="s">
        <v>2052</v>
      </c>
      <c r="K250" s="138">
        <f>VLOOKUP(A250,'ביצוע דוח חשב 12.2024'!A:I,9,FALSE)</f>
        <v>180161.53</v>
      </c>
      <c r="L250" s="138">
        <v>220000</v>
      </c>
      <c r="M250" s="69">
        <f>SUMIFS('תקציב שכר'!M:M,'תקציב שכר'!A:A,A250)</f>
        <v>1</v>
      </c>
      <c r="N250" s="53"/>
      <c r="O250" s="53"/>
    </row>
    <row r="251" spans="1:15" ht="26.25" x14ac:dyDescent="0.2">
      <c r="A251" s="134"/>
      <c r="B251" s="134" t="s">
        <v>2145</v>
      </c>
      <c r="C251" s="79"/>
      <c r="D251" s="139">
        <f>SUM(D249:D250)</f>
        <v>860000</v>
      </c>
      <c r="E251" s="80">
        <f t="shared" ref="E251:O251" si="34">SUM(E249:E250)</f>
        <v>3</v>
      </c>
      <c r="F251" s="80">
        <f t="shared" si="34"/>
        <v>615139.12</v>
      </c>
      <c r="G251" s="80">
        <f t="shared" si="34"/>
        <v>0</v>
      </c>
      <c r="H251" s="80">
        <f t="shared" si="34"/>
        <v>615139.12</v>
      </c>
      <c r="I251" s="80">
        <f t="shared" si="34"/>
        <v>85054.5</v>
      </c>
      <c r="J251" s="80">
        <f t="shared" si="34"/>
        <v>0</v>
      </c>
      <c r="K251" s="139">
        <f t="shared" si="34"/>
        <v>724279.05</v>
      </c>
      <c r="L251" s="139">
        <f t="shared" si="34"/>
        <v>780000</v>
      </c>
      <c r="M251" s="80">
        <f t="shared" si="34"/>
        <v>2</v>
      </c>
      <c r="N251" s="80">
        <f t="shared" si="34"/>
        <v>0</v>
      </c>
      <c r="O251" s="80">
        <f t="shared" si="34"/>
        <v>0</v>
      </c>
    </row>
    <row r="252" spans="1:15" x14ac:dyDescent="0.2">
      <c r="A252" s="132">
        <v>1615200110</v>
      </c>
      <c r="B252" s="133" t="s">
        <v>648</v>
      </c>
      <c r="C252" s="51" t="str">
        <f>VLOOKUP(A252,'עזר 2025'!A:C,3,FALSE)</f>
        <v>שכר כללי</v>
      </c>
      <c r="D252" s="138">
        <v>60000</v>
      </c>
      <c r="E252" s="53">
        <v>1</v>
      </c>
      <c r="F252" s="53">
        <v>0</v>
      </c>
      <c r="G252" s="53">
        <v>0</v>
      </c>
      <c r="H252" s="53">
        <f t="shared" si="32"/>
        <v>0</v>
      </c>
      <c r="I252" s="53">
        <f>SUMIFS('תקציב שכר'!J:J,'תקציב שכר'!A:A,A252)-H252</f>
        <v>0</v>
      </c>
      <c r="J252" s="53" t="s">
        <v>2052</v>
      </c>
      <c r="K252" s="138">
        <f>VLOOKUP(A252,'ביצוע דוח חשב 12.2024'!A:I,9,FALSE)</f>
        <v>0</v>
      </c>
      <c r="L252" s="138">
        <v>60000</v>
      </c>
      <c r="M252" s="69">
        <v>0.5</v>
      </c>
      <c r="N252" s="53"/>
      <c r="O252" s="53"/>
    </row>
    <row r="253" spans="1:15" x14ac:dyDescent="0.2">
      <c r="A253" s="132">
        <v>1616000521</v>
      </c>
      <c r="B253" s="133" t="s">
        <v>31</v>
      </c>
      <c r="C253" s="90" t="str">
        <f>VLOOKUP(A253,'עזר 2025'!A:C,3,FALSE)</f>
        <v>פעולות כלליות</v>
      </c>
      <c r="D253" s="142">
        <v>220000</v>
      </c>
      <c r="E253" s="92">
        <v>0</v>
      </c>
      <c r="F253" s="53">
        <v>166065</v>
      </c>
      <c r="G253" s="53">
        <v>0</v>
      </c>
      <c r="H253" s="53">
        <f t="shared" si="32"/>
        <v>166065</v>
      </c>
      <c r="I253" s="53"/>
      <c r="J253" s="92"/>
      <c r="K253" s="142">
        <f>VLOOKUP(A253,'ביצוע דוח חשב 12.2024'!A:I,9,FALSE)</f>
        <v>166065</v>
      </c>
      <c r="L253" s="142">
        <v>200000</v>
      </c>
      <c r="M253" s="53"/>
      <c r="N253" s="53"/>
      <c r="O253" s="53"/>
    </row>
    <row r="254" spans="1:15" ht="26.25" x14ac:dyDescent="0.2">
      <c r="A254" s="134"/>
      <c r="B254" s="134" t="s">
        <v>2146</v>
      </c>
      <c r="C254" s="79"/>
      <c r="D254" s="139">
        <f>SUM(D252:D253)</f>
        <v>280000</v>
      </c>
      <c r="E254" s="80">
        <f t="shared" ref="E254:O254" si="35">SUM(E252:E253)</f>
        <v>1</v>
      </c>
      <c r="F254" s="80">
        <f t="shared" si="35"/>
        <v>166065</v>
      </c>
      <c r="G254" s="80">
        <f t="shared" si="35"/>
        <v>0</v>
      </c>
      <c r="H254" s="80">
        <f t="shared" si="35"/>
        <v>166065</v>
      </c>
      <c r="I254" s="80">
        <f t="shared" si="35"/>
        <v>0</v>
      </c>
      <c r="J254" s="80">
        <f t="shared" si="35"/>
        <v>0</v>
      </c>
      <c r="K254" s="139">
        <f t="shared" si="35"/>
        <v>166065</v>
      </c>
      <c r="L254" s="139">
        <f t="shared" si="35"/>
        <v>260000</v>
      </c>
      <c r="M254" s="80">
        <f t="shared" si="35"/>
        <v>0.5</v>
      </c>
      <c r="N254" s="80">
        <f t="shared" si="35"/>
        <v>0</v>
      </c>
      <c r="O254" s="80">
        <f t="shared" si="35"/>
        <v>0</v>
      </c>
    </row>
    <row r="255" spans="1:15" s="50" customFormat="1" hidden="1" x14ac:dyDescent="0.2">
      <c r="A255" s="90">
        <v>1617000581</v>
      </c>
      <c r="B255" s="91" t="s">
        <v>1616</v>
      </c>
      <c r="C255" s="90" t="s">
        <v>353</v>
      </c>
      <c r="D255" s="92"/>
      <c r="E255" s="92"/>
      <c r="F255" s="53"/>
      <c r="G255" s="53"/>
      <c r="H255" s="53"/>
      <c r="I255" s="53"/>
      <c r="J255" s="92"/>
      <c r="K255" s="92">
        <v>0</v>
      </c>
      <c r="L255" s="92">
        <v>0</v>
      </c>
      <c r="M255" s="53"/>
      <c r="N255" s="53"/>
      <c r="O255" s="53">
        <v>1</v>
      </c>
    </row>
    <row r="256" spans="1:15" x14ac:dyDescent="0.2">
      <c r="A256" s="132">
        <v>1617000750</v>
      </c>
      <c r="B256" s="133" t="s">
        <v>34</v>
      </c>
      <c r="C256" s="90" t="str">
        <f>VLOOKUP(A256,'עזר 2025'!A:C,3,FALSE)</f>
        <v>פעולות כלליות</v>
      </c>
      <c r="D256" s="142">
        <v>403656</v>
      </c>
      <c r="E256" s="92">
        <v>0</v>
      </c>
      <c r="F256" s="53">
        <v>443571.64</v>
      </c>
      <c r="G256" s="53">
        <v>0</v>
      </c>
      <c r="H256" s="53">
        <f t="shared" si="32"/>
        <v>443571.64</v>
      </c>
      <c r="I256" s="53">
        <v>33638</v>
      </c>
      <c r="J256" s="92" t="s">
        <v>2056</v>
      </c>
      <c r="K256" s="142">
        <f>VLOOKUP(A256,'ביצוע דוח חשב 12.2024'!A:I,9,FALSE)</f>
        <v>477497.15</v>
      </c>
      <c r="L256" s="142">
        <v>403656</v>
      </c>
      <c r="M256" s="53"/>
      <c r="N256" s="53"/>
      <c r="O256" s="53"/>
    </row>
    <row r="257" spans="1:15" s="50" customFormat="1" ht="26.25" x14ac:dyDescent="0.2">
      <c r="A257" s="79"/>
      <c r="B257" s="79" t="s">
        <v>2147</v>
      </c>
      <c r="C257" s="79"/>
      <c r="D257" s="80">
        <f>SUM(D255:D256)</f>
        <v>403656</v>
      </c>
      <c r="E257" s="80">
        <f t="shared" ref="E257:N257" si="36">SUM(E255:E256)</f>
        <v>0</v>
      </c>
      <c r="F257" s="80">
        <f t="shared" si="36"/>
        <v>443571.64</v>
      </c>
      <c r="G257" s="80">
        <f t="shared" si="36"/>
        <v>0</v>
      </c>
      <c r="H257" s="80">
        <f t="shared" si="36"/>
        <v>443571.64</v>
      </c>
      <c r="I257" s="80">
        <f t="shared" si="36"/>
        <v>33638</v>
      </c>
      <c r="J257" s="80">
        <f t="shared" si="36"/>
        <v>0</v>
      </c>
      <c r="K257" s="80">
        <f t="shared" si="36"/>
        <v>477497.15</v>
      </c>
      <c r="L257" s="80">
        <f t="shared" si="36"/>
        <v>403656</v>
      </c>
      <c r="M257" s="80">
        <f t="shared" si="36"/>
        <v>0</v>
      </c>
      <c r="N257" s="80">
        <f t="shared" si="36"/>
        <v>0</v>
      </c>
      <c r="O257" s="80">
        <v>0</v>
      </c>
    </row>
    <row r="258" spans="1:15" x14ac:dyDescent="0.2">
      <c r="A258" s="132">
        <v>1619000780</v>
      </c>
      <c r="B258" s="133" t="s">
        <v>36</v>
      </c>
      <c r="C258" s="90" t="str">
        <f>VLOOKUP(A258,'עזר 2025'!A:C,3,FALSE)</f>
        <v>פעולות כלליות</v>
      </c>
      <c r="D258" s="142">
        <v>0</v>
      </c>
      <c r="E258" s="92">
        <v>0</v>
      </c>
      <c r="F258" s="53">
        <v>101417.60000000001</v>
      </c>
      <c r="G258" s="53">
        <v>1828</v>
      </c>
      <c r="H258" s="53">
        <f t="shared" si="32"/>
        <v>103245.6</v>
      </c>
      <c r="I258" s="53"/>
      <c r="J258" s="92"/>
      <c r="K258" s="142">
        <f>VLOOKUP(A258,'ביצוע דוח חשב 12.2024'!A:I,9,FALSE)+60000</f>
        <v>161417.60000000001</v>
      </c>
      <c r="L258" s="142">
        <v>0</v>
      </c>
      <c r="M258" s="53"/>
      <c r="N258" s="53"/>
      <c r="O258" s="53"/>
    </row>
    <row r="259" spans="1:15" ht="26.25" x14ac:dyDescent="0.2">
      <c r="A259" s="134"/>
      <c r="B259" s="134" t="s">
        <v>12</v>
      </c>
      <c r="C259" s="79"/>
      <c r="D259" s="139">
        <f>SUM(D258)</f>
        <v>0</v>
      </c>
      <c r="E259" s="80">
        <f t="shared" ref="E259:O259" si="37">SUM(E258)</f>
        <v>0</v>
      </c>
      <c r="F259" s="80">
        <f t="shared" si="37"/>
        <v>101417.60000000001</v>
      </c>
      <c r="G259" s="80">
        <f t="shared" si="37"/>
        <v>1828</v>
      </c>
      <c r="H259" s="80">
        <f t="shared" si="37"/>
        <v>103245.6</v>
      </c>
      <c r="I259" s="80">
        <f t="shared" si="37"/>
        <v>0</v>
      </c>
      <c r="J259" s="80">
        <f t="shared" si="37"/>
        <v>0</v>
      </c>
      <c r="K259" s="139">
        <f t="shared" si="37"/>
        <v>161417.60000000001</v>
      </c>
      <c r="L259" s="139">
        <f t="shared" si="37"/>
        <v>0</v>
      </c>
      <c r="M259" s="80">
        <f t="shared" si="37"/>
        <v>0</v>
      </c>
      <c r="N259" s="80">
        <f t="shared" si="37"/>
        <v>0</v>
      </c>
      <c r="O259" s="80">
        <f t="shared" si="37"/>
        <v>0</v>
      </c>
    </row>
    <row r="260" spans="1:15" x14ac:dyDescent="0.2">
      <c r="A260" s="132">
        <v>1621200110</v>
      </c>
      <c r="B260" s="133" t="s">
        <v>38</v>
      </c>
      <c r="C260" s="51" t="str">
        <f>VLOOKUP(A260,'עזר 2025'!A:C,3,FALSE)</f>
        <v>שכר כללי</v>
      </c>
      <c r="D260" s="138">
        <v>165000</v>
      </c>
      <c r="E260" s="53">
        <v>1</v>
      </c>
      <c r="F260" s="53">
        <v>139862.44</v>
      </c>
      <c r="G260" s="53">
        <v>0</v>
      </c>
      <c r="H260" s="53">
        <f t="shared" si="32"/>
        <v>139862.44</v>
      </c>
      <c r="I260" s="53">
        <f>SUMIFS('תקציב שכר'!J:J,'תקציב שכר'!A:A,A260)-H260</f>
        <v>24586.940000000002</v>
      </c>
      <c r="J260" s="53" t="s">
        <v>2052</v>
      </c>
      <c r="K260" s="138">
        <f>VLOOKUP(A260,'ביצוע דוח חשב 12.2024'!A:I,9,FALSE)</f>
        <v>165054.18</v>
      </c>
      <c r="L260" s="138">
        <v>170000</v>
      </c>
      <c r="M260" s="69">
        <f>SUMIFS('תקציב שכר'!M:M,'תקציב שכר'!A:A,A260)</f>
        <v>1</v>
      </c>
      <c r="N260" s="53"/>
      <c r="O260" s="53"/>
    </row>
    <row r="261" spans="1:15" x14ac:dyDescent="0.2">
      <c r="A261" s="132">
        <v>1621300110</v>
      </c>
      <c r="B261" s="133" t="s">
        <v>39</v>
      </c>
      <c r="C261" s="51" t="str">
        <f>VLOOKUP(A261,'עזר 2025'!A:C,3,FALSE)</f>
        <v>שכר כללי</v>
      </c>
      <c r="D261" s="138">
        <v>870000</v>
      </c>
      <c r="E261" s="53">
        <v>2</v>
      </c>
      <c r="F261" s="53">
        <v>756615.89</v>
      </c>
      <c r="G261" s="53">
        <v>0</v>
      </c>
      <c r="H261" s="53">
        <f t="shared" si="32"/>
        <v>756615.89</v>
      </c>
      <c r="I261" s="53">
        <f>SUMIFS('תקציב שכר'!J:J,'תקציב שכר'!A:A,A261)-H261</f>
        <v>138676.88</v>
      </c>
      <c r="J261" s="53" t="s">
        <v>2052</v>
      </c>
      <c r="K261" s="138">
        <f>VLOOKUP(A261,'ביצוע דוח חשב 12.2024'!A:I,9,FALSE)-20000</f>
        <v>876838.86</v>
      </c>
      <c r="L261" s="138">
        <v>890000</v>
      </c>
      <c r="M261" s="69">
        <f>SUMIFS('תקציב שכר'!M:M,'תקציב שכר'!A:A,A261)</f>
        <v>2</v>
      </c>
      <c r="N261" s="53"/>
      <c r="O261" s="53"/>
    </row>
    <row r="262" spans="1:15" s="50" customFormat="1" hidden="1" x14ac:dyDescent="0.2">
      <c r="A262" s="90">
        <v>1621300523</v>
      </c>
      <c r="B262" s="91" t="s">
        <v>22</v>
      </c>
      <c r="C262" s="90" t="str">
        <f>VLOOKUP(A262,'עזר 2025'!A:C,3,FALSE)</f>
        <v>פעולות כלליות</v>
      </c>
      <c r="D262" s="92">
        <v>0</v>
      </c>
      <c r="E262" s="92">
        <v>0</v>
      </c>
      <c r="F262" s="53">
        <v>13550</v>
      </c>
      <c r="G262" s="53">
        <v>0</v>
      </c>
      <c r="H262" s="53">
        <f t="shared" si="32"/>
        <v>13550</v>
      </c>
      <c r="I262" s="53"/>
      <c r="J262" s="92"/>
      <c r="K262" s="92">
        <v>0</v>
      </c>
      <c r="L262" s="92">
        <v>0</v>
      </c>
      <c r="M262" s="53"/>
      <c r="N262" s="53"/>
      <c r="O262" s="53">
        <v>1</v>
      </c>
    </row>
    <row r="263" spans="1:15" x14ac:dyDescent="0.2">
      <c r="A263" s="132">
        <v>1621300570</v>
      </c>
      <c r="B263" s="133" t="s">
        <v>42</v>
      </c>
      <c r="C263" s="90" t="str">
        <f>VLOOKUP(A263,'עזר 2025'!A:C,3,FALSE)</f>
        <v>פעולות כלליות</v>
      </c>
      <c r="D263" s="142">
        <v>360000</v>
      </c>
      <c r="E263" s="92">
        <v>0</v>
      </c>
      <c r="F263" s="53">
        <v>371174.85</v>
      </c>
      <c r="G263" s="53">
        <v>0</v>
      </c>
      <c r="H263" s="53">
        <f t="shared" si="32"/>
        <v>371174.85</v>
      </c>
      <c r="I263" s="53">
        <v>28000</v>
      </c>
      <c r="J263" s="92" t="s">
        <v>2057</v>
      </c>
      <c r="K263" s="142">
        <f>VLOOKUP(A263,'ביצוע דוח חשב 12.2024'!A:I,9,FALSE)</f>
        <v>440528.06</v>
      </c>
      <c r="L263" s="142">
        <v>350000</v>
      </c>
      <c r="M263" s="53"/>
      <c r="N263" s="53"/>
      <c r="O263" s="53"/>
    </row>
    <row r="264" spans="1:15" x14ac:dyDescent="0.2">
      <c r="A264" s="132">
        <v>1621300751</v>
      </c>
      <c r="B264" s="133" t="s">
        <v>45</v>
      </c>
      <c r="C264" s="90" t="str">
        <f>VLOOKUP(A264,'עזר 2025'!A:C,3,FALSE)</f>
        <v>פעולות כלליות</v>
      </c>
      <c r="D264" s="142">
        <v>550000</v>
      </c>
      <c r="E264" s="92">
        <v>0</v>
      </c>
      <c r="F264" s="53">
        <v>402205</v>
      </c>
      <c r="G264" s="53">
        <v>0</v>
      </c>
      <c r="H264" s="53">
        <f t="shared" si="32"/>
        <v>402205</v>
      </c>
      <c r="I264" s="53">
        <v>32175</v>
      </c>
      <c r="J264" s="92" t="s">
        <v>2056</v>
      </c>
      <c r="K264" s="142">
        <f>VLOOKUP(A264,'ביצוע דוח חשב 12.2024'!A:I,9,FALSE)+60000</f>
        <v>494380</v>
      </c>
      <c r="L264" s="142">
        <v>500000</v>
      </c>
      <c r="M264" s="53"/>
      <c r="N264" s="53"/>
      <c r="O264" s="53"/>
    </row>
    <row r="265" spans="1:15" x14ac:dyDescent="0.2">
      <c r="A265" s="132">
        <v>1621300780</v>
      </c>
      <c r="B265" s="133" t="s">
        <v>46</v>
      </c>
      <c r="C265" s="90" t="str">
        <f>VLOOKUP(A265,'עזר 2025'!A:C,3,FALSE)</f>
        <v>פעולות כלליות</v>
      </c>
      <c r="D265" s="142">
        <v>30000</v>
      </c>
      <c r="E265" s="92">
        <v>0</v>
      </c>
      <c r="F265" s="53">
        <v>13180.5</v>
      </c>
      <c r="G265" s="53">
        <v>16004.43</v>
      </c>
      <c r="H265" s="53">
        <f t="shared" si="32"/>
        <v>29184.93</v>
      </c>
      <c r="I265" s="53"/>
      <c r="J265" s="92"/>
      <c r="K265" s="142">
        <f>VLOOKUP(A265,'ביצוע דוח חשב 12.2024'!A:I,9,FALSE)</f>
        <v>13180.5</v>
      </c>
      <c r="L265" s="142">
        <v>20000</v>
      </c>
      <c r="M265" s="53"/>
      <c r="N265" s="53"/>
      <c r="O265" s="53"/>
    </row>
    <row r="266" spans="1:15" x14ac:dyDescent="0.2">
      <c r="A266" s="132">
        <v>1621300930</v>
      </c>
      <c r="B266" s="133" t="s">
        <v>14</v>
      </c>
      <c r="C266" s="90" t="str">
        <f>VLOOKUP(A266,'עזר 2025'!A:C,3,FALSE)</f>
        <v>פעולות כלליות</v>
      </c>
      <c r="D266" s="142">
        <v>15000</v>
      </c>
      <c r="E266" s="92">
        <v>0</v>
      </c>
      <c r="F266" s="53">
        <v>0</v>
      </c>
      <c r="G266" s="53">
        <v>0</v>
      </c>
      <c r="H266" s="53">
        <f t="shared" si="32"/>
        <v>0</v>
      </c>
      <c r="I266" s="53"/>
      <c r="J266" s="92"/>
      <c r="K266" s="142">
        <f>VLOOKUP(A266,'ביצוע דוח חשב 12.2024'!A:I,9,FALSE)</f>
        <v>0</v>
      </c>
      <c r="L266" s="142">
        <v>15000</v>
      </c>
      <c r="M266" s="53"/>
      <c r="N266" s="53"/>
      <c r="O266" s="53"/>
    </row>
    <row r="267" spans="1:15" s="50" customFormat="1" hidden="1" x14ac:dyDescent="0.2">
      <c r="A267" s="51">
        <v>1623000550</v>
      </c>
      <c r="B267" s="52" t="s">
        <v>2190</v>
      </c>
      <c r="C267" s="51" t="s">
        <v>353</v>
      </c>
      <c r="D267" s="53"/>
      <c r="E267" s="53"/>
      <c r="F267" s="53"/>
      <c r="G267" s="53"/>
      <c r="H267" s="53"/>
      <c r="I267" s="53"/>
      <c r="J267" s="53"/>
      <c r="K267" s="53">
        <v>0</v>
      </c>
      <c r="L267" s="53"/>
      <c r="M267" s="53"/>
      <c r="N267" s="53"/>
      <c r="O267" s="53">
        <v>1</v>
      </c>
    </row>
    <row r="268" spans="1:15" s="50" customFormat="1" hidden="1" x14ac:dyDescent="0.2">
      <c r="A268" s="51">
        <v>1623000780</v>
      </c>
      <c r="B268" s="52" t="s">
        <v>2191</v>
      </c>
      <c r="C268" s="51" t="s">
        <v>353</v>
      </c>
      <c r="D268" s="53"/>
      <c r="E268" s="53"/>
      <c r="F268" s="53"/>
      <c r="G268" s="53"/>
      <c r="H268" s="53"/>
      <c r="I268" s="53"/>
      <c r="J268" s="53"/>
      <c r="K268" s="53">
        <v>0</v>
      </c>
      <c r="L268" s="53"/>
      <c r="M268" s="53"/>
      <c r="N268" s="53"/>
      <c r="O268" s="53">
        <v>1</v>
      </c>
    </row>
    <row r="269" spans="1:15" x14ac:dyDescent="0.2">
      <c r="A269" s="132">
        <v>1623000110</v>
      </c>
      <c r="B269" s="133" t="s">
        <v>47</v>
      </c>
      <c r="C269" s="51" t="str">
        <f>VLOOKUP(A269,'עזר 2025'!A:C,3,FALSE)</f>
        <v>שכר כללי</v>
      </c>
      <c r="D269" s="142">
        <v>400000</v>
      </c>
      <c r="E269" s="53">
        <v>2.75</v>
      </c>
      <c r="F269" s="53">
        <v>535527.84</v>
      </c>
      <c r="G269" s="53">
        <v>0</v>
      </c>
      <c r="H269" s="53">
        <f t="shared" si="32"/>
        <v>535527.84</v>
      </c>
      <c r="I269" s="53">
        <f>SUMIFS('תקציב שכר'!J:J,'תקציב שכר'!A:A,A269)-H269</f>
        <v>15806.789999999921</v>
      </c>
      <c r="J269" s="53" t="s">
        <v>2052</v>
      </c>
      <c r="K269" s="142">
        <f>VLOOKUP(A269,'ביצוע דוח חשב 12.2024'!A:I,9,FALSE)+60000</f>
        <v>617794.21</v>
      </c>
      <c r="L269" s="142">
        <v>700000</v>
      </c>
      <c r="M269" s="69">
        <v>3.75</v>
      </c>
      <c r="N269" s="53"/>
      <c r="O269" s="53"/>
    </row>
    <row r="270" spans="1:15" x14ac:dyDescent="0.2">
      <c r="A270" s="132">
        <v>1623000582</v>
      </c>
      <c r="B270" s="133" t="s">
        <v>27</v>
      </c>
      <c r="C270" s="90" t="str">
        <f>VLOOKUP(A270,'עזר 2025'!A:C,3,FALSE)</f>
        <v>פעולות כלליות</v>
      </c>
      <c r="D270" s="142">
        <v>60000</v>
      </c>
      <c r="E270" s="92">
        <v>0</v>
      </c>
      <c r="F270" s="53">
        <v>61719.42</v>
      </c>
      <c r="G270" s="53">
        <v>36379.89</v>
      </c>
      <c r="H270" s="53">
        <f t="shared" si="32"/>
        <v>98099.31</v>
      </c>
      <c r="I270" s="53"/>
      <c r="J270" s="92"/>
      <c r="K270" s="142">
        <f>VLOOKUP(A270,'ביצוע דוח חשב 12.2024'!A:I,9,FALSE)</f>
        <v>61719.42</v>
      </c>
      <c r="L270" s="142">
        <v>60000</v>
      </c>
      <c r="M270" s="53"/>
      <c r="N270" s="53"/>
      <c r="O270" s="53"/>
    </row>
    <row r="271" spans="1:15" x14ac:dyDescent="0.2">
      <c r="A271" s="132">
        <v>1623000750</v>
      </c>
      <c r="B271" s="133" t="s">
        <v>49</v>
      </c>
      <c r="C271" s="90" t="str">
        <f>VLOOKUP(A271,'עזר 2025'!A:C,3,FALSE)</f>
        <v>פעולות כלליות</v>
      </c>
      <c r="D271" s="142">
        <v>250000</v>
      </c>
      <c r="E271" s="92">
        <v>0</v>
      </c>
      <c r="F271" s="53">
        <v>392442.69</v>
      </c>
      <c r="G271" s="53">
        <v>9986.7999999999993</v>
      </c>
      <c r="H271" s="53">
        <f t="shared" si="32"/>
        <v>402429.49</v>
      </c>
      <c r="I271" s="53"/>
      <c r="J271" s="92"/>
      <c r="K271" s="142">
        <f>VLOOKUP(A271,'ביצוע דוח חשב 12.2024'!A:I,9,FALSE)</f>
        <v>392442.69</v>
      </c>
      <c r="L271" s="142">
        <v>150000</v>
      </c>
      <c r="M271" s="53"/>
      <c r="N271" s="53"/>
      <c r="O271" s="53"/>
    </row>
    <row r="272" spans="1:15" x14ac:dyDescent="0.35">
      <c r="A272" s="143">
        <v>1624000110</v>
      </c>
      <c r="B272" s="133" t="s">
        <v>1978</v>
      </c>
      <c r="C272" s="51" t="s">
        <v>352</v>
      </c>
      <c r="D272" s="138"/>
      <c r="E272" s="57"/>
      <c r="F272" s="57"/>
      <c r="G272" s="57"/>
      <c r="H272" s="57">
        <f t="shared" si="32"/>
        <v>0</v>
      </c>
      <c r="I272" s="53">
        <f>SUMIFS('תקציב שכר'!J:J,'תקציב שכר'!A:A,A272)-H272</f>
        <v>94416.83</v>
      </c>
      <c r="J272" s="53" t="s">
        <v>2052</v>
      </c>
      <c r="K272" s="138">
        <f>VLOOKUP(A272,'ביצוע דוח חשב 12.2024'!A:I,9,FALSE)</f>
        <v>93782.38</v>
      </c>
      <c r="L272" s="138">
        <v>140000</v>
      </c>
      <c r="M272" s="69">
        <f>SUMIFS('תקציב שכר'!M:M,'תקציב שכר'!A:A,A272)</f>
        <v>1</v>
      </c>
      <c r="N272" s="57"/>
      <c r="O272" s="57"/>
    </row>
    <row r="273" spans="1:15" s="50" customFormat="1" ht="26.25" x14ac:dyDescent="0.2">
      <c r="A273" s="79"/>
      <c r="B273" s="79" t="s">
        <v>2148</v>
      </c>
      <c r="C273" s="79"/>
      <c r="D273" s="80">
        <f>SUM(D260:D272)</f>
        <v>2700000</v>
      </c>
      <c r="E273" s="80">
        <f t="shared" ref="E273:N273" si="38">SUM(E260:E272)</f>
        <v>5.75</v>
      </c>
      <c r="F273" s="80">
        <f t="shared" si="38"/>
        <v>2686278.63</v>
      </c>
      <c r="G273" s="80">
        <f t="shared" si="38"/>
        <v>62371.119999999995</v>
      </c>
      <c r="H273" s="80">
        <f t="shared" si="38"/>
        <v>2748649.75</v>
      </c>
      <c r="I273" s="80">
        <f t="shared" si="38"/>
        <v>333662.43999999994</v>
      </c>
      <c r="J273" s="80">
        <f t="shared" si="38"/>
        <v>0</v>
      </c>
      <c r="K273" s="80">
        <f t="shared" si="38"/>
        <v>3155720.3</v>
      </c>
      <c r="L273" s="80">
        <f t="shared" si="38"/>
        <v>2995000</v>
      </c>
      <c r="M273" s="80">
        <f t="shared" si="38"/>
        <v>7.75</v>
      </c>
      <c r="N273" s="80">
        <f t="shared" si="38"/>
        <v>0</v>
      </c>
      <c r="O273" s="80">
        <v>0</v>
      </c>
    </row>
    <row r="274" spans="1:15" x14ac:dyDescent="0.2">
      <c r="A274" s="132">
        <v>1631000610</v>
      </c>
      <c r="B274" s="133" t="s">
        <v>51</v>
      </c>
      <c r="C274" s="51" t="str">
        <f>VLOOKUP(A274,'עזר 2025'!A:C,3,FALSE)</f>
        <v>הוצאות מימון</v>
      </c>
      <c r="D274" s="138">
        <v>200000</v>
      </c>
      <c r="E274" s="53">
        <v>0</v>
      </c>
      <c r="F274" s="53">
        <v>250028.42</v>
      </c>
      <c r="G274" s="53">
        <v>0</v>
      </c>
      <c r="H274" s="53">
        <f t="shared" si="32"/>
        <v>250028.42</v>
      </c>
      <c r="I274" s="53"/>
      <c r="J274" s="53"/>
      <c r="K274" s="138">
        <f>VLOOKUP(A274,'ביצוע דוח חשב 12.2024'!A:I,9,FALSE)</f>
        <v>267321.26</v>
      </c>
      <c r="L274" s="138">
        <v>250000</v>
      </c>
      <c r="M274" s="53"/>
      <c r="N274" s="53"/>
      <c r="O274" s="53"/>
    </row>
    <row r="275" spans="1:15" x14ac:dyDescent="0.2">
      <c r="A275" s="132">
        <v>1648000691</v>
      </c>
      <c r="B275" s="133" t="s">
        <v>53</v>
      </c>
      <c r="C275" s="51" t="str">
        <f>VLOOKUP(A275,'עזר 2025'!A:C,3,FALSE)</f>
        <v>פרעון מילוות אחר</v>
      </c>
      <c r="D275" s="138">
        <v>1500000</v>
      </c>
      <c r="E275" s="53">
        <v>0</v>
      </c>
      <c r="F275" s="53">
        <v>1378931.93</v>
      </c>
      <c r="G275" s="53">
        <v>0</v>
      </c>
      <c r="H275" s="53">
        <f t="shared" si="32"/>
        <v>1378931.93</v>
      </c>
      <c r="I275" s="53">
        <f>1923101-H275-K562</f>
        <v>310250.34000000008</v>
      </c>
      <c r="J275" s="53" t="s">
        <v>2058</v>
      </c>
      <c r="K275" s="138">
        <f>VLOOKUP(A275,'ביצוע דוח חשב 12.2024'!A:I,9,FALSE)</f>
        <v>1689186.27</v>
      </c>
      <c r="L275" s="138">
        <v>1900000</v>
      </c>
      <c r="M275" s="53"/>
      <c r="N275" s="53"/>
      <c r="O275" s="53"/>
    </row>
    <row r="276" spans="1:15" x14ac:dyDescent="0.2">
      <c r="A276" s="132">
        <v>1648000692</v>
      </c>
      <c r="B276" s="133" t="s">
        <v>54</v>
      </c>
      <c r="C276" s="51" t="str">
        <f>VLOOKUP(A276,'עזר 2025'!A:C,3,FALSE)</f>
        <v>פרעון מילוות אחר</v>
      </c>
      <c r="D276" s="138">
        <v>500000</v>
      </c>
      <c r="E276" s="53">
        <v>0</v>
      </c>
      <c r="F276" s="53">
        <v>473499.36</v>
      </c>
      <c r="G276" s="53">
        <v>0</v>
      </c>
      <c r="H276" s="53">
        <f t="shared" si="32"/>
        <v>473499.36</v>
      </c>
      <c r="I276" s="53">
        <f>554681-H276-K563</f>
        <v>60705.73000000001</v>
      </c>
      <c r="J276" s="53" t="s">
        <v>2058</v>
      </c>
      <c r="K276" s="138">
        <f>VLOOKUP(A276,'ביצוע דוח חשב 12.2024'!A:I,9,FALSE)</f>
        <v>534204.09</v>
      </c>
      <c r="L276" s="138">
        <v>600000</v>
      </c>
      <c r="M276" s="53"/>
      <c r="N276" s="53"/>
      <c r="O276" s="53"/>
    </row>
    <row r="277" spans="1:15" x14ac:dyDescent="0.2">
      <c r="A277" s="132">
        <v>1648000693</v>
      </c>
      <c r="B277" s="133" t="s">
        <v>55</v>
      </c>
      <c r="C277" s="51" t="str">
        <f>VLOOKUP(A277,'עזר 2025'!A:C,3,FALSE)</f>
        <v>פרעון מילוות אחר</v>
      </c>
      <c r="D277" s="138">
        <v>170000</v>
      </c>
      <c r="E277" s="53">
        <v>0</v>
      </c>
      <c r="F277" s="53">
        <v>194708.02</v>
      </c>
      <c r="G277" s="53">
        <v>0</v>
      </c>
      <c r="H277" s="53">
        <f t="shared" si="32"/>
        <v>194708.02</v>
      </c>
      <c r="I277" s="53">
        <f>295915-H277-K564</f>
        <v>18323.390000000014</v>
      </c>
      <c r="J277" s="53" t="s">
        <v>2058</v>
      </c>
      <c r="K277" s="138">
        <f>VLOOKUP(A277,'ביצוע דוח חשב 12.2024'!A:I,9,FALSE)</f>
        <v>213037.38</v>
      </c>
      <c r="L277" s="138">
        <v>220000</v>
      </c>
      <c r="M277" s="53"/>
      <c r="N277" s="53"/>
      <c r="O277" s="53"/>
    </row>
    <row r="278" spans="1:15" ht="26.25" x14ac:dyDescent="0.2">
      <c r="A278" s="134"/>
      <c r="B278" s="134" t="s">
        <v>2149</v>
      </c>
      <c r="C278" s="79"/>
      <c r="D278" s="139">
        <f>SUM(D274:D277)</f>
        <v>2370000</v>
      </c>
      <c r="E278" s="80">
        <f t="shared" ref="E278:O278" si="39">SUM(E274:E277)</f>
        <v>0</v>
      </c>
      <c r="F278" s="80">
        <f t="shared" si="39"/>
        <v>2297167.73</v>
      </c>
      <c r="G278" s="80">
        <f t="shared" si="39"/>
        <v>0</v>
      </c>
      <c r="H278" s="80">
        <f t="shared" si="39"/>
        <v>2297167.73</v>
      </c>
      <c r="I278" s="80">
        <f t="shared" si="39"/>
        <v>389279.46000000008</v>
      </c>
      <c r="J278" s="80">
        <f t="shared" si="39"/>
        <v>0</v>
      </c>
      <c r="K278" s="139">
        <f t="shared" si="39"/>
        <v>2703749</v>
      </c>
      <c r="L278" s="139">
        <f t="shared" si="39"/>
        <v>2970000</v>
      </c>
      <c r="M278" s="80">
        <f t="shared" si="39"/>
        <v>0</v>
      </c>
      <c r="N278" s="80">
        <f t="shared" si="39"/>
        <v>0</v>
      </c>
      <c r="O278" s="80">
        <f t="shared" si="39"/>
        <v>0</v>
      </c>
    </row>
    <row r="279" spans="1:15" x14ac:dyDescent="0.2">
      <c r="A279" s="132">
        <v>1711000110</v>
      </c>
      <c r="B279" s="133" t="s">
        <v>667</v>
      </c>
      <c r="C279" s="51" t="str">
        <f>VLOOKUP(A279,'עזר 2025'!A:C,3,FALSE)</f>
        <v>שכר כללי</v>
      </c>
      <c r="D279" s="138">
        <v>130000</v>
      </c>
      <c r="E279" s="53">
        <v>1</v>
      </c>
      <c r="F279" s="53">
        <v>157985.13</v>
      </c>
      <c r="G279" s="53">
        <v>0</v>
      </c>
      <c r="H279" s="53">
        <f t="shared" si="32"/>
        <v>157985.13</v>
      </c>
      <c r="I279" s="53">
        <f>SUMIFS('תקציב שכר'!J:J,'תקציב שכר'!A:A,A279)-H279</f>
        <v>43670.659999999974</v>
      </c>
      <c r="J279" s="53" t="s">
        <v>2052</v>
      </c>
      <c r="K279" s="138">
        <v>250000</v>
      </c>
      <c r="L279" s="138">
        <v>342000</v>
      </c>
      <c r="M279" s="69">
        <v>3</v>
      </c>
      <c r="N279" s="53"/>
      <c r="O279" s="53"/>
    </row>
    <row r="280" spans="1:15" x14ac:dyDescent="0.2">
      <c r="A280" s="132">
        <v>1711000523</v>
      </c>
      <c r="B280" s="133" t="s">
        <v>668</v>
      </c>
      <c r="C280" s="90" t="str">
        <f>VLOOKUP(A280,'עזר 2025'!A:C,3,FALSE)</f>
        <v>פעולות כלליות</v>
      </c>
      <c r="D280" s="142">
        <v>1527</v>
      </c>
      <c r="E280" s="92">
        <v>0</v>
      </c>
      <c r="F280" s="53">
        <v>0</v>
      </c>
      <c r="G280" s="53">
        <v>0</v>
      </c>
      <c r="H280" s="53">
        <f t="shared" si="32"/>
        <v>0</v>
      </c>
      <c r="I280" s="53"/>
      <c r="J280" s="92"/>
      <c r="K280" s="142">
        <v>1527</v>
      </c>
      <c r="L280" s="142">
        <v>1527</v>
      </c>
      <c r="M280" s="53"/>
      <c r="N280" s="53"/>
      <c r="O280" s="53"/>
    </row>
    <row r="281" spans="1:15" x14ac:dyDescent="0.2">
      <c r="A281" s="132">
        <v>1712200740</v>
      </c>
      <c r="B281" s="133" t="s">
        <v>26</v>
      </c>
      <c r="C281" s="90" t="str">
        <f>VLOOKUP(A281,'עזר 2025'!A:C,3,FALSE)</f>
        <v>פעולות כלליות</v>
      </c>
      <c r="D281" s="142">
        <v>20000</v>
      </c>
      <c r="E281" s="92">
        <v>0</v>
      </c>
      <c r="F281" s="53">
        <v>19066</v>
      </c>
      <c r="G281" s="53">
        <v>934</v>
      </c>
      <c r="H281" s="53">
        <f t="shared" ref="H281:H307" si="40">F281+G281</f>
        <v>20000</v>
      </c>
      <c r="I281" s="53"/>
      <c r="J281" s="92"/>
      <c r="K281" s="142">
        <f>VLOOKUP(A281,'ביצוע דוח חשב 12.2024'!A:I,9,FALSE)</f>
        <v>20000</v>
      </c>
      <c r="L281" s="142">
        <v>25000</v>
      </c>
      <c r="M281" s="53"/>
      <c r="N281" s="53"/>
      <c r="O281" s="53"/>
    </row>
    <row r="282" spans="1:15" x14ac:dyDescent="0.2">
      <c r="A282" s="132">
        <v>1712200750</v>
      </c>
      <c r="B282" s="133" t="s">
        <v>49</v>
      </c>
      <c r="C282" s="90" t="str">
        <f>VLOOKUP(A282,'עזר 2025'!A:C,3,FALSE)</f>
        <v>פעולות כלליות</v>
      </c>
      <c r="D282" s="142">
        <v>530000</v>
      </c>
      <c r="E282" s="92">
        <v>0</v>
      </c>
      <c r="F282" s="53">
        <v>837962.96</v>
      </c>
      <c r="G282" s="53">
        <v>32854</v>
      </c>
      <c r="H282" s="53">
        <f t="shared" si="40"/>
        <v>870816.96</v>
      </c>
      <c r="I282" s="53">
        <f>170255+60000*2</f>
        <v>290255</v>
      </c>
      <c r="J282" s="92" t="s">
        <v>2059</v>
      </c>
      <c r="K282" s="142">
        <f>VLOOKUP(A282,'ביצוע דוח חשב 12.2024'!A:I,9,FALSE)</f>
        <v>1111477.2</v>
      </c>
      <c r="L282" s="142">
        <v>650000</v>
      </c>
      <c r="M282" s="53"/>
      <c r="N282" s="53"/>
      <c r="O282" s="53"/>
    </row>
    <row r="283" spans="1:15" x14ac:dyDescent="0.2">
      <c r="A283" s="132">
        <v>1712200780</v>
      </c>
      <c r="B283" s="133" t="s">
        <v>13</v>
      </c>
      <c r="C283" s="90" t="str">
        <f>VLOOKUP(A283,'עזר 2025'!A:C,3,FALSE)</f>
        <v>פעולות כלליות</v>
      </c>
      <c r="D283" s="142">
        <v>20000</v>
      </c>
      <c r="E283" s="92">
        <v>0</v>
      </c>
      <c r="F283" s="53">
        <v>0</v>
      </c>
      <c r="G283" s="53">
        <v>12760</v>
      </c>
      <c r="H283" s="53">
        <f t="shared" si="40"/>
        <v>12760</v>
      </c>
      <c r="I283" s="53"/>
      <c r="J283" s="92"/>
      <c r="K283" s="142">
        <v>10000</v>
      </c>
      <c r="L283" s="142">
        <v>20000</v>
      </c>
      <c r="M283" s="53"/>
      <c r="N283" s="53"/>
      <c r="O283" s="53"/>
    </row>
    <row r="284" spans="1:15" x14ac:dyDescent="0.2">
      <c r="A284" s="132">
        <v>1712300751</v>
      </c>
      <c r="B284" s="133" t="s">
        <v>57</v>
      </c>
      <c r="C284" s="90" t="str">
        <f>VLOOKUP(A284,'עזר 2025'!A:C,3,FALSE)</f>
        <v>פעולות כלליות</v>
      </c>
      <c r="D284" s="142">
        <v>5000000</v>
      </c>
      <c r="E284" s="92">
        <v>0</v>
      </c>
      <c r="F284" s="53">
        <v>3973638.67</v>
      </c>
      <c r="G284" s="53">
        <v>29259.95</v>
      </c>
      <c r="H284" s="53">
        <f t="shared" si="40"/>
        <v>4002898.62</v>
      </c>
      <c r="I284" s="53">
        <f>400000*3</f>
        <v>1200000</v>
      </c>
      <c r="J284" s="92" t="s">
        <v>2060</v>
      </c>
      <c r="K284" s="142">
        <f>VLOOKUP(A284,'ביצוע דוח חשב 12.2024'!A:I,9,FALSE)+50000</f>
        <v>5275492.46</v>
      </c>
      <c r="L284" s="142">
        <v>6500000</v>
      </c>
      <c r="M284" s="53"/>
      <c r="N284" s="53"/>
      <c r="O284" s="53"/>
    </row>
    <row r="285" spans="1:15" x14ac:dyDescent="0.2">
      <c r="A285" s="132">
        <v>1712300752</v>
      </c>
      <c r="B285" s="133" t="s">
        <v>974</v>
      </c>
      <c r="C285" s="90" t="str">
        <f>VLOOKUP(A285,'עזר 2025'!A:C,3,FALSE)</f>
        <v>פעולות כלליות</v>
      </c>
      <c r="D285" s="142">
        <v>250000</v>
      </c>
      <c r="E285" s="92">
        <v>0</v>
      </c>
      <c r="F285" s="53">
        <v>33000</v>
      </c>
      <c r="G285" s="53">
        <v>0</v>
      </c>
      <c r="H285" s="53">
        <f t="shared" si="40"/>
        <v>33000</v>
      </c>
      <c r="I285" s="53"/>
      <c r="J285" s="92"/>
      <c r="K285" s="142">
        <f>VLOOKUP(A285,'ביצוע דוח חשב 12.2024'!A:I,9,FALSE)</f>
        <v>33000</v>
      </c>
      <c r="L285" s="142">
        <v>100000</v>
      </c>
      <c r="M285" s="53"/>
      <c r="N285" s="53"/>
      <c r="O285" s="53"/>
    </row>
    <row r="286" spans="1:15" x14ac:dyDescent="0.2">
      <c r="A286" s="132">
        <v>1714100830</v>
      </c>
      <c r="B286" s="133" t="s">
        <v>59</v>
      </c>
      <c r="C286" s="90" t="str">
        <f>VLOOKUP(A286,'עזר 2025'!A:C,3,FALSE)</f>
        <v>פעולות כלליות</v>
      </c>
      <c r="D286" s="142">
        <v>121000</v>
      </c>
      <c r="E286" s="92">
        <v>0</v>
      </c>
      <c r="F286" s="53">
        <v>119377</v>
      </c>
      <c r="G286" s="53">
        <v>0</v>
      </c>
      <c r="H286" s="53">
        <f t="shared" si="40"/>
        <v>119377</v>
      </c>
      <c r="I286" s="53"/>
      <c r="J286" s="92"/>
      <c r="K286" s="142">
        <f>VLOOKUP(A286,'ביצוע דוח חשב 12.2024'!A:I,9,FALSE)</f>
        <v>119377</v>
      </c>
      <c r="L286" s="142">
        <v>120000</v>
      </c>
      <c r="M286" s="53"/>
      <c r="N286" s="53"/>
      <c r="O286" s="53"/>
    </row>
    <row r="287" spans="1:15" x14ac:dyDescent="0.2">
      <c r="A287" s="132">
        <v>1715300750</v>
      </c>
      <c r="B287" s="133" t="s">
        <v>61</v>
      </c>
      <c r="C287" s="90" t="str">
        <f>VLOOKUP(A287,'עזר 2025'!A:C,3,FALSE)</f>
        <v>פעולות כלליות</v>
      </c>
      <c r="D287" s="142">
        <v>60000</v>
      </c>
      <c r="E287" s="92">
        <v>0</v>
      </c>
      <c r="F287" s="53">
        <v>13272</v>
      </c>
      <c r="G287" s="53">
        <v>0</v>
      </c>
      <c r="H287" s="53">
        <f t="shared" si="40"/>
        <v>13272</v>
      </c>
      <c r="I287" s="53"/>
      <c r="J287" s="92"/>
      <c r="K287" s="142">
        <f>VLOOKUP(A287,'ביצוע דוח חשב 12.2024'!A:I,9,FALSE)</f>
        <v>13272</v>
      </c>
      <c r="L287" s="142">
        <v>50000</v>
      </c>
      <c r="M287" s="53"/>
      <c r="N287" s="53"/>
      <c r="O287" s="53"/>
    </row>
    <row r="288" spans="1:15" ht="26.25" x14ac:dyDescent="0.2">
      <c r="A288" s="134"/>
      <c r="B288" s="134" t="s">
        <v>633</v>
      </c>
      <c r="C288" s="79"/>
      <c r="D288" s="139">
        <f>SUM(D279:D287)</f>
        <v>6132527</v>
      </c>
      <c r="E288" s="80">
        <f t="shared" ref="E288:O288" si="41">SUM(E279:E287)</f>
        <v>1</v>
      </c>
      <c r="F288" s="80">
        <f t="shared" si="41"/>
        <v>5154301.76</v>
      </c>
      <c r="G288" s="80">
        <f t="shared" si="41"/>
        <v>75807.95</v>
      </c>
      <c r="H288" s="80">
        <f t="shared" si="41"/>
        <v>5230109.71</v>
      </c>
      <c r="I288" s="80">
        <f t="shared" si="41"/>
        <v>1533925.66</v>
      </c>
      <c r="J288" s="80">
        <f t="shared" si="41"/>
        <v>0</v>
      </c>
      <c r="K288" s="139">
        <f t="shared" si="41"/>
        <v>6834145.6600000001</v>
      </c>
      <c r="L288" s="139">
        <f t="shared" si="41"/>
        <v>7808527</v>
      </c>
      <c r="M288" s="80">
        <f t="shared" si="41"/>
        <v>3</v>
      </c>
      <c r="N288" s="80">
        <f t="shared" si="41"/>
        <v>0</v>
      </c>
      <c r="O288" s="80">
        <f t="shared" si="41"/>
        <v>0</v>
      </c>
    </row>
    <row r="289" spans="1:15" x14ac:dyDescent="0.2">
      <c r="A289" s="132">
        <v>1722000110</v>
      </c>
      <c r="B289" s="133" t="s">
        <v>670</v>
      </c>
      <c r="C289" s="51" t="str">
        <f>VLOOKUP(A289,'עזר 2025'!A:C,3,FALSE)</f>
        <v>שכר כללי</v>
      </c>
      <c r="D289" s="138">
        <v>280000</v>
      </c>
      <c r="E289" s="53">
        <v>1</v>
      </c>
      <c r="F289" s="53">
        <v>238588.38</v>
      </c>
      <c r="G289" s="53">
        <v>0</v>
      </c>
      <c r="H289" s="53">
        <f t="shared" si="40"/>
        <v>238588.38</v>
      </c>
      <c r="I289" s="53">
        <f>SUMIFS('תקציב שכר'!J:J,'תקציב שכר'!A:A,A289)-H289</f>
        <v>42269.140000000014</v>
      </c>
      <c r="J289" s="53" t="s">
        <v>2052</v>
      </c>
      <c r="K289" s="138">
        <f>VLOOKUP(A289,'ביצוע דוח חשב 12.2024'!A:I,9,FALSE)</f>
        <v>281328.02</v>
      </c>
      <c r="L289" s="138">
        <v>300000</v>
      </c>
      <c r="M289" s="69">
        <f>SUMIFS('תקציב שכר'!M:M,'תקציב שכר'!A:A,A289)</f>
        <v>1</v>
      </c>
      <c r="N289" s="53"/>
      <c r="O289" s="53"/>
    </row>
    <row r="290" spans="1:15" x14ac:dyDescent="0.2">
      <c r="A290" s="132">
        <v>1722000731</v>
      </c>
      <c r="B290" s="133" t="s">
        <v>62</v>
      </c>
      <c r="C290" s="90" t="str">
        <f>VLOOKUP(A290,'עזר 2025'!A:C,3,FALSE)</f>
        <v>פעולות כלליות</v>
      </c>
      <c r="D290" s="142">
        <v>25000</v>
      </c>
      <c r="E290" s="92">
        <v>0</v>
      </c>
      <c r="F290" s="53">
        <v>10799.59</v>
      </c>
      <c r="G290" s="53">
        <v>0</v>
      </c>
      <c r="H290" s="53">
        <f t="shared" si="40"/>
        <v>10799.59</v>
      </c>
      <c r="I290" s="53">
        <v>2000</v>
      </c>
      <c r="J290" s="92"/>
      <c r="K290" s="142">
        <f>VLOOKUP(A290,'ביצוע דוח חשב 12.2024'!A:I,9,FALSE)</f>
        <v>12299.59</v>
      </c>
      <c r="L290" s="142">
        <v>15000</v>
      </c>
      <c r="M290" s="53"/>
      <c r="N290" s="53"/>
      <c r="O290" s="53"/>
    </row>
    <row r="291" spans="1:15" x14ac:dyDescent="0.2">
      <c r="A291" s="132">
        <v>1722000732</v>
      </c>
      <c r="B291" s="133" t="s">
        <v>63</v>
      </c>
      <c r="C291" s="90" t="str">
        <f>VLOOKUP(A291,'עזר 2025'!A:C,3,FALSE)</f>
        <v>פעולות כלליות</v>
      </c>
      <c r="D291" s="142">
        <v>10000</v>
      </c>
      <c r="E291" s="92">
        <v>0</v>
      </c>
      <c r="F291" s="53">
        <v>1170</v>
      </c>
      <c r="G291" s="53">
        <v>0</v>
      </c>
      <c r="H291" s="53">
        <f t="shared" si="40"/>
        <v>1170</v>
      </c>
      <c r="I291" s="53"/>
      <c r="J291" s="92"/>
      <c r="K291" s="142">
        <f>VLOOKUP(A291,'ביצוע דוח חשב 12.2024'!A:I,9,FALSE)</f>
        <v>1170</v>
      </c>
      <c r="L291" s="142">
        <v>15000</v>
      </c>
      <c r="M291" s="53"/>
      <c r="N291" s="53"/>
      <c r="O291" s="53"/>
    </row>
    <row r="292" spans="1:15" x14ac:dyDescent="0.2">
      <c r="A292" s="132">
        <v>1722000733</v>
      </c>
      <c r="B292" s="133" t="s">
        <v>64</v>
      </c>
      <c r="C292" s="90" t="str">
        <f>VLOOKUP(A292,'עזר 2025'!A:C,3,FALSE)</f>
        <v>פעולות כלליות</v>
      </c>
      <c r="D292" s="142">
        <v>13000</v>
      </c>
      <c r="E292" s="92">
        <v>0</v>
      </c>
      <c r="F292" s="53">
        <v>23722</v>
      </c>
      <c r="G292" s="53">
        <v>0</v>
      </c>
      <c r="H292" s="53">
        <f t="shared" si="40"/>
        <v>23722</v>
      </c>
      <c r="I292" s="53"/>
      <c r="J292" s="92"/>
      <c r="K292" s="142">
        <f>VLOOKUP(A292,'ביצוע דוח חשב 12.2024'!A:I,9,FALSE)</f>
        <v>23722</v>
      </c>
      <c r="L292" s="142">
        <v>25000</v>
      </c>
      <c r="M292" s="53"/>
      <c r="N292" s="53"/>
      <c r="O292" s="53"/>
    </row>
    <row r="293" spans="1:15" s="50" customFormat="1" hidden="1" x14ac:dyDescent="0.2">
      <c r="A293" s="90">
        <v>1722000780</v>
      </c>
      <c r="B293" s="91" t="s">
        <v>46</v>
      </c>
      <c r="C293" s="90" t="s">
        <v>353</v>
      </c>
      <c r="D293" s="92">
        <v>0</v>
      </c>
      <c r="E293" s="92">
        <v>0</v>
      </c>
      <c r="F293" s="53">
        <v>85.38</v>
      </c>
      <c r="G293" s="53">
        <v>0</v>
      </c>
      <c r="H293" s="53">
        <f t="shared" si="40"/>
        <v>85.38</v>
      </c>
      <c r="I293" s="53"/>
      <c r="J293" s="92"/>
      <c r="K293" s="92">
        <v>0</v>
      </c>
      <c r="L293" s="92">
        <v>0</v>
      </c>
      <c r="M293" s="53"/>
      <c r="N293" s="53"/>
      <c r="O293" s="53">
        <v>1</v>
      </c>
    </row>
    <row r="294" spans="1:15" x14ac:dyDescent="0.2">
      <c r="A294" s="132">
        <v>1722002110</v>
      </c>
      <c r="B294" s="133" t="s">
        <v>671</v>
      </c>
      <c r="C294" s="51" t="str">
        <f>VLOOKUP(A294,'עזר 2025'!A:C,3,FALSE)</f>
        <v>שכר כללי</v>
      </c>
      <c r="D294" s="142">
        <v>910000</v>
      </c>
      <c r="E294" s="53">
        <v>7</v>
      </c>
      <c r="F294" s="53">
        <v>249392.83</v>
      </c>
      <c r="G294" s="53">
        <v>0</v>
      </c>
      <c r="H294" s="53">
        <f t="shared" si="40"/>
        <v>249392.83</v>
      </c>
      <c r="I294" s="53">
        <f>SUMIFS('תקציב שכר'!J:J,'תקציב שכר'!A:A,A294)-H294</f>
        <v>53741.84</v>
      </c>
      <c r="J294" s="53" t="s">
        <v>2052</v>
      </c>
      <c r="K294" s="142">
        <f>VLOOKUP(A294,'ביצוע דוח חשב 12.2024'!A:I,9,FALSE)</f>
        <v>287970.78000000003</v>
      </c>
      <c r="L294" s="142">
        <v>910000</v>
      </c>
      <c r="M294" s="69">
        <v>7</v>
      </c>
      <c r="N294" s="53"/>
      <c r="O294" s="53"/>
    </row>
    <row r="295" spans="1:15" x14ac:dyDescent="0.2">
      <c r="A295" s="132">
        <v>1722100750</v>
      </c>
      <c r="B295" s="133" t="s">
        <v>1575</v>
      </c>
      <c r="C295" s="90" t="str">
        <f>VLOOKUP(A295,'עזר 2025'!A:C,3,FALSE)</f>
        <v>פעולות כלליות</v>
      </c>
      <c r="D295" s="142">
        <v>70000</v>
      </c>
      <c r="E295" s="92">
        <v>0</v>
      </c>
      <c r="F295" s="53">
        <v>0</v>
      </c>
      <c r="G295" s="53">
        <v>0</v>
      </c>
      <c r="H295" s="53">
        <f t="shared" si="40"/>
        <v>0</v>
      </c>
      <c r="I295" s="53"/>
      <c r="J295" s="92"/>
      <c r="K295" s="142">
        <f>VLOOKUP(A295,'ביצוע דוח חשב 12.2024'!A:I,9,FALSE)</f>
        <v>0</v>
      </c>
      <c r="L295" s="142">
        <v>50000</v>
      </c>
      <c r="M295" s="53"/>
      <c r="N295" s="53"/>
      <c r="O295" s="53"/>
    </row>
    <row r="296" spans="1:15" x14ac:dyDescent="0.2">
      <c r="A296" s="132">
        <v>1723000810</v>
      </c>
      <c r="B296" s="133" t="s">
        <v>65</v>
      </c>
      <c r="C296" s="90" t="str">
        <f>VLOOKUP(A296,'עזר 2025'!A:C,3,FALSE)</f>
        <v>פעולות כלליות</v>
      </c>
      <c r="D296" s="142">
        <v>93574</v>
      </c>
      <c r="E296" s="92">
        <v>0</v>
      </c>
      <c r="F296" s="53">
        <v>0</v>
      </c>
      <c r="G296" s="53">
        <v>0</v>
      </c>
      <c r="H296" s="53">
        <f t="shared" si="40"/>
        <v>0</v>
      </c>
      <c r="I296" s="53">
        <v>93574</v>
      </c>
      <c r="J296" s="92"/>
      <c r="K296" s="142">
        <f>VLOOKUP(A296,'ביצוע דוח חשב 12.2024'!A:I,9,FALSE)</f>
        <v>93574</v>
      </c>
      <c r="L296" s="142">
        <v>94223</v>
      </c>
      <c r="M296" s="53"/>
      <c r="N296" s="53"/>
      <c r="O296" s="53"/>
    </row>
    <row r="297" spans="1:15" x14ac:dyDescent="0.2">
      <c r="A297" s="132">
        <v>1723100110</v>
      </c>
      <c r="B297" s="133" t="s">
        <v>1165</v>
      </c>
      <c r="C297" s="51" t="str">
        <f>VLOOKUP(A297,'עזר 2025'!A:C,3,FALSE)</f>
        <v>שכר כללי</v>
      </c>
      <c r="D297" s="142">
        <v>130000</v>
      </c>
      <c r="E297" s="53">
        <v>1</v>
      </c>
      <c r="F297" s="53">
        <v>111678.48</v>
      </c>
      <c r="G297" s="53">
        <v>0</v>
      </c>
      <c r="H297" s="53">
        <f t="shared" si="40"/>
        <v>111678.48</v>
      </c>
      <c r="I297" s="53">
        <f>SUMIFS('תקציב שכר'!J:J,'תקציב שכר'!A:A,A297)-H297</f>
        <v>26013.800000000003</v>
      </c>
      <c r="J297" s="53" t="s">
        <v>2052</v>
      </c>
      <c r="K297" s="142">
        <f>VLOOKUP(A297,'ביצוע דוח חשב 12.2024'!A:I,9,FALSE)</f>
        <v>137859.62</v>
      </c>
      <c r="L297" s="142">
        <v>130000</v>
      </c>
      <c r="M297" s="69">
        <f>SUMIFS('תקציב שכר'!M:M,'תקציב שכר'!A:A,A297)</f>
        <v>1</v>
      </c>
      <c r="N297" s="53"/>
      <c r="O297" s="53"/>
    </row>
    <row r="298" spans="1:15" x14ac:dyDescent="0.2">
      <c r="A298" s="132">
        <v>1723420750</v>
      </c>
      <c r="B298" s="133" t="s">
        <v>1160</v>
      </c>
      <c r="C298" s="90" t="str">
        <f>VLOOKUP(A298,'עזר 2025'!A:C,3,FALSE)</f>
        <v>פעולות כלליות</v>
      </c>
      <c r="D298" s="142">
        <v>47000</v>
      </c>
      <c r="E298" s="92">
        <v>0</v>
      </c>
      <c r="F298" s="53">
        <v>0</v>
      </c>
      <c r="G298" s="53">
        <v>0</v>
      </c>
      <c r="H298" s="53">
        <f t="shared" si="40"/>
        <v>0</v>
      </c>
      <c r="I298" s="53"/>
      <c r="J298" s="92"/>
      <c r="K298" s="142">
        <f>VLOOKUP(A298,'ביצוע דוח חשב 12.2024'!A:I,9,FALSE)</f>
        <v>0</v>
      </c>
      <c r="L298" s="142">
        <v>47000</v>
      </c>
      <c r="M298" s="53"/>
      <c r="N298" s="53"/>
      <c r="O298" s="53"/>
    </row>
    <row r="299" spans="1:15" x14ac:dyDescent="0.2">
      <c r="A299" s="132">
        <v>1723421750</v>
      </c>
      <c r="B299" s="133" t="s">
        <v>1162</v>
      </c>
      <c r="C299" s="90" t="str">
        <f>VLOOKUP(A299,'עזר 2025'!A:C,3,FALSE)</f>
        <v>פעולות כלליות</v>
      </c>
      <c r="D299" s="142">
        <v>45000</v>
      </c>
      <c r="E299" s="92">
        <v>0</v>
      </c>
      <c r="F299" s="53">
        <v>6424</v>
      </c>
      <c r="G299" s="53">
        <v>27493</v>
      </c>
      <c r="H299" s="53">
        <f t="shared" si="40"/>
        <v>33917</v>
      </c>
      <c r="I299" s="53"/>
      <c r="J299" s="92"/>
      <c r="K299" s="142">
        <f>VLOOKUP(A299,'ביצוע דוח חשב 12.2024'!A:I,9,FALSE)</f>
        <v>27424</v>
      </c>
      <c r="L299" s="142">
        <v>50000</v>
      </c>
      <c r="M299" s="53"/>
      <c r="N299" s="53"/>
      <c r="O299" s="53"/>
    </row>
    <row r="300" spans="1:15" x14ac:dyDescent="0.2">
      <c r="A300" s="132">
        <v>1723422750</v>
      </c>
      <c r="B300" s="133" t="s">
        <v>1161</v>
      </c>
      <c r="C300" s="90" t="str">
        <f>VLOOKUP(A300,'עזר 2025'!A:C,3,FALSE)</f>
        <v>פעולות כלליות</v>
      </c>
      <c r="D300" s="142">
        <v>69000</v>
      </c>
      <c r="E300" s="92">
        <v>0</v>
      </c>
      <c r="F300" s="53">
        <v>23197.74</v>
      </c>
      <c r="G300" s="53">
        <v>42569.99</v>
      </c>
      <c r="H300" s="53">
        <f t="shared" si="40"/>
        <v>65767.73</v>
      </c>
      <c r="I300" s="53"/>
      <c r="J300" s="92"/>
      <c r="K300" s="142">
        <f>VLOOKUP(A300,'ביצוע דוח חשב 12.2024'!A:I,9,FALSE)</f>
        <v>23197.74</v>
      </c>
      <c r="L300" s="142">
        <v>78500</v>
      </c>
      <c r="M300" s="53"/>
      <c r="N300" s="53"/>
      <c r="O300" s="53"/>
    </row>
    <row r="301" spans="1:15" x14ac:dyDescent="0.2">
      <c r="A301" s="132">
        <v>1723423750</v>
      </c>
      <c r="B301" s="133" t="s">
        <v>1576</v>
      </c>
      <c r="C301" s="90" t="str">
        <f>VLOOKUP(A301,'עזר 2025'!A:C,3,FALSE)</f>
        <v>פעולות כלליות</v>
      </c>
      <c r="D301" s="142">
        <v>51700</v>
      </c>
      <c r="E301" s="92">
        <v>0</v>
      </c>
      <c r="F301" s="53">
        <v>0</v>
      </c>
      <c r="G301" s="53">
        <v>0</v>
      </c>
      <c r="H301" s="53">
        <f t="shared" si="40"/>
        <v>0</v>
      </c>
      <c r="I301" s="53"/>
      <c r="J301" s="92"/>
      <c r="K301" s="142">
        <f>VLOOKUP(A301,'ביצוע דוח חשב 12.2024'!A:I,9,FALSE)+50000</f>
        <v>50000</v>
      </c>
      <c r="L301" s="142">
        <v>55238</v>
      </c>
      <c r="M301" s="53"/>
      <c r="N301" s="53"/>
      <c r="O301" s="53"/>
    </row>
    <row r="302" spans="1:15" x14ac:dyDescent="0.2">
      <c r="A302" s="132">
        <v>1725000110</v>
      </c>
      <c r="B302" s="133" t="s">
        <v>66</v>
      </c>
      <c r="C302" s="51" t="str">
        <f>VLOOKUP(A302,'עזר 2025'!A:C,3,FALSE)</f>
        <v>שכר כללי</v>
      </c>
      <c r="D302" s="138">
        <v>350000</v>
      </c>
      <c r="E302" s="53">
        <v>4</v>
      </c>
      <c r="F302" s="53">
        <v>475368.93</v>
      </c>
      <c r="G302" s="53">
        <v>0</v>
      </c>
      <c r="H302" s="53">
        <f t="shared" si="40"/>
        <v>475368.93</v>
      </c>
      <c r="I302" s="53">
        <f>SUMIFS('תקציב שכר'!J:J,'תקציב שכר'!A:A,A302)-H302</f>
        <v>45411.159999999916</v>
      </c>
      <c r="J302" s="53" t="s">
        <v>2052</v>
      </c>
      <c r="K302" s="138">
        <f>VLOOKUP(A302,'ביצוע דוח חשב 12.2024'!A:I,9,FALSE)</f>
        <v>520958.86</v>
      </c>
      <c r="L302" s="138">
        <v>540000</v>
      </c>
      <c r="M302" s="69">
        <f>SUMIFS('תקציב שכר'!M:M,'תקציב שכר'!A:A,A302)</f>
        <v>3.5963636363636367</v>
      </c>
      <c r="N302" s="53"/>
      <c r="O302" s="53"/>
    </row>
    <row r="303" spans="1:15" x14ac:dyDescent="0.2">
      <c r="A303" s="132">
        <v>1725000750</v>
      </c>
      <c r="B303" s="133" t="s">
        <v>770</v>
      </c>
      <c r="C303" s="90" t="str">
        <f>VLOOKUP(A303,'עזר 2025'!A:C,3,FALSE)</f>
        <v>פעולות כלליות</v>
      </c>
      <c r="D303" s="142">
        <v>74848</v>
      </c>
      <c r="E303" s="92">
        <v>0</v>
      </c>
      <c r="F303" s="53">
        <v>73757</v>
      </c>
      <c r="G303" s="53">
        <v>1567.8</v>
      </c>
      <c r="H303" s="53">
        <f t="shared" si="40"/>
        <v>75324.800000000003</v>
      </c>
      <c r="I303" s="53"/>
      <c r="J303" s="92"/>
      <c r="K303" s="142">
        <v>0</v>
      </c>
      <c r="L303" s="142"/>
      <c r="M303" s="53"/>
      <c r="N303" s="53"/>
      <c r="O303" s="53"/>
    </row>
    <row r="304" spans="1:15" x14ac:dyDescent="0.2">
      <c r="A304" s="132">
        <v>1725002750</v>
      </c>
      <c r="B304" s="133" t="s">
        <v>1577</v>
      </c>
      <c r="C304" s="90" t="str">
        <f>VLOOKUP(A304,'עזר 2025'!A:C,3,FALSE)</f>
        <v>פעולות כלליות</v>
      </c>
      <c r="D304" s="142">
        <v>0</v>
      </c>
      <c r="E304" s="92">
        <v>0</v>
      </c>
      <c r="F304" s="53">
        <v>28256.5</v>
      </c>
      <c r="G304" s="53">
        <v>22800</v>
      </c>
      <c r="H304" s="53">
        <f t="shared" si="40"/>
        <v>51056.5</v>
      </c>
      <c r="I304" s="53"/>
      <c r="J304" s="92"/>
      <c r="K304" s="142">
        <v>0</v>
      </c>
      <c r="L304" s="142">
        <v>681000</v>
      </c>
      <c r="M304" s="53"/>
      <c r="N304" s="53"/>
      <c r="O304" s="53"/>
    </row>
    <row r="305" spans="1:15" x14ac:dyDescent="0.2">
      <c r="A305" s="132">
        <v>1725004110</v>
      </c>
      <c r="B305" s="133" t="s">
        <v>1521</v>
      </c>
      <c r="C305" s="51" t="str">
        <f>VLOOKUP(A305,'עזר 2025'!A:C,3,FALSE)</f>
        <v>שכר כללי</v>
      </c>
      <c r="D305" s="142">
        <v>200000</v>
      </c>
      <c r="E305" s="53">
        <v>1</v>
      </c>
      <c r="F305" s="53">
        <v>140924.85</v>
      </c>
      <c r="G305" s="53">
        <v>0</v>
      </c>
      <c r="H305" s="53">
        <f t="shared" si="40"/>
        <v>140924.85</v>
      </c>
      <c r="I305" s="53">
        <f>SUMIFS('תקציב שכר'!J:J,'תקציב שכר'!A:A,A305)-H305</f>
        <v>4592.5199999999895</v>
      </c>
      <c r="J305" s="53" t="s">
        <v>2052</v>
      </c>
      <c r="K305" s="142">
        <f>VLOOKUP(A305,'ביצוע דוח חשב 12.2024'!A:I,9,FALSE)</f>
        <v>145986.46</v>
      </c>
      <c r="L305" s="142">
        <v>200000</v>
      </c>
      <c r="M305" s="69">
        <f>SUMIFS('תקציב שכר'!M:M,'תקציב שכר'!A:A,A305)</f>
        <v>0.75645454545454549</v>
      </c>
      <c r="N305" s="53"/>
      <c r="O305" s="53"/>
    </row>
    <row r="306" spans="1:15" s="50" customFormat="1" ht="26.25" x14ac:dyDescent="0.2">
      <c r="A306" s="79"/>
      <c r="B306" s="79" t="s">
        <v>636</v>
      </c>
      <c r="C306" s="79"/>
      <c r="D306" s="80">
        <f>SUM(D289:D305)</f>
        <v>2369122</v>
      </c>
      <c r="E306" s="80">
        <f t="shared" ref="E306:N306" si="42">SUM(E289:E305)</f>
        <v>14</v>
      </c>
      <c r="F306" s="80">
        <f t="shared" si="42"/>
        <v>1383365.68</v>
      </c>
      <c r="G306" s="80">
        <f t="shared" si="42"/>
        <v>94430.79</v>
      </c>
      <c r="H306" s="80">
        <f t="shared" si="42"/>
        <v>1477796.47</v>
      </c>
      <c r="I306" s="80">
        <f t="shared" si="42"/>
        <v>267602.45999999996</v>
      </c>
      <c r="J306" s="80">
        <f t="shared" si="42"/>
        <v>0</v>
      </c>
      <c r="K306" s="80">
        <f t="shared" si="42"/>
        <v>1605491.07</v>
      </c>
      <c r="L306" s="80">
        <f t="shared" si="42"/>
        <v>3190961</v>
      </c>
      <c r="M306" s="80">
        <f t="shared" si="42"/>
        <v>13.352818181818183</v>
      </c>
      <c r="N306" s="80">
        <f t="shared" si="42"/>
        <v>0</v>
      </c>
      <c r="O306" s="80">
        <v>0</v>
      </c>
    </row>
    <row r="307" spans="1:15" x14ac:dyDescent="0.2">
      <c r="A307" s="132">
        <v>1731000110</v>
      </c>
      <c r="B307" s="133" t="s">
        <v>68</v>
      </c>
      <c r="C307" s="51" t="str">
        <f>VLOOKUP(A307,'עזר 2025'!A:C,3,FALSE)</f>
        <v>שכר כללי</v>
      </c>
      <c r="D307" s="142">
        <v>800000</v>
      </c>
      <c r="E307" s="53">
        <v>3</v>
      </c>
      <c r="F307" s="53">
        <v>522811.06</v>
      </c>
      <c r="G307" s="53">
        <v>0</v>
      </c>
      <c r="H307" s="53">
        <f t="shared" si="40"/>
        <v>522811.06</v>
      </c>
      <c r="I307" s="53">
        <f>SUMIFS('תקציב שכר'!J:J,'תקציב שכר'!A:A,A307)-H307</f>
        <v>112736.74000000005</v>
      </c>
      <c r="J307" s="53" t="s">
        <v>2052</v>
      </c>
      <c r="K307" s="142">
        <f>VLOOKUP(A307,'ביצוע דוח חשב 12.2024'!A:I,9,FALSE)</f>
        <v>632894.38</v>
      </c>
      <c r="L307" s="142">
        <v>700000</v>
      </c>
      <c r="M307" s="69">
        <v>2</v>
      </c>
      <c r="N307" s="53"/>
      <c r="O307" s="53"/>
    </row>
    <row r="308" spans="1:15" x14ac:dyDescent="0.2">
      <c r="A308" s="132">
        <v>1731000780</v>
      </c>
      <c r="B308" s="133" t="s">
        <v>13</v>
      </c>
      <c r="C308" s="90" t="str">
        <f>VLOOKUP(A308,'עזר 2025'!A:C,3,FALSE)</f>
        <v>פעולות כלליות</v>
      </c>
      <c r="D308" s="142">
        <v>100000</v>
      </c>
      <c r="E308" s="92">
        <v>0</v>
      </c>
      <c r="F308" s="53">
        <v>72688</v>
      </c>
      <c r="G308" s="53">
        <v>27225</v>
      </c>
      <c r="H308" s="53">
        <f t="shared" ref="H308:H327" si="43">F308+G308</f>
        <v>99913</v>
      </c>
      <c r="I308" s="53"/>
      <c r="J308" s="92"/>
      <c r="K308" s="142">
        <f>VLOOKUP(A308,'ביצוע דוח חשב 12.2024'!A:I,9,FALSE)</f>
        <v>72688</v>
      </c>
      <c r="L308" s="142">
        <v>100000</v>
      </c>
      <c r="M308" s="53"/>
      <c r="N308" s="53"/>
      <c r="O308" s="53"/>
    </row>
    <row r="309" spans="1:15" x14ac:dyDescent="0.2">
      <c r="A309" s="132">
        <v>1732100750</v>
      </c>
      <c r="B309" s="133" t="s">
        <v>672</v>
      </c>
      <c r="C309" s="90" t="str">
        <f>VLOOKUP(A309,'עזר 2025'!A:C,3,FALSE)</f>
        <v>פעולות כלליות</v>
      </c>
      <c r="D309" s="142">
        <v>100000</v>
      </c>
      <c r="E309" s="92">
        <v>0</v>
      </c>
      <c r="F309" s="53">
        <v>163510.04999999999</v>
      </c>
      <c r="G309" s="53">
        <v>44451</v>
      </c>
      <c r="H309" s="53">
        <f t="shared" si="43"/>
        <v>207961.05</v>
      </c>
      <c r="I309" s="53"/>
      <c r="J309" s="92"/>
      <c r="K309" s="142">
        <f>VLOOKUP(A309,'ביצוע דוח חשב 12.2024'!A:I,9,FALSE)</f>
        <v>163510.04999999999</v>
      </c>
      <c r="L309" s="142">
        <v>100000</v>
      </c>
      <c r="M309" s="53"/>
      <c r="N309" s="53"/>
      <c r="O309" s="53"/>
    </row>
    <row r="310" spans="1:15" x14ac:dyDescent="0.2">
      <c r="A310" s="132">
        <v>1733400750</v>
      </c>
      <c r="B310" s="133" t="s">
        <v>71</v>
      </c>
      <c r="C310" s="90" t="str">
        <f>VLOOKUP(A310,'עזר 2025'!A:C,3,FALSE)</f>
        <v>פעולות כלליות</v>
      </c>
      <c r="D310" s="142">
        <v>1300000</v>
      </c>
      <c r="E310" s="92">
        <v>0</v>
      </c>
      <c r="F310" s="53">
        <v>1115000</v>
      </c>
      <c r="G310" s="53">
        <v>0</v>
      </c>
      <c r="H310" s="53">
        <f t="shared" si="43"/>
        <v>1115000</v>
      </c>
      <c r="I310" s="53">
        <f>111500*2</f>
        <v>223000</v>
      </c>
      <c r="J310" s="92" t="s">
        <v>2061</v>
      </c>
      <c r="K310" s="142">
        <f>VLOOKUP(A310,'ביצוע דוח חשב 12.2024'!A:I,9,FALSE)</f>
        <v>1338000</v>
      </c>
      <c r="L310" s="142">
        <v>1350000</v>
      </c>
      <c r="M310" s="53"/>
      <c r="N310" s="53"/>
      <c r="O310" s="53"/>
    </row>
    <row r="311" spans="1:15" ht="26.25" x14ac:dyDescent="0.2">
      <c r="A311" s="134"/>
      <c r="B311" s="134" t="s">
        <v>1030</v>
      </c>
      <c r="C311" s="79"/>
      <c r="D311" s="139">
        <f>SUM(D307:D310)</f>
        <v>2300000</v>
      </c>
      <c r="E311" s="80">
        <f t="shared" ref="E311:O311" si="44">SUM(E307:E310)</f>
        <v>3</v>
      </c>
      <c r="F311" s="80">
        <f t="shared" si="44"/>
        <v>1874009.11</v>
      </c>
      <c r="G311" s="80">
        <f t="shared" si="44"/>
        <v>71676</v>
      </c>
      <c r="H311" s="80">
        <f t="shared" si="44"/>
        <v>1945685.11</v>
      </c>
      <c r="I311" s="80">
        <f t="shared" si="44"/>
        <v>335736.74000000005</v>
      </c>
      <c r="J311" s="80">
        <f t="shared" si="44"/>
        <v>0</v>
      </c>
      <c r="K311" s="139">
        <f t="shared" si="44"/>
        <v>2207092.4299999997</v>
      </c>
      <c r="L311" s="139">
        <f t="shared" si="44"/>
        <v>2250000</v>
      </c>
      <c r="M311" s="80">
        <f t="shared" si="44"/>
        <v>2</v>
      </c>
      <c r="N311" s="80">
        <f t="shared" si="44"/>
        <v>0</v>
      </c>
      <c r="O311" s="80">
        <f t="shared" si="44"/>
        <v>0</v>
      </c>
    </row>
    <row r="312" spans="1:15" x14ac:dyDescent="0.2">
      <c r="A312" s="132">
        <v>1741000110</v>
      </c>
      <c r="B312" s="133" t="s">
        <v>72</v>
      </c>
      <c r="C312" s="51" t="str">
        <f>VLOOKUP(A312,'עזר 2025'!A:C,3,FALSE)</f>
        <v>שכר כללי</v>
      </c>
      <c r="D312" s="138">
        <v>350000</v>
      </c>
      <c r="E312" s="53">
        <v>2</v>
      </c>
      <c r="F312" s="53">
        <v>197716.7</v>
      </c>
      <c r="G312" s="53">
        <v>0</v>
      </c>
      <c r="H312" s="53">
        <f t="shared" si="43"/>
        <v>197716.7</v>
      </c>
      <c r="I312" s="53">
        <f>SUMIFS('תקציב שכר'!J:J,'תקציב שכר'!A:A,A312)-H312</f>
        <v>26806.820000000007</v>
      </c>
      <c r="J312" s="53" t="s">
        <v>2052</v>
      </c>
      <c r="K312" s="138">
        <f>VLOOKUP(A312,'ביצוע דוח חשב 12.2024'!A:I,9,FALSE)</f>
        <v>224769.33</v>
      </c>
      <c r="L312" s="138">
        <v>230000</v>
      </c>
      <c r="M312" s="69">
        <v>2</v>
      </c>
      <c r="N312" s="53"/>
      <c r="O312" s="53"/>
    </row>
    <row r="313" spans="1:15" x14ac:dyDescent="0.2">
      <c r="A313" s="132">
        <v>1741000750</v>
      </c>
      <c r="B313" s="133" t="s">
        <v>49</v>
      </c>
      <c r="C313" s="90" t="str">
        <f>VLOOKUP(A313,'עזר 2025'!A:C,3,FALSE)</f>
        <v>פעולות כלליות</v>
      </c>
      <c r="D313" s="142">
        <v>50000</v>
      </c>
      <c r="E313" s="92">
        <v>0</v>
      </c>
      <c r="F313" s="53">
        <v>27993</v>
      </c>
      <c r="G313" s="53">
        <v>22007</v>
      </c>
      <c r="H313" s="53">
        <f t="shared" si="43"/>
        <v>50000</v>
      </c>
      <c r="I313" s="53"/>
      <c r="J313" s="92"/>
      <c r="K313" s="142">
        <f>VLOOKUP(A313,'ביצוע דוח חשב 12.2024'!A:I,9,FALSE)</f>
        <v>27993</v>
      </c>
      <c r="L313" s="142">
        <v>30000</v>
      </c>
      <c r="M313" s="53"/>
      <c r="N313" s="53"/>
      <c r="O313" s="53"/>
    </row>
    <row r="314" spans="1:15" x14ac:dyDescent="0.2">
      <c r="A314" s="132">
        <v>1741000751</v>
      </c>
      <c r="B314" s="133" t="s">
        <v>771</v>
      </c>
      <c r="C314" s="90" t="str">
        <f>VLOOKUP(A314,'עזר 2025'!A:C,3,FALSE)</f>
        <v>פעולות כלליות</v>
      </c>
      <c r="D314" s="142">
        <v>200000</v>
      </c>
      <c r="E314" s="92">
        <v>0</v>
      </c>
      <c r="F314" s="53">
        <v>413295.11</v>
      </c>
      <c r="G314" s="53">
        <v>92613</v>
      </c>
      <c r="H314" s="53">
        <f t="shared" si="43"/>
        <v>505908.11</v>
      </c>
      <c r="I314" s="53"/>
      <c r="J314" s="92"/>
      <c r="K314" s="142">
        <f>VLOOKUP(A314,'ביצוע דוח חשב 12.2024'!A:I,9,FALSE)</f>
        <v>457295.11</v>
      </c>
      <c r="L314" s="142">
        <v>360000</v>
      </c>
      <c r="M314" s="53"/>
      <c r="N314" s="53"/>
      <c r="O314" s="53"/>
    </row>
    <row r="315" spans="1:15" x14ac:dyDescent="0.2">
      <c r="A315" s="132">
        <v>1742200110</v>
      </c>
      <c r="B315" s="133" t="s">
        <v>673</v>
      </c>
      <c r="C315" s="51" t="str">
        <f>VLOOKUP(A315,'עזר 2025'!A:C,3,FALSE)</f>
        <v>שכר כללי</v>
      </c>
      <c r="D315" s="138">
        <v>0</v>
      </c>
      <c r="E315" s="53">
        <v>0</v>
      </c>
      <c r="F315" s="53">
        <v>38332.74</v>
      </c>
      <c r="G315" s="53">
        <v>0</v>
      </c>
      <c r="H315" s="53">
        <f t="shared" si="43"/>
        <v>38332.74</v>
      </c>
      <c r="I315" s="53">
        <f>SUMIFS('תקציב שכר'!J:J,'תקציב שכר'!A:A,A315)-H315</f>
        <v>0</v>
      </c>
      <c r="J315" s="53" t="s">
        <v>2052</v>
      </c>
      <c r="K315" s="138">
        <f>VLOOKUP(A315,'ביצוע דוח חשב 12.2024'!A:I,9,FALSE)</f>
        <v>38332.74</v>
      </c>
      <c r="L315" s="138">
        <v>90000</v>
      </c>
      <c r="M315" s="69">
        <v>1</v>
      </c>
      <c r="N315" s="53"/>
      <c r="O315" s="53"/>
    </row>
    <row r="316" spans="1:15" x14ac:dyDescent="0.2">
      <c r="A316" s="132">
        <v>1743000750</v>
      </c>
      <c r="B316" s="133" t="s">
        <v>78</v>
      </c>
      <c r="C316" s="90" t="str">
        <f>VLOOKUP(A316,'עזר 2025'!A:C,3,FALSE)</f>
        <v>פעולות כלליות</v>
      </c>
      <c r="D316" s="142">
        <v>100000</v>
      </c>
      <c r="E316" s="92">
        <v>0</v>
      </c>
      <c r="F316" s="53">
        <v>21528</v>
      </c>
      <c r="G316" s="53">
        <v>116925</v>
      </c>
      <c r="H316" s="53">
        <f t="shared" si="43"/>
        <v>138453</v>
      </c>
      <c r="I316" s="53"/>
      <c r="J316" s="92"/>
      <c r="K316" s="142">
        <f>VLOOKUP(A316,'ביצוע דוח חשב 12.2024'!A:I,9,FALSE)</f>
        <v>120563.3</v>
      </c>
      <c r="L316" s="142">
        <v>150000</v>
      </c>
      <c r="M316" s="53"/>
      <c r="N316" s="53"/>
      <c r="O316" s="53"/>
    </row>
    <row r="317" spans="1:15" x14ac:dyDescent="0.2">
      <c r="A317" s="132">
        <v>1743000771</v>
      </c>
      <c r="B317" s="133" t="s">
        <v>79</v>
      </c>
      <c r="C317" s="90" t="str">
        <f>VLOOKUP(A317,'עזר 2025'!A:C,3,FALSE)</f>
        <v>פעולות כלליות</v>
      </c>
      <c r="D317" s="142">
        <v>250000</v>
      </c>
      <c r="E317" s="92">
        <v>0</v>
      </c>
      <c r="F317" s="53">
        <v>173907.33</v>
      </c>
      <c r="G317" s="53">
        <v>14486</v>
      </c>
      <c r="H317" s="53">
        <f t="shared" si="43"/>
        <v>188393.33</v>
      </c>
      <c r="I317" s="53">
        <v>50000</v>
      </c>
      <c r="J317" s="92" t="s">
        <v>2062</v>
      </c>
      <c r="K317" s="142">
        <f>VLOOKUP(A317,'ביצוע דוח חשב 12.2024'!A:I,9,FALSE)</f>
        <v>188393.33</v>
      </c>
      <c r="L317" s="142">
        <v>250000</v>
      </c>
      <c r="M317" s="53"/>
      <c r="N317" s="53"/>
      <c r="O317" s="53"/>
    </row>
    <row r="318" spans="1:15" x14ac:dyDescent="0.2">
      <c r="A318" s="132">
        <v>1744000750</v>
      </c>
      <c r="B318" s="133" t="s">
        <v>2227</v>
      </c>
      <c r="C318" s="90" t="str">
        <f>VLOOKUP(A318,'עזר 2025'!A:C,3,FALSE)</f>
        <v>פעולות כלליות</v>
      </c>
      <c r="D318" s="142">
        <v>0</v>
      </c>
      <c r="E318" s="92">
        <v>0</v>
      </c>
      <c r="F318" s="53">
        <v>14000</v>
      </c>
      <c r="G318" s="53">
        <v>4000</v>
      </c>
      <c r="H318" s="53">
        <f t="shared" si="43"/>
        <v>18000</v>
      </c>
      <c r="I318" s="53"/>
      <c r="J318" s="92"/>
      <c r="K318" s="142">
        <f>VLOOKUP(A318,'ביצוע דוח חשב 12.2024'!A:I,9,FALSE)</f>
        <v>14000</v>
      </c>
      <c r="L318" s="142">
        <v>60000</v>
      </c>
      <c r="M318" s="53"/>
      <c r="N318" s="53"/>
      <c r="O318" s="53"/>
    </row>
    <row r="319" spans="1:15" x14ac:dyDescent="0.2">
      <c r="A319" s="132">
        <v>1745000830</v>
      </c>
      <c r="B319" s="133" t="s">
        <v>81</v>
      </c>
      <c r="C319" s="90" t="str">
        <f>VLOOKUP(A319,'עזר 2025'!A:C,3,FALSE)</f>
        <v>פעולות כלליות</v>
      </c>
      <c r="D319" s="142">
        <v>130000</v>
      </c>
      <c r="E319" s="92">
        <v>0</v>
      </c>
      <c r="F319" s="53">
        <v>142191</v>
      </c>
      <c r="G319" s="53">
        <v>0</v>
      </c>
      <c r="H319" s="53">
        <f t="shared" si="43"/>
        <v>142191</v>
      </c>
      <c r="I319" s="53"/>
      <c r="J319" s="92"/>
      <c r="K319" s="142">
        <f>VLOOKUP(A319,'ביצוע דוח חשב 12.2024'!A:I,9,FALSE)</f>
        <v>142191</v>
      </c>
      <c r="L319" s="142">
        <v>145000</v>
      </c>
      <c r="M319" s="53"/>
      <c r="N319" s="53"/>
      <c r="O319" s="53"/>
    </row>
    <row r="320" spans="1:15" x14ac:dyDescent="0.2">
      <c r="A320" s="132">
        <v>1747200110</v>
      </c>
      <c r="B320" s="133" t="s">
        <v>82</v>
      </c>
      <c r="C320" s="51" t="str">
        <f>VLOOKUP(A320,'עזר 2025'!A:C,3,FALSE)</f>
        <v>שכר כללי</v>
      </c>
      <c r="D320" s="142">
        <v>450000</v>
      </c>
      <c r="E320" s="53">
        <v>5</v>
      </c>
      <c r="F320" s="53">
        <v>445979.11</v>
      </c>
      <c r="G320" s="53">
        <v>0</v>
      </c>
      <c r="H320" s="53">
        <f t="shared" si="43"/>
        <v>445979.11</v>
      </c>
      <c r="I320" s="53">
        <f>SUMIFS('תקציב שכר'!J:J,'תקציב שכר'!A:A,A320)-H320</f>
        <v>44245.619999999995</v>
      </c>
      <c r="J320" s="53" t="s">
        <v>2052</v>
      </c>
      <c r="K320" s="142">
        <f>VLOOKUP(A320,'ביצוע דוח חשב 12.2024'!A:I,9,FALSE)</f>
        <v>489700.62</v>
      </c>
      <c r="L320" s="142">
        <v>525000</v>
      </c>
      <c r="M320" s="69">
        <v>4</v>
      </c>
      <c r="N320" s="53"/>
      <c r="O320" s="53"/>
    </row>
    <row r="321" spans="1:15" x14ac:dyDescent="0.2">
      <c r="A321" s="132">
        <v>1747200431</v>
      </c>
      <c r="B321" s="133" t="s">
        <v>83</v>
      </c>
      <c r="C321" s="90" t="str">
        <f>VLOOKUP(A321,'עזר 2025'!A:C,3,FALSE)</f>
        <v>פעולות כלליות</v>
      </c>
      <c r="D321" s="142">
        <v>40000</v>
      </c>
      <c r="E321" s="92">
        <v>0</v>
      </c>
      <c r="F321" s="53">
        <v>60778.57</v>
      </c>
      <c r="G321" s="53">
        <v>0</v>
      </c>
      <c r="H321" s="53">
        <f t="shared" si="43"/>
        <v>60778.57</v>
      </c>
      <c r="I321" s="53"/>
      <c r="J321" s="92"/>
      <c r="K321" s="142">
        <f>VLOOKUP(A321,'ביצוע דוח חשב 12.2024'!A:I,9,FALSE)</f>
        <v>60778.57</v>
      </c>
      <c r="L321" s="142">
        <v>60000</v>
      </c>
      <c r="M321" s="53"/>
      <c r="N321" s="53"/>
      <c r="O321" s="53"/>
    </row>
    <row r="322" spans="1:15" x14ac:dyDescent="0.2">
      <c r="A322" s="132">
        <v>1747200432</v>
      </c>
      <c r="B322" s="133" t="s">
        <v>84</v>
      </c>
      <c r="C322" s="90" t="str">
        <f>VLOOKUP(A322,'עזר 2025'!A:C,3,FALSE)</f>
        <v>פעולות כלליות</v>
      </c>
      <c r="D322" s="142">
        <v>60000</v>
      </c>
      <c r="E322" s="92">
        <v>0</v>
      </c>
      <c r="F322" s="53">
        <v>19738.5</v>
      </c>
      <c r="G322" s="53">
        <v>4738</v>
      </c>
      <c r="H322" s="53">
        <f t="shared" si="43"/>
        <v>24476.5</v>
      </c>
      <c r="I322" s="53">
        <f>D322-H322</f>
        <v>35523.5</v>
      </c>
      <c r="J322" s="92" t="s">
        <v>115</v>
      </c>
      <c r="K322" s="142">
        <f>VLOOKUP(A322,'ביצוע דוח חשב 12.2024'!A:I,9,FALSE)</f>
        <v>19738.5</v>
      </c>
      <c r="L322" s="142">
        <v>30000</v>
      </c>
      <c r="M322" s="53"/>
      <c r="N322" s="53"/>
      <c r="O322" s="53"/>
    </row>
    <row r="323" spans="1:15" x14ac:dyDescent="0.2">
      <c r="A323" s="132">
        <v>1747200433</v>
      </c>
      <c r="B323" s="133" t="s">
        <v>99</v>
      </c>
      <c r="C323" s="90" t="str">
        <f>VLOOKUP(A323,'עזר 2025'!A:C,3,FALSE)</f>
        <v>פעולות כלליות</v>
      </c>
      <c r="D323" s="142">
        <v>10000</v>
      </c>
      <c r="E323" s="92">
        <v>0</v>
      </c>
      <c r="F323" s="53">
        <v>0</v>
      </c>
      <c r="G323" s="53">
        <v>0</v>
      </c>
      <c r="H323" s="53">
        <f t="shared" si="43"/>
        <v>0</v>
      </c>
      <c r="I323" s="53"/>
      <c r="J323" s="92"/>
      <c r="K323" s="142">
        <v>9000</v>
      </c>
      <c r="L323" s="142">
        <v>10000</v>
      </c>
      <c r="M323" s="53"/>
      <c r="N323" s="53"/>
      <c r="O323" s="53"/>
    </row>
    <row r="324" spans="1:15" x14ac:dyDescent="0.2">
      <c r="A324" s="132">
        <v>1747200750</v>
      </c>
      <c r="B324" s="133" t="s">
        <v>49</v>
      </c>
      <c r="C324" s="90" t="str">
        <f>VLOOKUP(A324,'עזר 2025'!A:C,3,FALSE)</f>
        <v>פעולות כלליות</v>
      </c>
      <c r="D324" s="142">
        <v>150000</v>
      </c>
      <c r="E324" s="92">
        <v>0</v>
      </c>
      <c r="F324" s="53">
        <v>114417.5</v>
      </c>
      <c r="G324" s="53">
        <v>35503</v>
      </c>
      <c r="H324" s="53">
        <f t="shared" si="43"/>
        <v>149920.5</v>
      </c>
      <c r="I324" s="53"/>
      <c r="J324" s="92"/>
      <c r="K324" s="142">
        <f>VLOOKUP(A324,'ביצוע דוח חשב 12.2024'!A:I,9,FALSE)</f>
        <v>114417.5</v>
      </c>
      <c r="L324" s="142">
        <v>12000</v>
      </c>
      <c r="M324" s="53"/>
      <c r="N324" s="53"/>
      <c r="O324" s="53"/>
    </row>
    <row r="325" spans="1:15" ht="26.25" x14ac:dyDescent="0.2">
      <c r="A325" s="134"/>
      <c r="B325" s="134" t="s">
        <v>634</v>
      </c>
      <c r="C325" s="79"/>
      <c r="D325" s="139">
        <f>SUM(D312:D324)</f>
        <v>1790000</v>
      </c>
      <c r="E325" s="80">
        <f t="shared" ref="E325:O325" si="45">SUM(E312:E324)</f>
        <v>7</v>
      </c>
      <c r="F325" s="80">
        <f t="shared" si="45"/>
        <v>1669877.56</v>
      </c>
      <c r="G325" s="80">
        <f t="shared" si="45"/>
        <v>290272</v>
      </c>
      <c r="H325" s="80">
        <f t="shared" si="45"/>
        <v>1960149.5600000003</v>
      </c>
      <c r="I325" s="80">
        <f t="shared" si="45"/>
        <v>156575.94</v>
      </c>
      <c r="J325" s="80">
        <f t="shared" si="45"/>
        <v>0</v>
      </c>
      <c r="K325" s="139">
        <f t="shared" si="45"/>
        <v>1907173.0000000002</v>
      </c>
      <c r="L325" s="139">
        <f t="shared" si="45"/>
        <v>1952000</v>
      </c>
      <c r="M325" s="80">
        <f t="shared" si="45"/>
        <v>7</v>
      </c>
      <c r="N325" s="80">
        <f t="shared" si="45"/>
        <v>0</v>
      </c>
      <c r="O325" s="80">
        <f t="shared" si="45"/>
        <v>0</v>
      </c>
    </row>
    <row r="326" spans="1:15" x14ac:dyDescent="0.2">
      <c r="A326" s="132">
        <v>1766000870</v>
      </c>
      <c r="B326" s="133" t="s">
        <v>88</v>
      </c>
      <c r="C326" s="90" t="str">
        <f>VLOOKUP(A326,'עזר 2025'!A:C,3,FALSE)</f>
        <v>פעולות כלליות</v>
      </c>
      <c r="D326" s="142"/>
      <c r="E326" s="92"/>
      <c r="F326" s="53">
        <v>167080</v>
      </c>
      <c r="G326" s="53">
        <v>0</v>
      </c>
      <c r="H326" s="53">
        <f t="shared" si="43"/>
        <v>167080</v>
      </c>
      <c r="I326" s="53"/>
      <c r="J326" s="92"/>
      <c r="K326" s="142">
        <f>VLOOKUP(A326,'ביצוע דוח חשב 12.2024'!A:I,9,FALSE)</f>
        <v>167080</v>
      </c>
      <c r="L326" s="142">
        <v>170000</v>
      </c>
      <c r="M326" s="53"/>
      <c r="N326" s="53"/>
      <c r="O326" s="53"/>
    </row>
    <row r="327" spans="1:15" x14ac:dyDescent="0.2">
      <c r="A327" s="132">
        <v>1767000441</v>
      </c>
      <c r="B327" s="133" t="s">
        <v>2065</v>
      </c>
      <c r="C327" s="90" t="str">
        <f>VLOOKUP(A327,'עזר 2025'!A:C,3,FALSE)</f>
        <v>פעולות כלליות</v>
      </c>
      <c r="D327" s="142">
        <v>1050000</v>
      </c>
      <c r="E327" s="92">
        <v>0</v>
      </c>
      <c r="F327" s="53">
        <v>1439928</v>
      </c>
      <c r="G327" s="53">
        <v>0</v>
      </c>
      <c r="H327" s="53">
        <f t="shared" si="43"/>
        <v>1439928</v>
      </c>
      <c r="I327" s="53">
        <v>-365000</v>
      </c>
      <c r="J327" s="92" t="s">
        <v>2063</v>
      </c>
      <c r="K327" s="142">
        <f>VLOOKUP(A327,'ביצוע דוח חשב 12.2024'!A:I,9,FALSE)</f>
        <v>1074928</v>
      </c>
      <c r="L327" s="142">
        <v>1000000</v>
      </c>
      <c r="M327" s="53"/>
      <c r="N327" s="53"/>
      <c r="O327" s="53"/>
    </row>
    <row r="328" spans="1:15" ht="26.25" x14ac:dyDescent="0.2">
      <c r="A328" s="134"/>
      <c r="B328" s="134" t="s">
        <v>2150</v>
      </c>
      <c r="C328" s="79"/>
      <c r="D328" s="139">
        <f>SUM(D326:D327)</f>
        <v>1050000</v>
      </c>
      <c r="E328" s="80">
        <f t="shared" ref="E328:O328" si="46">SUM(E326:E327)</f>
        <v>0</v>
      </c>
      <c r="F328" s="80">
        <f t="shared" si="46"/>
        <v>1607008</v>
      </c>
      <c r="G328" s="80">
        <f t="shared" si="46"/>
        <v>0</v>
      </c>
      <c r="H328" s="80">
        <f t="shared" si="46"/>
        <v>1607008</v>
      </c>
      <c r="I328" s="80">
        <f t="shared" si="46"/>
        <v>-365000</v>
      </c>
      <c r="J328" s="80">
        <f t="shared" si="46"/>
        <v>0</v>
      </c>
      <c r="K328" s="139">
        <f t="shared" si="46"/>
        <v>1242008</v>
      </c>
      <c r="L328" s="139">
        <f t="shared" si="46"/>
        <v>1170000</v>
      </c>
      <c r="M328" s="80">
        <f t="shared" si="46"/>
        <v>0</v>
      </c>
      <c r="N328" s="80">
        <f t="shared" si="46"/>
        <v>0</v>
      </c>
      <c r="O328" s="80">
        <f t="shared" si="46"/>
        <v>0</v>
      </c>
    </row>
    <row r="329" spans="1:15" s="50" customFormat="1" ht="41.25" customHeight="1" x14ac:dyDescent="0.2">
      <c r="A329" s="81"/>
      <c r="B329" s="81" t="s">
        <v>427</v>
      </c>
      <c r="C329" s="81"/>
      <c r="D329" s="82">
        <f>D328+D325+D311+D306+D288+D278+D273+D259+D257+D254+D251+D248+D238</f>
        <v>23240305</v>
      </c>
      <c r="E329" s="82">
        <f t="shared" ref="E329:O329" si="47">E328+E325+E311+E306+E288+E278+E273+E259+E257+E254+E251+E248+E238</f>
        <v>40.75</v>
      </c>
      <c r="F329" s="82">
        <f t="shared" si="47"/>
        <v>20528841.379999999</v>
      </c>
      <c r="G329" s="82">
        <f t="shared" si="47"/>
        <v>661712.96</v>
      </c>
      <c r="H329" s="82">
        <f t="shared" si="47"/>
        <v>21190554.340000007</v>
      </c>
      <c r="I329" s="82">
        <f t="shared" si="47"/>
        <v>3163831.9799999995</v>
      </c>
      <c r="J329" s="82">
        <f t="shared" si="47"/>
        <v>0</v>
      </c>
      <c r="K329" s="82">
        <f t="shared" si="47"/>
        <v>24130445.170000002</v>
      </c>
      <c r="L329" s="82">
        <f t="shared" si="47"/>
        <v>27283744</v>
      </c>
      <c r="M329" s="82">
        <f t="shared" si="47"/>
        <v>42.602818181818179</v>
      </c>
      <c r="N329" s="82">
        <f t="shared" si="47"/>
        <v>0</v>
      </c>
      <c r="O329" s="82">
        <f t="shared" si="47"/>
        <v>0</v>
      </c>
    </row>
    <row r="330" spans="1:15" x14ac:dyDescent="0.2">
      <c r="A330" s="132">
        <v>1811000110</v>
      </c>
      <c r="B330" s="133" t="s">
        <v>92</v>
      </c>
      <c r="C330" s="90" t="str">
        <f>VLOOKUP(A330,'עזר 2025'!A:C,3,FALSE)</f>
        <v xml:space="preserve">שכר חינוך </v>
      </c>
      <c r="D330" s="142">
        <v>970000</v>
      </c>
      <c r="E330" s="92">
        <v>3</v>
      </c>
      <c r="F330" s="53">
        <v>854338.37</v>
      </c>
      <c r="G330" s="53">
        <v>0</v>
      </c>
      <c r="H330" s="53">
        <f t="shared" ref="H330:H354" si="48">F330+G330</f>
        <v>854338.37</v>
      </c>
      <c r="I330" s="53">
        <f>SUMIFS('תקציב שכר'!J:J,'תקציב שכר'!A:A,A330)-H330</f>
        <v>153169.94000000006</v>
      </c>
      <c r="J330" s="92" t="s">
        <v>2225</v>
      </c>
      <c r="K330" s="142">
        <f>VLOOKUP(A330,'ביצוע דוח חשב 12.2024'!A:I,9,FALSE)</f>
        <v>1009510.4</v>
      </c>
      <c r="L330" s="142">
        <v>1400000</v>
      </c>
      <c r="M330" s="94">
        <f>SUMIFS('תקציב שכר'!M:M,'תקציב שכר'!A:A,A330)</f>
        <v>3</v>
      </c>
      <c r="N330" s="53"/>
      <c r="O330" s="53"/>
    </row>
    <row r="331" spans="1:15" ht="30" customHeight="1" x14ac:dyDescent="0.2">
      <c r="A331" s="148">
        <v>1811000540</v>
      </c>
      <c r="B331" s="149" t="s">
        <v>93</v>
      </c>
      <c r="C331" s="75" t="str">
        <f>VLOOKUP(A331,'עזר 2025'!A:C,3,FALSE)</f>
        <v xml:space="preserve">פעולות חינוך </v>
      </c>
      <c r="D331" s="150">
        <v>300000</v>
      </c>
      <c r="E331" s="76">
        <v>0</v>
      </c>
      <c r="F331" s="76">
        <v>227789.03</v>
      </c>
      <c r="G331" s="76">
        <v>0</v>
      </c>
      <c r="H331" s="76">
        <f t="shared" si="48"/>
        <v>227789.03</v>
      </c>
      <c r="I331" s="76">
        <v>182000</v>
      </c>
      <c r="J331" s="77" t="s">
        <v>2066</v>
      </c>
      <c r="K331" s="142">
        <f>VLOOKUP(A331,'ביצוע דוח חשב 12.2024'!A:I,9,FALSE)</f>
        <v>411231.1</v>
      </c>
      <c r="L331" s="150">
        <v>400000</v>
      </c>
      <c r="M331" s="76"/>
      <c r="N331" s="76"/>
      <c r="O331" s="76"/>
    </row>
    <row r="332" spans="1:15" x14ac:dyDescent="0.2">
      <c r="A332" s="132">
        <v>1811000750</v>
      </c>
      <c r="B332" s="133" t="s">
        <v>49</v>
      </c>
      <c r="C332" s="51" t="s">
        <v>356</v>
      </c>
      <c r="D332" s="142">
        <v>0</v>
      </c>
      <c r="E332" s="53">
        <v>0</v>
      </c>
      <c r="F332" s="53">
        <v>71946.5</v>
      </c>
      <c r="G332" s="53">
        <v>41670.230000000003</v>
      </c>
      <c r="H332" s="53">
        <f t="shared" si="48"/>
        <v>113616.73000000001</v>
      </c>
      <c r="I332" s="53"/>
      <c r="J332" s="53"/>
      <c r="K332" s="142">
        <f>VLOOKUP(A332,'ביצוע דוח חשב 12.2024'!A:I,9,FALSE)</f>
        <v>71946.5</v>
      </c>
      <c r="L332" s="142">
        <v>80000</v>
      </c>
      <c r="M332" s="53"/>
      <c r="N332" s="53"/>
      <c r="O332" s="53"/>
    </row>
    <row r="333" spans="1:15" x14ac:dyDescent="0.2">
      <c r="A333" s="132">
        <v>1811000781</v>
      </c>
      <c r="B333" s="133" t="s">
        <v>1578</v>
      </c>
      <c r="C333" s="51" t="s">
        <v>356</v>
      </c>
      <c r="D333" s="142">
        <v>15000</v>
      </c>
      <c r="E333" s="53">
        <v>0</v>
      </c>
      <c r="F333" s="53">
        <v>15480</v>
      </c>
      <c r="G333" s="53">
        <v>0</v>
      </c>
      <c r="H333" s="53">
        <f t="shared" si="48"/>
        <v>15480</v>
      </c>
      <c r="I333" s="53"/>
      <c r="J333" s="53"/>
      <c r="K333" s="142">
        <f>VLOOKUP(A333,'ביצוע דוח חשב 12.2024'!A:I,9,FALSE)</f>
        <v>15480</v>
      </c>
      <c r="L333" s="142">
        <v>15000</v>
      </c>
      <c r="M333" s="53"/>
      <c r="N333" s="53"/>
      <c r="O333" s="53"/>
    </row>
    <row r="334" spans="1:15" s="50" customFormat="1" hidden="1" x14ac:dyDescent="0.2">
      <c r="A334" s="51">
        <v>1811000800</v>
      </c>
      <c r="B334" s="52" t="s">
        <v>1579</v>
      </c>
      <c r="C334" s="51" t="s">
        <v>356</v>
      </c>
      <c r="D334" s="53"/>
      <c r="E334" s="53"/>
      <c r="F334" s="53">
        <v>0</v>
      </c>
      <c r="G334" s="53">
        <v>0</v>
      </c>
      <c r="H334" s="53">
        <f t="shared" si="48"/>
        <v>0</v>
      </c>
      <c r="I334" s="53"/>
      <c r="J334" s="53"/>
      <c r="K334" s="53">
        <f>VLOOKUP(A334,'ביצוע דוח חשב 12.2024'!A:I,9,FALSE)</f>
        <v>0</v>
      </c>
      <c r="L334" s="53"/>
      <c r="M334" s="53"/>
      <c r="N334" s="53"/>
      <c r="O334" s="53">
        <v>1</v>
      </c>
    </row>
    <row r="335" spans="1:15" x14ac:dyDescent="0.2">
      <c r="A335" s="132">
        <v>1811000930</v>
      </c>
      <c r="B335" s="133" t="s">
        <v>1910</v>
      </c>
      <c r="C335" s="51" t="str">
        <f>VLOOKUP(A335,'עזר 2025'!A:C,3,FALSE)</f>
        <v xml:space="preserve">פעולות חינוך </v>
      </c>
      <c r="D335" s="142">
        <v>100000</v>
      </c>
      <c r="E335" s="53">
        <v>0</v>
      </c>
      <c r="F335" s="53">
        <v>69031</v>
      </c>
      <c r="G335" s="53">
        <v>30957</v>
      </c>
      <c r="H335" s="53">
        <f t="shared" si="48"/>
        <v>99988</v>
      </c>
      <c r="I335" s="53"/>
      <c r="J335" s="53"/>
      <c r="K335" s="142">
        <f>VLOOKUP(A335,'ביצוע דוח חשב 12.2024'!A:I,9,FALSE)</f>
        <v>79561</v>
      </c>
      <c r="L335" s="142">
        <v>80000</v>
      </c>
      <c r="M335" s="53"/>
      <c r="N335" s="53"/>
      <c r="O335" s="53"/>
    </row>
    <row r="336" spans="1:15" x14ac:dyDescent="0.2">
      <c r="A336" s="132">
        <v>1811000980</v>
      </c>
      <c r="B336" s="133" t="s">
        <v>1580</v>
      </c>
      <c r="C336" s="51" t="str">
        <f>VLOOKUP(A336,'עזר 2025'!A:C,3,FALSE)</f>
        <v xml:space="preserve">פעולות חינוך </v>
      </c>
      <c r="D336" s="142">
        <v>2098221</v>
      </c>
      <c r="E336" s="53">
        <v>0</v>
      </c>
      <c r="F336" s="53">
        <v>1543341.15</v>
      </c>
      <c r="G336" s="53">
        <v>0</v>
      </c>
      <c r="H336" s="53">
        <f t="shared" si="48"/>
        <v>1543341.15</v>
      </c>
      <c r="I336" s="53"/>
      <c r="J336" s="53"/>
      <c r="K336" s="142">
        <f>VLOOKUP(A336,'ביצוע דוח חשב 12.2024'!A:I,9,FALSE)</f>
        <v>1543341.15</v>
      </c>
      <c r="L336" s="142">
        <v>1600000</v>
      </c>
      <c r="M336" s="53"/>
      <c r="N336" s="53"/>
      <c r="O336" s="53"/>
    </row>
    <row r="337" spans="1:15" x14ac:dyDescent="0.2">
      <c r="A337" s="132">
        <v>1811010930</v>
      </c>
      <c r="B337" s="133" t="s">
        <v>1656</v>
      </c>
      <c r="C337" s="51" t="str">
        <f>VLOOKUP(A337,'עזר 2025'!A:C,3,FALSE)</f>
        <v xml:space="preserve">פעולות חינוך </v>
      </c>
      <c r="D337" s="142">
        <v>100000</v>
      </c>
      <c r="E337" s="53">
        <v>0</v>
      </c>
      <c r="F337" s="53">
        <v>64700</v>
      </c>
      <c r="G337" s="53">
        <v>0</v>
      </c>
      <c r="H337" s="53">
        <f t="shared" si="48"/>
        <v>64700</v>
      </c>
      <c r="I337" s="53"/>
      <c r="J337" s="53"/>
      <c r="K337" s="142">
        <f>VLOOKUP(A337,'ביצוע דוח חשב 12.2024'!A:I,9,FALSE)</f>
        <v>64700</v>
      </c>
      <c r="L337" s="142">
        <v>80000</v>
      </c>
      <c r="M337" s="53"/>
      <c r="N337" s="53"/>
      <c r="O337" s="53"/>
    </row>
    <row r="338" spans="1:15" s="50" customFormat="1" ht="26.25" x14ac:dyDescent="0.2">
      <c r="A338" s="79"/>
      <c r="B338" s="79" t="s">
        <v>2151</v>
      </c>
      <c r="C338" s="79"/>
      <c r="D338" s="80">
        <f>SUM(D330:D337)</f>
        <v>3583221</v>
      </c>
      <c r="E338" s="80">
        <f t="shared" ref="E338:N338" si="49">SUM(E330:E337)</f>
        <v>3</v>
      </c>
      <c r="F338" s="80">
        <f t="shared" si="49"/>
        <v>2846626.05</v>
      </c>
      <c r="G338" s="80">
        <f t="shared" si="49"/>
        <v>72627.23000000001</v>
      </c>
      <c r="H338" s="80">
        <f t="shared" si="49"/>
        <v>2919253.28</v>
      </c>
      <c r="I338" s="80">
        <f t="shared" si="49"/>
        <v>335169.94000000006</v>
      </c>
      <c r="J338" s="80">
        <f t="shared" si="49"/>
        <v>0</v>
      </c>
      <c r="K338" s="80">
        <f t="shared" si="49"/>
        <v>3195770.15</v>
      </c>
      <c r="L338" s="80">
        <f t="shared" si="49"/>
        <v>3655000</v>
      </c>
      <c r="M338" s="80">
        <f t="shared" si="49"/>
        <v>3</v>
      </c>
      <c r="N338" s="80">
        <f t="shared" si="49"/>
        <v>0</v>
      </c>
      <c r="O338" s="80">
        <v>0</v>
      </c>
    </row>
    <row r="339" spans="1:15" x14ac:dyDescent="0.2">
      <c r="A339" s="132">
        <v>1812200110</v>
      </c>
      <c r="B339" s="133" t="s">
        <v>96</v>
      </c>
      <c r="C339" s="90" t="str">
        <f>VLOOKUP(A339,'עזר 2025'!A:C,3,FALSE)</f>
        <v xml:space="preserve">שכר חינוך </v>
      </c>
      <c r="D339" s="142">
        <v>3000000</v>
      </c>
      <c r="E339" s="92">
        <v>20</v>
      </c>
      <c r="F339" s="53">
        <v>2442135.44</v>
      </c>
      <c r="G339" s="53">
        <v>0</v>
      </c>
      <c r="H339" s="53">
        <f t="shared" si="48"/>
        <v>2442135.44</v>
      </c>
      <c r="I339" s="53">
        <f>SUMIFS('תקציב שכר'!J:J,'תקציב שכר'!A:A,A339)-H339</f>
        <v>536888.3600000008</v>
      </c>
      <c r="J339" s="92" t="s">
        <v>2052</v>
      </c>
      <c r="K339" s="142">
        <v>2979375</v>
      </c>
      <c r="L339" s="142">
        <v>3100000</v>
      </c>
      <c r="M339" s="94">
        <v>20</v>
      </c>
      <c r="N339" s="53"/>
      <c r="O339" s="53"/>
    </row>
    <row r="340" spans="1:15" s="50" customFormat="1" hidden="1" x14ac:dyDescent="0.2">
      <c r="A340" s="51">
        <v>1812200420</v>
      </c>
      <c r="B340" s="52" t="s">
        <v>675</v>
      </c>
      <c r="C340" s="51" t="str">
        <f>VLOOKUP(A340,'עזר 2025'!A:C,3,FALSE)</f>
        <v xml:space="preserve">פעולות חינוך </v>
      </c>
      <c r="D340" s="53">
        <v>0</v>
      </c>
      <c r="E340" s="53">
        <v>0</v>
      </c>
      <c r="F340" s="53">
        <v>12845</v>
      </c>
      <c r="G340" s="53">
        <v>3000</v>
      </c>
      <c r="H340" s="53">
        <f t="shared" si="48"/>
        <v>15845</v>
      </c>
      <c r="I340" s="53"/>
      <c r="J340" s="53"/>
      <c r="K340" s="53">
        <v>0</v>
      </c>
      <c r="L340" s="53"/>
      <c r="M340" s="53"/>
      <c r="N340" s="53"/>
      <c r="O340" s="53">
        <v>1</v>
      </c>
    </row>
    <row r="341" spans="1:15" x14ac:dyDescent="0.2">
      <c r="A341" s="132">
        <v>1812200431</v>
      </c>
      <c r="B341" s="133" t="s">
        <v>2232</v>
      </c>
      <c r="C341" s="51" t="str">
        <f>VLOOKUP(A341,'עזר 2025'!A:C,3,FALSE)</f>
        <v xml:space="preserve">פעולות חינוך </v>
      </c>
      <c r="D341" s="142">
        <v>30000</v>
      </c>
      <c r="E341" s="53">
        <v>0</v>
      </c>
      <c r="F341" s="53">
        <v>56040.08</v>
      </c>
      <c r="G341" s="53">
        <v>0</v>
      </c>
      <c r="H341" s="53">
        <f t="shared" si="48"/>
        <v>56040.08</v>
      </c>
      <c r="I341" s="53"/>
      <c r="J341" s="53"/>
      <c r="K341" s="142">
        <f>VLOOKUP(A341,'ביצוע דוח חשב 12.2024'!A:I,9,FALSE)</f>
        <v>56040.08</v>
      </c>
      <c r="L341" s="142">
        <v>60000</v>
      </c>
      <c r="M341" s="53"/>
      <c r="N341" s="53"/>
      <c r="O341" s="53"/>
    </row>
    <row r="342" spans="1:15" x14ac:dyDescent="0.2">
      <c r="A342" s="132">
        <v>1812200432</v>
      </c>
      <c r="B342" s="133" t="s">
        <v>98</v>
      </c>
      <c r="C342" s="51" t="str">
        <f>VLOOKUP(A342,'עזר 2025'!A:C,3,FALSE)</f>
        <v xml:space="preserve">פעולות חינוך </v>
      </c>
      <c r="D342" s="142">
        <v>50000</v>
      </c>
      <c r="E342" s="53">
        <v>0</v>
      </c>
      <c r="F342" s="53">
        <v>0</v>
      </c>
      <c r="G342" s="53">
        <v>0</v>
      </c>
      <c r="H342" s="53">
        <f t="shared" si="48"/>
        <v>0</v>
      </c>
      <c r="I342" s="53">
        <f>D342-H342</f>
        <v>50000</v>
      </c>
      <c r="J342" s="53" t="s">
        <v>115</v>
      </c>
      <c r="K342" s="142">
        <v>150000</v>
      </c>
      <c r="L342" s="142">
        <v>150000</v>
      </c>
      <c r="M342" s="53"/>
      <c r="N342" s="53"/>
      <c r="O342" s="53"/>
    </row>
    <row r="343" spans="1:15" x14ac:dyDescent="0.2">
      <c r="A343" s="132">
        <v>1812200433</v>
      </c>
      <c r="B343" s="133" t="s">
        <v>99</v>
      </c>
      <c r="C343" s="51" t="str">
        <f>VLOOKUP(A343,'עזר 2025'!A:C,3,FALSE)</f>
        <v xml:space="preserve">פעולות חינוך </v>
      </c>
      <c r="D343" s="142">
        <v>40000</v>
      </c>
      <c r="E343" s="53">
        <v>0</v>
      </c>
      <c r="F343" s="53">
        <v>0</v>
      </c>
      <c r="G343" s="53">
        <v>0</v>
      </c>
      <c r="H343" s="53">
        <f t="shared" si="48"/>
        <v>0</v>
      </c>
      <c r="I343" s="53"/>
      <c r="J343" s="53"/>
      <c r="K343" s="142">
        <v>25000</v>
      </c>
      <c r="L343" s="142">
        <v>30000</v>
      </c>
      <c r="M343" s="53"/>
      <c r="N343" s="53"/>
      <c r="O343" s="53"/>
    </row>
    <row r="344" spans="1:15" x14ac:dyDescent="0.2">
      <c r="A344" s="132">
        <v>1812200740</v>
      </c>
      <c r="B344" s="133" t="s">
        <v>26</v>
      </c>
      <c r="C344" s="51" t="str">
        <f>VLOOKUP(A344,'עזר 2025'!A:C,3,FALSE)</f>
        <v xml:space="preserve">פעולות חינוך </v>
      </c>
      <c r="D344" s="142">
        <v>40000</v>
      </c>
      <c r="E344" s="53">
        <v>0</v>
      </c>
      <c r="F344" s="53">
        <v>7410</v>
      </c>
      <c r="G344" s="53">
        <v>31639</v>
      </c>
      <c r="H344" s="53">
        <f t="shared" si="48"/>
        <v>39049</v>
      </c>
      <c r="I344" s="53"/>
      <c r="J344" s="53"/>
      <c r="K344" s="142">
        <v>22570</v>
      </c>
      <c r="L344" s="142">
        <v>25000</v>
      </c>
      <c r="M344" s="53"/>
      <c r="N344" s="53"/>
      <c r="O344" s="53"/>
    </row>
    <row r="345" spans="1:15" x14ac:dyDescent="0.2">
      <c r="A345" s="132">
        <v>1812200750</v>
      </c>
      <c r="B345" s="133" t="s">
        <v>676</v>
      </c>
      <c r="C345" s="51" t="str">
        <f>VLOOKUP(A345,'עזר 2025'!A:C,3,FALSE)</f>
        <v xml:space="preserve">פעולות חינוך </v>
      </c>
      <c r="D345" s="142">
        <v>100000</v>
      </c>
      <c r="E345" s="53">
        <v>0</v>
      </c>
      <c r="F345" s="53">
        <v>69403</v>
      </c>
      <c r="G345" s="53">
        <v>56323.5</v>
      </c>
      <c r="H345" s="53">
        <f t="shared" si="48"/>
        <v>125726.5</v>
      </c>
      <c r="I345" s="53"/>
      <c r="J345" s="53"/>
      <c r="K345" s="142">
        <f>VLOOKUP(A345,'ביצוע דוח חשב 12.2024'!A:I,9,FALSE)</f>
        <v>69403</v>
      </c>
      <c r="L345" s="142">
        <v>100000</v>
      </c>
      <c r="M345" s="53"/>
      <c r="N345" s="53"/>
      <c r="O345" s="53"/>
    </row>
    <row r="346" spans="1:15" x14ac:dyDescent="0.2">
      <c r="A346" s="132">
        <v>1812200751</v>
      </c>
      <c r="B346" s="133" t="s">
        <v>1911</v>
      </c>
      <c r="C346" s="51" t="str">
        <f>VLOOKUP(A346,'עזר 2025'!A:C,3,FALSE)</f>
        <v xml:space="preserve">פעולות חינוך </v>
      </c>
      <c r="D346" s="142">
        <v>0</v>
      </c>
      <c r="E346" s="53">
        <v>0</v>
      </c>
      <c r="F346" s="53">
        <v>66391</v>
      </c>
      <c r="G346" s="53">
        <v>7920</v>
      </c>
      <c r="H346" s="53">
        <f t="shared" si="48"/>
        <v>74311</v>
      </c>
      <c r="I346" s="53"/>
      <c r="J346" s="53"/>
      <c r="K346" s="142">
        <f>VLOOKUP(A346,'ביצוע דוח חשב 12.2024'!A:I,9,FALSE)</f>
        <v>66391</v>
      </c>
      <c r="L346" s="142">
        <v>80000</v>
      </c>
      <c r="M346" s="53"/>
      <c r="N346" s="53"/>
      <c r="O346" s="53"/>
    </row>
    <row r="347" spans="1:15" x14ac:dyDescent="0.2">
      <c r="A347" s="132">
        <v>1812300110</v>
      </c>
      <c r="B347" s="133" t="s">
        <v>101</v>
      </c>
      <c r="C347" s="90" t="str">
        <f>VLOOKUP(A347,'עזר 2025'!A:C,3,FALSE)</f>
        <v xml:space="preserve">שכר חינוך </v>
      </c>
      <c r="D347" s="142">
        <v>7100000</v>
      </c>
      <c r="E347" s="92">
        <v>40</v>
      </c>
      <c r="F347" s="53">
        <v>4527377.29</v>
      </c>
      <c r="G347" s="53">
        <v>0</v>
      </c>
      <c r="H347" s="53">
        <f t="shared" si="48"/>
        <v>4527377.29</v>
      </c>
      <c r="I347" s="53">
        <f>SUMIFS('תקציב שכר'!J:J,'תקציב שכר'!A:A,A347)-H347</f>
        <v>2689167.8800000027</v>
      </c>
      <c r="J347" s="92" t="s">
        <v>2052</v>
      </c>
      <c r="K347" s="142">
        <f>VLOOKUP(A347,'ביצוע דוח חשב 12.2024'!A:I,9,FALSE)</f>
        <v>5539882.2000000002</v>
      </c>
      <c r="L347" s="142">
        <v>5800000</v>
      </c>
      <c r="M347" s="94">
        <v>52</v>
      </c>
      <c r="N347" s="53"/>
      <c r="O347" s="53"/>
    </row>
    <row r="348" spans="1:15" x14ac:dyDescent="0.2">
      <c r="A348" s="132">
        <v>1812300410</v>
      </c>
      <c r="B348" s="133" t="s">
        <v>103</v>
      </c>
      <c r="C348" s="51" t="str">
        <f>VLOOKUP(A348,'עזר 2025'!A:C,3,FALSE)</f>
        <v xml:space="preserve">פעולות חינוך </v>
      </c>
      <c r="D348" s="138">
        <v>220000</v>
      </c>
      <c r="E348" s="53">
        <v>0</v>
      </c>
      <c r="F348" s="53">
        <v>102054</v>
      </c>
      <c r="G348" s="53">
        <v>0</v>
      </c>
      <c r="H348" s="53">
        <f t="shared" si="48"/>
        <v>102054</v>
      </c>
      <c r="I348" s="53">
        <v>102000</v>
      </c>
      <c r="J348" s="53" t="s">
        <v>2067</v>
      </c>
      <c r="K348" s="138">
        <f>VLOOKUP(A348,'ביצוע דוח חשב 12.2024'!A:I,9,FALSE)</f>
        <v>185766</v>
      </c>
      <c r="L348" s="138">
        <v>200000</v>
      </c>
      <c r="M348" s="53"/>
      <c r="N348" s="53"/>
      <c r="O348" s="53"/>
    </row>
    <row r="349" spans="1:15" x14ac:dyDescent="0.2">
      <c r="A349" s="132">
        <v>1812300431</v>
      </c>
      <c r="B349" s="133" t="s">
        <v>20</v>
      </c>
      <c r="C349" s="51" t="str">
        <f>VLOOKUP(A349,'עזר 2025'!A:C,3,FALSE)</f>
        <v xml:space="preserve">פעולות חינוך </v>
      </c>
      <c r="D349" s="138">
        <v>126000</v>
      </c>
      <c r="E349" s="53">
        <v>0</v>
      </c>
      <c r="F349" s="53">
        <v>44517.46</v>
      </c>
      <c r="G349" s="53">
        <v>0</v>
      </c>
      <c r="H349" s="53">
        <f t="shared" si="48"/>
        <v>44517.46</v>
      </c>
      <c r="I349" s="53">
        <f>H349/9*12</f>
        <v>59356.613333333327</v>
      </c>
      <c r="J349" s="53" t="s">
        <v>2068</v>
      </c>
      <c r="K349" s="138">
        <f>VLOOKUP(A349,'ביצוע דוח חשב 12.2024'!A:I,9,FALSE)</f>
        <v>59517.46</v>
      </c>
      <c r="L349" s="138">
        <v>80000</v>
      </c>
      <c r="M349" s="53"/>
      <c r="N349" s="53"/>
      <c r="O349" s="53"/>
    </row>
    <row r="350" spans="1:15" s="50" customFormat="1" hidden="1" x14ac:dyDescent="0.2">
      <c r="A350" s="51">
        <v>1812300750</v>
      </c>
      <c r="B350" s="52" t="s">
        <v>49</v>
      </c>
      <c r="C350" s="51" t="str">
        <f>VLOOKUP(A350,'עזר 2025'!A:C,3,FALSE)</f>
        <v xml:space="preserve">פעולות חינוך </v>
      </c>
      <c r="D350" s="53">
        <v>0</v>
      </c>
      <c r="E350" s="53">
        <v>0</v>
      </c>
      <c r="F350" s="53">
        <v>0</v>
      </c>
      <c r="G350" s="53">
        <v>982</v>
      </c>
      <c r="H350" s="53">
        <f t="shared" si="48"/>
        <v>982</v>
      </c>
      <c r="I350" s="53"/>
      <c r="J350" s="53"/>
      <c r="K350" s="53">
        <f>VLOOKUP(A350,'ביצוע דוח חשב 12.2024'!A:I,9,FALSE)</f>
        <v>0</v>
      </c>
      <c r="L350" s="53"/>
      <c r="M350" s="53"/>
      <c r="N350" s="53"/>
      <c r="O350" s="53">
        <v>1</v>
      </c>
    </row>
    <row r="351" spans="1:15" x14ac:dyDescent="0.2">
      <c r="A351" s="132">
        <v>1812300760</v>
      </c>
      <c r="B351" s="133" t="s">
        <v>111</v>
      </c>
      <c r="C351" s="51" t="str">
        <f>VLOOKUP(A351,'עזר 2025'!A:C,3,FALSE)</f>
        <v xml:space="preserve">פעולות חינוך </v>
      </c>
      <c r="D351" s="138">
        <v>4802065</v>
      </c>
      <c r="E351" s="53">
        <v>0</v>
      </c>
      <c r="F351" s="53">
        <v>4191022.09</v>
      </c>
      <c r="G351" s="53">
        <v>0</v>
      </c>
      <c r="H351" s="53">
        <f t="shared" si="48"/>
        <v>4191022.09</v>
      </c>
      <c r="I351" s="53">
        <v>340000</v>
      </c>
      <c r="J351" s="53" t="s">
        <v>2069</v>
      </c>
      <c r="K351" s="138">
        <f>VLOOKUP(A351,'ביצוע דוח חשב 12.2024'!A:I,9,FALSE)</f>
        <v>4487497.7699999996</v>
      </c>
      <c r="L351" s="138">
        <v>4300000</v>
      </c>
      <c r="M351" s="53"/>
      <c r="N351" s="53"/>
      <c r="O351" s="53"/>
    </row>
    <row r="352" spans="1:15" x14ac:dyDescent="0.2">
      <c r="A352" s="132">
        <v>1812300780</v>
      </c>
      <c r="B352" s="133" t="s">
        <v>772</v>
      </c>
      <c r="C352" s="51" t="str">
        <f>VLOOKUP(A352,'עזר 2025'!A:C,3,FALSE)</f>
        <v xml:space="preserve">פעולות חינוך </v>
      </c>
      <c r="D352" s="138">
        <v>500000</v>
      </c>
      <c r="E352" s="53">
        <v>0</v>
      </c>
      <c r="F352" s="53">
        <v>701752.03</v>
      </c>
      <c r="G352" s="53">
        <v>68251</v>
      </c>
      <c r="H352" s="53">
        <f t="shared" si="48"/>
        <v>770003.03</v>
      </c>
      <c r="I352" s="53"/>
      <c r="J352" s="53"/>
      <c r="K352" s="138">
        <f>VLOOKUP(A352,'ביצוע דוח חשב 12.2024'!A:I,9,FALSE)</f>
        <v>701752.03</v>
      </c>
      <c r="L352" s="138">
        <v>600000</v>
      </c>
      <c r="M352" s="53"/>
      <c r="N352" s="53"/>
      <c r="O352" s="53"/>
    </row>
    <row r="353" spans="1:15" x14ac:dyDescent="0.2">
      <c r="A353" s="132">
        <v>1812301780</v>
      </c>
      <c r="B353" s="133" t="s">
        <v>1912</v>
      </c>
      <c r="C353" s="51" t="str">
        <f>VLOOKUP(A353,'עזר 2025'!A:C,3,FALSE)</f>
        <v xml:space="preserve">פעולות חינוך </v>
      </c>
      <c r="D353" s="138"/>
      <c r="E353" s="53"/>
      <c r="F353" s="53">
        <v>52000</v>
      </c>
      <c r="G353" s="53">
        <v>0</v>
      </c>
      <c r="H353" s="53">
        <f t="shared" si="48"/>
        <v>52000</v>
      </c>
      <c r="I353" s="53"/>
      <c r="J353" s="53"/>
      <c r="K353" s="138">
        <f>VLOOKUP(A353,'ביצוע דוח חשב 12.2024'!A:I,9,FALSE)</f>
        <v>52000</v>
      </c>
      <c r="L353" s="138">
        <v>50000</v>
      </c>
      <c r="M353" s="53"/>
      <c r="N353" s="53"/>
      <c r="O353" s="53"/>
    </row>
    <row r="354" spans="1:15" x14ac:dyDescent="0.2">
      <c r="A354" s="132">
        <v>1812312110</v>
      </c>
      <c r="B354" s="133" t="s">
        <v>773</v>
      </c>
      <c r="C354" s="51" t="str">
        <f>VLOOKUP(A354,'עזר 2025'!A:C,3,FALSE)</f>
        <v xml:space="preserve">שכר חינוך </v>
      </c>
      <c r="D354" s="142">
        <v>0</v>
      </c>
      <c r="E354" s="93">
        <v>0</v>
      </c>
      <c r="F354" s="53">
        <v>1505587.66</v>
      </c>
      <c r="G354" s="53">
        <v>0</v>
      </c>
      <c r="H354" s="53">
        <f t="shared" si="48"/>
        <v>1505587.66</v>
      </c>
      <c r="I354" s="53">
        <f>SUMIFS('תקציב שכר'!J:J,'תקציב שכר'!A:A,A354)-H354</f>
        <v>-1505587.66</v>
      </c>
      <c r="J354" s="93" t="s">
        <v>2052</v>
      </c>
      <c r="K354" s="142">
        <f>VLOOKUP(A354,'ביצוע דוח חשב 12.2024'!A:I,9,FALSE)</f>
        <v>1668703.07</v>
      </c>
      <c r="L354" s="142">
        <v>1300000</v>
      </c>
      <c r="M354" s="94">
        <v>6</v>
      </c>
      <c r="N354" s="53"/>
      <c r="O354" s="53"/>
    </row>
    <row r="355" spans="1:15" s="50" customFormat="1" hidden="1" x14ac:dyDescent="0.2">
      <c r="A355" s="51">
        <v>1812312980</v>
      </c>
      <c r="B355" s="52" t="s">
        <v>1581</v>
      </c>
      <c r="C355" s="51" t="str">
        <f>VLOOKUP(A355,'עזר 2025'!A:C,3,FALSE)</f>
        <v xml:space="preserve">פעולות חינוך </v>
      </c>
      <c r="D355" s="53">
        <v>0</v>
      </c>
      <c r="E355" s="53">
        <v>0</v>
      </c>
      <c r="F355" s="53">
        <v>1044</v>
      </c>
      <c r="G355" s="53">
        <v>43080</v>
      </c>
      <c r="H355" s="53">
        <f t="shared" ref="H355:H374" si="50">F355+G355</f>
        <v>44124</v>
      </c>
      <c r="I355" s="53"/>
      <c r="J355" s="53"/>
      <c r="K355" s="53">
        <v>0</v>
      </c>
      <c r="L355" s="53"/>
      <c r="M355" s="53"/>
      <c r="N355" s="53"/>
      <c r="O355" s="53">
        <v>1</v>
      </c>
    </row>
    <row r="356" spans="1:15" x14ac:dyDescent="0.2">
      <c r="A356" s="132">
        <v>1812400110</v>
      </c>
      <c r="B356" s="133" t="s">
        <v>678</v>
      </c>
      <c r="C356" s="51" t="str">
        <f>VLOOKUP(A356,'עזר 2025'!A:C,3,FALSE)</f>
        <v xml:space="preserve">שכר חינוך </v>
      </c>
      <c r="D356" s="142">
        <v>100000</v>
      </c>
      <c r="E356" s="93">
        <v>1</v>
      </c>
      <c r="F356" s="53">
        <v>87088.11</v>
      </c>
      <c r="G356" s="53">
        <v>0</v>
      </c>
      <c r="H356" s="53">
        <f t="shared" si="50"/>
        <v>87088.11</v>
      </c>
      <c r="I356" s="53">
        <f>SUMIFS('תקציב שכר'!J:J,'תקציב שכר'!A:A,A356)-H356</f>
        <v>16539.919999999998</v>
      </c>
      <c r="J356" s="93" t="s">
        <v>2052</v>
      </c>
      <c r="K356" s="142">
        <f>VLOOKUP(A356,'ביצוע דוח חשב 12.2024'!A:I,9,FALSE)</f>
        <v>103211.6</v>
      </c>
      <c r="L356" s="142">
        <v>110000</v>
      </c>
      <c r="M356" s="94">
        <v>1</v>
      </c>
      <c r="N356" s="53"/>
      <c r="O356" s="53"/>
    </row>
    <row r="357" spans="1:15" x14ac:dyDescent="0.2">
      <c r="A357" s="132">
        <v>1812410780</v>
      </c>
      <c r="B357" s="133" t="s">
        <v>1582</v>
      </c>
      <c r="C357" s="51" t="str">
        <f>VLOOKUP(A357,'עזר 2025'!A:C,3,FALSE)</f>
        <v xml:space="preserve">פעולות חינוך </v>
      </c>
      <c r="D357" s="138">
        <v>60000</v>
      </c>
      <c r="E357" s="53">
        <v>0</v>
      </c>
      <c r="F357" s="53">
        <v>0</v>
      </c>
      <c r="G357" s="53">
        <v>0</v>
      </c>
      <c r="H357" s="53">
        <f t="shared" si="50"/>
        <v>0</v>
      </c>
      <c r="I357" s="53"/>
      <c r="J357" s="53"/>
      <c r="K357" s="138">
        <f>VLOOKUP(A357,'ביצוע דוח חשב 12.2024'!A:I,9,FALSE)</f>
        <v>0</v>
      </c>
      <c r="L357" s="138">
        <v>0</v>
      </c>
      <c r="M357" s="53"/>
      <c r="N357" s="53"/>
      <c r="O357" s="53"/>
    </row>
    <row r="358" spans="1:15" x14ac:dyDescent="0.2">
      <c r="A358" s="132">
        <v>1812500110</v>
      </c>
      <c r="B358" s="133" t="s">
        <v>113</v>
      </c>
      <c r="C358" s="51" t="str">
        <f>VLOOKUP(A358,'עזר 2025'!A:C,3,FALSE)</f>
        <v xml:space="preserve">שכר חינוך </v>
      </c>
      <c r="D358" s="142">
        <v>165000</v>
      </c>
      <c r="E358" s="93">
        <v>1</v>
      </c>
      <c r="F358" s="53">
        <v>143102.70000000001</v>
      </c>
      <c r="G358" s="53">
        <v>0</v>
      </c>
      <c r="H358" s="53">
        <f t="shared" si="50"/>
        <v>143102.70000000001</v>
      </c>
      <c r="I358" s="53">
        <f>SUMIFS('תקציב שכר'!J:J,'תקציב שכר'!A:A,A358)-H358</f>
        <v>25191.659999999974</v>
      </c>
      <c r="J358" s="93" t="s">
        <v>2052</v>
      </c>
      <c r="K358" s="142">
        <f>VLOOKUP(A358,'ביצוע דוח חשב 12.2024'!A:I,9,FALSE)</f>
        <v>168329.7</v>
      </c>
      <c r="L358" s="142">
        <v>175000</v>
      </c>
      <c r="M358" s="94">
        <f>SUMIFS('תקציב שכר'!M:M,'תקציב שכר'!A:A,A358)</f>
        <v>1</v>
      </c>
      <c r="N358" s="53"/>
      <c r="O358" s="53"/>
    </row>
    <row r="359" spans="1:15" x14ac:dyDescent="0.2">
      <c r="A359" s="132">
        <v>1812500431</v>
      </c>
      <c r="B359" s="133" t="s">
        <v>20</v>
      </c>
      <c r="C359" s="51" t="str">
        <f>VLOOKUP(A359,'עזר 2025'!A:C,3,FALSE)</f>
        <v xml:space="preserve">פעולות חינוך </v>
      </c>
      <c r="D359" s="138">
        <v>40000</v>
      </c>
      <c r="E359" s="53">
        <v>0</v>
      </c>
      <c r="F359" s="53">
        <v>4494.04</v>
      </c>
      <c r="G359" s="53">
        <v>0</v>
      </c>
      <c r="H359" s="53">
        <f t="shared" si="50"/>
        <v>4494.04</v>
      </c>
      <c r="I359" s="53"/>
      <c r="J359" s="53"/>
      <c r="K359" s="138">
        <v>0</v>
      </c>
      <c r="L359" s="138">
        <v>0</v>
      </c>
      <c r="M359" s="53"/>
      <c r="N359" s="53"/>
      <c r="O359" s="53"/>
    </row>
    <row r="360" spans="1:15" s="50" customFormat="1" ht="26.25" x14ac:dyDescent="0.2">
      <c r="A360" s="79"/>
      <c r="B360" s="79" t="s">
        <v>2152</v>
      </c>
      <c r="C360" s="79"/>
      <c r="D360" s="80">
        <f>SUM(D339:D359)</f>
        <v>16373065</v>
      </c>
      <c r="E360" s="80">
        <f t="shared" ref="E360:N360" si="51">SUM(E339:E359)</f>
        <v>62</v>
      </c>
      <c r="F360" s="80">
        <f t="shared" si="51"/>
        <v>14014263.899999997</v>
      </c>
      <c r="G360" s="80">
        <f t="shared" si="51"/>
        <v>211195.5</v>
      </c>
      <c r="H360" s="80">
        <f t="shared" si="51"/>
        <v>14225459.399999997</v>
      </c>
      <c r="I360" s="80">
        <f t="shared" si="51"/>
        <v>2313556.7733333372</v>
      </c>
      <c r="J360" s="80">
        <f t="shared" si="51"/>
        <v>0</v>
      </c>
      <c r="K360" s="80">
        <f t="shared" si="51"/>
        <v>16335438.91</v>
      </c>
      <c r="L360" s="80">
        <f t="shared" si="51"/>
        <v>16160000</v>
      </c>
      <c r="M360" s="80">
        <f t="shared" si="51"/>
        <v>80</v>
      </c>
      <c r="N360" s="80">
        <f t="shared" si="51"/>
        <v>0</v>
      </c>
      <c r="O360" s="80">
        <v>0</v>
      </c>
    </row>
    <row r="361" spans="1:15" x14ac:dyDescent="0.2">
      <c r="A361" s="132">
        <v>1813200760</v>
      </c>
      <c r="B361" s="133" t="s">
        <v>1657</v>
      </c>
      <c r="C361" s="51" t="str">
        <f>VLOOKUP(A361,'עזר 2025'!A:C,3,FALSE)</f>
        <v xml:space="preserve">פעולות חינוך </v>
      </c>
      <c r="D361" s="138">
        <v>1000000</v>
      </c>
      <c r="E361" s="53">
        <v>0</v>
      </c>
      <c r="F361" s="53">
        <v>237990</v>
      </c>
      <c r="G361" s="53">
        <v>0</v>
      </c>
      <c r="H361" s="53">
        <f t="shared" si="50"/>
        <v>237990</v>
      </c>
      <c r="I361" s="53"/>
      <c r="J361" s="53"/>
      <c r="K361" s="138">
        <f>VLOOKUP(A361,'ביצוע דוח חשב 12.2024'!A:I,9,FALSE)</f>
        <v>237990</v>
      </c>
      <c r="L361" s="138">
        <v>250000</v>
      </c>
      <c r="M361" s="53"/>
      <c r="N361" s="53"/>
      <c r="O361" s="53"/>
    </row>
    <row r="362" spans="1:15" x14ac:dyDescent="0.2">
      <c r="A362" s="132">
        <v>1813200780</v>
      </c>
      <c r="B362" s="133" t="s">
        <v>117</v>
      </c>
      <c r="C362" s="51" t="str">
        <f>VLOOKUP(A362,'עזר 2025'!A:C,3,FALSE)</f>
        <v xml:space="preserve">פעולות חינוך </v>
      </c>
      <c r="D362" s="138">
        <v>660690</v>
      </c>
      <c r="E362" s="53">
        <v>0</v>
      </c>
      <c r="F362" s="53">
        <v>430564.67</v>
      </c>
      <c r="G362" s="53">
        <v>0</v>
      </c>
      <c r="H362" s="53">
        <f t="shared" si="50"/>
        <v>430564.67</v>
      </c>
      <c r="I362" s="53">
        <f>I43</f>
        <v>1097363.3600000001</v>
      </c>
      <c r="J362" s="53" t="s">
        <v>2118</v>
      </c>
      <c r="K362" s="138">
        <f>VLOOKUP(A362,'ביצוע דוח חשב 12.2024'!A:I,9,FALSE)</f>
        <v>2052273.43</v>
      </c>
      <c r="L362" s="138">
        <v>1350000</v>
      </c>
      <c r="M362" s="53"/>
      <c r="N362" s="53"/>
      <c r="O362" s="53"/>
    </row>
    <row r="363" spans="1:15" x14ac:dyDescent="0.2">
      <c r="A363" s="132">
        <v>1813200931</v>
      </c>
      <c r="B363" s="133" t="s">
        <v>148</v>
      </c>
      <c r="C363" s="51" t="str">
        <f>VLOOKUP(A363,'עזר 2025'!A:C,3,FALSE)</f>
        <v xml:space="preserve">פעולות חינוך </v>
      </c>
      <c r="D363" s="138">
        <v>0</v>
      </c>
      <c r="E363" s="53">
        <v>0</v>
      </c>
      <c r="F363" s="53">
        <v>499938.87</v>
      </c>
      <c r="G363" s="53">
        <v>22239</v>
      </c>
      <c r="H363" s="53">
        <f t="shared" si="50"/>
        <v>522177.87</v>
      </c>
      <c r="I363" s="53"/>
      <c r="J363" s="53"/>
      <c r="K363" s="138">
        <f>VLOOKUP(A363,'ביצוע דוח חשב 12.2024'!A:I,9,FALSE)</f>
        <v>499938.87</v>
      </c>
      <c r="L363" s="138">
        <v>500000</v>
      </c>
      <c r="M363" s="53"/>
      <c r="N363" s="53"/>
      <c r="O363" s="53"/>
    </row>
    <row r="364" spans="1:15" x14ac:dyDescent="0.2">
      <c r="A364" s="132">
        <v>1813210110</v>
      </c>
      <c r="B364" s="133" t="s">
        <v>118</v>
      </c>
      <c r="C364" s="51" t="str">
        <f>VLOOKUP(A364,'עזר 2025'!A:C,3,FALSE)</f>
        <v xml:space="preserve">שכר חינוך </v>
      </c>
      <c r="D364" s="142">
        <v>700000</v>
      </c>
      <c r="E364" s="93">
        <v>4.5</v>
      </c>
      <c r="F364" s="53">
        <v>643603.4</v>
      </c>
      <c r="G364" s="53">
        <v>0</v>
      </c>
      <c r="H364" s="53">
        <f t="shared" si="50"/>
        <v>643603.4</v>
      </c>
      <c r="I364" s="53">
        <f>SUMIFS('תקציב שכר'!J:J,'תקציב שכר'!A:A,A364)-H364</f>
        <v>120492.62</v>
      </c>
      <c r="J364" s="93" t="s">
        <v>2052</v>
      </c>
      <c r="K364" s="142">
        <f>VLOOKUP(A364,'ביצוע דוח חשב 12.2024'!A:I,9,FALSE)</f>
        <v>764819.75</v>
      </c>
      <c r="L364" s="142">
        <v>800000</v>
      </c>
      <c r="M364" s="94">
        <f>SUMIFS('תקציב שכר'!M:M,'תקציב שכר'!A:A,A364)</f>
        <v>4.4960909090909089</v>
      </c>
      <c r="N364" s="53"/>
      <c r="O364" s="53"/>
    </row>
    <row r="365" spans="1:15" x14ac:dyDescent="0.2">
      <c r="A365" s="132">
        <v>1813210431</v>
      </c>
      <c r="B365" s="133" t="s">
        <v>120</v>
      </c>
      <c r="C365" s="51" t="str">
        <f>VLOOKUP(A365,'עזר 2025'!A:C,3,FALSE)</f>
        <v xml:space="preserve">פעולות חינוך </v>
      </c>
      <c r="D365" s="138">
        <v>50000</v>
      </c>
      <c r="E365" s="53">
        <v>0</v>
      </c>
      <c r="F365" s="53">
        <v>4901.7700000000004</v>
      </c>
      <c r="G365" s="53">
        <v>0</v>
      </c>
      <c r="H365" s="53">
        <f t="shared" si="50"/>
        <v>4901.7700000000004</v>
      </c>
      <c r="I365" s="53"/>
      <c r="J365" s="53"/>
      <c r="K365" s="138">
        <v>33400</v>
      </c>
      <c r="L365" s="138">
        <v>35000</v>
      </c>
      <c r="M365" s="53"/>
      <c r="N365" s="53"/>
      <c r="O365" s="53"/>
    </row>
    <row r="366" spans="1:15" x14ac:dyDescent="0.2">
      <c r="A366" s="132">
        <v>1813210750</v>
      </c>
      <c r="B366" s="133" t="s">
        <v>1535</v>
      </c>
      <c r="C366" s="51" t="str">
        <f>VLOOKUP(A366,'עזר 2025'!A:C,3,FALSE)</f>
        <v xml:space="preserve">פעולות חינוך </v>
      </c>
      <c r="D366" s="138">
        <v>578487</v>
      </c>
      <c r="E366" s="53">
        <v>0</v>
      </c>
      <c r="F366" s="53">
        <v>382625</v>
      </c>
      <c r="G366" s="53">
        <v>24000</v>
      </c>
      <c r="H366" s="53">
        <f t="shared" si="50"/>
        <v>406625</v>
      </c>
      <c r="I366" s="53"/>
      <c r="J366" s="53"/>
      <c r="K366" s="138">
        <f>VLOOKUP(A366,'ביצוע דוח חשב 12.2024'!A:I,9,FALSE)</f>
        <v>406625</v>
      </c>
      <c r="L366" s="138">
        <v>590000</v>
      </c>
      <c r="M366" s="53"/>
      <c r="N366" s="53"/>
      <c r="O366" s="53"/>
    </row>
    <row r="367" spans="1:15" x14ac:dyDescent="0.2">
      <c r="A367" s="132">
        <v>1813210931</v>
      </c>
      <c r="B367" s="133" t="s">
        <v>1583</v>
      </c>
      <c r="C367" s="51" t="str">
        <f>VLOOKUP(A367,'עזר 2025'!A:C,3,FALSE)</f>
        <v xml:space="preserve">פעולות חינוך </v>
      </c>
      <c r="D367" s="138">
        <v>220000</v>
      </c>
      <c r="E367" s="53">
        <v>0</v>
      </c>
      <c r="F367" s="53">
        <v>0</v>
      </c>
      <c r="G367" s="53">
        <v>0</v>
      </c>
      <c r="H367" s="53">
        <f t="shared" si="50"/>
        <v>0</v>
      </c>
      <c r="I367" s="53"/>
      <c r="J367" s="53"/>
      <c r="K367" s="138">
        <v>180000</v>
      </c>
      <c r="L367" s="138">
        <v>220000</v>
      </c>
      <c r="M367" s="53"/>
      <c r="N367" s="53"/>
      <c r="O367" s="53"/>
    </row>
    <row r="368" spans="1:15" s="50" customFormat="1" hidden="1" x14ac:dyDescent="0.2">
      <c r="A368" s="51">
        <v>1813211750</v>
      </c>
      <c r="B368" s="52" t="s">
        <v>1658</v>
      </c>
      <c r="C368" s="51" t="str">
        <f>VLOOKUP(A368,'עזר 2025'!A:C,3,FALSE)</f>
        <v xml:space="preserve">פעולות חינוך </v>
      </c>
      <c r="D368" s="93">
        <v>0</v>
      </c>
      <c r="E368" s="53">
        <v>0</v>
      </c>
      <c r="F368" s="53">
        <v>50000</v>
      </c>
      <c r="G368" s="53">
        <v>24900</v>
      </c>
      <c r="H368" s="53">
        <f t="shared" si="50"/>
        <v>74900</v>
      </c>
      <c r="I368" s="53"/>
      <c r="J368" s="53"/>
      <c r="K368" s="93">
        <v>0</v>
      </c>
      <c r="L368" s="93"/>
      <c r="M368" s="53"/>
      <c r="N368" s="53"/>
      <c r="O368" s="53">
        <v>1</v>
      </c>
    </row>
    <row r="369" spans="1:15" x14ac:dyDescent="0.2">
      <c r="A369" s="132">
        <v>1813212110</v>
      </c>
      <c r="B369" s="133" t="s">
        <v>1584</v>
      </c>
      <c r="C369" s="51" t="str">
        <f>VLOOKUP(A369,'עזר 2025'!A:C,3,FALSE)</f>
        <v xml:space="preserve">שכר חינוך </v>
      </c>
      <c r="D369" s="142">
        <v>0</v>
      </c>
      <c r="E369" s="93">
        <v>0</v>
      </c>
      <c r="F369" s="53">
        <v>193781.1</v>
      </c>
      <c r="G369" s="53">
        <v>0</v>
      </c>
      <c r="H369" s="53">
        <f t="shared" si="50"/>
        <v>193781.1</v>
      </c>
      <c r="I369" s="53">
        <f>SUMIFS('תקציב שכר'!J:J,'תקציב שכר'!A:A,A369)-H369</f>
        <v>0</v>
      </c>
      <c r="J369" s="93" t="s">
        <v>2052</v>
      </c>
      <c r="K369" s="142">
        <f>VLOOKUP(A369,'ביצוע דוח חשב 12.2024'!A:I,9,FALSE)</f>
        <v>193781.1</v>
      </c>
      <c r="L369" s="142">
        <v>0</v>
      </c>
      <c r="M369" s="94">
        <v>0</v>
      </c>
      <c r="N369" s="53"/>
      <c r="O369" s="53"/>
    </row>
    <row r="370" spans="1:15" s="50" customFormat="1" hidden="1" x14ac:dyDescent="0.2">
      <c r="A370" s="51">
        <v>1813212750</v>
      </c>
      <c r="B370" s="52" t="s">
        <v>1537</v>
      </c>
      <c r="C370" s="51" t="str">
        <f>VLOOKUP(A370,'עזר 2025'!A:C,3,FALSE)</f>
        <v xml:space="preserve">פעולות חינוך </v>
      </c>
      <c r="D370" s="93"/>
      <c r="E370" s="53">
        <v>0</v>
      </c>
      <c r="F370" s="53">
        <v>71800</v>
      </c>
      <c r="G370" s="53">
        <v>0</v>
      </c>
      <c r="H370" s="53">
        <f t="shared" si="50"/>
        <v>71800</v>
      </c>
      <c r="I370" s="53"/>
      <c r="J370" s="53"/>
      <c r="K370" s="93"/>
      <c r="L370" s="93"/>
      <c r="M370" s="53"/>
      <c r="N370" s="53"/>
      <c r="O370" s="53">
        <v>1</v>
      </c>
    </row>
    <row r="371" spans="1:15" x14ac:dyDescent="0.2">
      <c r="A371" s="132">
        <v>1813220110</v>
      </c>
      <c r="B371" s="133" t="s">
        <v>125</v>
      </c>
      <c r="C371" s="51" t="str">
        <f>VLOOKUP(A371,'עזר 2025'!A:C,3,FALSE)</f>
        <v xml:space="preserve">שכר חינוך </v>
      </c>
      <c r="D371" s="142">
        <v>625000</v>
      </c>
      <c r="E371" s="93">
        <v>4.5</v>
      </c>
      <c r="F371" s="53">
        <v>560679.44999999995</v>
      </c>
      <c r="G371" s="53">
        <v>0</v>
      </c>
      <c r="H371" s="53">
        <f t="shared" si="50"/>
        <v>560679.44999999995</v>
      </c>
      <c r="I371" s="53">
        <f>SUMIFS('תקציב שכר'!J:J,'תקציב שכר'!A:A,A371)-H371</f>
        <v>114154.44000000006</v>
      </c>
      <c r="J371" s="93" t="s">
        <v>2052</v>
      </c>
      <c r="K371" s="142">
        <f>VLOOKUP(A371,'ביצוע דוח חשב 12.2024'!A:I,9,FALSE)</f>
        <v>676023.67</v>
      </c>
      <c r="L371" s="142">
        <v>700000</v>
      </c>
      <c r="M371" s="94">
        <v>4.7</v>
      </c>
      <c r="N371" s="53"/>
      <c r="O371" s="53"/>
    </row>
    <row r="372" spans="1:15" x14ac:dyDescent="0.2">
      <c r="A372" s="132">
        <v>1813220431</v>
      </c>
      <c r="B372" s="133" t="s">
        <v>126</v>
      </c>
      <c r="C372" s="51" t="str">
        <f>VLOOKUP(A372,'עזר 2025'!A:C,3,FALSE)</f>
        <v xml:space="preserve">פעולות חינוך </v>
      </c>
      <c r="D372" s="138">
        <v>80000</v>
      </c>
      <c r="E372" s="53">
        <v>0</v>
      </c>
      <c r="F372" s="53">
        <v>145596.93</v>
      </c>
      <c r="G372" s="53">
        <v>0</v>
      </c>
      <c r="H372" s="53">
        <f t="shared" si="50"/>
        <v>145596.93</v>
      </c>
      <c r="I372" s="53"/>
      <c r="J372" s="53"/>
      <c r="K372" s="138">
        <f>VLOOKUP(A372,'ביצוע דוח חשב 12.2024'!A:I,9,FALSE)</f>
        <v>145596.93</v>
      </c>
      <c r="L372" s="138">
        <v>150000</v>
      </c>
      <c r="M372" s="53"/>
      <c r="N372" s="53"/>
      <c r="O372" s="53"/>
    </row>
    <row r="373" spans="1:15" x14ac:dyDescent="0.2">
      <c r="A373" s="132">
        <v>1813230110</v>
      </c>
      <c r="B373" s="133" t="s">
        <v>132</v>
      </c>
      <c r="C373" s="51" t="str">
        <f>VLOOKUP(A373,'עזר 2025'!A:C,3,FALSE)</f>
        <v xml:space="preserve">שכר חינוך </v>
      </c>
      <c r="D373" s="142">
        <v>880000</v>
      </c>
      <c r="E373" s="93">
        <v>5</v>
      </c>
      <c r="F373" s="53">
        <v>750433.27</v>
      </c>
      <c r="G373" s="53">
        <v>0</v>
      </c>
      <c r="H373" s="53">
        <f t="shared" si="50"/>
        <v>750433.27</v>
      </c>
      <c r="I373" s="53">
        <f>SUMIFS('תקציב שכר'!J:J,'תקציב שכר'!A:A,A373)-H373</f>
        <v>143599.29999999993</v>
      </c>
      <c r="J373" s="93" t="s">
        <v>2052</v>
      </c>
      <c r="K373" s="142">
        <f>VLOOKUP(A373,'ביצוע דוח חשב 12.2024'!A:I,9,FALSE)</f>
        <v>895495.71</v>
      </c>
      <c r="L373" s="142">
        <v>930000</v>
      </c>
      <c r="M373" s="94">
        <v>5</v>
      </c>
      <c r="N373" s="53"/>
      <c r="O373" s="53"/>
    </row>
    <row r="374" spans="1:15" x14ac:dyDescent="0.2">
      <c r="A374" s="132">
        <v>1813230431</v>
      </c>
      <c r="B374" s="133" t="s">
        <v>133</v>
      </c>
      <c r="C374" s="51" t="str">
        <f>VLOOKUP(A374,'עזר 2025'!A:C,3,FALSE)</f>
        <v xml:space="preserve">פעולות חינוך </v>
      </c>
      <c r="D374" s="138">
        <v>50000</v>
      </c>
      <c r="E374" s="53">
        <v>0</v>
      </c>
      <c r="F374" s="53">
        <v>93649.67</v>
      </c>
      <c r="G374" s="53">
        <v>0</v>
      </c>
      <c r="H374" s="53">
        <f t="shared" si="50"/>
        <v>93649.67</v>
      </c>
      <c r="I374" s="53"/>
      <c r="J374" s="53"/>
      <c r="K374" s="138">
        <f>VLOOKUP(A374,'ביצוע דוח חשב 12.2024'!A:I,9,FALSE)</f>
        <v>93649.67</v>
      </c>
      <c r="L374" s="138">
        <v>100000</v>
      </c>
      <c r="M374" s="53"/>
      <c r="N374" s="53"/>
      <c r="O374" s="53"/>
    </row>
    <row r="375" spans="1:15" x14ac:dyDescent="0.2">
      <c r="A375" s="132">
        <v>1813240110</v>
      </c>
      <c r="B375" s="133" t="s">
        <v>139</v>
      </c>
      <c r="C375" s="51" t="str">
        <f>VLOOKUP(A375,'עזר 2025'!A:C,3,FALSE)</f>
        <v xml:space="preserve">שכר חינוך </v>
      </c>
      <c r="D375" s="142">
        <v>540000</v>
      </c>
      <c r="E375" s="93">
        <v>3.6</v>
      </c>
      <c r="F375" s="53">
        <v>543322.72</v>
      </c>
      <c r="G375" s="53">
        <v>0</v>
      </c>
      <c r="H375" s="53">
        <f t="shared" ref="H375:H392" si="52">F375+G375</f>
        <v>543322.72</v>
      </c>
      <c r="I375" s="53">
        <f>SUMIFS('תקציב שכר'!J:J,'תקציב שכר'!A:A,A375)-H375</f>
        <v>117226.75999999989</v>
      </c>
      <c r="J375" s="93" t="s">
        <v>2052</v>
      </c>
      <c r="K375" s="142">
        <f>VLOOKUP(A375,'ביצוע דוח חשב 12.2024'!A:I,9,FALSE)</f>
        <v>659300.05000000005</v>
      </c>
      <c r="L375" s="142">
        <v>685000</v>
      </c>
      <c r="M375" s="94">
        <v>4.5</v>
      </c>
      <c r="N375" s="53"/>
      <c r="O375" s="53"/>
    </row>
    <row r="376" spans="1:15" x14ac:dyDescent="0.2">
      <c r="A376" s="132">
        <v>1813250110</v>
      </c>
      <c r="B376" s="133" t="s">
        <v>1585</v>
      </c>
      <c r="C376" s="51" t="str">
        <f>VLOOKUP(A376,'עזר 2025'!A:C,3,FALSE)</f>
        <v xml:space="preserve">שכר חינוך </v>
      </c>
      <c r="D376" s="142">
        <v>120000</v>
      </c>
      <c r="E376" s="93">
        <v>0</v>
      </c>
      <c r="F376" s="53">
        <v>18678.82</v>
      </c>
      <c r="G376" s="53">
        <v>0</v>
      </c>
      <c r="H376" s="53">
        <f t="shared" si="52"/>
        <v>18678.82</v>
      </c>
      <c r="I376" s="53">
        <f>SUMIFS('תקציב שכר'!J:J,'תקציב שכר'!A:A,A376)-H376</f>
        <v>0</v>
      </c>
      <c r="J376" s="93" t="s">
        <v>2052</v>
      </c>
      <c r="K376" s="142">
        <f>VLOOKUP(A376,'ביצוע דוח חשב 12.2024'!A:I,9,FALSE)</f>
        <v>18678.82</v>
      </c>
      <c r="L376" s="142">
        <v>20000</v>
      </c>
      <c r="M376" s="94">
        <f>SUMIFS('תקציב שכר'!M:M,'תקציב שכר'!A:A,A376)</f>
        <v>0</v>
      </c>
      <c r="N376" s="53"/>
      <c r="O376" s="53"/>
    </row>
    <row r="377" spans="1:15" x14ac:dyDescent="0.2">
      <c r="A377" s="132">
        <v>1813251110</v>
      </c>
      <c r="B377" s="133" t="s">
        <v>813</v>
      </c>
      <c r="C377" s="51" t="str">
        <f>VLOOKUP(A377,'עזר 2025'!A:C,3,FALSE)</f>
        <v xml:space="preserve">שכר חינוך </v>
      </c>
      <c r="D377" s="142">
        <v>150000</v>
      </c>
      <c r="E377" s="93">
        <v>0</v>
      </c>
      <c r="F377" s="53">
        <v>106045.8</v>
      </c>
      <c r="G377" s="53">
        <v>0</v>
      </c>
      <c r="H377" s="53">
        <f t="shared" si="52"/>
        <v>106045.8</v>
      </c>
      <c r="I377" s="53">
        <f>SUMIFS('תקציב שכר'!J:J,'תקציב שכר'!A:A,A377)-H377</f>
        <v>21666.579999999987</v>
      </c>
      <c r="J377" s="93" t="s">
        <v>2052</v>
      </c>
      <c r="K377" s="142">
        <f>VLOOKUP(A377,'ביצוע דוח חשב 12.2024'!A:I,9,FALSE)</f>
        <v>127521.05</v>
      </c>
      <c r="L377" s="142">
        <v>130000</v>
      </c>
      <c r="M377" s="94">
        <f>SUMIFS('תקציב שכר'!M:M,'תקציב שכר'!A:A,A377)</f>
        <v>1.7095454545454547</v>
      </c>
      <c r="N377" s="53"/>
      <c r="O377" s="53"/>
    </row>
    <row r="378" spans="1:15" s="50" customFormat="1" hidden="1" x14ac:dyDescent="0.35">
      <c r="A378" s="42">
        <v>1813260110</v>
      </c>
      <c r="B378" s="52" t="s">
        <v>112</v>
      </c>
      <c r="C378" s="51" t="s">
        <v>355</v>
      </c>
      <c r="D378" s="53"/>
      <c r="E378" s="53"/>
      <c r="F378" s="53"/>
      <c r="G378" s="53"/>
      <c r="H378" s="53"/>
      <c r="I378" s="53">
        <f>SUMIFS('תקציב שכר'!J:J,'תקציב שכר'!A:A,A378)-H378</f>
        <v>27254</v>
      </c>
      <c r="J378" s="53" t="s">
        <v>2054</v>
      </c>
      <c r="K378" s="53">
        <v>0</v>
      </c>
      <c r="L378" s="53">
        <v>0</v>
      </c>
      <c r="M378" s="69">
        <f>SUMIFS('תקציב שכר'!M:M,'תקציב שכר'!A:A,A378)</f>
        <v>0</v>
      </c>
      <c r="N378" s="53"/>
      <c r="O378" s="53">
        <v>1</v>
      </c>
    </row>
    <row r="379" spans="1:15" x14ac:dyDescent="0.2">
      <c r="A379" s="132">
        <v>1813300110</v>
      </c>
      <c r="B379" s="133" t="s">
        <v>145</v>
      </c>
      <c r="C379" s="51" t="str">
        <f>VLOOKUP(A379,'עזר 2025'!A:C,3,FALSE)</f>
        <v xml:space="preserve">שכר חינוך </v>
      </c>
      <c r="D379" s="142">
        <v>2300000</v>
      </c>
      <c r="E379" s="93">
        <v>13.5</v>
      </c>
      <c r="F379" s="53">
        <v>1998352.13</v>
      </c>
      <c r="G379" s="53">
        <v>0</v>
      </c>
      <c r="H379" s="53">
        <f t="shared" si="52"/>
        <v>1998352.13</v>
      </c>
      <c r="I379" s="53">
        <f>SUMIFS('תקציב שכר'!J:J,'תקציב שכר'!A:A,A379)-H379</f>
        <v>327957.14000000013</v>
      </c>
      <c r="J379" s="93" t="s">
        <v>2052</v>
      </c>
      <c r="K379" s="142">
        <f>VLOOKUP(A379,'ביצוע דוח חשב 12.2024'!A:I,9,FALSE)</f>
        <v>2367215.84</v>
      </c>
      <c r="L379" s="142">
        <v>2450000</v>
      </c>
      <c r="M379" s="94">
        <v>13</v>
      </c>
      <c r="N379" s="53"/>
      <c r="O379" s="53"/>
    </row>
    <row r="380" spans="1:15" x14ac:dyDescent="0.2">
      <c r="A380" s="132">
        <v>1813300431</v>
      </c>
      <c r="B380" s="133" t="s">
        <v>679</v>
      </c>
      <c r="C380" s="51" t="str">
        <f>VLOOKUP(A380,'עזר 2025'!A:C,3,FALSE)</f>
        <v xml:space="preserve">פעולות חינוך </v>
      </c>
      <c r="D380" s="138">
        <v>40000</v>
      </c>
      <c r="E380" s="53">
        <v>0</v>
      </c>
      <c r="F380" s="53">
        <v>31614.69</v>
      </c>
      <c r="G380" s="53">
        <v>13380</v>
      </c>
      <c r="H380" s="53">
        <f t="shared" si="52"/>
        <v>44994.69</v>
      </c>
      <c r="I380" s="53"/>
      <c r="J380" s="53"/>
      <c r="K380" s="138">
        <f>VLOOKUP(A380,'ביצוע דוח חשב 12.2024'!A:I,9,FALSE)</f>
        <v>44994.69</v>
      </c>
      <c r="L380" s="138">
        <v>45000</v>
      </c>
      <c r="M380" s="53"/>
      <c r="N380" s="53"/>
      <c r="O380" s="53"/>
    </row>
    <row r="381" spans="1:15" s="50" customFormat="1" hidden="1" x14ac:dyDescent="0.2">
      <c r="A381" s="51">
        <v>1813300870</v>
      </c>
      <c r="B381" s="52" t="s">
        <v>148</v>
      </c>
      <c r="C381" s="51" t="s">
        <v>356</v>
      </c>
      <c r="D381" s="53">
        <v>0</v>
      </c>
      <c r="E381" s="53">
        <v>0</v>
      </c>
      <c r="F381" s="53">
        <v>0</v>
      </c>
      <c r="G381" s="53">
        <v>67636</v>
      </c>
      <c r="H381" s="53">
        <f t="shared" si="52"/>
        <v>67636</v>
      </c>
      <c r="I381" s="53"/>
      <c r="J381" s="53"/>
      <c r="K381" s="53">
        <f>VLOOKUP(A381,'ביצוע דוח חשב 12.2024'!A:I,9,FALSE)</f>
        <v>0</v>
      </c>
      <c r="L381" s="53">
        <v>0</v>
      </c>
      <c r="M381" s="53"/>
      <c r="N381" s="53"/>
      <c r="O381" s="53">
        <v>1</v>
      </c>
    </row>
    <row r="382" spans="1:15" s="50" customFormat="1" hidden="1" x14ac:dyDescent="0.2">
      <c r="A382" s="51">
        <v>1813303760</v>
      </c>
      <c r="B382" s="52" t="s">
        <v>680</v>
      </c>
      <c r="C382" s="51" t="str">
        <f>VLOOKUP(A382,'עזר 2025'!A:C,3,FALSE)</f>
        <v xml:space="preserve">פעולות חינוך </v>
      </c>
      <c r="D382" s="53">
        <v>0</v>
      </c>
      <c r="E382" s="53">
        <v>0</v>
      </c>
      <c r="F382" s="53">
        <v>24864</v>
      </c>
      <c r="G382" s="53">
        <v>0</v>
      </c>
      <c r="H382" s="53">
        <f t="shared" si="52"/>
        <v>24864</v>
      </c>
      <c r="I382" s="53"/>
      <c r="J382" s="53"/>
      <c r="K382" s="53">
        <v>0</v>
      </c>
      <c r="L382" s="53">
        <v>0</v>
      </c>
      <c r="M382" s="53"/>
      <c r="N382" s="53"/>
      <c r="O382" s="53">
        <v>1</v>
      </c>
    </row>
    <row r="383" spans="1:15" x14ac:dyDescent="0.2">
      <c r="A383" s="132">
        <v>1813800110</v>
      </c>
      <c r="B383" s="133" t="s">
        <v>774</v>
      </c>
      <c r="C383" s="51" t="str">
        <f>VLOOKUP(A383,'עזר 2025'!A:C,3,FALSE)</f>
        <v xml:space="preserve">שכר חינוך </v>
      </c>
      <c r="D383" s="142">
        <v>0</v>
      </c>
      <c r="E383" s="93">
        <v>0</v>
      </c>
      <c r="F383" s="53">
        <v>182155.13</v>
      </c>
      <c r="G383" s="53">
        <v>0</v>
      </c>
      <c r="H383" s="53">
        <f t="shared" si="52"/>
        <v>182155.13</v>
      </c>
      <c r="I383" s="53">
        <f>SUMIFS('תקציב שכר'!J:J,'תקציב שכר'!A:A,A383)-H383</f>
        <v>0</v>
      </c>
      <c r="J383" s="93" t="s">
        <v>2052</v>
      </c>
      <c r="K383" s="142">
        <f>VLOOKUP(A383,'ביצוע דוח חשב 12.2024'!A:I,9,FALSE)</f>
        <v>182185.13</v>
      </c>
      <c r="L383" s="142">
        <v>190000</v>
      </c>
      <c r="M383" s="94">
        <v>0</v>
      </c>
      <c r="N383" s="53"/>
      <c r="O383" s="53"/>
    </row>
    <row r="384" spans="1:15" x14ac:dyDescent="0.2">
      <c r="A384" s="132">
        <v>1813810110</v>
      </c>
      <c r="B384" s="133" t="s">
        <v>775</v>
      </c>
      <c r="C384" s="51" t="str">
        <f>VLOOKUP(A384,'עזר 2025'!A:C,3,FALSE)</f>
        <v xml:space="preserve">שכר חינוך </v>
      </c>
      <c r="D384" s="142">
        <v>0</v>
      </c>
      <c r="E384" s="93">
        <v>0</v>
      </c>
      <c r="F384" s="53">
        <v>679302.73</v>
      </c>
      <c r="G384" s="53">
        <v>0</v>
      </c>
      <c r="H384" s="53">
        <f t="shared" si="52"/>
        <v>679302.73</v>
      </c>
      <c r="I384" s="53">
        <f>SUMIFS('תקציב שכר'!J:J,'תקציב שכר'!A:A,A384)-H384</f>
        <v>0</v>
      </c>
      <c r="J384" s="93" t="s">
        <v>2052</v>
      </c>
      <c r="K384" s="142">
        <f>VLOOKUP(A384,'ביצוע דוח חשב 12.2024'!A:I,9,FALSE)</f>
        <v>858273.65</v>
      </c>
      <c r="L384" s="142">
        <v>800000</v>
      </c>
      <c r="M384" s="94">
        <v>0</v>
      </c>
      <c r="N384" s="53"/>
      <c r="O384" s="53"/>
    </row>
    <row r="385" spans="1:15" s="50" customFormat="1" ht="26.25" x14ac:dyDescent="0.2">
      <c r="A385" s="79"/>
      <c r="B385" s="79" t="s">
        <v>2153</v>
      </c>
      <c r="C385" s="79"/>
      <c r="D385" s="80">
        <f>SUM(D361:D384)</f>
        <v>7994177</v>
      </c>
      <c r="E385" s="80">
        <f t="shared" ref="E385:N385" si="53">SUM(E361:E384)</f>
        <v>31.1</v>
      </c>
      <c r="F385" s="80">
        <f t="shared" si="53"/>
        <v>7649900.1500000004</v>
      </c>
      <c r="G385" s="80">
        <f t="shared" si="53"/>
        <v>152155</v>
      </c>
      <c r="H385" s="80">
        <f t="shared" si="53"/>
        <v>7802055.1500000004</v>
      </c>
      <c r="I385" s="80">
        <f t="shared" si="53"/>
        <v>1969714.1999999997</v>
      </c>
      <c r="J385" s="80">
        <f t="shared" si="53"/>
        <v>0</v>
      </c>
      <c r="K385" s="80">
        <f t="shared" si="53"/>
        <v>10437763.359999999</v>
      </c>
      <c r="L385" s="80">
        <f t="shared" si="53"/>
        <v>9945000</v>
      </c>
      <c r="M385" s="80">
        <f t="shared" si="53"/>
        <v>33.405636363636361</v>
      </c>
      <c r="N385" s="80">
        <f t="shared" si="53"/>
        <v>0</v>
      </c>
      <c r="O385" s="80">
        <v>0</v>
      </c>
    </row>
    <row r="386" spans="1:15" x14ac:dyDescent="0.2">
      <c r="A386" s="132">
        <v>1814000110</v>
      </c>
      <c r="B386" s="133" t="s">
        <v>150</v>
      </c>
      <c r="C386" s="51" t="str">
        <f>VLOOKUP(A386,'עזר 2025'!A:C,3,FALSE)</f>
        <v xml:space="preserve">שכר חינוך </v>
      </c>
      <c r="D386" s="142">
        <v>1480000</v>
      </c>
      <c r="E386" s="93">
        <v>9.25</v>
      </c>
      <c r="F386" s="53">
        <v>1172018.8</v>
      </c>
      <c r="G386" s="53">
        <v>0</v>
      </c>
      <c r="H386" s="53">
        <f t="shared" si="52"/>
        <v>1172018.8</v>
      </c>
      <c r="I386" s="53">
        <f>SUMIFS('תקציב שכר'!J:J,'תקציב שכר'!A:A,A386)-H386</f>
        <v>233448.21999999974</v>
      </c>
      <c r="J386" s="93" t="s">
        <v>2052</v>
      </c>
      <c r="K386" s="142">
        <f>VLOOKUP(A386,'ביצוע דוח חשב 12.2024'!A:I,9,FALSE)</f>
        <v>1408206.31</v>
      </c>
      <c r="L386" s="142">
        <v>1460000</v>
      </c>
      <c r="M386" s="94">
        <v>9</v>
      </c>
      <c r="N386" s="53"/>
      <c r="O386" s="53"/>
    </row>
    <row r="387" spans="1:15" x14ac:dyDescent="0.2">
      <c r="A387" s="132">
        <v>1814000431</v>
      </c>
      <c r="B387" s="133" t="s">
        <v>151</v>
      </c>
      <c r="C387" s="51" t="str">
        <f>VLOOKUP(A387,'עזר 2025'!A:C,3,FALSE)</f>
        <v xml:space="preserve">פעולות חינוך </v>
      </c>
      <c r="D387" s="138">
        <v>70000</v>
      </c>
      <c r="E387" s="53">
        <v>0</v>
      </c>
      <c r="F387" s="53">
        <v>114685.24</v>
      </c>
      <c r="G387" s="53">
        <v>16500</v>
      </c>
      <c r="H387" s="53">
        <f t="shared" si="52"/>
        <v>131185.24</v>
      </c>
      <c r="I387" s="53">
        <v>20000</v>
      </c>
      <c r="J387" s="53"/>
      <c r="K387" s="138">
        <f>VLOOKUP(A387,'ביצוע דוח חשב 12.2024'!A:I,9,FALSE)</f>
        <v>114685.24</v>
      </c>
      <c r="L387" s="138">
        <v>120000</v>
      </c>
      <c r="M387" s="53"/>
      <c r="N387" s="53"/>
      <c r="O387" s="53"/>
    </row>
    <row r="388" spans="1:15" x14ac:dyDescent="0.2">
      <c r="A388" s="132">
        <v>1814000750</v>
      </c>
      <c r="B388" s="133" t="s">
        <v>155</v>
      </c>
      <c r="C388" s="51" t="str">
        <f>VLOOKUP(A388,'עזר 2025'!A:C,3,FALSE)</f>
        <v xml:space="preserve">פעולות חינוך </v>
      </c>
      <c r="D388" s="138">
        <v>0</v>
      </c>
      <c r="E388" s="53">
        <v>0</v>
      </c>
      <c r="F388" s="53">
        <v>120386</v>
      </c>
      <c r="G388" s="53">
        <v>29209.25</v>
      </c>
      <c r="H388" s="53">
        <f t="shared" si="52"/>
        <v>149595.25</v>
      </c>
      <c r="I388" s="53"/>
      <c r="J388" s="53"/>
      <c r="K388" s="138">
        <f>VLOOKUP(A388,'ביצוע דוח חשב 12.2024'!A:I,9,FALSE)</f>
        <v>120386</v>
      </c>
      <c r="L388" s="138">
        <v>100000</v>
      </c>
      <c r="M388" s="53"/>
      <c r="N388" s="53"/>
      <c r="O388" s="53"/>
    </row>
    <row r="389" spans="1:15" x14ac:dyDescent="0.2">
      <c r="A389" s="132">
        <v>1814000780</v>
      </c>
      <c r="B389" s="133" t="s">
        <v>681</v>
      </c>
      <c r="C389" s="51" t="str">
        <f>VLOOKUP(A389,'עזר 2025'!A:C,3,FALSE)</f>
        <v xml:space="preserve">פעולות חינוך </v>
      </c>
      <c r="D389" s="138">
        <v>35000</v>
      </c>
      <c r="E389" s="53">
        <v>0</v>
      </c>
      <c r="F389" s="53">
        <v>19975</v>
      </c>
      <c r="G389" s="53">
        <v>0</v>
      </c>
      <c r="H389" s="53">
        <f t="shared" si="52"/>
        <v>19975</v>
      </c>
      <c r="I389" s="53"/>
      <c r="J389" s="53"/>
      <c r="K389" s="138">
        <f>VLOOKUP(A389,'ביצוע דוח חשב 12.2024'!A:I,9,FALSE)</f>
        <v>19975</v>
      </c>
      <c r="L389" s="138">
        <v>20000</v>
      </c>
      <c r="M389" s="53"/>
      <c r="N389" s="53"/>
      <c r="O389" s="53"/>
    </row>
    <row r="390" spans="1:15" s="50" customFormat="1" hidden="1" x14ac:dyDescent="0.2">
      <c r="A390" s="51">
        <v>1814000870</v>
      </c>
      <c r="B390" s="52" t="s">
        <v>156</v>
      </c>
      <c r="C390" s="51" t="str">
        <f>VLOOKUP(A390,'עזר 2025'!A:C,3,FALSE)</f>
        <v xml:space="preserve">פעולות חינוך </v>
      </c>
      <c r="D390" s="53">
        <v>0</v>
      </c>
      <c r="E390" s="53">
        <v>0</v>
      </c>
      <c r="F390" s="53">
        <v>0</v>
      </c>
      <c r="G390" s="53">
        <v>0</v>
      </c>
      <c r="H390" s="53">
        <f t="shared" si="52"/>
        <v>0</v>
      </c>
      <c r="I390" s="53"/>
      <c r="J390" s="53"/>
      <c r="K390" s="53">
        <f>VLOOKUP(A390,'ביצוע דוח חשב 12.2024'!A:I,9,FALSE)</f>
        <v>0</v>
      </c>
      <c r="L390" s="53">
        <v>0</v>
      </c>
      <c r="M390" s="53"/>
      <c r="N390" s="53"/>
      <c r="O390" s="53">
        <v>1</v>
      </c>
    </row>
    <row r="391" spans="1:15" s="50" customFormat="1" ht="26.25" x14ac:dyDescent="0.2">
      <c r="A391" s="79"/>
      <c r="B391" s="79" t="s">
        <v>637</v>
      </c>
      <c r="C391" s="79"/>
      <c r="D391" s="80">
        <f>SUM(D386:D390)</f>
        <v>1585000</v>
      </c>
      <c r="E391" s="80">
        <f t="shared" ref="E391:N391" si="54">SUM(E386:E390)</f>
        <v>9.25</v>
      </c>
      <c r="F391" s="80">
        <f t="shared" si="54"/>
        <v>1427065.04</v>
      </c>
      <c r="G391" s="80">
        <f t="shared" si="54"/>
        <v>45709.25</v>
      </c>
      <c r="H391" s="80">
        <f t="shared" si="54"/>
        <v>1472774.29</v>
      </c>
      <c r="I391" s="80">
        <f t="shared" si="54"/>
        <v>253448.21999999974</v>
      </c>
      <c r="J391" s="80">
        <f t="shared" si="54"/>
        <v>0</v>
      </c>
      <c r="K391" s="80">
        <f t="shared" si="54"/>
        <v>1663252.55</v>
      </c>
      <c r="L391" s="80">
        <f t="shared" si="54"/>
        <v>1700000</v>
      </c>
      <c r="M391" s="80">
        <f t="shared" si="54"/>
        <v>9</v>
      </c>
      <c r="N391" s="80">
        <f t="shared" si="54"/>
        <v>0</v>
      </c>
      <c r="O391" s="80">
        <v>0</v>
      </c>
    </row>
    <row r="392" spans="1:15" x14ac:dyDescent="0.2">
      <c r="A392" s="132">
        <v>1815200110</v>
      </c>
      <c r="B392" s="133" t="s">
        <v>157</v>
      </c>
      <c r="C392" s="51" t="str">
        <f>VLOOKUP(A392,'עזר 2025'!A:C,3,FALSE)</f>
        <v xml:space="preserve">שכר חינוך </v>
      </c>
      <c r="D392" s="142">
        <v>15250000</v>
      </c>
      <c r="E392" s="93">
        <v>86</v>
      </c>
      <c r="F392" s="53">
        <v>13346476.529999999</v>
      </c>
      <c r="G392" s="53">
        <v>0</v>
      </c>
      <c r="H392" s="53">
        <f t="shared" si="52"/>
        <v>13346476.529999999</v>
      </c>
      <c r="I392" s="53">
        <f>SUMIFS('תקציב שכר'!J:J,'תקציב שכר'!A:A,A392)-H392</f>
        <v>2756197.8799999934</v>
      </c>
      <c r="J392" s="93" t="s">
        <v>2052</v>
      </c>
      <c r="K392" s="142">
        <f>VLOOKUP(A392,'ביצוע דוח חשב 12.2024'!A:I,9,FALSE)</f>
        <v>16038019.67</v>
      </c>
      <c r="L392" s="142">
        <v>16700000</v>
      </c>
      <c r="M392" s="94">
        <v>65</v>
      </c>
      <c r="N392" s="53"/>
      <c r="O392" s="53"/>
    </row>
    <row r="393" spans="1:15" x14ac:dyDescent="0.2">
      <c r="A393" s="132">
        <v>1815201110</v>
      </c>
      <c r="B393" s="133" t="s">
        <v>2245</v>
      </c>
      <c r="C393" s="51" t="s">
        <v>355</v>
      </c>
      <c r="D393" s="142">
        <v>200000</v>
      </c>
      <c r="E393" s="93"/>
      <c r="F393" s="53"/>
      <c r="G393" s="53"/>
      <c r="H393" s="53"/>
      <c r="I393" s="53"/>
      <c r="J393" s="93"/>
      <c r="K393" s="142"/>
      <c r="L393" s="142"/>
      <c r="M393" s="94"/>
      <c r="N393" s="53"/>
      <c r="O393" s="53">
        <v>0</v>
      </c>
    </row>
    <row r="394" spans="1:15" x14ac:dyDescent="0.2">
      <c r="A394" s="132">
        <v>1815200434</v>
      </c>
      <c r="B394" s="133" t="s">
        <v>2071</v>
      </c>
      <c r="C394" s="51" t="str">
        <f>VLOOKUP(A394,'עזר 2025'!A:C,3,FALSE)</f>
        <v xml:space="preserve">פעולות חינוך </v>
      </c>
      <c r="D394" s="138">
        <v>2300000</v>
      </c>
      <c r="E394" s="53">
        <v>0</v>
      </c>
      <c r="F394" s="53">
        <v>1450770.12</v>
      </c>
      <c r="G394" s="53">
        <v>0</v>
      </c>
      <c r="H394" s="53">
        <f t="shared" ref="H394:H414" si="55">F394+G394</f>
        <v>1450770.12</v>
      </c>
      <c r="I394" s="53">
        <f>-170255+727000+200000</f>
        <v>756745</v>
      </c>
      <c r="J394" s="53" t="s">
        <v>2072</v>
      </c>
      <c r="K394" s="138">
        <f>VLOOKUP(A394,'ביצוע דוח חשב 12.2024'!A:I,9,FALSE)+469404</f>
        <v>2684823.38</v>
      </c>
      <c r="L394" s="138">
        <v>2400000</v>
      </c>
      <c r="M394" s="53"/>
      <c r="N394" s="53"/>
      <c r="O394" s="53"/>
    </row>
    <row r="395" spans="1:15" s="50" customFormat="1" hidden="1" x14ac:dyDescent="0.2">
      <c r="A395" s="51">
        <v>1815200750</v>
      </c>
      <c r="B395" s="52" t="s">
        <v>163</v>
      </c>
      <c r="C395" s="51" t="str">
        <f>VLOOKUP(A395,'עזר 2025'!A:C,3,FALSE)</f>
        <v xml:space="preserve">פעולות חינוך </v>
      </c>
      <c r="D395" s="53"/>
      <c r="E395" s="53">
        <v>0</v>
      </c>
      <c r="F395" s="53">
        <v>1384728.96</v>
      </c>
      <c r="G395" s="53">
        <v>43080</v>
      </c>
      <c r="H395" s="53">
        <f t="shared" si="55"/>
        <v>1427808.96</v>
      </c>
      <c r="I395" s="53">
        <f>-218508-727000</f>
        <v>-945508</v>
      </c>
      <c r="J395" s="53" t="s">
        <v>2073</v>
      </c>
      <c r="K395" s="53">
        <v>0</v>
      </c>
      <c r="L395" s="53"/>
      <c r="M395" s="53"/>
      <c r="N395" s="53"/>
      <c r="O395" s="53">
        <v>1</v>
      </c>
    </row>
    <row r="396" spans="1:15" x14ac:dyDescent="0.2">
      <c r="A396" s="132">
        <v>1815200751</v>
      </c>
      <c r="B396" s="133" t="s">
        <v>1913</v>
      </c>
      <c r="C396" s="51" t="str">
        <f>VLOOKUP(A396,'עזר 2025'!A:C,3,FALSE)</f>
        <v xml:space="preserve">פעולות חינוך </v>
      </c>
      <c r="D396" s="138">
        <v>1300000</v>
      </c>
      <c r="E396" s="53"/>
      <c r="F396" s="53">
        <v>902258.61</v>
      </c>
      <c r="G396" s="53">
        <v>0</v>
      </c>
      <c r="H396" s="53">
        <f t="shared" si="55"/>
        <v>902258.61</v>
      </c>
      <c r="I396" s="53">
        <f>218508+102000</f>
        <v>320508</v>
      </c>
      <c r="J396" s="53" t="s">
        <v>2070</v>
      </c>
      <c r="K396" s="138">
        <f>VLOOKUP(A396,'ביצוע דוח חשב 12.2024'!A:I,9,FALSE)</f>
        <v>1220766.4099999999</v>
      </c>
      <c r="L396" s="138">
        <v>1300000</v>
      </c>
      <c r="M396" s="53"/>
      <c r="N396" s="53"/>
      <c r="O396" s="53"/>
    </row>
    <row r="397" spans="1:15" x14ac:dyDescent="0.2">
      <c r="A397" s="132">
        <v>1815200760</v>
      </c>
      <c r="B397" s="133" t="s">
        <v>164</v>
      </c>
      <c r="C397" s="51" t="str">
        <f>VLOOKUP(A397,'עזר 2025'!A:C,3,FALSE)</f>
        <v xml:space="preserve">פעולות חינוך </v>
      </c>
      <c r="D397" s="138">
        <v>150000</v>
      </c>
      <c r="E397" s="53">
        <v>0</v>
      </c>
      <c r="F397" s="53">
        <v>72937.399999999994</v>
      </c>
      <c r="G397" s="53">
        <v>0</v>
      </c>
      <c r="H397" s="53">
        <f t="shared" si="55"/>
        <v>72937.399999999994</v>
      </c>
      <c r="I397" s="53">
        <v>20400</v>
      </c>
      <c r="J397" s="53" t="s">
        <v>2074</v>
      </c>
      <c r="K397" s="138">
        <f>VLOOKUP(A397,'ביצוע דוח חשב 12.2024'!A:I,9,FALSE)</f>
        <v>105350.39999999999</v>
      </c>
      <c r="L397" s="138">
        <v>150000</v>
      </c>
      <c r="M397" s="53"/>
      <c r="N397" s="53"/>
      <c r="O397" s="53"/>
    </row>
    <row r="398" spans="1:15" x14ac:dyDescent="0.2">
      <c r="A398" s="132">
        <v>1815200780</v>
      </c>
      <c r="B398" s="133" t="s">
        <v>165</v>
      </c>
      <c r="C398" s="51" t="str">
        <f>VLOOKUP(A398,'עזר 2025'!A:C,3,FALSE)</f>
        <v xml:space="preserve">פעולות חינוך </v>
      </c>
      <c r="D398" s="138">
        <v>40000</v>
      </c>
      <c r="E398" s="53">
        <v>0</v>
      </c>
      <c r="F398" s="53">
        <v>21620.01</v>
      </c>
      <c r="G398" s="53">
        <v>13300</v>
      </c>
      <c r="H398" s="53">
        <f t="shared" si="55"/>
        <v>34920.009999999995</v>
      </c>
      <c r="I398" s="53"/>
      <c r="J398" s="53"/>
      <c r="K398" s="138">
        <f>VLOOKUP(A398,'ביצוע דוח חשב 12.2024'!A:I,9,FALSE)</f>
        <v>53420.01</v>
      </c>
      <c r="L398" s="138">
        <v>50000</v>
      </c>
      <c r="M398" s="53"/>
      <c r="N398" s="53"/>
      <c r="O398" s="53"/>
    </row>
    <row r="399" spans="1:15" s="50" customFormat="1" hidden="1" x14ac:dyDescent="0.2">
      <c r="A399" s="51">
        <v>1815201750</v>
      </c>
      <c r="B399" s="52" t="s">
        <v>1557</v>
      </c>
      <c r="C399" s="51" t="str">
        <f>VLOOKUP(A399,'עזר 2025'!A:C,3,FALSE)</f>
        <v xml:space="preserve">פעולות חינוך </v>
      </c>
      <c r="D399" s="53">
        <v>0</v>
      </c>
      <c r="E399" s="53">
        <v>0</v>
      </c>
      <c r="F399" s="53">
        <v>0</v>
      </c>
      <c r="G399" s="53">
        <v>0</v>
      </c>
      <c r="H399" s="53">
        <f t="shared" si="55"/>
        <v>0</v>
      </c>
      <c r="I399" s="53"/>
      <c r="J399" s="53"/>
      <c r="K399" s="53">
        <f>VLOOKUP(A399,'ביצוע דוח חשב 12.2024'!A:I,9,FALSE)</f>
        <v>0</v>
      </c>
      <c r="L399" s="53">
        <v>0</v>
      </c>
      <c r="M399" s="53"/>
      <c r="N399" s="53"/>
      <c r="O399" s="53">
        <v>1</v>
      </c>
    </row>
    <row r="400" spans="1:15" x14ac:dyDescent="0.2">
      <c r="A400" s="132">
        <v>1815210780</v>
      </c>
      <c r="B400" s="133" t="s">
        <v>1914</v>
      </c>
      <c r="C400" s="51" t="str">
        <f>VLOOKUP(A400,'עזר 2025'!A:C,3,FALSE)</f>
        <v xml:space="preserve">פעולות חינוך </v>
      </c>
      <c r="D400" s="138"/>
      <c r="E400" s="53"/>
      <c r="F400" s="53">
        <v>96300</v>
      </c>
      <c r="G400" s="53">
        <v>59700</v>
      </c>
      <c r="H400" s="53">
        <f t="shared" si="55"/>
        <v>156000</v>
      </c>
      <c r="I400" s="53"/>
      <c r="J400" s="53"/>
      <c r="K400" s="138">
        <f>VLOOKUP(A400,'ביצוע דוח חשב 12.2024'!A:I,9,FALSE)</f>
        <v>237342</v>
      </c>
      <c r="L400" s="138">
        <f>237342-759</f>
        <v>236583</v>
      </c>
      <c r="M400" s="53"/>
      <c r="N400" s="53"/>
      <c r="O400" s="53"/>
    </row>
    <row r="401" spans="1:15" x14ac:dyDescent="0.2">
      <c r="A401" s="132">
        <v>1815220110</v>
      </c>
      <c r="B401" s="133" t="s">
        <v>1915</v>
      </c>
      <c r="C401" s="51" t="str">
        <f>VLOOKUP(A401,'עזר 2025'!A:C,3,FALSE)</f>
        <v xml:space="preserve">שכר חינוך </v>
      </c>
      <c r="D401" s="142"/>
      <c r="E401" s="93"/>
      <c r="F401" s="53">
        <v>403631.64</v>
      </c>
      <c r="G401" s="53">
        <v>0</v>
      </c>
      <c r="H401" s="53">
        <f t="shared" si="55"/>
        <v>403631.64</v>
      </c>
      <c r="I401" s="53">
        <f>SUMIFS('תקציב שכר'!J:J,'תקציב שכר'!A:A,A401)-H401</f>
        <v>27789.940000000061</v>
      </c>
      <c r="J401" s="93" t="s">
        <v>2052</v>
      </c>
      <c r="K401" s="142">
        <f>VLOOKUP(A401,'ביצוע דוח חשב 12.2024'!A:I,9,FALSE)</f>
        <v>439194.08</v>
      </c>
      <c r="L401" s="142">
        <v>450000</v>
      </c>
      <c r="M401" s="94">
        <f>SUMIFS('תקציב שכר'!M:M,'תקציב שכר'!A:A,A401)</f>
        <v>0</v>
      </c>
      <c r="N401" s="53"/>
      <c r="O401" s="53"/>
    </row>
    <row r="402" spans="1:15" x14ac:dyDescent="0.2">
      <c r="A402" s="132">
        <v>1815700760</v>
      </c>
      <c r="B402" s="133" t="s">
        <v>682</v>
      </c>
      <c r="C402" s="51" t="str">
        <f>VLOOKUP(A402,'עזר 2025'!A:C,3,FALSE)</f>
        <v xml:space="preserve">פעולות חינוך </v>
      </c>
      <c r="D402" s="138">
        <v>850000</v>
      </c>
      <c r="E402" s="53">
        <v>0</v>
      </c>
      <c r="F402" s="53">
        <v>478352</v>
      </c>
      <c r="G402" s="53">
        <v>0</v>
      </c>
      <c r="H402" s="53">
        <f t="shared" si="55"/>
        <v>478352</v>
      </c>
      <c r="I402" s="53">
        <v>685622</v>
      </c>
      <c r="J402" s="53" t="s">
        <v>2118</v>
      </c>
      <c r="K402" s="138">
        <f>VLOOKUP(A402,'ביצוע דוח חשב 12.2024'!A:I,9,FALSE)</f>
        <v>1337304</v>
      </c>
      <c r="L402" s="138">
        <v>1050000</v>
      </c>
      <c r="M402" s="53"/>
      <c r="N402" s="53"/>
      <c r="O402" s="53"/>
    </row>
    <row r="403" spans="1:15" s="50" customFormat="1" ht="26.25" x14ac:dyDescent="0.2">
      <c r="A403" s="79"/>
      <c r="B403" s="79" t="s">
        <v>2154</v>
      </c>
      <c r="C403" s="79"/>
      <c r="D403" s="80">
        <f>SUM(D392:D402)</f>
        <v>20090000</v>
      </c>
      <c r="E403" s="80">
        <f t="shared" ref="E403:N403" si="56">SUM(E392:E402)</f>
        <v>86</v>
      </c>
      <c r="F403" s="80">
        <f t="shared" si="56"/>
        <v>18157075.27</v>
      </c>
      <c r="G403" s="80">
        <f t="shared" si="56"/>
        <v>116080</v>
      </c>
      <c r="H403" s="80">
        <f t="shared" si="56"/>
        <v>18273155.27</v>
      </c>
      <c r="I403" s="80">
        <f t="shared" si="56"/>
        <v>3621754.8199999933</v>
      </c>
      <c r="J403" s="80">
        <f t="shared" si="56"/>
        <v>0</v>
      </c>
      <c r="K403" s="80">
        <f t="shared" si="56"/>
        <v>22116219.949999999</v>
      </c>
      <c r="L403" s="80">
        <f t="shared" si="56"/>
        <v>22336583</v>
      </c>
      <c r="M403" s="80">
        <f t="shared" si="56"/>
        <v>65</v>
      </c>
      <c r="N403" s="80">
        <f t="shared" si="56"/>
        <v>0</v>
      </c>
      <c r="O403" s="80">
        <v>0</v>
      </c>
    </row>
    <row r="404" spans="1:15" x14ac:dyDescent="0.2">
      <c r="A404" s="132">
        <v>1817300110</v>
      </c>
      <c r="B404" s="133" t="s">
        <v>167</v>
      </c>
      <c r="C404" s="51" t="str">
        <f>VLOOKUP(A404,'עזר 2025'!A:C,3,FALSE)</f>
        <v xml:space="preserve">שכר חינוך </v>
      </c>
      <c r="D404" s="142">
        <v>110000</v>
      </c>
      <c r="E404" s="93">
        <v>4</v>
      </c>
      <c r="F404" s="53">
        <v>1033930.17</v>
      </c>
      <c r="G404" s="53">
        <v>0</v>
      </c>
      <c r="H404" s="53">
        <f t="shared" si="55"/>
        <v>1033930.17</v>
      </c>
      <c r="I404" s="53">
        <f>SUMIFS('תקציב שכר'!J:J,'תקציב שכר'!A:A,A404)-H404</f>
        <v>137072.63</v>
      </c>
      <c r="J404" s="93" t="s">
        <v>2052</v>
      </c>
      <c r="K404" s="142">
        <f>VLOOKUP(A404,'ביצוע דוח חשב 12.2024'!A:I,9,FALSE)+500000</f>
        <v>1729414.24</v>
      </c>
      <c r="L404" s="142">
        <v>1600000</v>
      </c>
      <c r="M404" s="94">
        <v>5</v>
      </c>
      <c r="N404" s="53"/>
      <c r="O404" s="53"/>
    </row>
    <row r="405" spans="1:15" s="50" customFormat="1" hidden="1" x14ac:dyDescent="0.2">
      <c r="A405" s="51">
        <v>1817301750</v>
      </c>
      <c r="B405" s="52" t="s">
        <v>171</v>
      </c>
      <c r="C405" s="51" t="str">
        <f>VLOOKUP(A405,'עזר 2025'!A:C,3,FALSE)</f>
        <v xml:space="preserve">פעולות חינוך </v>
      </c>
      <c r="D405" s="53">
        <v>0</v>
      </c>
      <c r="E405" s="53">
        <v>0</v>
      </c>
      <c r="F405" s="53">
        <v>0</v>
      </c>
      <c r="G405" s="53">
        <v>0</v>
      </c>
      <c r="H405" s="53">
        <f t="shared" si="55"/>
        <v>0</v>
      </c>
      <c r="I405" s="53"/>
      <c r="J405" s="53"/>
      <c r="K405" s="53">
        <f>VLOOKUP(A405,'ביצוע דוח חשב 12.2024'!A:I,9,FALSE)</f>
        <v>0</v>
      </c>
      <c r="L405" s="53"/>
      <c r="M405" s="53"/>
      <c r="N405" s="53"/>
      <c r="O405" s="53">
        <v>1</v>
      </c>
    </row>
    <row r="406" spans="1:15" s="50" customFormat="1" ht="26.25" x14ac:dyDescent="0.2">
      <c r="A406" s="79"/>
      <c r="B406" s="79" t="s">
        <v>2155</v>
      </c>
      <c r="C406" s="79"/>
      <c r="D406" s="80">
        <f>SUM(D404:D405)</f>
        <v>110000</v>
      </c>
      <c r="E406" s="80">
        <f t="shared" ref="E406:N406" si="57">SUM(E404:E405)</f>
        <v>4</v>
      </c>
      <c r="F406" s="80">
        <f t="shared" si="57"/>
        <v>1033930.17</v>
      </c>
      <c r="G406" s="80">
        <f t="shared" si="57"/>
        <v>0</v>
      </c>
      <c r="H406" s="80">
        <f t="shared" si="57"/>
        <v>1033930.17</v>
      </c>
      <c r="I406" s="80">
        <f t="shared" si="57"/>
        <v>137072.63</v>
      </c>
      <c r="J406" s="80">
        <f t="shared" si="57"/>
        <v>0</v>
      </c>
      <c r="K406" s="80">
        <f t="shared" si="57"/>
        <v>1729414.24</v>
      </c>
      <c r="L406" s="80">
        <f t="shared" si="57"/>
        <v>1600000</v>
      </c>
      <c r="M406" s="80">
        <f t="shared" si="57"/>
        <v>5</v>
      </c>
      <c r="N406" s="80">
        <f t="shared" si="57"/>
        <v>0</v>
      </c>
      <c r="O406" s="80">
        <v>0</v>
      </c>
    </row>
    <row r="407" spans="1:15" x14ac:dyDescent="0.2">
      <c r="A407" s="132">
        <v>1817500441</v>
      </c>
      <c r="B407" s="133" t="s">
        <v>2064</v>
      </c>
      <c r="C407" s="51" t="str">
        <f>VLOOKUP(A407,'עזר 2025'!A:C,3,FALSE)</f>
        <v xml:space="preserve">פעולות חינוך </v>
      </c>
      <c r="D407" s="138">
        <v>370000</v>
      </c>
      <c r="E407" s="53">
        <v>0</v>
      </c>
      <c r="F407" s="53">
        <v>0</v>
      </c>
      <c r="G407" s="53">
        <v>0</v>
      </c>
      <c r="H407" s="53">
        <f t="shared" si="55"/>
        <v>0</v>
      </c>
      <c r="I407" s="53">
        <v>365000</v>
      </c>
      <c r="J407" s="53" t="s">
        <v>2063</v>
      </c>
      <c r="K407" s="138">
        <f>VLOOKUP(A407,'ביצוע דוח חשב 12.2024'!A:I,9,FALSE)</f>
        <v>365000</v>
      </c>
      <c r="L407" s="138">
        <v>370000</v>
      </c>
      <c r="M407" s="53"/>
      <c r="N407" s="53"/>
      <c r="O407" s="53"/>
    </row>
    <row r="408" spans="1:15" x14ac:dyDescent="0.2">
      <c r="A408" s="132">
        <v>1817600110</v>
      </c>
      <c r="B408" s="133" t="s">
        <v>245</v>
      </c>
      <c r="C408" s="51" t="str">
        <f>VLOOKUP(A408,'עזר 2025'!A:C,3,FALSE)</f>
        <v xml:space="preserve">שכר חינוך </v>
      </c>
      <c r="D408" s="142">
        <v>92874</v>
      </c>
      <c r="E408" s="93">
        <v>0</v>
      </c>
      <c r="F408" s="53">
        <v>75193.460000000006</v>
      </c>
      <c r="G408" s="53">
        <v>0</v>
      </c>
      <c r="H408" s="53">
        <f t="shared" si="55"/>
        <v>75193.460000000006</v>
      </c>
      <c r="I408" s="53">
        <f>SUMIFS('תקציב שכר'!J:J,'תקציב שכר'!A:A,A408)-H408</f>
        <v>9982.5799999999872</v>
      </c>
      <c r="J408" s="93" t="s">
        <v>2052</v>
      </c>
      <c r="K408" s="142">
        <f>VLOOKUP(A408,'ביצוע דוח חשב 12.2024'!A:I,9,FALSE)</f>
        <v>89329.3</v>
      </c>
      <c r="L408" s="142">
        <v>89329</v>
      </c>
      <c r="M408" s="94">
        <f>SUMIFS('תקציב שכר'!M:M,'תקציב שכר'!A:A,A408)</f>
        <v>0.5</v>
      </c>
      <c r="N408" s="53"/>
      <c r="O408" s="53"/>
    </row>
    <row r="409" spans="1:15" x14ac:dyDescent="0.2">
      <c r="A409" s="132">
        <v>1817600431</v>
      </c>
      <c r="B409" s="133" t="s">
        <v>20</v>
      </c>
      <c r="C409" s="51" t="str">
        <f>VLOOKUP(A409,'עזר 2025'!A:C,3,FALSE)</f>
        <v xml:space="preserve">פעולות חינוך </v>
      </c>
      <c r="D409" s="138">
        <v>33000</v>
      </c>
      <c r="E409" s="53">
        <v>0</v>
      </c>
      <c r="F409" s="53">
        <v>0</v>
      </c>
      <c r="G409" s="53">
        <v>0</v>
      </c>
      <c r="H409" s="53">
        <f t="shared" si="55"/>
        <v>0</v>
      </c>
      <c r="I409" s="53"/>
      <c r="J409" s="53"/>
      <c r="K409" s="138">
        <v>27000</v>
      </c>
      <c r="L409" s="138">
        <v>33000</v>
      </c>
      <c r="M409" s="53"/>
      <c r="N409" s="53"/>
      <c r="O409" s="53"/>
    </row>
    <row r="410" spans="1:15" x14ac:dyDescent="0.2">
      <c r="A410" s="132">
        <v>1817600750</v>
      </c>
      <c r="B410" s="133" t="s">
        <v>297</v>
      </c>
      <c r="C410" s="51" t="str">
        <f>VLOOKUP(A410,'עזר 2025'!A:C,3,FALSE)</f>
        <v xml:space="preserve">פעולות חינוך </v>
      </c>
      <c r="D410" s="138">
        <v>95874</v>
      </c>
      <c r="E410" s="53">
        <v>0</v>
      </c>
      <c r="F410" s="53">
        <v>55963.83</v>
      </c>
      <c r="G410" s="53">
        <v>0</v>
      </c>
      <c r="H410" s="53">
        <f t="shared" si="55"/>
        <v>55963.83</v>
      </c>
      <c r="I410" s="53"/>
      <c r="J410" s="53"/>
      <c r="K410" s="138">
        <f>VLOOKUP(A410,'ביצוע דוח חשב 12.2024'!A:I,9,FALSE)</f>
        <v>55963.83</v>
      </c>
      <c r="L410" s="138">
        <v>95874</v>
      </c>
      <c r="M410" s="53"/>
      <c r="N410" s="53"/>
      <c r="O410" s="53"/>
    </row>
    <row r="411" spans="1:15" x14ac:dyDescent="0.2">
      <c r="A411" s="132">
        <v>1817600780</v>
      </c>
      <c r="B411" s="133" t="s">
        <v>173</v>
      </c>
      <c r="C411" s="51" t="str">
        <f>VLOOKUP(A411,'עזר 2025'!A:C,3,FALSE)</f>
        <v xml:space="preserve">פעולות חינוך </v>
      </c>
      <c r="D411" s="138">
        <v>9000</v>
      </c>
      <c r="E411" s="53">
        <v>0</v>
      </c>
      <c r="F411" s="53">
        <v>5500</v>
      </c>
      <c r="G411" s="53">
        <v>0</v>
      </c>
      <c r="H411" s="53">
        <f t="shared" si="55"/>
        <v>5500</v>
      </c>
      <c r="I411" s="53"/>
      <c r="J411" s="53"/>
      <c r="K411" s="138">
        <f>VLOOKUP(A411,'ביצוע דוח חשב 12.2024'!A:I,9,FALSE)</f>
        <v>5500</v>
      </c>
      <c r="L411" s="138">
        <v>10000</v>
      </c>
      <c r="M411" s="53"/>
      <c r="N411" s="53"/>
      <c r="O411" s="53"/>
    </row>
    <row r="412" spans="1:15" x14ac:dyDescent="0.2">
      <c r="A412" s="132">
        <v>1817601750</v>
      </c>
      <c r="B412" s="133" t="s">
        <v>183</v>
      </c>
      <c r="C412" s="51" t="str">
        <f>VLOOKUP(A412,'עזר 2025'!A:C,3,FALSE)</f>
        <v xml:space="preserve">פעולות חינוך </v>
      </c>
      <c r="D412" s="138">
        <v>255237</v>
      </c>
      <c r="E412" s="53">
        <v>0</v>
      </c>
      <c r="F412" s="53">
        <v>93246</v>
      </c>
      <c r="G412" s="53">
        <v>78990.45</v>
      </c>
      <c r="H412" s="53">
        <f t="shared" si="55"/>
        <v>172236.45</v>
      </c>
      <c r="I412" s="53"/>
      <c r="J412" s="53"/>
      <c r="K412" s="138">
        <f>VLOOKUP(A412,'ביצוע דוח חשב 12.2024'!A:I,9,FALSE)</f>
        <v>93246</v>
      </c>
      <c r="L412" s="138">
        <v>105237</v>
      </c>
      <c r="M412" s="53"/>
      <c r="N412" s="53"/>
      <c r="O412" s="53"/>
    </row>
    <row r="413" spans="1:15" x14ac:dyDescent="0.2">
      <c r="A413" s="132">
        <v>1817602110</v>
      </c>
      <c r="B413" s="133" t="s">
        <v>1017</v>
      </c>
      <c r="C413" s="51" t="str">
        <f>VLOOKUP(A413,'עזר 2025'!A:C,3,FALSE)</f>
        <v xml:space="preserve">שכר חינוך </v>
      </c>
      <c r="D413" s="142">
        <v>50000</v>
      </c>
      <c r="E413" s="93">
        <v>0</v>
      </c>
      <c r="F413" s="53">
        <v>61928.480000000003</v>
      </c>
      <c r="G413" s="53">
        <v>0</v>
      </c>
      <c r="H413" s="53">
        <f t="shared" si="55"/>
        <v>61928.480000000003</v>
      </c>
      <c r="I413" s="53">
        <f>SUMIFS('תקציב שכר'!J:J,'תקציב שכר'!A:A,A413)-H413</f>
        <v>12994.560000000005</v>
      </c>
      <c r="J413" s="93" t="s">
        <v>2052</v>
      </c>
      <c r="K413" s="142">
        <f>VLOOKUP(A413,'ביצוע דוח חשב 12.2024'!A:I,9,FALSE)</f>
        <v>75336.86</v>
      </c>
      <c r="L413" s="142">
        <v>75337</v>
      </c>
      <c r="M413" s="94">
        <v>0.5</v>
      </c>
      <c r="N413" s="53"/>
      <c r="O413" s="53"/>
    </row>
    <row r="414" spans="1:15" x14ac:dyDescent="0.2">
      <c r="A414" s="132">
        <v>1817610110</v>
      </c>
      <c r="B414" s="133" t="s">
        <v>174</v>
      </c>
      <c r="C414" s="51" t="str">
        <f>VLOOKUP(A414,'עזר 2025'!A:C,3,FALSE)</f>
        <v xml:space="preserve">שכר חינוך </v>
      </c>
      <c r="D414" s="142">
        <v>100000</v>
      </c>
      <c r="E414" s="93">
        <v>0</v>
      </c>
      <c r="F414" s="53">
        <v>174587.8</v>
      </c>
      <c r="G414" s="53">
        <v>0</v>
      </c>
      <c r="H414" s="53">
        <f t="shared" si="55"/>
        <v>174587.8</v>
      </c>
      <c r="I414" s="53">
        <f>SUMIFS('תקציב שכר'!J:J,'תקציב שכר'!A:A,A414)-H414</f>
        <v>19296.940000000002</v>
      </c>
      <c r="J414" s="93" t="s">
        <v>2052</v>
      </c>
      <c r="K414" s="142">
        <f>VLOOKUP(A414,'ביצוע דוח חשב 12.2024'!A:I,9,FALSE)</f>
        <v>192832.4</v>
      </c>
      <c r="L414" s="142">
        <v>200000</v>
      </c>
      <c r="M414" s="94">
        <v>1</v>
      </c>
      <c r="N414" s="53"/>
      <c r="O414" s="53"/>
    </row>
    <row r="415" spans="1:15" x14ac:dyDescent="0.2">
      <c r="A415" s="132">
        <v>1817700110</v>
      </c>
      <c r="B415" s="133" t="s">
        <v>2053</v>
      </c>
      <c r="C415" s="51" t="s">
        <v>355</v>
      </c>
      <c r="D415" s="142">
        <v>180000</v>
      </c>
      <c r="E415" s="93"/>
      <c r="F415" s="53"/>
      <c r="G415" s="53"/>
      <c r="H415" s="53"/>
      <c r="I415" s="53">
        <f>SUMIFS('תקציב שכר'!J:J,'תקציב שכר'!A:A,A415)-H415</f>
        <v>742862.55999999994</v>
      </c>
      <c r="J415" s="93" t="s">
        <v>2054</v>
      </c>
      <c r="K415" s="142">
        <v>743000</v>
      </c>
      <c r="L415" s="142">
        <v>760000</v>
      </c>
      <c r="M415" s="94">
        <f>SUMIFS('תקציב שכר'!M:M,'תקציב שכר'!A:A,A415)</f>
        <v>4.483090909090909</v>
      </c>
      <c r="N415" s="53"/>
      <c r="O415" s="53"/>
    </row>
    <row r="416" spans="1:15" s="50" customFormat="1" hidden="1" x14ac:dyDescent="0.2">
      <c r="A416" s="51">
        <v>1817710870</v>
      </c>
      <c r="B416" s="52" t="s">
        <v>1586</v>
      </c>
      <c r="C416" s="51" t="str">
        <f>VLOOKUP(A416,'עזר 2025'!A:C,3,FALSE)</f>
        <v xml:space="preserve">פעולות חינוך </v>
      </c>
      <c r="D416" s="53">
        <v>0</v>
      </c>
      <c r="E416" s="53">
        <v>0</v>
      </c>
      <c r="F416" s="53">
        <v>0</v>
      </c>
      <c r="G416" s="53">
        <v>0</v>
      </c>
      <c r="H416" s="53">
        <f t="shared" ref="H416:H449" si="58">F416+G416</f>
        <v>0</v>
      </c>
      <c r="I416" s="53"/>
      <c r="J416" s="53"/>
      <c r="K416" s="53">
        <f>VLOOKUP(A416,'ביצוע דוח חשב 12.2024'!A:I,9,FALSE)</f>
        <v>0</v>
      </c>
      <c r="L416" s="53">
        <v>0</v>
      </c>
      <c r="M416" s="53"/>
      <c r="N416" s="53"/>
      <c r="O416" s="53">
        <v>1</v>
      </c>
    </row>
    <row r="417" spans="1:15" x14ac:dyDescent="0.2">
      <c r="A417" s="132">
        <v>1817720110</v>
      </c>
      <c r="B417" s="133" t="s">
        <v>1587</v>
      </c>
      <c r="C417" s="51" t="str">
        <f>VLOOKUP(A417,'עזר 2025'!A:C,3,FALSE)</f>
        <v xml:space="preserve">שכר חינוך </v>
      </c>
      <c r="D417" s="142">
        <v>0</v>
      </c>
      <c r="E417" s="93">
        <v>0</v>
      </c>
      <c r="F417" s="53">
        <v>34982.69</v>
      </c>
      <c r="G417" s="53">
        <v>0</v>
      </c>
      <c r="H417" s="53">
        <f t="shared" si="58"/>
        <v>34982.69</v>
      </c>
      <c r="I417" s="53">
        <f>SUMIFS('תקציב שכר'!J:J,'תקציב שכר'!A:A,A417)-H417</f>
        <v>11193.839999999997</v>
      </c>
      <c r="J417" s="93" t="s">
        <v>2052</v>
      </c>
      <c r="K417" s="142">
        <f>VLOOKUP(A417,'ביצוע דוח חשב 12.2024'!A:I,9,FALSE)</f>
        <v>44677.36</v>
      </c>
      <c r="L417" s="142">
        <v>44677</v>
      </c>
      <c r="M417" s="94">
        <v>0.5</v>
      </c>
      <c r="N417" s="53"/>
      <c r="O417" s="53"/>
    </row>
    <row r="418" spans="1:15" s="50" customFormat="1" hidden="1" x14ac:dyDescent="0.2">
      <c r="A418" s="51">
        <v>1817720720</v>
      </c>
      <c r="B418" s="52" t="s">
        <v>656</v>
      </c>
      <c r="C418" s="51" t="str">
        <f>VLOOKUP(A418,'עזר 2025'!A:C,3,FALSE)</f>
        <v xml:space="preserve">פעולות חינוך </v>
      </c>
      <c r="D418" s="53">
        <v>0</v>
      </c>
      <c r="E418" s="53">
        <v>0</v>
      </c>
      <c r="F418" s="53">
        <v>0</v>
      </c>
      <c r="G418" s="53">
        <v>38100</v>
      </c>
      <c r="H418" s="53">
        <f t="shared" si="58"/>
        <v>38100</v>
      </c>
      <c r="I418" s="53"/>
      <c r="J418" s="53"/>
      <c r="K418" s="53">
        <f>VLOOKUP(A418,'ביצוע דוח חשב 12.2024'!A:I,9,FALSE)</f>
        <v>0</v>
      </c>
      <c r="L418" s="53">
        <v>0</v>
      </c>
      <c r="M418" s="53"/>
      <c r="N418" s="53"/>
      <c r="O418" s="53">
        <v>1</v>
      </c>
    </row>
    <row r="419" spans="1:15" x14ac:dyDescent="0.2">
      <c r="A419" s="132">
        <v>1817800110</v>
      </c>
      <c r="B419" s="133" t="s">
        <v>178</v>
      </c>
      <c r="C419" s="51" t="str">
        <f>VLOOKUP(A419,'עזר 2025'!A:C,3,FALSE)</f>
        <v xml:space="preserve">שכר חינוך </v>
      </c>
      <c r="D419" s="142">
        <v>1200000</v>
      </c>
      <c r="E419" s="93">
        <v>0</v>
      </c>
      <c r="F419" s="53">
        <v>1204213.55</v>
      </c>
      <c r="G419" s="53">
        <v>0</v>
      </c>
      <c r="H419" s="53">
        <f t="shared" si="58"/>
        <v>1204213.55</v>
      </c>
      <c r="I419" s="53">
        <f>SUMIFS('תקציב שכר'!J:J,'תקציב שכר'!A:A,A419)-H419</f>
        <v>-514276.04000000004</v>
      </c>
      <c r="J419" s="93" t="s">
        <v>2052</v>
      </c>
      <c r="K419" s="142">
        <v>687000</v>
      </c>
      <c r="L419" s="142">
        <v>720000</v>
      </c>
      <c r="M419" s="94">
        <v>6</v>
      </c>
      <c r="N419" s="53"/>
      <c r="O419" s="53"/>
    </row>
    <row r="420" spans="1:15" x14ac:dyDescent="0.2">
      <c r="A420" s="132">
        <v>1817800710</v>
      </c>
      <c r="B420" s="133" t="s">
        <v>179</v>
      </c>
      <c r="C420" s="51" t="str">
        <f>VLOOKUP(A420,'עזר 2025'!A:C,3,FALSE)</f>
        <v xml:space="preserve">פעולות חינוך </v>
      </c>
      <c r="D420" s="138">
        <v>2600000</v>
      </c>
      <c r="E420" s="53">
        <v>0</v>
      </c>
      <c r="F420" s="53">
        <v>2294464.71</v>
      </c>
      <c r="G420" s="53">
        <v>0</v>
      </c>
      <c r="H420" s="53">
        <f t="shared" si="58"/>
        <v>2294464.71</v>
      </c>
      <c r="I420" s="53">
        <f>-297896+220000*2</f>
        <v>142104</v>
      </c>
      <c r="J420" s="53" t="s">
        <v>2075</v>
      </c>
      <c r="K420" s="138">
        <f>VLOOKUP(A420,'ביצוע דוח חשב 12.2024'!A:I,9,FALSE)</f>
        <v>2396568.71</v>
      </c>
      <c r="L420" s="138">
        <v>2600000</v>
      </c>
      <c r="M420" s="53"/>
      <c r="N420" s="53"/>
      <c r="O420" s="53"/>
    </row>
    <row r="421" spans="1:15" x14ac:dyDescent="0.2">
      <c r="A421" s="132">
        <v>1817801750</v>
      </c>
      <c r="B421" s="133" t="s">
        <v>1588</v>
      </c>
      <c r="C421" s="51" t="str">
        <f>VLOOKUP(A421,'עזר 2025'!A:C,3,FALSE)</f>
        <v xml:space="preserve">פעולות חינוך </v>
      </c>
      <c r="D421" s="138">
        <v>1650000</v>
      </c>
      <c r="E421" s="53">
        <v>0</v>
      </c>
      <c r="F421" s="53">
        <v>940196.55</v>
      </c>
      <c r="G421" s="53">
        <v>0</v>
      </c>
      <c r="H421" s="53">
        <f t="shared" si="58"/>
        <v>940196.55</v>
      </c>
      <c r="I421" s="53">
        <f>297896+140000*2</f>
        <v>577896</v>
      </c>
      <c r="J421" s="53" t="s">
        <v>2075</v>
      </c>
      <c r="K421" s="138">
        <f>VLOOKUP(A421,'ביצוע דוח חשב 12.2024'!A:I,9,FALSE)</f>
        <v>1528092.55</v>
      </c>
      <c r="L421" s="138">
        <v>1500000</v>
      </c>
      <c r="M421" s="53"/>
      <c r="N421" s="53"/>
      <c r="O421" s="53"/>
    </row>
    <row r="422" spans="1:15" x14ac:dyDescent="0.2">
      <c r="A422" s="132">
        <v>1817900110</v>
      </c>
      <c r="B422" s="133" t="s">
        <v>779</v>
      </c>
      <c r="C422" s="51" t="str">
        <f>VLOOKUP(A422,'עזר 2025'!A:C,3,FALSE)</f>
        <v xml:space="preserve">שכר חינוך </v>
      </c>
      <c r="D422" s="142">
        <v>500000</v>
      </c>
      <c r="E422" s="93">
        <v>4.5</v>
      </c>
      <c r="F422" s="53">
        <v>318597.09000000003</v>
      </c>
      <c r="G422" s="53">
        <v>0</v>
      </c>
      <c r="H422" s="53">
        <f t="shared" si="58"/>
        <v>318597.09000000003</v>
      </c>
      <c r="I422" s="53">
        <f>SUMIFS('תקציב שכר'!J:J,'תקציב שכר'!A:A,A422)-H422</f>
        <v>56783.049999999988</v>
      </c>
      <c r="J422" s="93" t="s">
        <v>2052</v>
      </c>
      <c r="K422" s="142">
        <f>VLOOKUP(A422,'ביצוע דוח חשב 12.2024'!A:I,9,FALSE)</f>
        <v>374727.87</v>
      </c>
      <c r="L422" s="142">
        <v>400000</v>
      </c>
      <c r="M422" s="94">
        <v>2.5</v>
      </c>
      <c r="N422" s="53"/>
      <c r="O422" s="53"/>
    </row>
    <row r="423" spans="1:15" x14ac:dyDescent="0.2">
      <c r="A423" s="132">
        <v>1817900320</v>
      </c>
      <c r="B423" s="133" t="s">
        <v>2226</v>
      </c>
      <c r="C423" s="51" t="str">
        <f>VLOOKUP(A423,'עזר 2025'!A:C,3,FALSE)</f>
        <v xml:space="preserve">שכר חינוך </v>
      </c>
      <c r="D423" s="142">
        <v>0</v>
      </c>
      <c r="E423" s="93">
        <v>0</v>
      </c>
      <c r="F423" s="53">
        <v>0</v>
      </c>
      <c r="G423" s="53">
        <v>0</v>
      </c>
      <c r="H423" s="53">
        <f t="shared" si="58"/>
        <v>0</v>
      </c>
      <c r="I423" s="53">
        <f>SUMIFS('תקציב שכר'!J:J,'תקציב שכר'!A:A,A423)-H423</f>
        <v>0</v>
      </c>
      <c r="J423" s="93" t="s">
        <v>2052</v>
      </c>
      <c r="K423" s="142">
        <f>VLOOKUP(A423,'ביצוע דוח חשב 12.2024'!A:I,9,FALSE)</f>
        <v>0</v>
      </c>
      <c r="L423" s="142">
        <v>100000</v>
      </c>
      <c r="M423" s="94">
        <v>1</v>
      </c>
      <c r="N423" s="53"/>
      <c r="O423" s="53"/>
    </row>
    <row r="424" spans="1:15" x14ac:dyDescent="0.2">
      <c r="A424" s="132">
        <v>1817905110</v>
      </c>
      <c r="B424" s="133" t="s">
        <v>816</v>
      </c>
      <c r="C424" s="51" t="str">
        <f>VLOOKUP(A424,'עזר 2025'!A:C,3,FALSE)</f>
        <v xml:space="preserve">שכר חינוך </v>
      </c>
      <c r="D424" s="142">
        <v>900000</v>
      </c>
      <c r="E424" s="93">
        <v>0</v>
      </c>
      <c r="F424" s="53">
        <v>847082.42</v>
      </c>
      <c r="G424" s="53">
        <v>0</v>
      </c>
      <c r="H424" s="53">
        <f t="shared" si="58"/>
        <v>847082.42</v>
      </c>
      <c r="I424" s="53">
        <f>SUMIFS('תקציב שכר'!J:J,'תקציב שכר'!A:A,A424)-H424</f>
        <v>208709.0199999999</v>
      </c>
      <c r="J424" s="93" t="s">
        <v>2052</v>
      </c>
      <c r="K424" s="142">
        <f>VLOOKUP(A424,'ביצוע דוח חשב 12.2024'!A:I,9,FALSE)</f>
        <v>1043520.85</v>
      </c>
      <c r="L424" s="142">
        <v>1100000</v>
      </c>
      <c r="M424" s="94">
        <v>6</v>
      </c>
      <c r="N424" s="53"/>
      <c r="O424" s="53"/>
    </row>
    <row r="425" spans="1:15" x14ac:dyDescent="0.2">
      <c r="A425" s="132">
        <v>1817910110</v>
      </c>
      <c r="B425" s="133" t="s">
        <v>684</v>
      </c>
      <c r="C425" s="51" t="str">
        <f>VLOOKUP(A425,'עזר 2025'!A:C,3,FALSE)</f>
        <v xml:space="preserve">שכר חינוך </v>
      </c>
      <c r="D425" s="142">
        <v>0</v>
      </c>
      <c r="E425" s="93">
        <v>0</v>
      </c>
      <c r="F425" s="53">
        <v>178976.06</v>
      </c>
      <c r="G425" s="53">
        <v>0</v>
      </c>
      <c r="H425" s="53">
        <f t="shared" si="58"/>
        <v>178976.06</v>
      </c>
      <c r="I425" s="53">
        <f>SUMIFS('תקציב שכר'!J:J,'תקציב שכר'!A:A,A425)-H425</f>
        <v>33104.959999999992</v>
      </c>
      <c r="J425" s="93" t="s">
        <v>2052</v>
      </c>
      <c r="K425" s="142">
        <f>VLOOKUP(A425,'ביצוע דוח חשב 12.2024'!A:I,9,FALSE)</f>
        <v>211185.4</v>
      </c>
      <c r="L425" s="142">
        <v>220000</v>
      </c>
      <c r="M425" s="94">
        <v>1.5</v>
      </c>
      <c r="N425" s="53"/>
      <c r="O425" s="53"/>
    </row>
    <row r="426" spans="1:15" x14ac:dyDescent="0.2">
      <c r="A426" s="132">
        <v>1817910810</v>
      </c>
      <c r="B426" s="133" t="s">
        <v>181</v>
      </c>
      <c r="C426" s="51" t="str">
        <f>VLOOKUP(A426,'עזר 2025'!A:C,3,FALSE)</f>
        <v xml:space="preserve">פעולות חינוך </v>
      </c>
      <c r="D426" s="138">
        <v>1500000</v>
      </c>
      <c r="E426" s="53">
        <v>0</v>
      </c>
      <c r="F426" s="53">
        <v>813775.31</v>
      </c>
      <c r="G426" s="53">
        <v>361232</v>
      </c>
      <c r="H426" s="53">
        <f t="shared" si="58"/>
        <v>1175007.31</v>
      </c>
      <c r="I426" s="53"/>
      <c r="J426" s="53"/>
      <c r="K426" s="138">
        <f>VLOOKUP(A426,'ביצוע דוח חשב 12.2024'!A:I,9,FALSE)</f>
        <v>1040560.31</v>
      </c>
      <c r="L426" s="138">
        <v>1500000</v>
      </c>
      <c r="M426" s="53"/>
      <c r="N426" s="53"/>
      <c r="O426" s="53"/>
    </row>
    <row r="427" spans="1:15" s="50" customFormat="1" hidden="1" x14ac:dyDescent="0.2">
      <c r="A427" s="51">
        <v>1817911110</v>
      </c>
      <c r="B427" s="52" t="s">
        <v>803</v>
      </c>
      <c r="C427" s="51" t="str">
        <f>VLOOKUP(A427,'עזר 2025'!A:C,3,FALSE)</f>
        <v xml:space="preserve">שכר חינוך </v>
      </c>
      <c r="D427" s="53">
        <v>0</v>
      </c>
      <c r="E427" s="53">
        <v>0</v>
      </c>
      <c r="F427" s="53">
        <v>11271.59</v>
      </c>
      <c r="G427" s="53">
        <v>0</v>
      </c>
      <c r="H427" s="53">
        <f t="shared" si="58"/>
        <v>11271.59</v>
      </c>
      <c r="I427" s="53">
        <f>SUMIFS('תקציב שכר'!J:J,'תקציב שכר'!A:A,A427)-H427</f>
        <v>0</v>
      </c>
      <c r="J427" s="53" t="s">
        <v>2052</v>
      </c>
      <c r="K427" s="53">
        <v>0</v>
      </c>
      <c r="L427" s="53">
        <v>0</v>
      </c>
      <c r="M427" s="69">
        <v>0</v>
      </c>
      <c r="N427" s="53"/>
      <c r="O427" s="53">
        <v>1</v>
      </c>
    </row>
    <row r="428" spans="1:15" x14ac:dyDescent="0.2">
      <c r="A428" s="132">
        <v>1817911750</v>
      </c>
      <c r="B428" s="133" t="s">
        <v>687</v>
      </c>
      <c r="C428" s="51" t="str">
        <f>VLOOKUP(A428,'עזר 2025'!A:C,3,FALSE)</f>
        <v xml:space="preserve">פעולות חינוך </v>
      </c>
      <c r="D428" s="138">
        <v>66000</v>
      </c>
      <c r="E428" s="53">
        <v>0</v>
      </c>
      <c r="F428" s="53">
        <v>74100</v>
      </c>
      <c r="G428" s="53">
        <v>0</v>
      </c>
      <c r="H428" s="53">
        <f t="shared" si="58"/>
        <v>74100</v>
      </c>
      <c r="I428" s="53"/>
      <c r="J428" s="53"/>
      <c r="K428" s="138">
        <f>VLOOKUP(A428,'ביצוע דוח חשב 12.2024'!A:I,9,FALSE)</f>
        <v>74100</v>
      </c>
      <c r="L428" s="138">
        <v>75000</v>
      </c>
      <c r="M428" s="53"/>
      <c r="N428" s="53"/>
      <c r="O428" s="53"/>
    </row>
    <row r="429" spans="1:15" x14ac:dyDescent="0.2">
      <c r="A429" s="132">
        <v>1817912750</v>
      </c>
      <c r="B429" s="133" t="s">
        <v>689</v>
      </c>
      <c r="C429" s="51" t="str">
        <f>VLOOKUP(A429,'עזר 2025'!A:C,3,FALSE)</f>
        <v xml:space="preserve">פעולות חינוך </v>
      </c>
      <c r="D429" s="138">
        <v>170000</v>
      </c>
      <c r="E429" s="53">
        <v>0</v>
      </c>
      <c r="F429" s="53">
        <v>133117</v>
      </c>
      <c r="G429" s="53">
        <v>0</v>
      </c>
      <c r="H429" s="53">
        <f t="shared" si="58"/>
        <v>133117</v>
      </c>
      <c r="I429" s="53"/>
      <c r="J429" s="53"/>
      <c r="K429" s="138">
        <f>VLOOKUP(A429,'ביצוע דוח חשב 12.2024'!A:I,9,FALSE)</f>
        <v>133117</v>
      </c>
      <c r="L429" s="138">
        <v>170000</v>
      </c>
      <c r="M429" s="53"/>
      <c r="N429" s="53"/>
      <c r="O429" s="53"/>
    </row>
    <row r="430" spans="1:15" x14ac:dyDescent="0.2">
      <c r="A430" s="132">
        <v>1817913110</v>
      </c>
      <c r="B430" s="133" t="s">
        <v>1016</v>
      </c>
      <c r="C430" s="51" t="str">
        <f>VLOOKUP(A430,'עזר 2025'!A:C,3,FALSE)</f>
        <v xml:space="preserve">שכר חינוך </v>
      </c>
      <c r="D430" s="142">
        <v>900000</v>
      </c>
      <c r="E430" s="93">
        <v>3.5</v>
      </c>
      <c r="F430" s="53">
        <v>763437.76</v>
      </c>
      <c r="G430" s="53">
        <v>0</v>
      </c>
      <c r="H430" s="53">
        <f t="shared" si="58"/>
        <v>763437.76</v>
      </c>
      <c r="I430" s="53">
        <f>SUMIFS('תקציב שכר'!J:J,'תקציב שכר'!A:A,A430)-H430</f>
        <v>128837.65999999992</v>
      </c>
      <c r="J430" s="93" t="s">
        <v>2052</v>
      </c>
      <c r="K430" s="142">
        <f>VLOOKUP(A430,'ביצוע דוח חשב 12.2024'!A:I,9,FALSE)</f>
        <v>892066.4</v>
      </c>
      <c r="L430" s="142">
        <v>950000</v>
      </c>
      <c r="M430" s="94">
        <v>4</v>
      </c>
      <c r="N430" s="53"/>
      <c r="O430" s="53"/>
    </row>
    <row r="431" spans="1:15" x14ac:dyDescent="0.2">
      <c r="A431" s="132">
        <v>1817913750</v>
      </c>
      <c r="B431" s="133" t="s">
        <v>1016</v>
      </c>
      <c r="C431" s="51" t="str">
        <f>VLOOKUP(A431,'עזר 2025'!A:C,3,FALSE)</f>
        <v xml:space="preserve">פעולות חינוך </v>
      </c>
      <c r="D431" s="138">
        <v>40000</v>
      </c>
      <c r="E431" s="53">
        <v>0</v>
      </c>
      <c r="F431" s="53">
        <v>24000</v>
      </c>
      <c r="G431" s="53">
        <v>0</v>
      </c>
      <c r="H431" s="53">
        <f t="shared" si="58"/>
        <v>24000</v>
      </c>
      <c r="I431" s="53"/>
      <c r="J431" s="53"/>
      <c r="K431" s="138">
        <f>VLOOKUP(A431,'ביצוע דוח חשב 12.2024'!A:I,9,FALSE)</f>
        <v>24000</v>
      </c>
      <c r="L431" s="138">
        <v>40000</v>
      </c>
      <c r="M431" s="53"/>
      <c r="N431" s="53"/>
      <c r="O431" s="53"/>
    </row>
    <row r="432" spans="1:15" x14ac:dyDescent="0.2">
      <c r="A432" s="132">
        <v>1817914750</v>
      </c>
      <c r="B432" s="133" t="s">
        <v>996</v>
      </c>
      <c r="C432" s="51" t="str">
        <f>VLOOKUP(A432,'עזר 2025'!A:C,3,FALSE)</f>
        <v xml:space="preserve">פעולות חינוך </v>
      </c>
      <c r="D432" s="138">
        <v>60000</v>
      </c>
      <c r="E432" s="53">
        <v>0</v>
      </c>
      <c r="F432" s="53">
        <v>71331</v>
      </c>
      <c r="G432" s="53">
        <v>14085</v>
      </c>
      <c r="H432" s="53">
        <f t="shared" si="58"/>
        <v>85416</v>
      </c>
      <c r="I432" s="53"/>
      <c r="J432" s="53"/>
      <c r="K432" s="138">
        <f>VLOOKUP(A432,'ביצוע דוח חשב 12.2024'!A:I,9,FALSE)</f>
        <v>71916</v>
      </c>
      <c r="L432" s="138">
        <v>70000</v>
      </c>
      <c r="M432" s="53"/>
      <c r="N432" s="53"/>
      <c r="O432" s="53"/>
    </row>
    <row r="433" spans="1:15" x14ac:dyDescent="0.2">
      <c r="A433" s="132">
        <v>1817916110</v>
      </c>
      <c r="B433" s="133" t="s">
        <v>721</v>
      </c>
      <c r="C433" s="51" t="str">
        <f>VLOOKUP(A433,'עזר 2025'!A:C,3,FALSE)</f>
        <v xml:space="preserve">שכר חינוך </v>
      </c>
      <c r="D433" s="142">
        <v>300000</v>
      </c>
      <c r="E433" s="93">
        <v>0</v>
      </c>
      <c r="F433" s="53">
        <v>208907.22</v>
      </c>
      <c r="G433" s="53">
        <v>0</v>
      </c>
      <c r="H433" s="53">
        <f t="shared" si="58"/>
        <v>208907.22</v>
      </c>
      <c r="I433" s="53">
        <f>SUMIFS('תקציב שכר'!J:J,'תקציב שכר'!A:A,A433)-H433</f>
        <v>48393.739999999991</v>
      </c>
      <c r="J433" s="93" t="s">
        <v>2052</v>
      </c>
      <c r="K433" s="142">
        <f>VLOOKUP(A433,'ביצוע דוח חשב 12.2024'!A:I,9,FALSE)</f>
        <v>260248.03</v>
      </c>
      <c r="L433" s="142">
        <v>300000</v>
      </c>
      <c r="M433" s="94">
        <v>2</v>
      </c>
      <c r="N433" s="53"/>
      <c r="O433" s="53"/>
    </row>
    <row r="434" spans="1:15" x14ac:dyDescent="0.2">
      <c r="A434" s="132">
        <v>1817917110</v>
      </c>
      <c r="B434" s="133" t="s">
        <v>776</v>
      </c>
      <c r="C434" s="51" t="str">
        <f>VLOOKUP(A434,'עזר 2025'!A:C,3,FALSE)</f>
        <v xml:space="preserve">שכר חינוך </v>
      </c>
      <c r="D434" s="142">
        <v>150000</v>
      </c>
      <c r="E434" s="93">
        <v>0</v>
      </c>
      <c r="F434" s="53">
        <v>91356.22</v>
      </c>
      <c r="G434" s="53">
        <v>0</v>
      </c>
      <c r="H434" s="53">
        <f t="shared" si="58"/>
        <v>91356.22</v>
      </c>
      <c r="I434" s="53">
        <f>SUMIFS('תקציב שכר'!J:J,'תקציב שכר'!A:A,A434)-H434</f>
        <v>46126.459999999992</v>
      </c>
      <c r="J434" s="93" t="s">
        <v>2052</v>
      </c>
      <c r="K434" s="142">
        <f>VLOOKUP(A434,'ביצוע דוח חשב 12.2024'!A:I,9,FALSE)</f>
        <v>140684.82</v>
      </c>
      <c r="L434" s="142">
        <v>150000</v>
      </c>
      <c r="M434" s="94">
        <v>1</v>
      </c>
      <c r="N434" s="53"/>
      <c r="O434" s="53"/>
    </row>
    <row r="435" spans="1:15" s="50" customFormat="1" hidden="1" x14ac:dyDescent="0.2">
      <c r="A435" s="51">
        <v>1817919110</v>
      </c>
      <c r="B435" s="52" t="s">
        <v>715</v>
      </c>
      <c r="C435" s="51" t="str">
        <f>VLOOKUP(A435,'עזר 2025'!A:C,3,FALSE)</f>
        <v xml:space="preserve">שכר חינוך </v>
      </c>
      <c r="D435" s="53">
        <v>0</v>
      </c>
      <c r="E435" s="53">
        <v>0</v>
      </c>
      <c r="F435" s="53">
        <v>4195.4799999999996</v>
      </c>
      <c r="G435" s="53">
        <v>0</v>
      </c>
      <c r="H435" s="53">
        <f t="shared" si="58"/>
        <v>4195.4799999999996</v>
      </c>
      <c r="I435" s="53">
        <f>SUMIFS('תקציב שכר'!J:J,'תקציב שכר'!A:A,A435)-H435</f>
        <v>-4195.4799999999996</v>
      </c>
      <c r="J435" s="53" t="s">
        <v>2052</v>
      </c>
      <c r="K435" s="53">
        <v>0</v>
      </c>
      <c r="L435" s="53">
        <f>SUMIFS('תקציב שכר'!L:L,'תקציב שכר'!A:A,A435)</f>
        <v>0</v>
      </c>
      <c r="M435" s="69">
        <f>SUMIFS('תקציב שכר'!M:M,'תקציב שכר'!A:A,A435)</f>
        <v>0</v>
      </c>
      <c r="N435" s="53"/>
      <c r="O435" s="53">
        <v>1</v>
      </c>
    </row>
    <row r="436" spans="1:15" s="50" customFormat="1" hidden="1" x14ac:dyDescent="0.35">
      <c r="A436" s="42">
        <v>1817920110</v>
      </c>
      <c r="B436" s="52" t="s">
        <v>112</v>
      </c>
      <c r="C436" s="51" t="s">
        <v>355</v>
      </c>
      <c r="D436" s="53"/>
      <c r="E436" s="53"/>
      <c r="F436" s="53"/>
      <c r="G436" s="53"/>
      <c r="H436" s="53"/>
      <c r="I436" s="53">
        <f>SUMIFS('תקציב שכר'!J:J,'תקציב שכר'!A:A,A436)-H436</f>
        <v>80274.44</v>
      </c>
      <c r="J436" s="53" t="s">
        <v>2054</v>
      </c>
      <c r="K436" s="53">
        <v>0</v>
      </c>
      <c r="L436" s="53">
        <v>0</v>
      </c>
      <c r="M436" s="69">
        <v>0</v>
      </c>
      <c r="N436" s="53"/>
      <c r="O436" s="53">
        <v>1</v>
      </c>
    </row>
    <row r="437" spans="1:15" s="50" customFormat="1" ht="26.25" x14ac:dyDescent="0.2">
      <c r="A437" s="79"/>
      <c r="B437" s="79" t="s">
        <v>2156</v>
      </c>
      <c r="C437" s="79"/>
      <c r="D437" s="80">
        <f>SUM(D407:D436)</f>
        <v>11221985</v>
      </c>
      <c r="E437" s="80">
        <f t="shared" ref="E437:N437" si="59">SUM(E407:E436)</f>
        <v>8</v>
      </c>
      <c r="F437" s="80">
        <f t="shared" si="59"/>
        <v>8480424.2199999988</v>
      </c>
      <c r="G437" s="80">
        <f t="shared" si="59"/>
        <v>492407.45</v>
      </c>
      <c r="H437" s="80">
        <f t="shared" si="59"/>
        <v>8972831.6699999999</v>
      </c>
      <c r="I437" s="80">
        <f t="shared" si="59"/>
        <v>1965088.2899999996</v>
      </c>
      <c r="J437" s="80">
        <f t="shared" si="59"/>
        <v>0</v>
      </c>
      <c r="K437" s="80">
        <f t="shared" si="59"/>
        <v>10569673.689999999</v>
      </c>
      <c r="L437" s="80">
        <f t="shared" si="59"/>
        <v>11678454</v>
      </c>
      <c r="M437" s="80">
        <f t="shared" si="59"/>
        <v>30.983090909090908</v>
      </c>
      <c r="N437" s="80">
        <f t="shared" si="59"/>
        <v>0</v>
      </c>
      <c r="O437" s="80">
        <v>0</v>
      </c>
    </row>
    <row r="438" spans="1:15" s="50" customFormat="1" ht="41.25" customHeight="1" x14ac:dyDescent="0.2">
      <c r="A438" s="81"/>
      <c r="B438" s="81" t="s">
        <v>357</v>
      </c>
      <c r="C438" s="81"/>
      <c r="D438" s="82">
        <f>D437+D406+D403+D391+D385+D360+D338</f>
        <v>60957448</v>
      </c>
      <c r="E438" s="82">
        <f t="shared" ref="E438:O438" si="60">E437+E406+E403+E391+E385+E360+E338</f>
        <v>203.35</v>
      </c>
      <c r="F438" s="82">
        <f t="shared" si="60"/>
        <v>53609284.79999999</v>
      </c>
      <c r="G438" s="82">
        <f t="shared" si="60"/>
        <v>1090174.43</v>
      </c>
      <c r="H438" s="82">
        <f t="shared" si="60"/>
        <v>54699459.229999997</v>
      </c>
      <c r="I438" s="82">
        <f t="shared" si="60"/>
        <v>10595804.873333329</v>
      </c>
      <c r="J438" s="82">
        <f t="shared" si="60"/>
        <v>0</v>
      </c>
      <c r="K438" s="82">
        <f t="shared" si="60"/>
        <v>66047532.849999987</v>
      </c>
      <c r="L438" s="82">
        <f t="shared" si="60"/>
        <v>67075037</v>
      </c>
      <c r="M438" s="82">
        <f t="shared" si="60"/>
        <v>226.38872727272727</v>
      </c>
      <c r="N438" s="82">
        <f t="shared" si="60"/>
        <v>0</v>
      </c>
      <c r="O438" s="82">
        <f t="shared" si="60"/>
        <v>0</v>
      </c>
    </row>
    <row r="439" spans="1:15" x14ac:dyDescent="0.2">
      <c r="A439" s="132">
        <v>1823000110</v>
      </c>
      <c r="B439" s="133" t="s">
        <v>1659</v>
      </c>
      <c r="C439" s="51" t="str">
        <f>VLOOKUP(A439,'עזר 2025'!A:C,3,FALSE)</f>
        <v>שכר כללי</v>
      </c>
      <c r="D439" s="138">
        <v>145000</v>
      </c>
      <c r="E439" s="53">
        <v>1</v>
      </c>
      <c r="F439" s="53">
        <v>120838.06</v>
      </c>
      <c r="G439" s="53">
        <v>0</v>
      </c>
      <c r="H439" s="53">
        <f t="shared" si="58"/>
        <v>120838.06</v>
      </c>
      <c r="I439" s="53">
        <f>SUMIFS('תקציב שכר'!J:J,'תקציב שכר'!A:A,A439)-H439</f>
        <v>22407.760000000009</v>
      </c>
      <c r="J439" s="53" t="s">
        <v>2052</v>
      </c>
      <c r="K439" s="138">
        <f>VLOOKUP(A439,'ביצוע דוח חשב 12.2024'!A:I,9,FALSE)</f>
        <v>144122.01</v>
      </c>
      <c r="L439" s="138">
        <v>150000</v>
      </c>
      <c r="M439" s="69">
        <f>SUMIFS('תקציב שכר'!M:M,'תקציב שכר'!A:A,A439)</f>
        <v>1</v>
      </c>
      <c r="N439" s="53"/>
      <c r="O439" s="53"/>
    </row>
    <row r="440" spans="1:15" x14ac:dyDescent="0.2">
      <c r="A440" s="132">
        <v>1824000431</v>
      </c>
      <c r="B440" s="133" t="s">
        <v>691</v>
      </c>
      <c r="C440" s="90" t="str">
        <f>VLOOKUP(A440,'עזר 2025'!A:C,3,FALSE)</f>
        <v>פעולות כלליות</v>
      </c>
      <c r="D440" s="142">
        <v>40000</v>
      </c>
      <c r="E440" s="92">
        <v>0</v>
      </c>
      <c r="F440" s="53">
        <v>46953.67</v>
      </c>
      <c r="G440" s="53">
        <v>0</v>
      </c>
      <c r="H440" s="53">
        <f t="shared" si="58"/>
        <v>46953.67</v>
      </c>
      <c r="I440" s="53">
        <v>3000</v>
      </c>
      <c r="J440" s="92"/>
      <c r="K440" s="142">
        <f>VLOOKUP(A440,'ביצוע דוח חשב 12.2024'!A:I,9,FALSE)</f>
        <v>46953.67</v>
      </c>
      <c r="L440" s="142">
        <v>50000</v>
      </c>
      <c r="M440" s="53"/>
      <c r="N440" s="53"/>
      <c r="O440" s="53"/>
    </row>
    <row r="441" spans="1:15" x14ac:dyDescent="0.2">
      <c r="A441" s="132">
        <v>1824000432</v>
      </c>
      <c r="B441" s="133" t="s">
        <v>182</v>
      </c>
      <c r="C441" s="90" t="str">
        <f>VLOOKUP(A441,'עזר 2025'!A:C,3,FALSE)</f>
        <v>פעולות כלליות</v>
      </c>
      <c r="D441" s="142">
        <v>20000</v>
      </c>
      <c r="E441" s="92">
        <v>0</v>
      </c>
      <c r="F441" s="53">
        <v>0</v>
      </c>
      <c r="G441" s="53">
        <v>0</v>
      </c>
      <c r="H441" s="53">
        <f t="shared" si="58"/>
        <v>0</v>
      </c>
      <c r="I441" s="53">
        <f>D441-H441</f>
        <v>20000</v>
      </c>
      <c r="J441" s="92" t="s">
        <v>115</v>
      </c>
      <c r="K441" s="142">
        <v>70000</v>
      </c>
      <c r="L441" s="142">
        <v>80000</v>
      </c>
      <c r="M441" s="53"/>
      <c r="N441" s="53"/>
      <c r="O441" s="53"/>
    </row>
    <row r="442" spans="1:15" ht="46.5" x14ac:dyDescent="0.2">
      <c r="A442" s="132">
        <v>1824000750</v>
      </c>
      <c r="B442" s="133" t="s">
        <v>1589</v>
      </c>
      <c r="C442" s="90" t="str">
        <f>VLOOKUP(A442,'עזר 2025'!A:C,3,FALSE)</f>
        <v>פעולות כלליות</v>
      </c>
      <c r="D442" s="142">
        <v>70000</v>
      </c>
      <c r="E442" s="92">
        <v>0</v>
      </c>
      <c r="F442" s="53">
        <v>0</v>
      </c>
      <c r="G442" s="53">
        <v>0</v>
      </c>
      <c r="H442" s="53">
        <f t="shared" si="58"/>
        <v>0</v>
      </c>
      <c r="I442" s="53"/>
      <c r="J442" s="92"/>
      <c r="K442" s="142">
        <v>68000</v>
      </c>
      <c r="L442" s="142">
        <v>70000</v>
      </c>
      <c r="M442" s="53"/>
      <c r="N442" s="53"/>
      <c r="O442" s="53"/>
    </row>
    <row r="443" spans="1:15" x14ac:dyDescent="0.2">
      <c r="A443" s="132">
        <v>1824020870</v>
      </c>
      <c r="B443" s="133" t="s">
        <v>692</v>
      </c>
      <c r="C443" s="90" t="str">
        <f>VLOOKUP(A443,'עזר 2025'!A:C,3,FALSE)</f>
        <v>פעולות כלליות</v>
      </c>
      <c r="D443" s="142">
        <v>0</v>
      </c>
      <c r="E443" s="92">
        <v>0</v>
      </c>
      <c r="F443" s="53">
        <v>0</v>
      </c>
      <c r="G443" s="53">
        <v>45899.5</v>
      </c>
      <c r="H443" s="53">
        <f t="shared" si="58"/>
        <v>45899.5</v>
      </c>
      <c r="I443" s="53"/>
      <c r="J443" s="92"/>
      <c r="K443" s="142">
        <v>200000</v>
      </c>
      <c r="L443" s="142">
        <v>200000</v>
      </c>
      <c r="M443" s="53"/>
      <c r="N443" s="53"/>
      <c r="O443" s="53"/>
    </row>
    <row r="444" spans="1:15" hidden="1" x14ac:dyDescent="0.2">
      <c r="A444" s="132">
        <v>1824000110</v>
      </c>
      <c r="B444" s="133" t="s">
        <v>2248</v>
      </c>
      <c r="C444" s="90" t="s">
        <v>352</v>
      </c>
      <c r="D444" s="142">
        <v>150000</v>
      </c>
      <c r="E444" s="92"/>
      <c r="F444" s="53"/>
      <c r="G444" s="53"/>
      <c r="H444" s="53"/>
      <c r="I444" s="53"/>
      <c r="J444" s="92"/>
      <c r="K444" s="142"/>
      <c r="L444" s="142"/>
      <c r="M444" s="53"/>
      <c r="N444" s="53"/>
      <c r="O444" s="53">
        <v>0</v>
      </c>
    </row>
    <row r="445" spans="1:15" x14ac:dyDescent="0.2">
      <c r="A445" s="132">
        <v>1824000870</v>
      </c>
      <c r="B445" s="133" t="s">
        <v>2253</v>
      </c>
      <c r="C445" s="90" t="s">
        <v>353</v>
      </c>
      <c r="D445" s="142"/>
      <c r="E445" s="92"/>
      <c r="F445" s="53"/>
      <c r="G445" s="53"/>
      <c r="H445" s="53"/>
      <c r="I445" s="53"/>
      <c r="J445" s="92"/>
      <c r="K445" s="142"/>
      <c r="L445" s="142">
        <v>250000</v>
      </c>
      <c r="M445" s="53"/>
      <c r="N445" s="53"/>
      <c r="O445" s="53"/>
    </row>
    <row r="446" spans="1:15" x14ac:dyDescent="0.2">
      <c r="A446" s="132">
        <v>1824030110</v>
      </c>
      <c r="B446" s="133" t="s">
        <v>2223</v>
      </c>
      <c r="C446" s="51" t="str">
        <f>VLOOKUP(A446,'עזר 2025'!A:C,3,FALSE)</f>
        <v>שכר כללי</v>
      </c>
      <c r="D446" s="142">
        <v>220000</v>
      </c>
      <c r="E446" s="53">
        <v>1</v>
      </c>
      <c r="F446" s="53">
        <v>193725.63</v>
      </c>
      <c r="G446" s="53">
        <v>0</v>
      </c>
      <c r="H446" s="53">
        <f t="shared" si="58"/>
        <v>193725.63</v>
      </c>
      <c r="I446" s="53">
        <f>SUMIFS('תקציב שכר'!J:J,'תקציב שכר'!A:A,A446)-H446</f>
        <v>35570.899999999994</v>
      </c>
      <c r="J446" s="53" t="s">
        <v>2052</v>
      </c>
      <c r="K446" s="142">
        <f>VLOOKUP(A446,'ביצוע דוח חשב 12.2024'!A:I,9,FALSE)</f>
        <v>228799.84</v>
      </c>
      <c r="L446" s="142">
        <v>240000</v>
      </c>
      <c r="M446" s="69">
        <f>SUMIFS('תקציב שכר'!M:M,'תקציב שכר'!A:A,A446)</f>
        <v>1</v>
      </c>
      <c r="N446" s="53"/>
      <c r="O446" s="53"/>
    </row>
    <row r="447" spans="1:15" x14ac:dyDescent="0.2">
      <c r="A447" s="132">
        <v>1824050870</v>
      </c>
      <c r="B447" s="133" t="s">
        <v>183</v>
      </c>
      <c r="C447" s="90" t="str">
        <f>VLOOKUP(A447,'עזר 2025'!A:C,3,FALSE)</f>
        <v>פעולות כלליות</v>
      </c>
      <c r="D447" s="142">
        <v>80000</v>
      </c>
      <c r="E447" s="92">
        <v>0</v>
      </c>
      <c r="F447" s="53">
        <v>55114.400000000001</v>
      </c>
      <c r="G447" s="53">
        <v>0</v>
      </c>
      <c r="H447" s="53">
        <f t="shared" si="58"/>
        <v>55114.400000000001</v>
      </c>
      <c r="I447" s="53"/>
      <c r="J447" s="92"/>
      <c r="K447" s="142">
        <f>VLOOKUP(A447,'ביצוע דוח חשב 12.2024'!A:I,9,FALSE)</f>
        <v>56811.4</v>
      </c>
      <c r="L447" s="142">
        <v>80000</v>
      </c>
      <c r="M447" s="53"/>
      <c r="N447" s="53"/>
      <c r="O447" s="53"/>
    </row>
    <row r="448" spans="1:15" x14ac:dyDescent="0.2">
      <c r="A448" s="132">
        <v>1828100110</v>
      </c>
      <c r="B448" s="133" t="s">
        <v>2224</v>
      </c>
      <c r="C448" s="51" t="str">
        <f>VLOOKUP(A448,'עזר 2025'!A:C,3,FALSE)</f>
        <v>שכר כללי</v>
      </c>
      <c r="D448" s="142">
        <v>600000</v>
      </c>
      <c r="E448" s="53">
        <v>4</v>
      </c>
      <c r="F448" s="53">
        <v>532794.63</v>
      </c>
      <c r="G448" s="53">
        <v>0</v>
      </c>
      <c r="H448" s="53">
        <f t="shared" si="58"/>
        <v>532794.63</v>
      </c>
      <c r="I448" s="53">
        <f>SUMIFS('תקציב שכר'!J:J,'תקציב שכר'!A:A,A448)-H448</f>
        <v>78210.939999999944</v>
      </c>
      <c r="J448" s="53" t="s">
        <v>2052</v>
      </c>
      <c r="K448" s="142">
        <f>VLOOKUP(A448,'ביצוע דוח חשב 12.2024'!A:I,9,FALSE)</f>
        <v>607822.27</v>
      </c>
      <c r="L448" s="142">
        <v>640000</v>
      </c>
      <c r="M448" s="69">
        <v>4</v>
      </c>
      <c r="N448" s="53"/>
      <c r="O448" s="53"/>
    </row>
    <row r="449" spans="1:15" x14ac:dyDescent="0.2">
      <c r="A449" s="132">
        <v>1828300110</v>
      </c>
      <c r="B449" s="133" t="s">
        <v>184</v>
      </c>
      <c r="C449" s="51" t="str">
        <f>VLOOKUP(A449,'עזר 2025'!A:C,3,FALSE)</f>
        <v>שכר כללי</v>
      </c>
      <c r="D449" s="142">
        <v>60000</v>
      </c>
      <c r="E449" s="53">
        <v>1</v>
      </c>
      <c r="F449" s="53">
        <v>37637.360000000001</v>
      </c>
      <c r="G449" s="53">
        <v>0</v>
      </c>
      <c r="H449" s="53">
        <f t="shared" si="58"/>
        <v>37637.360000000001</v>
      </c>
      <c r="I449" s="53">
        <f>SUMIFS('תקציב שכר'!J:J,'תקציב שכר'!A:A,A449)-H449</f>
        <v>9225.0800000000017</v>
      </c>
      <c r="J449" s="53" t="s">
        <v>2052</v>
      </c>
      <c r="K449" s="142">
        <f>VLOOKUP(A449,'ביצוע דוח חשב 12.2024'!A:I,9,FALSE)</f>
        <v>45992.33</v>
      </c>
      <c r="L449" s="142">
        <v>50000</v>
      </c>
      <c r="M449" s="69">
        <v>0.5</v>
      </c>
      <c r="N449" s="53"/>
      <c r="O449" s="53"/>
    </row>
    <row r="450" spans="1:15" x14ac:dyDescent="0.2">
      <c r="A450" s="132">
        <v>1829000431</v>
      </c>
      <c r="B450" s="133" t="s">
        <v>186</v>
      </c>
      <c r="C450" s="90" t="str">
        <f>VLOOKUP(A450,'עזר 2025'!A:C,3,FALSE)</f>
        <v>פעולות כלליות</v>
      </c>
      <c r="D450" s="142">
        <v>40000</v>
      </c>
      <c r="E450" s="92">
        <v>0</v>
      </c>
      <c r="F450" s="53">
        <v>62444.79</v>
      </c>
      <c r="G450" s="53">
        <v>4300</v>
      </c>
      <c r="H450" s="53">
        <f t="shared" ref="H450:H475" si="61">F450+G450</f>
        <v>66744.790000000008</v>
      </c>
      <c r="I450" s="53">
        <v>3000</v>
      </c>
      <c r="J450" s="92"/>
      <c r="K450" s="142">
        <f>VLOOKUP(A450,'ביצוע דוח חשב 12.2024'!A:I,9,FALSE)</f>
        <v>66744.789999999994</v>
      </c>
      <c r="L450" s="142">
        <v>70000</v>
      </c>
      <c r="M450" s="53"/>
      <c r="N450" s="53"/>
      <c r="O450" s="53"/>
    </row>
    <row r="451" spans="1:15" x14ac:dyDescent="0.2">
      <c r="A451" s="132">
        <v>1829100110</v>
      </c>
      <c r="B451" s="133" t="s">
        <v>187</v>
      </c>
      <c r="C451" s="51" t="str">
        <f>VLOOKUP(A451,'עזר 2025'!A:C,3,FALSE)</f>
        <v>שכר כללי</v>
      </c>
      <c r="D451" s="142">
        <v>400000</v>
      </c>
      <c r="E451" s="53">
        <v>2</v>
      </c>
      <c r="F451" s="53">
        <v>279994.65000000002</v>
      </c>
      <c r="G451" s="53">
        <v>0</v>
      </c>
      <c r="H451" s="53">
        <f t="shared" si="61"/>
        <v>279994.65000000002</v>
      </c>
      <c r="I451" s="53">
        <f>SUMIFS('תקציב שכר'!J:J,'תקציב שכר'!A:A,A451)-H451</f>
        <v>58382.359999999986</v>
      </c>
      <c r="J451" s="53" t="s">
        <v>2052</v>
      </c>
      <c r="K451" s="142">
        <f>VLOOKUP(A451,'ביצוע דוח חשב 12.2024'!A:I,9,FALSE)</f>
        <v>347635.24</v>
      </c>
      <c r="L451" s="142">
        <v>351000</v>
      </c>
      <c r="M451" s="69">
        <v>2.5</v>
      </c>
      <c r="N451" s="53"/>
      <c r="O451" s="53"/>
    </row>
    <row r="452" spans="1:15" x14ac:dyDescent="0.2">
      <c r="A452" s="132">
        <v>1829200431</v>
      </c>
      <c r="B452" s="133" t="s">
        <v>189</v>
      </c>
      <c r="C452" s="90" t="str">
        <f>VLOOKUP(A452,'עזר 2025'!A:C,3,FALSE)</f>
        <v>פעולות כלליות</v>
      </c>
      <c r="D452" s="142">
        <v>35000</v>
      </c>
      <c r="E452" s="92">
        <v>0</v>
      </c>
      <c r="F452" s="53">
        <v>36086.870000000003</v>
      </c>
      <c r="G452" s="53">
        <v>0</v>
      </c>
      <c r="H452" s="53">
        <f t="shared" si="61"/>
        <v>36086.870000000003</v>
      </c>
      <c r="I452" s="53">
        <v>6000</v>
      </c>
      <c r="J452" s="92"/>
      <c r="K452" s="142">
        <f>VLOOKUP(A452,'ביצוע דוח חשב 12.2024'!A:I,9,FALSE)</f>
        <v>36086.870000000003</v>
      </c>
      <c r="L452" s="142">
        <v>40000</v>
      </c>
      <c r="M452" s="53"/>
      <c r="N452" s="53"/>
      <c r="O452" s="53"/>
    </row>
    <row r="453" spans="1:15" x14ac:dyDescent="0.2">
      <c r="A453" s="132">
        <v>1829200432</v>
      </c>
      <c r="B453" s="133" t="s">
        <v>190</v>
      </c>
      <c r="C453" s="90" t="str">
        <f>VLOOKUP(A453,'עזר 2025'!A:C,3,FALSE)</f>
        <v>פעולות כלליות</v>
      </c>
      <c r="D453" s="142">
        <v>120000</v>
      </c>
      <c r="E453" s="92">
        <v>0</v>
      </c>
      <c r="F453" s="53">
        <v>0</v>
      </c>
      <c r="G453" s="53">
        <v>0</v>
      </c>
      <c r="H453" s="53">
        <f t="shared" si="61"/>
        <v>0</v>
      </c>
      <c r="I453" s="53">
        <f>D453-H453</f>
        <v>120000</v>
      </c>
      <c r="J453" s="92" t="s">
        <v>115</v>
      </c>
      <c r="K453" s="142">
        <v>300000</v>
      </c>
      <c r="L453" s="142">
        <v>300000</v>
      </c>
      <c r="M453" s="53"/>
      <c r="N453" s="53"/>
      <c r="O453" s="53"/>
    </row>
    <row r="454" spans="1:15" x14ac:dyDescent="0.2">
      <c r="A454" s="132">
        <v>1829200740</v>
      </c>
      <c r="B454" s="133" t="s">
        <v>110</v>
      </c>
      <c r="C454" s="90" t="str">
        <f>VLOOKUP(A454,'עזר 2025'!A:C,3,FALSE)</f>
        <v>פעולות כלליות</v>
      </c>
      <c r="D454" s="142">
        <v>80000</v>
      </c>
      <c r="E454" s="92">
        <v>0</v>
      </c>
      <c r="F454" s="53">
        <v>45796.82</v>
      </c>
      <c r="G454" s="53">
        <v>44550.67</v>
      </c>
      <c r="H454" s="53">
        <f t="shared" si="61"/>
        <v>90347.489999999991</v>
      </c>
      <c r="I454" s="53"/>
      <c r="J454" s="92"/>
      <c r="K454" s="142">
        <f>VLOOKUP(A454,'ביצוע דוח חשב 12.2024'!A:I,9,FALSE)</f>
        <v>53123.82</v>
      </c>
      <c r="L454" s="142">
        <v>60000</v>
      </c>
      <c r="M454" s="53"/>
      <c r="N454" s="53"/>
      <c r="O454" s="53"/>
    </row>
    <row r="455" spans="1:15" x14ac:dyDescent="0.2">
      <c r="A455" s="132">
        <v>1829200750</v>
      </c>
      <c r="B455" s="133" t="s">
        <v>193</v>
      </c>
      <c r="C455" s="90" t="str">
        <f>VLOOKUP(A455,'עזר 2025'!A:C,3,FALSE)</f>
        <v>פעולות כלליות</v>
      </c>
      <c r="D455" s="142">
        <v>150000</v>
      </c>
      <c r="E455" s="92">
        <v>0</v>
      </c>
      <c r="F455" s="53">
        <v>201171</v>
      </c>
      <c r="G455" s="53">
        <v>0</v>
      </c>
      <c r="H455" s="53">
        <f t="shared" si="61"/>
        <v>201171</v>
      </c>
      <c r="I455" s="53">
        <f>12224*3</f>
        <v>36672</v>
      </c>
      <c r="J455" s="92" t="s">
        <v>2076</v>
      </c>
      <c r="K455" s="142">
        <f>VLOOKUP(A455,'ביצוע דוח חשב 12.2024'!A:I,9,FALSE)</f>
        <v>237843</v>
      </c>
      <c r="L455" s="142">
        <v>150000</v>
      </c>
      <c r="M455" s="53"/>
      <c r="N455" s="53"/>
      <c r="O455" s="53"/>
    </row>
    <row r="456" spans="1:15" x14ac:dyDescent="0.2">
      <c r="A456" s="132">
        <v>1829200781</v>
      </c>
      <c r="B456" s="133" t="s">
        <v>645</v>
      </c>
      <c r="C456" s="90" t="str">
        <f>VLOOKUP(A456,'עזר 2025'!A:C,3,FALSE)</f>
        <v>פעולות כלליות</v>
      </c>
      <c r="D456" s="142">
        <v>25000</v>
      </c>
      <c r="E456" s="92">
        <v>0</v>
      </c>
      <c r="F456" s="53">
        <v>37008</v>
      </c>
      <c r="G456" s="53">
        <v>0</v>
      </c>
      <c r="H456" s="53">
        <f t="shared" si="61"/>
        <v>37008</v>
      </c>
      <c r="I456" s="53"/>
      <c r="J456" s="92"/>
      <c r="K456" s="142">
        <f>VLOOKUP(A456,'ביצוע דוח חשב 12.2024'!A:I,9,FALSE)</f>
        <v>37008</v>
      </c>
      <c r="L456" s="142">
        <v>40000</v>
      </c>
      <c r="M456" s="53"/>
      <c r="N456" s="53"/>
      <c r="O456" s="53"/>
    </row>
    <row r="457" spans="1:15" x14ac:dyDescent="0.2">
      <c r="A457" s="132">
        <v>1829201780</v>
      </c>
      <c r="B457" s="133" t="s">
        <v>641</v>
      </c>
      <c r="C457" s="90" t="str">
        <f>VLOOKUP(A457,'עזר 2025'!A:C,3,FALSE)</f>
        <v>פעולות כלליות</v>
      </c>
      <c r="D457" s="142">
        <v>30000</v>
      </c>
      <c r="E457" s="92">
        <v>0</v>
      </c>
      <c r="F457" s="53">
        <v>46985.46</v>
      </c>
      <c r="G457" s="53">
        <v>0</v>
      </c>
      <c r="H457" s="53">
        <f t="shared" si="61"/>
        <v>46985.46</v>
      </c>
      <c r="I457" s="53"/>
      <c r="J457" s="92"/>
      <c r="K457" s="142">
        <f>VLOOKUP(A457,'ביצוע דוח חשב 12.2024'!A:I,9,FALSE)</f>
        <v>46985.46</v>
      </c>
      <c r="L457" s="142">
        <v>50000</v>
      </c>
      <c r="M457" s="53"/>
      <c r="N457" s="53"/>
      <c r="O457" s="53"/>
    </row>
    <row r="458" spans="1:15" x14ac:dyDescent="0.2">
      <c r="A458" s="132">
        <v>1829201781</v>
      </c>
      <c r="B458" s="133" t="s">
        <v>646</v>
      </c>
      <c r="C458" s="90" t="str">
        <f>VLOOKUP(A458,'עזר 2025'!A:C,3,FALSE)</f>
        <v>פעולות כלליות</v>
      </c>
      <c r="D458" s="142">
        <v>30000</v>
      </c>
      <c r="E458" s="92">
        <v>0</v>
      </c>
      <c r="F458" s="53">
        <v>10765.76</v>
      </c>
      <c r="G458" s="53">
        <v>5000</v>
      </c>
      <c r="H458" s="53">
        <f t="shared" si="61"/>
        <v>15765.76</v>
      </c>
      <c r="I458" s="53"/>
      <c r="J458" s="92"/>
      <c r="K458" s="142">
        <f>VLOOKUP(A458,'ביצוע דוח חשב 12.2024'!A:I,9,FALSE)</f>
        <v>10765.76</v>
      </c>
      <c r="L458" s="142">
        <v>20000</v>
      </c>
      <c r="M458" s="53"/>
      <c r="N458" s="53"/>
      <c r="O458" s="53"/>
    </row>
    <row r="459" spans="1:15" x14ac:dyDescent="0.2">
      <c r="A459" s="132">
        <v>1829202780</v>
      </c>
      <c r="B459" s="133" t="s">
        <v>693</v>
      </c>
      <c r="C459" s="90" t="str">
        <f>VLOOKUP(A459,'עזר 2025'!A:C,3,FALSE)</f>
        <v>פעולות כלליות</v>
      </c>
      <c r="D459" s="142">
        <v>75000</v>
      </c>
      <c r="E459" s="92">
        <v>0</v>
      </c>
      <c r="F459" s="53">
        <v>62577.5</v>
      </c>
      <c r="G459" s="53">
        <v>0</v>
      </c>
      <c r="H459" s="53">
        <f t="shared" si="61"/>
        <v>62577.5</v>
      </c>
      <c r="I459" s="53"/>
      <c r="J459" s="92"/>
      <c r="K459" s="142">
        <f>VLOOKUP(A459,'ביצוע דוח חשב 12.2024'!A:I,9,FALSE)</f>
        <v>62577.5</v>
      </c>
      <c r="L459" s="142">
        <v>70000</v>
      </c>
      <c r="M459" s="53"/>
      <c r="N459" s="53"/>
      <c r="O459" s="53"/>
    </row>
    <row r="460" spans="1:15" x14ac:dyDescent="0.2">
      <c r="A460" s="132">
        <v>1829210110</v>
      </c>
      <c r="B460" s="133" t="s">
        <v>195</v>
      </c>
      <c r="C460" s="51" t="str">
        <f>VLOOKUP(A460,'עזר 2025'!A:C,3,FALSE)</f>
        <v>שכר כללי</v>
      </c>
      <c r="D460" s="142">
        <v>200000</v>
      </c>
      <c r="E460" s="53">
        <v>0</v>
      </c>
      <c r="F460" s="53">
        <v>105411.82</v>
      </c>
      <c r="G460" s="53">
        <v>0</v>
      </c>
      <c r="H460" s="53">
        <f t="shared" si="61"/>
        <v>105411.82</v>
      </c>
      <c r="I460" s="53">
        <f>SUMIFS('תקציב שכר'!J:J,'תקציב שכר'!A:A,A460)-H460</f>
        <v>60685.039999999979</v>
      </c>
      <c r="J460" s="53" t="s">
        <v>2052</v>
      </c>
      <c r="K460" s="142">
        <f>VLOOKUP(A460,'ביצוע דוח חשב 12.2024'!A:I,9,FALSE)</f>
        <v>159328.82999999999</v>
      </c>
      <c r="L460" s="142">
        <v>160000</v>
      </c>
      <c r="M460" s="69">
        <v>0</v>
      </c>
      <c r="N460" s="53"/>
      <c r="O460" s="53"/>
    </row>
    <row r="461" spans="1:15" x14ac:dyDescent="0.2">
      <c r="A461" s="132">
        <v>1829300750</v>
      </c>
      <c r="B461" s="133" t="s">
        <v>196</v>
      </c>
      <c r="C461" s="90" t="str">
        <f>VLOOKUP(A461,'עזר 2025'!A:C,3,FALSE)</f>
        <v>פעולות כלליות</v>
      </c>
      <c r="D461" s="142">
        <v>0</v>
      </c>
      <c r="E461" s="92">
        <v>0</v>
      </c>
      <c r="F461" s="53">
        <v>77428</v>
      </c>
      <c r="G461" s="53">
        <v>0</v>
      </c>
      <c r="H461" s="53">
        <f t="shared" si="61"/>
        <v>77428</v>
      </c>
      <c r="I461" s="53"/>
      <c r="J461" s="92"/>
      <c r="K461" s="142">
        <v>57000</v>
      </c>
      <c r="L461" s="142">
        <v>60000</v>
      </c>
      <c r="M461" s="53"/>
      <c r="N461" s="53"/>
      <c r="O461" s="53"/>
    </row>
    <row r="462" spans="1:15" ht="41.25" customHeight="1" x14ac:dyDescent="0.2">
      <c r="A462" s="136"/>
      <c r="B462" s="136" t="s">
        <v>2157</v>
      </c>
      <c r="C462" s="81"/>
      <c r="D462" s="140">
        <f>SUM(D439:D461)</f>
        <v>2570000</v>
      </c>
      <c r="E462" s="82">
        <f t="shared" ref="E462:O462" si="62">SUM(E439:E461)</f>
        <v>9</v>
      </c>
      <c r="F462" s="82">
        <f t="shared" si="62"/>
        <v>1952734.4200000002</v>
      </c>
      <c r="G462" s="82">
        <f t="shared" si="62"/>
        <v>99750.17</v>
      </c>
      <c r="H462" s="82">
        <f t="shared" si="62"/>
        <v>2052484.59</v>
      </c>
      <c r="I462" s="82">
        <f t="shared" si="62"/>
        <v>453154.0799999999</v>
      </c>
      <c r="J462" s="82">
        <f t="shared" si="62"/>
        <v>0</v>
      </c>
      <c r="K462" s="140">
        <f t="shared" si="62"/>
        <v>2883600.7899999996</v>
      </c>
      <c r="L462" s="140">
        <f>SUM(L439:L461)</f>
        <v>3181000</v>
      </c>
      <c r="M462" s="82">
        <f t="shared" si="62"/>
        <v>9</v>
      </c>
      <c r="N462" s="82">
        <f t="shared" si="62"/>
        <v>0</v>
      </c>
      <c r="O462" s="82">
        <f t="shared" si="62"/>
        <v>0</v>
      </c>
    </row>
    <row r="463" spans="1:15" x14ac:dyDescent="0.2">
      <c r="A463" s="132">
        <v>1832400110</v>
      </c>
      <c r="B463" s="133" t="s">
        <v>198</v>
      </c>
      <c r="C463" s="51" t="str">
        <f>VLOOKUP(A463,'עזר 2025'!A:C,3,FALSE)</f>
        <v>שכר כללי</v>
      </c>
      <c r="D463" s="138">
        <v>300000</v>
      </c>
      <c r="E463" s="53">
        <v>2</v>
      </c>
      <c r="F463" s="53">
        <v>111584.82</v>
      </c>
      <c r="G463" s="53">
        <v>0</v>
      </c>
      <c r="H463" s="53">
        <f t="shared" si="61"/>
        <v>111584.82</v>
      </c>
      <c r="I463" s="53">
        <f>SUMIFS('תקציב שכר'!J:J,'תקציב שכר'!A:A,A463)-H463</f>
        <v>27752.47</v>
      </c>
      <c r="J463" s="53" t="s">
        <v>2052</v>
      </c>
      <c r="K463" s="138">
        <f>VLOOKUP(A463,'ביצוע דוח חשב 12.2024'!A:I,9,FALSE)</f>
        <v>144305.48000000001</v>
      </c>
      <c r="L463" s="138">
        <v>150000</v>
      </c>
      <c r="M463" s="69">
        <v>1</v>
      </c>
      <c r="N463" s="53"/>
      <c r="O463" s="53"/>
    </row>
    <row r="464" spans="1:15" x14ac:dyDescent="0.2">
      <c r="A464" s="132">
        <v>1832400431</v>
      </c>
      <c r="B464" s="133" t="s">
        <v>199</v>
      </c>
      <c r="C464" s="90" t="str">
        <f>VLOOKUP(A464,'עזר 2025'!A:C,3,FALSE)</f>
        <v>פעולות כלליות</v>
      </c>
      <c r="D464" s="142">
        <v>25000</v>
      </c>
      <c r="E464" s="92">
        <v>0</v>
      </c>
      <c r="F464" s="53">
        <v>49257.16</v>
      </c>
      <c r="G464" s="53">
        <v>0</v>
      </c>
      <c r="H464" s="53">
        <f t="shared" si="61"/>
        <v>49257.16</v>
      </c>
      <c r="I464" s="53">
        <v>2000</v>
      </c>
      <c r="J464" s="92"/>
      <c r="K464" s="142">
        <f>VLOOKUP(A464,'ביצוע דוח חשב 12.2024'!A:I,9,FALSE)</f>
        <v>49257.16</v>
      </c>
      <c r="L464" s="142">
        <v>50000</v>
      </c>
      <c r="M464" s="53"/>
      <c r="N464" s="53"/>
      <c r="O464" s="53"/>
    </row>
    <row r="465" spans="1:15" x14ac:dyDescent="0.2">
      <c r="A465" s="132">
        <v>1832400432</v>
      </c>
      <c r="B465" s="133" t="s">
        <v>200</v>
      </c>
      <c r="C465" s="90" t="str">
        <f>VLOOKUP(A465,'עזר 2025'!A:C,3,FALSE)</f>
        <v>פעולות כלליות</v>
      </c>
      <c r="D465" s="142">
        <v>12000</v>
      </c>
      <c r="E465" s="92">
        <v>0</v>
      </c>
      <c r="F465" s="53">
        <v>0</v>
      </c>
      <c r="G465" s="53">
        <v>0</v>
      </c>
      <c r="H465" s="53">
        <f t="shared" si="61"/>
        <v>0</v>
      </c>
      <c r="I465" s="53">
        <f>D465-H465</f>
        <v>12000</v>
      </c>
      <c r="J465" s="92" t="s">
        <v>115</v>
      </c>
      <c r="K465" s="142">
        <v>11000</v>
      </c>
      <c r="L465" s="142">
        <v>13000</v>
      </c>
      <c r="M465" s="53"/>
      <c r="N465" s="53"/>
      <c r="O465" s="53"/>
    </row>
    <row r="466" spans="1:15" x14ac:dyDescent="0.2">
      <c r="A466" s="132">
        <v>1832400750</v>
      </c>
      <c r="B466" s="133" t="s">
        <v>201</v>
      </c>
      <c r="C466" s="90" t="str">
        <f>VLOOKUP(A466,'עזר 2025'!A:C,3,FALSE)</f>
        <v>פעולות כלליות</v>
      </c>
      <c r="D466" s="142">
        <v>18000</v>
      </c>
      <c r="E466" s="92">
        <v>0</v>
      </c>
      <c r="F466" s="53">
        <v>0</v>
      </c>
      <c r="G466" s="53">
        <v>0</v>
      </c>
      <c r="H466" s="53">
        <f t="shared" si="61"/>
        <v>0</v>
      </c>
      <c r="I466" s="53"/>
      <c r="J466" s="92"/>
      <c r="K466" s="142">
        <f>VLOOKUP(A466,'ביצוע דוח חשב 12.2024'!A:I,9,FALSE)</f>
        <v>0</v>
      </c>
      <c r="L466" s="142">
        <v>15000</v>
      </c>
      <c r="M466" s="53"/>
      <c r="N466" s="53"/>
      <c r="O466" s="53"/>
    </row>
    <row r="467" spans="1:15" s="50" customFormat="1" hidden="1" x14ac:dyDescent="0.2">
      <c r="A467" s="90">
        <v>1832410750</v>
      </c>
      <c r="B467" s="91" t="s">
        <v>1916</v>
      </c>
      <c r="C467" s="90" t="s">
        <v>353</v>
      </c>
      <c r="D467" s="92"/>
      <c r="E467" s="92"/>
      <c r="F467" s="53">
        <v>0</v>
      </c>
      <c r="G467" s="53">
        <v>38000</v>
      </c>
      <c r="H467" s="53">
        <f t="shared" si="61"/>
        <v>38000</v>
      </c>
      <c r="I467" s="53"/>
      <c r="J467" s="92"/>
      <c r="K467" s="92">
        <f>VLOOKUP(A467,'ביצוע דוח חשב 12.2024'!A:I,9,FALSE)</f>
        <v>0</v>
      </c>
      <c r="L467" s="92">
        <v>0</v>
      </c>
      <c r="M467" s="53"/>
      <c r="N467" s="53"/>
      <c r="O467" s="53">
        <v>1</v>
      </c>
    </row>
    <row r="468" spans="1:15" s="50" customFormat="1" ht="41.25" customHeight="1" x14ac:dyDescent="0.2">
      <c r="A468" s="81"/>
      <c r="B468" s="81" t="s">
        <v>429</v>
      </c>
      <c r="C468" s="81"/>
      <c r="D468" s="82">
        <f>SUM(D463:D467)</f>
        <v>355000</v>
      </c>
      <c r="E468" s="82">
        <f t="shared" ref="E468:N468" si="63">SUM(E463:E467)</f>
        <v>2</v>
      </c>
      <c r="F468" s="82">
        <f t="shared" si="63"/>
        <v>160841.98000000001</v>
      </c>
      <c r="G468" s="82">
        <f t="shared" si="63"/>
        <v>38000</v>
      </c>
      <c r="H468" s="82">
        <f t="shared" si="63"/>
        <v>198841.98</v>
      </c>
      <c r="I468" s="82">
        <f t="shared" si="63"/>
        <v>41752.47</v>
      </c>
      <c r="J468" s="82">
        <f t="shared" si="63"/>
        <v>0</v>
      </c>
      <c r="K468" s="82">
        <f t="shared" si="63"/>
        <v>204562.64</v>
      </c>
      <c r="L468" s="82">
        <f t="shared" si="63"/>
        <v>228000</v>
      </c>
      <c r="M468" s="82">
        <f t="shared" si="63"/>
        <v>1</v>
      </c>
      <c r="N468" s="82">
        <f t="shared" si="63"/>
        <v>0</v>
      </c>
      <c r="O468" s="82">
        <v>0</v>
      </c>
    </row>
    <row r="469" spans="1:15" x14ac:dyDescent="0.2">
      <c r="A469" s="132">
        <v>1841000420</v>
      </c>
      <c r="B469" s="133" t="s">
        <v>204</v>
      </c>
      <c r="C469" s="51" t="s">
        <v>359</v>
      </c>
      <c r="D469" s="142">
        <v>0</v>
      </c>
      <c r="E469" s="53">
        <v>0</v>
      </c>
      <c r="F469" s="53">
        <v>48736.959999999999</v>
      </c>
      <c r="G469" s="53">
        <v>0</v>
      </c>
      <c r="H469" s="53">
        <f t="shared" si="61"/>
        <v>48736.959999999999</v>
      </c>
      <c r="I469" s="53"/>
      <c r="J469" s="53"/>
      <c r="K469" s="142">
        <f>VLOOKUP(A469,'ביצוע דוח חשב 12.2024'!A:I,9,FALSE)</f>
        <v>48736.959999999999</v>
      </c>
      <c r="L469" s="142">
        <v>50000</v>
      </c>
      <c r="M469" s="53"/>
      <c r="N469" s="53"/>
      <c r="O469" s="53"/>
    </row>
    <row r="470" spans="1:15" x14ac:dyDescent="0.2">
      <c r="A470" s="132">
        <v>1841000431</v>
      </c>
      <c r="B470" s="133" t="s">
        <v>205</v>
      </c>
      <c r="C470" s="51" t="str">
        <f>VLOOKUP(A470,'עזר 2025'!A:C,3,FALSE)</f>
        <v>פעולות רווחה</v>
      </c>
      <c r="D470" s="142">
        <v>0</v>
      </c>
      <c r="E470" s="53">
        <v>0</v>
      </c>
      <c r="F470" s="53">
        <v>18039.98</v>
      </c>
      <c r="G470" s="53">
        <v>0</v>
      </c>
      <c r="H470" s="53">
        <f t="shared" si="61"/>
        <v>18039.98</v>
      </c>
      <c r="I470" s="53">
        <v>2000</v>
      </c>
      <c r="J470" s="53"/>
      <c r="K470" s="142">
        <f>VLOOKUP(A470,'ביצוע דוח חשב 12.2024'!A:I,9,FALSE)</f>
        <v>18039.98</v>
      </c>
      <c r="L470" s="142">
        <v>20000</v>
      </c>
      <c r="M470" s="53"/>
      <c r="N470" s="53"/>
      <c r="O470" s="53"/>
    </row>
    <row r="471" spans="1:15" x14ac:dyDescent="0.2">
      <c r="A471" s="132">
        <v>1841000780</v>
      </c>
      <c r="B471" s="133" t="s">
        <v>13</v>
      </c>
      <c r="C471" s="51" t="str">
        <f>VLOOKUP(A471,'עזר 2025'!A:C,3,FALSE)</f>
        <v>פעולות רווחה</v>
      </c>
      <c r="D471" s="142">
        <v>100000</v>
      </c>
      <c r="E471" s="53">
        <v>0</v>
      </c>
      <c r="F471" s="53">
        <v>59931.95</v>
      </c>
      <c r="G471" s="53">
        <v>40033.11</v>
      </c>
      <c r="H471" s="53">
        <f t="shared" si="61"/>
        <v>99965.06</v>
      </c>
      <c r="I471" s="53"/>
      <c r="J471" s="53"/>
      <c r="K471" s="142">
        <f>VLOOKUP(A471,'ביצוע דוח חשב 12.2024'!A:I,9,FALSE)</f>
        <v>59931.95</v>
      </c>
      <c r="L471" s="142">
        <v>60000</v>
      </c>
      <c r="M471" s="53"/>
      <c r="N471" s="53"/>
      <c r="O471" s="53"/>
    </row>
    <row r="472" spans="1:15" x14ac:dyDescent="0.2">
      <c r="A472" s="132">
        <v>1841001110</v>
      </c>
      <c r="B472" s="133" t="s">
        <v>206</v>
      </c>
      <c r="C472" s="51" t="str">
        <f>VLOOKUP(A472,'עזר 2025'!A:C,3,FALSE)</f>
        <v>שכר רווחה</v>
      </c>
      <c r="D472" s="142">
        <v>3600000</v>
      </c>
      <c r="E472" s="53">
        <v>16</v>
      </c>
      <c r="F472" s="53">
        <v>2879621.54</v>
      </c>
      <c r="G472" s="53">
        <v>0</v>
      </c>
      <c r="H472" s="53">
        <f t="shared" si="61"/>
        <v>2879621.54</v>
      </c>
      <c r="I472" s="53">
        <f>SUMIFS('תקציב שכר'!J:J,'תקציב שכר'!A:A,A472)-H472</f>
        <v>582255.01999999955</v>
      </c>
      <c r="J472" s="53" t="s">
        <v>2052</v>
      </c>
      <c r="K472" s="142">
        <f>VLOOKUP(A472,'ביצוע דוח חשב 12.2024'!A:I,9,FALSE)</f>
        <v>3463274.6</v>
      </c>
      <c r="L472" s="142">
        <v>3800000</v>
      </c>
      <c r="M472" s="69">
        <v>16</v>
      </c>
      <c r="N472" s="53"/>
      <c r="O472" s="53"/>
    </row>
    <row r="473" spans="1:15" x14ac:dyDescent="0.2">
      <c r="A473" s="132">
        <v>1841003431</v>
      </c>
      <c r="B473" s="133" t="s">
        <v>20</v>
      </c>
      <c r="C473" s="51" t="str">
        <f>VLOOKUP(A473,'עזר 2025'!A:C,3,FALSE)</f>
        <v>פעולות רווחה</v>
      </c>
      <c r="D473" s="142">
        <v>50000</v>
      </c>
      <c r="E473" s="53">
        <v>0</v>
      </c>
      <c r="F473" s="53">
        <v>16692.32</v>
      </c>
      <c r="G473" s="53">
        <v>0</v>
      </c>
      <c r="H473" s="53">
        <f t="shared" si="61"/>
        <v>16692.32</v>
      </c>
      <c r="I473" s="53">
        <v>10000</v>
      </c>
      <c r="J473" s="53"/>
      <c r="K473" s="142">
        <f>VLOOKUP(A473,'ביצוע דוח חשב 12.2024'!A:I,9,FALSE)</f>
        <v>16692.32</v>
      </c>
      <c r="L473" s="142">
        <v>30000</v>
      </c>
      <c r="M473" s="53"/>
      <c r="N473" s="53"/>
      <c r="O473" s="53"/>
    </row>
    <row r="474" spans="1:15" x14ac:dyDescent="0.2">
      <c r="A474" s="132">
        <v>1841003560</v>
      </c>
      <c r="B474" s="133" t="s">
        <v>208</v>
      </c>
      <c r="C474" s="51" t="str">
        <f>VLOOKUP(A474,'עזר 2025'!A:C,3,FALSE)</f>
        <v>פעולות רווחה</v>
      </c>
      <c r="D474" s="142">
        <v>20000</v>
      </c>
      <c r="E474" s="53">
        <v>0</v>
      </c>
      <c r="F474" s="53">
        <v>4471</v>
      </c>
      <c r="G474" s="53">
        <v>0</v>
      </c>
      <c r="H474" s="53">
        <f t="shared" si="61"/>
        <v>4471</v>
      </c>
      <c r="I474" s="53"/>
      <c r="J474" s="53"/>
      <c r="K474" s="142">
        <f>VLOOKUP(A474,'ביצוע דוח חשב 12.2024'!A:I,9,FALSE)</f>
        <v>4471</v>
      </c>
      <c r="L474" s="142">
        <v>10000</v>
      </c>
      <c r="M474" s="53"/>
      <c r="N474" s="53"/>
      <c r="O474" s="53"/>
    </row>
    <row r="475" spans="1:15" x14ac:dyDescent="0.2">
      <c r="A475" s="132">
        <v>1841003780</v>
      </c>
      <c r="B475" s="133" t="s">
        <v>13</v>
      </c>
      <c r="C475" s="51" t="str">
        <f>VLOOKUP(A475,'עזר 2025'!A:C,3,FALSE)</f>
        <v>פעולות רווחה</v>
      </c>
      <c r="D475" s="142">
        <v>30000</v>
      </c>
      <c r="E475" s="53">
        <v>0</v>
      </c>
      <c r="F475" s="53">
        <v>0</v>
      </c>
      <c r="G475" s="53">
        <v>0</v>
      </c>
      <c r="H475" s="53">
        <f t="shared" si="61"/>
        <v>0</v>
      </c>
      <c r="I475" s="53"/>
      <c r="J475" s="53"/>
      <c r="K475" s="142">
        <f>VLOOKUP(A475,'ביצוע דוח חשב 12.2024'!A:I,9,FALSE)</f>
        <v>0</v>
      </c>
      <c r="L475" s="142">
        <v>10000</v>
      </c>
      <c r="M475" s="53"/>
      <c r="N475" s="53"/>
      <c r="O475" s="53"/>
    </row>
    <row r="476" spans="1:15" x14ac:dyDescent="0.2">
      <c r="A476" s="132">
        <v>1841100110</v>
      </c>
      <c r="B476" s="133" t="s">
        <v>644</v>
      </c>
      <c r="C476" s="51" t="str">
        <f>VLOOKUP(A476,'עזר 2025'!A:C,3,FALSE)</f>
        <v>שכר רווחה</v>
      </c>
      <c r="D476" s="142">
        <v>170000</v>
      </c>
      <c r="E476" s="53">
        <v>1</v>
      </c>
      <c r="F476" s="53">
        <v>144066.59</v>
      </c>
      <c r="G476" s="53">
        <v>0</v>
      </c>
      <c r="H476" s="53">
        <f t="shared" ref="H476:H499" si="64">F476+G476</f>
        <v>144066.59</v>
      </c>
      <c r="I476" s="53">
        <f>SUMIFS('תקציב שכר'!J:J,'תקציב שכר'!A:A,A476)-H476</f>
        <v>26180.100000000006</v>
      </c>
      <c r="J476" s="53" t="s">
        <v>2052</v>
      </c>
      <c r="K476" s="142">
        <f>VLOOKUP(A476,'ביצוע דוח חשב 12.2024'!A:I,9,FALSE)</f>
        <v>170607.13</v>
      </c>
      <c r="L476" s="142">
        <v>180000</v>
      </c>
      <c r="M476" s="69">
        <f>SUMIFS('תקציב שכר'!M:M,'תקציב שכר'!A:A,A476)</f>
        <v>1</v>
      </c>
      <c r="N476" s="53"/>
      <c r="O476" s="53"/>
    </row>
    <row r="477" spans="1:15" ht="26.25" x14ac:dyDescent="0.2">
      <c r="A477" s="134"/>
      <c r="B477" s="134" t="s">
        <v>732</v>
      </c>
      <c r="C477" s="79"/>
      <c r="D477" s="139">
        <f>SUM(D469:D476)</f>
        <v>3970000</v>
      </c>
      <c r="E477" s="80">
        <f t="shared" ref="E477:O477" si="65">SUM(E469:E476)</f>
        <v>17</v>
      </c>
      <c r="F477" s="80">
        <f t="shared" si="65"/>
        <v>3171560.34</v>
      </c>
      <c r="G477" s="80">
        <f t="shared" si="65"/>
        <v>40033.11</v>
      </c>
      <c r="H477" s="80">
        <f t="shared" si="65"/>
        <v>3211593.4499999997</v>
      </c>
      <c r="I477" s="80">
        <f t="shared" si="65"/>
        <v>620435.11999999953</v>
      </c>
      <c r="J477" s="80">
        <f t="shared" si="65"/>
        <v>0</v>
      </c>
      <c r="K477" s="139">
        <f t="shared" si="65"/>
        <v>3781753.94</v>
      </c>
      <c r="L477" s="139">
        <f t="shared" si="65"/>
        <v>4160000</v>
      </c>
      <c r="M477" s="80">
        <f t="shared" si="65"/>
        <v>17</v>
      </c>
      <c r="N477" s="80">
        <f t="shared" si="65"/>
        <v>0</v>
      </c>
      <c r="O477" s="80">
        <f t="shared" si="65"/>
        <v>0</v>
      </c>
    </row>
    <row r="478" spans="1:15" x14ac:dyDescent="0.2">
      <c r="A478" s="132">
        <v>1842101840</v>
      </c>
      <c r="B478" s="133" t="s">
        <v>241</v>
      </c>
      <c r="C478" s="51" t="str">
        <f>VLOOKUP(A478,'עזר 2025'!A:C,3,FALSE)</f>
        <v>פעולות רווחה</v>
      </c>
      <c r="D478" s="142">
        <v>250000</v>
      </c>
      <c r="E478" s="53">
        <v>0</v>
      </c>
      <c r="F478" s="53">
        <v>0</v>
      </c>
      <c r="G478" s="53">
        <v>0</v>
      </c>
      <c r="H478" s="53">
        <f t="shared" si="64"/>
        <v>0</v>
      </c>
      <c r="I478" s="53"/>
      <c r="J478" s="53"/>
      <c r="K478" s="142">
        <f>VLOOKUP(A478,'ביצוע דוח חשב 12.2024'!A:I,9,FALSE)</f>
        <v>0</v>
      </c>
      <c r="L478" s="142">
        <v>250000</v>
      </c>
      <c r="M478" s="53"/>
      <c r="N478" s="53"/>
      <c r="O478" s="53"/>
    </row>
    <row r="479" spans="1:15" x14ac:dyDescent="0.2">
      <c r="A479" s="132">
        <v>1842102840</v>
      </c>
      <c r="B479" s="133" t="s">
        <v>1123</v>
      </c>
      <c r="C479" s="51" t="str">
        <f>VLOOKUP(A479,'עזר 2025'!A:C,3,FALSE)</f>
        <v>פעולות רווחה</v>
      </c>
      <c r="D479" s="142">
        <v>190000</v>
      </c>
      <c r="E479" s="53">
        <v>0</v>
      </c>
      <c r="F479" s="53">
        <v>50188.56</v>
      </c>
      <c r="G479" s="53">
        <v>15476.3</v>
      </c>
      <c r="H479" s="53">
        <f t="shared" si="64"/>
        <v>65664.86</v>
      </c>
      <c r="I479" s="53"/>
      <c r="J479" s="53"/>
      <c r="K479" s="142">
        <f>VLOOKUP(A479,'ביצוע דוח חשב 12.2024'!A:I,9,FALSE)</f>
        <v>50188.56</v>
      </c>
      <c r="L479" s="142">
        <v>100000</v>
      </c>
      <c r="M479" s="53"/>
      <c r="N479" s="53"/>
      <c r="O479" s="53"/>
    </row>
    <row r="480" spans="1:15" x14ac:dyDescent="0.2">
      <c r="A480" s="132">
        <v>1842200110</v>
      </c>
      <c r="B480" s="133" t="s">
        <v>1026</v>
      </c>
      <c r="C480" s="51" t="str">
        <f>VLOOKUP(A480,'עזר 2025'!A:C,3,FALSE)</f>
        <v>שכר רווחה</v>
      </c>
      <c r="D480" s="142">
        <v>155000</v>
      </c>
      <c r="E480" s="53">
        <v>1</v>
      </c>
      <c r="F480" s="53">
        <v>130504.53</v>
      </c>
      <c r="G480" s="53">
        <v>0</v>
      </c>
      <c r="H480" s="53">
        <f t="shared" si="64"/>
        <v>130504.53</v>
      </c>
      <c r="I480" s="53">
        <f>SUMIFS('תקציב שכר'!J:J,'תקציב שכר'!A:A,A480)-H480</f>
        <v>23240.720000000001</v>
      </c>
      <c r="J480" s="53" t="s">
        <v>2052</v>
      </c>
      <c r="K480" s="142">
        <f>VLOOKUP(A480,'ביצוע דוח חשב 12.2024'!A:I,9,FALSE)</f>
        <v>154191.26999999999</v>
      </c>
      <c r="L480" s="142">
        <v>160000</v>
      </c>
      <c r="M480" s="69">
        <f>SUMIFS('תקציב שכר'!M:M,'תקציב שכר'!A:A,A480)</f>
        <v>1</v>
      </c>
      <c r="N480" s="53"/>
      <c r="O480" s="53"/>
    </row>
    <row r="481" spans="1:15" x14ac:dyDescent="0.2">
      <c r="A481" s="132">
        <v>1842202750</v>
      </c>
      <c r="B481" s="133" t="s">
        <v>694</v>
      </c>
      <c r="C481" s="51" t="str">
        <f>VLOOKUP(A481,'עזר 2025'!A:C,3,FALSE)</f>
        <v>פעולות רווחה</v>
      </c>
      <c r="D481" s="142">
        <v>336000</v>
      </c>
      <c r="E481" s="53">
        <v>0</v>
      </c>
      <c r="F481" s="53">
        <v>0</v>
      </c>
      <c r="G481" s="53">
        <v>0</v>
      </c>
      <c r="H481" s="53">
        <f t="shared" si="64"/>
        <v>0</v>
      </c>
      <c r="I481" s="53"/>
      <c r="J481" s="53"/>
      <c r="K481" s="142">
        <v>200000</v>
      </c>
      <c r="L481" s="142">
        <v>200000</v>
      </c>
      <c r="M481" s="53"/>
      <c r="N481" s="53"/>
      <c r="O481" s="53"/>
    </row>
    <row r="482" spans="1:15" x14ac:dyDescent="0.2">
      <c r="A482" s="132">
        <v>1842202840</v>
      </c>
      <c r="B482" s="133" t="s">
        <v>209</v>
      </c>
      <c r="C482" s="51" t="str">
        <f>VLOOKUP(A482,'עזר 2025'!A:C,3,FALSE)</f>
        <v>פעולות רווחה</v>
      </c>
      <c r="D482" s="142">
        <v>150000</v>
      </c>
      <c r="E482" s="53">
        <v>0</v>
      </c>
      <c r="F482" s="53">
        <v>1370005</v>
      </c>
      <c r="G482" s="53">
        <v>0</v>
      </c>
      <c r="H482" s="53">
        <f t="shared" si="64"/>
        <v>1370005</v>
      </c>
      <c r="I482" s="53">
        <f>-1240867+18000</f>
        <v>-1222867</v>
      </c>
      <c r="J482" s="53" t="s">
        <v>2078</v>
      </c>
      <c r="K482" s="142">
        <v>150000</v>
      </c>
      <c r="L482" s="142">
        <v>160000</v>
      </c>
      <c r="M482" s="53"/>
      <c r="N482" s="53"/>
      <c r="O482" s="53"/>
    </row>
    <row r="483" spans="1:15" x14ac:dyDescent="0.2">
      <c r="A483" s="132">
        <v>1842206930</v>
      </c>
      <c r="B483" s="133" t="s">
        <v>1572</v>
      </c>
      <c r="C483" s="51" t="str">
        <f>VLOOKUP(A483,'עזר 2025'!A:C,3,FALSE)</f>
        <v>פעולות רווחה</v>
      </c>
      <c r="D483" s="142">
        <v>75000</v>
      </c>
      <c r="E483" s="53">
        <v>0</v>
      </c>
      <c r="F483" s="53">
        <v>83666</v>
      </c>
      <c r="G483" s="53">
        <v>0</v>
      </c>
      <c r="H483" s="53">
        <f t="shared" si="64"/>
        <v>83666</v>
      </c>
      <c r="I483" s="53">
        <v>7000</v>
      </c>
      <c r="J483" s="53" t="s">
        <v>2079</v>
      </c>
      <c r="K483" s="142">
        <f>VLOOKUP(A483,'ביצוע דוח חשב 12.2024'!A:I,9,FALSE)</f>
        <v>89966</v>
      </c>
      <c r="L483" s="142">
        <v>95000</v>
      </c>
      <c r="M483" s="53"/>
      <c r="N483" s="53"/>
      <c r="O483" s="53"/>
    </row>
    <row r="484" spans="1:15" x14ac:dyDescent="0.2">
      <c r="A484" s="132">
        <v>1842208840</v>
      </c>
      <c r="B484" s="133" t="s">
        <v>765</v>
      </c>
      <c r="C484" s="51" t="str">
        <f>VLOOKUP(A484,'עזר 2025'!A:C,3,FALSE)</f>
        <v>פעולות רווחה</v>
      </c>
      <c r="D484" s="142">
        <v>140000</v>
      </c>
      <c r="E484" s="53">
        <v>0</v>
      </c>
      <c r="F484" s="53">
        <v>132039</v>
      </c>
      <c r="G484" s="53">
        <v>0</v>
      </c>
      <c r="H484" s="53">
        <f t="shared" si="64"/>
        <v>132039</v>
      </c>
      <c r="I484" s="53">
        <v>10000</v>
      </c>
      <c r="J484" s="53" t="s">
        <v>2080</v>
      </c>
      <c r="K484" s="142">
        <f>VLOOKUP(A484,'ביצוע דוח חשב 12.2024'!A:I,9,FALSE)</f>
        <v>143415</v>
      </c>
      <c r="L484" s="142">
        <v>150000</v>
      </c>
      <c r="M484" s="53"/>
      <c r="N484" s="53"/>
      <c r="O484" s="53"/>
    </row>
    <row r="485" spans="1:15" x14ac:dyDescent="0.2">
      <c r="A485" s="132">
        <v>1842401840</v>
      </c>
      <c r="B485" s="133" t="s">
        <v>210</v>
      </c>
      <c r="C485" s="51" t="str">
        <f>VLOOKUP(A485,'עזר 2025'!A:C,3,FALSE)</f>
        <v>פעולות רווחה</v>
      </c>
      <c r="D485" s="142">
        <v>35000</v>
      </c>
      <c r="E485" s="53">
        <v>0</v>
      </c>
      <c r="F485" s="53">
        <v>0</v>
      </c>
      <c r="G485" s="53">
        <v>0</v>
      </c>
      <c r="H485" s="53">
        <f t="shared" si="64"/>
        <v>0</v>
      </c>
      <c r="I485" s="53"/>
      <c r="J485" s="53"/>
      <c r="K485" s="142">
        <f>VLOOKUP(A485,'ביצוע דוח חשב 12.2024'!A:I,9,FALSE)</f>
        <v>0</v>
      </c>
      <c r="L485" s="142">
        <v>15000</v>
      </c>
      <c r="M485" s="53"/>
      <c r="N485" s="53"/>
      <c r="O485" s="53"/>
    </row>
    <row r="486" spans="1:15" x14ac:dyDescent="0.2">
      <c r="A486" s="132">
        <v>1842402840</v>
      </c>
      <c r="B486" s="133" t="s">
        <v>211</v>
      </c>
      <c r="C486" s="51" t="str">
        <f>VLOOKUP(A486,'עזר 2025'!A:C,3,FALSE)</f>
        <v>פעולות רווחה</v>
      </c>
      <c r="D486" s="142">
        <v>135000</v>
      </c>
      <c r="E486" s="53">
        <v>0</v>
      </c>
      <c r="F486" s="53">
        <v>0</v>
      </c>
      <c r="G486" s="53">
        <v>0</v>
      </c>
      <c r="H486" s="53">
        <f t="shared" si="64"/>
        <v>0</v>
      </c>
      <c r="I486" s="53"/>
      <c r="J486" s="53"/>
      <c r="K486" s="142">
        <v>150000</v>
      </c>
      <c r="L486" s="142">
        <v>160000</v>
      </c>
      <c r="M486" s="53"/>
      <c r="N486" s="53"/>
      <c r="O486" s="53"/>
    </row>
    <row r="487" spans="1:15" x14ac:dyDescent="0.2">
      <c r="A487" s="132">
        <v>1842405840</v>
      </c>
      <c r="B487" s="133" t="s">
        <v>992</v>
      </c>
      <c r="C487" s="51" t="str">
        <f>VLOOKUP(A487,'עזר 2025'!A:C,3,FALSE)</f>
        <v>פעולות רווחה</v>
      </c>
      <c r="D487" s="142">
        <v>95000</v>
      </c>
      <c r="E487" s="53">
        <v>0</v>
      </c>
      <c r="F487" s="53">
        <v>0</v>
      </c>
      <c r="G487" s="53">
        <v>0</v>
      </c>
      <c r="H487" s="53">
        <f t="shared" si="64"/>
        <v>0</v>
      </c>
      <c r="I487" s="53"/>
      <c r="J487" s="53"/>
      <c r="K487" s="142">
        <f>VLOOKUP(A487,'ביצוע דוח חשב 12.2024'!A:I,9,FALSE)</f>
        <v>0</v>
      </c>
      <c r="L487" s="142"/>
      <c r="M487" s="53"/>
      <c r="N487" s="53"/>
      <c r="O487" s="53"/>
    </row>
    <row r="488" spans="1:15" ht="26.25" x14ac:dyDescent="0.2">
      <c r="A488" s="134"/>
      <c r="B488" s="134" t="s">
        <v>2158</v>
      </c>
      <c r="C488" s="79"/>
      <c r="D488" s="139">
        <f>SUM(D478:D487)</f>
        <v>1561000</v>
      </c>
      <c r="E488" s="80">
        <f t="shared" ref="E488:O488" si="66">SUM(E478:E487)</f>
        <v>1</v>
      </c>
      <c r="F488" s="80">
        <f t="shared" si="66"/>
        <v>1766403.09</v>
      </c>
      <c r="G488" s="80">
        <f t="shared" si="66"/>
        <v>15476.3</v>
      </c>
      <c r="H488" s="80">
        <f t="shared" si="66"/>
        <v>1781879.3900000001</v>
      </c>
      <c r="I488" s="80">
        <f t="shared" si="66"/>
        <v>-1182626.28</v>
      </c>
      <c r="J488" s="80">
        <f t="shared" si="66"/>
        <v>0</v>
      </c>
      <c r="K488" s="139">
        <f t="shared" si="66"/>
        <v>937760.83</v>
      </c>
      <c r="L488" s="139">
        <f t="shared" si="66"/>
        <v>1290000</v>
      </c>
      <c r="M488" s="80">
        <f t="shared" si="66"/>
        <v>1</v>
      </c>
      <c r="N488" s="80">
        <f t="shared" si="66"/>
        <v>0</v>
      </c>
      <c r="O488" s="80">
        <f t="shared" si="66"/>
        <v>0</v>
      </c>
    </row>
    <row r="489" spans="1:15" hidden="1" x14ac:dyDescent="0.2">
      <c r="A489" s="132">
        <v>1843501840</v>
      </c>
      <c r="B489" s="133" t="s">
        <v>212</v>
      </c>
      <c r="C489" s="51" t="str">
        <f>VLOOKUP(A489,'עזר 2025'!A:C,3,FALSE)</f>
        <v>פעולות רווחה</v>
      </c>
      <c r="D489" s="142">
        <v>74000</v>
      </c>
      <c r="E489" s="53">
        <v>0</v>
      </c>
      <c r="F489" s="53">
        <v>0</v>
      </c>
      <c r="G489" s="53">
        <v>0</v>
      </c>
      <c r="H489" s="53">
        <f t="shared" si="64"/>
        <v>0</v>
      </c>
      <c r="I489" s="53"/>
      <c r="J489" s="53"/>
      <c r="K489" s="142">
        <f>VLOOKUP(A489,'ביצוע דוח חשב 12.2024'!A:I,9,FALSE)</f>
        <v>0</v>
      </c>
      <c r="L489" s="142"/>
      <c r="M489" s="53"/>
      <c r="N489" s="53"/>
      <c r="O489" s="53"/>
    </row>
    <row r="490" spans="1:15" x14ac:dyDescent="0.2">
      <c r="A490" s="132">
        <v>1843502840</v>
      </c>
      <c r="B490" s="133" t="s">
        <v>213</v>
      </c>
      <c r="C490" s="51" t="str">
        <f>VLOOKUP(A490,'עזר 2025'!A:C,3,FALSE)</f>
        <v>פעולות רווחה</v>
      </c>
      <c r="D490" s="142">
        <v>577000</v>
      </c>
      <c r="E490" s="53">
        <v>0</v>
      </c>
      <c r="F490" s="53">
        <v>587770</v>
      </c>
      <c r="G490" s="53">
        <v>0</v>
      </c>
      <c r="H490" s="53">
        <f t="shared" si="64"/>
        <v>587770</v>
      </c>
      <c r="I490" s="53">
        <v>45000</v>
      </c>
      <c r="J490" s="53" t="s">
        <v>2079</v>
      </c>
      <c r="K490" s="142">
        <f>VLOOKUP(A490,'ביצוע דוח חשב 12.2024'!A:I,9,FALSE)</f>
        <v>632003</v>
      </c>
      <c r="L490" s="142">
        <v>650000</v>
      </c>
      <c r="M490" s="53"/>
      <c r="N490" s="53"/>
      <c r="O490" s="53"/>
    </row>
    <row r="491" spans="1:15" x14ac:dyDescent="0.2">
      <c r="A491" s="132">
        <v>1843503840</v>
      </c>
      <c r="B491" s="133" t="s">
        <v>214</v>
      </c>
      <c r="C491" s="51" t="str">
        <f>VLOOKUP(A491,'עזר 2025'!A:C,3,FALSE)</f>
        <v>פעולות רווחה</v>
      </c>
      <c r="D491" s="142">
        <v>600000</v>
      </c>
      <c r="E491" s="53">
        <v>0</v>
      </c>
      <c r="F491" s="53">
        <v>126504</v>
      </c>
      <c r="G491" s="53">
        <v>0</v>
      </c>
      <c r="H491" s="53">
        <f t="shared" si="64"/>
        <v>126504</v>
      </c>
      <c r="I491" s="53">
        <f>1240867+60000</f>
        <v>1300867</v>
      </c>
      <c r="J491" s="53" t="s">
        <v>2077</v>
      </c>
      <c r="K491" s="142">
        <v>225000</v>
      </c>
      <c r="L491" s="142"/>
      <c r="M491" s="53"/>
      <c r="N491" s="53"/>
      <c r="O491" s="53"/>
    </row>
    <row r="492" spans="1:15" s="50" customFormat="1" hidden="1" x14ac:dyDescent="0.2">
      <c r="A492" s="90">
        <v>1843504840</v>
      </c>
      <c r="B492" s="91" t="s">
        <v>216</v>
      </c>
      <c r="C492" s="90" t="s">
        <v>359</v>
      </c>
      <c r="D492" s="92"/>
      <c r="E492" s="53"/>
      <c r="F492" s="53">
        <v>110220</v>
      </c>
      <c r="G492" s="53">
        <v>0</v>
      </c>
      <c r="H492" s="53">
        <f t="shared" si="64"/>
        <v>110220</v>
      </c>
      <c r="I492" s="53"/>
      <c r="J492" s="53" t="s">
        <v>2082</v>
      </c>
      <c r="K492" s="92"/>
      <c r="L492" s="92"/>
      <c r="M492" s="53"/>
      <c r="N492" s="53"/>
      <c r="O492" s="53">
        <v>1</v>
      </c>
    </row>
    <row r="493" spans="1:15" x14ac:dyDescent="0.2">
      <c r="A493" s="132">
        <v>1843505840</v>
      </c>
      <c r="B493" s="133" t="s">
        <v>991</v>
      </c>
      <c r="C493" s="51" t="str">
        <f>VLOOKUP(A493,'עזר 2025'!A:C,3,FALSE)</f>
        <v>פעולות רווחה</v>
      </c>
      <c r="D493" s="142">
        <v>30000</v>
      </c>
      <c r="E493" s="53">
        <v>0</v>
      </c>
      <c r="F493" s="53">
        <v>172700</v>
      </c>
      <c r="G493" s="53">
        <v>0</v>
      </c>
      <c r="H493" s="53">
        <f t="shared" si="64"/>
        <v>172700</v>
      </c>
      <c r="I493" s="53">
        <v>20000</v>
      </c>
      <c r="J493" s="53" t="s">
        <v>2079</v>
      </c>
      <c r="K493" s="142">
        <f>VLOOKUP(A493,'ביצוע דוח חשב 12.2024'!A:I,9,FALSE)</f>
        <v>193125</v>
      </c>
      <c r="L493" s="142">
        <v>200000</v>
      </c>
      <c r="M493" s="53"/>
      <c r="N493" s="53"/>
      <c r="O493" s="53"/>
    </row>
    <row r="494" spans="1:15" x14ac:dyDescent="0.2">
      <c r="A494" s="132">
        <v>1843801840</v>
      </c>
      <c r="B494" s="133" t="s">
        <v>217</v>
      </c>
      <c r="C494" s="51" t="str">
        <f>VLOOKUP(A494,'עזר 2025'!A:C,3,FALSE)</f>
        <v>פעולות רווחה</v>
      </c>
      <c r="D494" s="142">
        <v>5500000</v>
      </c>
      <c r="E494" s="53">
        <v>0</v>
      </c>
      <c r="F494" s="53">
        <v>5840212</v>
      </c>
      <c r="G494" s="53">
        <v>0</v>
      </c>
      <c r="H494" s="53">
        <f t="shared" si="64"/>
        <v>5840212</v>
      </c>
      <c r="I494" s="53">
        <v>540000</v>
      </c>
      <c r="J494" s="53" t="s">
        <v>2079</v>
      </c>
      <c r="K494" s="142">
        <f>VLOOKUP(A494,'ביצוע דוח חשב 12.2024'!A:I,9,FALSE)</f>
        <v>6476209</v>
      </c>
      <c r="L494" s="142">
        <v>7000000</v>
      </c>
      <c r="M494" s="53"/>
      <c r="N494" s="53"/>
      <c r="O494" s="53"/>
    </row>
    <row r="495" spans="1:15" x14ac:dyDescent="0.2">
      <c r="A495" s="132">
        <v>1843901840</v>
      </c>
      <c r="B495" s="133" t="s">
        <v>218</v>
      </c>
      <c r="C495" s="51" t="str">
        <f>VLOOKUP(A495,'עזר 2025'!A:C,3,FALSE)</f>
        <v>פעולות רווחה</v>
      </c>
      <c r="D495" s="142">
        <v>6400000</v>
      </c>
      <c r="E495" s="53">
        <v>0</v>
      </c>
      <c r="F495" s="53">
        <v>6342516</v>
      </c>
      <c r="G495" s="53">
        <v>0</v>
      </c>
      <c r="H495" s="53">
        <f t="shared" si="64"/>
        <v>6342516</v>
      </c>
      <c r="I495" s="53">
        <v>700000</v>
      </c>
      <c r="J495" s="53" t="s">
        <v>2079</v>
      </c>
      <c r="K495" s="142">
        <f>VLOOKUP(A495,'ביצוע דוח חשב 12.2024'!A:I,9,FALSE)</f>
        <v>7055737</v>
      </c>
      <c r="L495" s="142">
        <v>7300000</v>
      </c>
      <c r="M495" s="53"/>
      <c r="N495" s="53"/>
      <c r="O495" s="53"/>
    </row>
    <row r="496" spans="1:15" s="50" customFormat="1" hidden="1" x14ac:dyDescent="0.2">
      <c r="A496" s="51">
        <v>1843904840</v>
      </c>
      <c r="B496" s="52" t="s">
        <v>767</v>
      </c>
      <c r="C496" s="51" t="str">
        <f>VLOOKUP(A496,'עזר 2025'!A:C,3,FALSE)</f>
        <v>פעולות רווחה</v>
      </c>
      <c r="D496" s="53"/>
      <c r="E496" s="53"/>
      <c r="F496" s="53">
        <v>7797</v>
      </c>
      <c r="G496" s="53">
        <v>0</v>
      </c>
      <c r="H496" s="53">
        <f t="shared" si="64"/>
        <v>7797</v>
      </c>
      <c r="I496" s="53"/>
      <c r="J496" s="53"/>
      <c r="K496" s="53">
        <v>0</v>
      </c>
      <c r="L496" s="53"/>
      <c r="M496" s="53"/>
      <c r="N496" s="53"/>
      <c r="O496" s="53">
        <v>1</v>
      </c>
    </row>
    <row r="497" spans="1:15" s="50" customFormat="1" ht="26.25" x14ac:dyDescent="0.2">
      <c r="A497" s="79"/>
      <c r="B497" s="79" t="s">
        <v>2159</v>
      </c>
      <c r="C497" s="79"/>
      <c r="D497" s="80">
        <f>SUM(D489:D496)</f>
        <v>13181000</v>
      </c>
      <c r="E497" s="80">
        <f t="shared" ref="E497:N497" si="67">SUM(E489:E496)</f>
        <v>0</v>
      </c>
      <c r="F497" s="80">
        <f t="shared" si="67"/>
        <v>13187719</v>
      </c>
      <c r="G497" s="80">
        <f t="shared" si="67"/>
        <v>0</v>
      </c>
      <c r="H497" s="80">
        <f t="shared" si="67"/>
        <v>13187719</v>
      </c>
      <c r="I497" s="80">
        <f t="shared" si="67"/>
        <v>2605867</v>
      </c>
      <c r="J497" s="80">
        <f t="shared" si="67"/>
        <v>0</v>
      </c>
      <c r="K497" s="80">
        <f t="shared" si="67"/>
        <v>14582074</v>
      </c>
      <c r="L497" s="80">
        <f t="shared" si="67"/>
        <v>15150000</v>
      </c>
      <c r="M497" s="80">
        <f t="shared" si="67"/>
        <v>0</v>
      </c>
      <c r="N497" s="80">
        <f t="shared" si="67"/>
        <v>0</v>
      </c>
      <c r="O497" s="80">
        <v>0</v>
      </c>
    </row>
    <row r="498" spans="1:15" x14ac:dyDescent="0.2">
      <c r="A498" s="132">
        <v>1844300840</v>
      </c>
      <c r="B498" s="133" t="s">
        <v>219</v>
      </c>
      <c r="C498" s="51" t="str">
        <f>VLOOKUP(A498,'עזר 2025'!A:C,3,FALSE)</f>
        <v>פעולות רווחה</v>
      </c>
      <c r="D498" s="142">
        <v>127000</v>
      </c>
      <c r="E498" s="53">
        <v>0</v>
      </c>
      <c r="F498" s="53">
        <v>114575</v>
      </c>
      <c r="G498" s="53">
        <v>0</v>
      </c>
      <c r="H498" s="53">
        <f t="shared" si="64"/>
        <v>114575</v>
      </c>
      <c r="I498" s="53">
        <v>10482</v>
      </c>
      <c r="J498" s="53" t="s">
        <v>2079</v>
      </c>
      <c r="K498" s="142">
        <f>VLOOKUP(A498,'ביצוע דוח חשב 12.2024'!A:I,9,FALSE)</f>
        <v>128549</v>
      </c>
      <c r="L498" s="142">
        <v>130000</v>
      </c>
      <c r="M498" s="53"/>
      <c r="N498" s="53"/>
      <c r="O498" s="53"/>
    </row>
    <row r="499" spans="1:15" x14ac:dyDescent="0.2">
      <c r="A499" s="132">
        <v>1844401110</v>
      </c>
      <c r="B499" s="133" t="s">
        <v>220</v>
      </c>
      <c r="C499" s="51" t="str">
        <f>VLOOKUP(A499,'עזר 2025'!A:C,3,FALSE)</f>
        <v>שכר רווחה</v>
      </c>
      <c r="D499" s="142">
        <v>160000</v>
      </c>
      <c r="E499" s="53">
        <v>1.5</v>
      </c>
      <c r="F499" s="53">
        <v>144729.53</v>
      </c>
      <c r="G499" s="53">
        <v>0</v>
      </c>
      <c r="H499" s="53">
        <f t="shared" si="64"/>
        <v>144729.53</v>
      </c>
      <c r="I499" s="53">
        <f>SUMIFS('תקציב שכר'!J:J,'תקציב שכר'!A:A,A499)-H499</f>
        <v>26471.860000000015</v>
      </c>
      <c r="J499" s="53" t="s">
        <v>2052</v>
      </c>
      <c r="K499" s="142">
        <f>VLOOKUP(A499,'ביצוע דוח חשב 12.2024'!A:I,9,FALSE)</f>
        <v>172260.64</v>
      </c>
      <c r="L499" s="142">
        <v>180000</v>
      </c>
      <c r="M499" s="69">
        <f>SUMIFS('תקציב שכר'!M:M,'תקציב שכר'!A:A,A499)</f>
        <v>1.2</v>
      </c>
      <c r="N499" s="53"/>
      <c r="O499" s="53"/>
    </row>
    <row r="500" spans="1:15" x14ac:dyDescent="0.2">
      <c r="A500" s="132">
        <v>1844401431</v>
      </c>
      <c r="B500" s="133" t="s">
        <v>221</v>
      </c>
      <c r="C500" s="51" t="str">
        <f>VLOOKUP(A500,'עזר 2025'!A:C,3,FALSE)</f>
        <v>פעולות רווחה</v>
      </c>
      <c r="D500" s="142">
        <v>0</v>
      </c>
      <c r="E500" s="53">
        <v>0</v>
      </c>
      <c r="F500" s="53">
        <v>9921.85</v>
      </c>
      <c r="G500" s="53">
        <v>0</v>
      </c>
      <c r="H500" s="53">
        <f t="shared" ref="H500:H520" si="68">F500+G500</f>
        <v>9921.85</v>
      </c>
      <c r="I500" s="53">
        <v>1000</v>
      </c>
      <c r="J500" s="53"/>
      <c r="K500" s="142">
        <f>VLOOKUP(A500,'ביצוע דוח חשב 12.2024'!A:I,9,FALSE)</f>
        <v>9921.85</v>
      </c>
      <c r="L500" s="142">
        <v>10000</v>
      </c>
      <c r="M500" s="53"/>
      <c r="N500" s="53"/>
      <c r="O500" s="53"/>
    </row>
    <row r="501" spans="1:15" x14ac:dyDescent="0.2">
      <c r="A501" s="132">
        <v>1844401710</v>
      </c>
      <c r="B501" s="133" t="s">
        <v>695</v>
      </c>
      <c r="C501" s="51" t="str">
        <f>VLOOKUP(A501,'עזר 2025'!A:C,3,FALSE)</f>
        <v>פעולות רווחה</v>
      </c>
      <c r="D501" s="142">
        <v>110000</v>
      </c>
      <c r="E501" s="53">
        <v>0</v>
      </c>
      <c r="F501" s="53">
        <v>151361.5</v>
      </c>
      <c r="G501" s="53">
        <v>0</v>
      </c>
      <c r="H501" s="53">
        <f t="shared" si="68"/>
        <v>151361.5</v>
      </c>
      <c r="I501" s="53">
        <v>10000</v>
      </c>
      <c r="J501" s="53" t="s">
        <v>2083</v>
      </c>
      <c r="K501" s="142">
        <f>VLOOKUP(A501,'ביצוע דוח חשב 12.2024'!A:I,9,FALSE)</f>
        <v>151361.5</v>
      </c>
      <c r="L501" s="142">
        <v>160000</v>
      </c>
      <c r="M501" s="53"/>
      <c r="N501" s="53"/>
      <c r="O501" s="53"/>
    </row>
    <row r="502" spans="1:15" x14ac:dyDescent="0.2">
      <c r="A502" s="132">
        <v>1844401720</v>
      </c>
      <c r="B502" s="133" t="s">
        <v>696</v>
      </c>
      <c r="C502" s="51" t="str">
        <f>VLOOKUP(A502,'עזר 2025'!A:C,3,FALSE)</f>
        <v>פעולות רווחה</v>
      </c>
      <c r="D502" s="142">
        <v>95000</v>
      </c>
      <c r="E502" s="53">
        <v>0</v>
      </c>
      <c r="F502" s="53">
        <v>34389</v>
      </c>
      <c r="G502" s="53">
        <v>4378</v>
      </c>
      <c r="H502" s="53">
        <f t="shared" si="68"/>
        <v>38767</v>
      </c>
      <c r="I502" s="53">
        <v>15000</v>
      </c>
      <c r="J502" s="53" t="s">
        <v>699</v>
      </c>
      <c r="K502" s="142">
        <v>60000</v>
      </c>
      <c r="L502" s="142">
        <v>80000</v>
      </c>
      <c r="M502" s="53"/>
      <c r="N502" s="53"/>
      <c r="O502" s="53"/>
    </row>
    <row r="503" spans="1:15" s="50" customFormat="1" hidden="1" x14ac:dyDescent="0.2">
      <c r="A503" s="51">
        <v>1844401750</v>
      </c>
      <c r="B503" s="52" t="s">
        <v>697</v>
      </c>
      <c r="C503" s="51" t="str">
        <f>VLOOKUP(A503,'עזר 2025'!A:C,3,FALSE)</f>
        <v>פעולות רווחה</v>
      </c>
      <c r="D503" s="53">
        <v>0</v>
      </c>
      <c r="E503" s="53">
        <v>0</v>
      </c>
      <c r="F503" s="53">
        <v>9200</v>
      </c>
      <c r="G503" s="53">
        <v>0</v>
      </c>
      <c r="H503" s="53">
        <f t="shared" si="68"/>
        <v>9200</v>
      </c>
      <c r="I503" s="53"/>
      <c r="J503" s="53"/>
      <c r="K503" s="53">
        <v>0</v>
      </c>
      <c r="L503" s="53"/>
      <c r="M503" s="53"/>
      <c r="N503" s="53"/>
      <c r="O503" s="53">
        <v>1</v>
      </c>
    </row>
    <row r="504" spans="1:15" hidden="1" x14ac:dyDescent="0.2">
      <c r="A504" s="132">
        <v>1844402840</v>
      </c>
      <c r="B504" s="133" t="s">
        <v>222</v>
      </c>
      <c r="C504" s="51" t="str">
        <f>VLOOKUP(A504,'עזר 2025'!A:C,3,FALSE)</f>
        <v>פעולות רווחה</v>
      </c>
      <c r="D504" s="142">
        <v>20000</v>
      </c>
      <c r="E504" s="53">
        <v>0</v>
      </c>
      <c r="F504" s="53">
        <v>0</v>
      </c>
      <c r="G504" s="53">
        <v>0</v>
      </c>
      <c r="H504" s="53">
        <f t="shared" si="68"/>
        <v>0</v>
      </c>
      <c r="I504" s="53"/>
      <c r="J504" s="53"/>
      <c r="K504" s="142">
        <f>VLOOKUP(A504,'ביצוע דוח חשב 12.2024'!A:I,9,FALSE)</f>
        <v>0</v>
      </c>
      <c r="L504" s="142"/>
      <c r="M504" s="53"/>
      <c r="N504" s="53"/>
      <c r="O504" s="53"/>
    </row>
    <row r="505" spans="1:15" s="50" customFormat="1" ht="26.25" x14ac:dyDescent="0.2">
      <c r="A505" s="79"/>
      <c r="B505" s="79" t="s">
        <v>2138</v>
      </c>
      <c r="C505" s="79"/>
      <c r="D505" s="80">
        <f>SUM(D498:D504)</f>
        <v>512000</v>
      </c>
      <c r="E505" s="80">
        <f t="shared" ref="E505:N505" si="69">SUM(E498:E504)</f>
        <v>1.5</v>
      </c>
      <c r="F505" s="80">
        <f t="shared" si="69"/>
        <v>464176.88</v>
      </c>
      <c r="G505" s="80">
        <f t="shared" si="69"/>
        <v>4378</v>
      </c>
      <c r="H505" s="80">
        <f t="shared" si="69"/>
        <v>468554.88</v>
      </c>
      <c r="I505" s="80">
        <f t="shared" si="69"/>
        <v>62953.860000000015</v>
      </c>
      <c r="J505" s="80">
        <f t="shared" si="69"/>
        <v>0</v>
      </c>
      <c r="K505" s="80">
        <f t="shared" si="69"/>
        <v>522092.99</v>
      </c>
      <c r="L505" s="80">
        <f t="shared" si="69"/>
        <v>560000</v>
      </c>
      <c r="M505" s="80">
        <f t="shared" si="69"/>
        <v>1.2</v>
      </c>
      <c r="N505" s="80">
        <f t="shared" si="69"/>
        <v>0</v>
      </c>
      <c r="O505" s="80">
        <v>0</v>
      </c>
    </row>
    <row r="506" spans="1:15" s="50" customFormat="1" hidden="1" x14ac:dyDescent="0.2">
      <c r="A506" s="51">
        <v>1845001840</v>
      </c>
      <c r="B506" s="52" t="s">
        <v>790</v>
      </c>
      <c r="C506" s="51" t="str">
        <f>VLOOKUP(A506,'עזר 2025'!A:C,3,FALSE)</f>
        <v>פעולות רווחה</v>
      </c>
      <c r="D506" s="53"/>
      <c r="E506" s="53"/>
      <c r="F506" s="53">
        <v>2547</v>
      </c>
      <c r="G506" s="53">
        <v>0</v>
      </c>
      <c r="H506" s="53">
        <f t="shared" si="68"/>
        <v>2547</v>
      </c>
      <c r="I506" s="53"/>
      <c r="J506" s="53"/>
      <c r="K506" s="53">
        <v>0</v>
      </c>
      <c r="L506" s="53"/>
      <c r="M506" s="53"/>
      <c r="N506" s="53"/>
      <c r="O506" s="53">
        <v>1</v>
      </c>
    </row>
    <row r="507" spans="1:15" x14ac:dyDescent="0.2">
      <c r="A507" s="132">
        <v>1845101840</v>
      </c>
      <c r="B507" s="133" t="s">
        <v>223</v>
      </c>
      <c r="C507" s="51" t="str">
        <f>VLOOKUP(A507,'עזר 2025'!A:C,3,FALSE)</f>
        <v>פעולות רווחה</v>
      </c>
      <c r="D507" s="142">
        <v>7000000</v>
      </c>
      <c r="E507" s="53">
        <v>0</v>
      </c>
      <c r="F507" s="53">
        <v>6338713</v>
      </c>
      <c r="G507" s="53">
        <v>0</v>
      </c>
      <c r="H507" s="53">
        <f t="shared" si="68"/>
        <v>6338713</v>
      </c>
      <c r="I507" s="53">
        <v>598000</v>
      </c>
      <c r="J507" s="53" t="s">
        <v>2079</v>
      </c>
      <c r="K507" s="142">
        <f>VLOOKUP(A507,'ביצוע דוח חשב 12.2024'!A:I,9,FALSE)</f>
        <v>6919663</v>
      </c>
      <c r="L507" s="142">
        <v>7000000</v>
      </c>
      <c r="M507" s="53"/>
      <c r="N507" s="53"/>
      <c r="O507" s="53"/>
    </row>
    <row r="508" spans="1:15" x14ac:dyDescent="0.2">
      <c r="A508" s="132">
        <v>1845102840</v>
      </c>
      <c r="B508" s="133" t="s">
        <v>224</v>
      </c>
      <c r="C508" s="51" t="str">
        <f>VLOOKUP(A508,'עזר 2025'!A:C,3,FALSE)</f>
        <v>פעולות רווחה</v>
      </c>
      <c r="D508" s="142">
        <v>15000</v>
      </c>
      <c r="E508" s="53">
        <v>0</v>
      </c>
      <c r="F508" s="53">
        <v>0</v>
      </c>
      <c r="G508" s="53">
        <v>0</v>
      </c>
      <c r="H508" s="53">
        <f t="shared" si="68"/>
        <v>0</v>
      </c>
      <c r="I508" s="53"/>
      <c r="J508" s="53"/>
      <c r="K508" s="142">
        <f>VLOOKUP(A508,'ביצוע דוח חשב 12.2024'!A:I,9,FALSE)</f>
        <v>0</v>
      </c>
      <c r="L508" s="142">
        <v>15000</v>
      </c>
      <c r="M508" s="53"/>
      <c r="N508" s="53"/>
      <c r="O508" s="53"/>
    </row>
    <row r="509" spans="1:15" x14ac:dyDescent="0.2">
      <c r="A509" s="132">
        <v>1845200110</v>
      </c>
      <c r="B509" s="133" t="s">
        <v>698</v>
      </c>
      <c r="C509" s="51" t="str">
        <f>VLOOKUP(A509,'עזר 2025'!A:C,3,FALSE)</f>
        <v>שכר רווחה</v>
      </c>
      <c r="D509" s="142">
        <v>200000</v>
      </c>
      <c r="E509" s="53">
        <v>1.5</v>
      </c>
      <c r="F509" s="53">
        <v>157585.65</v>
      </c>
      <c r="G509" s="53">
        <v>0</v>
      </c>
      <c r="H509" s="53">
        <f t="shared" si="68"/>
        <v>157585.65</v>
      </c>
      <c r="I509" s="53">
        <f>SUMIFS('תקציב שכר'!J:J,'תקציב שכר'!A:A,A509)-H509</f>
        <v>18879.420000000013</v>
      </c>
      <c r="J509" s="53" t="s">
        <v>2052</v>
      </c>
      <c r="K509" s="142">
        <f>VLOOKUP(A509,'ביצוע דוח חשב 12.2024'!A:I,9,FALSE)</f>
        <v>174740.81</v>
      </c>
      <c r="L509" s="142">
        <v>185000</v>
      </c>
      <c r="M509" s="69">
        <f>SUMIFS('תקציב שכר'!M:M,'תקציב שכר'!A:A,A509)</f>
        <v>1.5594545454545454</v>
      </c>
      <c r="N509" s="53"/>
      <c r="O509" s="53"/>
    </row>
    <row r="510" spans="1:15" s="50" customFormat="1" hidden="1" x14ac:dyDescent="0.2">
      <c r="A510" s="90">
        <v>1845200780</v>
      </c>
      <c r="B510" s="91" t="s">
        <v>1917</v>
      </c>
      <c r="C510" s="90" t="str">
        <f>VLOOKUP(A510,'עזר 2025'!A:C,3,FALSE)</f>
        <v>פעולות רווחה</v>
      </c>
      <c r="D510" s="92">
        <v>0</v>
      </c>
      <c r="E510" s="53">
        <v>0</v>
      </c>
      <c r="F510" s="53">
        <v>22575</v>
      </c>
      <c r="G510" s="53">
        <v>0</v>
      </c>
      <c r="H510" s="53">
        <f t="shared" si="68"/>
        <v>22575</v>
      </c>
      <c r="I510" s="53"/>
      <c r="J510" s="53"/>
      <c r="K510" s="92">
        <v>0</v>
      </c>
      <c r="L510" s="92"/>
      <c r="M510" s="53"/>
      <c r="N510" s="53"/>
      <c r="O510" s="53">
        <v>1</v>
      </c>
    </row>
    <row r="511" spans="1:15" x14ac:dyDescent="0.2">
      <c r="A511" s="132">
        <v>1845201750</v>
      </c>
      <c r="B511" s="133" t="s">
        <v>700</v>
      </c>
      <c r="C511" s="51" t="str">
        <f>VLOOKUP(A511,'עזר 2025'!A:C,3,FALSE)</f>
        <v>פעולות רווחה</v>
      </c>
      <c r="D511" s="142">
        <v>80000</v>
      </c>
      <c r="E511" s="53">
        <v>0</v>
      </c>
      <c r="F511" s="53">
        <v>182032.25</v>
      </c>
      <c r="G511" s="53">
        <v>0</v>
      </c>
      <c r="H511" s="53">
        <f t="shared" si="68"/>
        <v>182032.25</v>
      </c>
      <c r="I511" s="53"/>
      <c r="J511" s="53"/>
      <c r="K511" s="142">
        <f>VLOOKUP(A511,'ביצוע דוח חשב 12.2024'!A:I,9,FALSE)</f>
        <v>182032.25</v>
      </c>
      <c r="L511" s="142">
        <v>200000</v>
      </c>
      <c r="M511" s="53"/>
      <c r="N511" s="53"/>
      <c r="O511" s="53"/>
    </row>
    <row r="512" spans="1:15" x14ac:dyDescent="0.2">
      <c r="A512" s="132">
        <v>1845201840</v>
      </c>
      <c r="B512" s="133" t="s">
        <v>225</v>
      </c>
      <c r="C512" s="51" t="str">
        <f>VLOOKUP(A512,'עזר 2025'!A:C,3,FALSE)</f>
        <v>פעולות רווחה</v>
      </c>
      <c r="D512" s="142">
        <v>5500000</v>
      </c>
      <c r="E512" s="53">
        <v>0</v>
      </c>
      <c r="F512" s="53">
        <v>7736534</v>
      </c>
      <c r="G512" s="53">
        <v>0</v>
      </c>
      <c r="H512" s="53">
        <f t="shared" si="68"/>
        <v>7736534</v>
      </c>
      <c r="I512" s="53">
        <v>900000</v>
      </c>
      <c r="J512" s="53" t="s">
        <v>2084</v>
      </c>
      <c r="K512" s="142">
        <f>VLOOKUP(A512,'ביצוע דוח חשב 12.2024'!A:I,9,FALSE)-500000</f>
        <v>8028967</v>
      </c>
      <c r="L512" s="142">
        <v>8000000</v>
      </c>
      <c r="M512" s="53"/>
      <c r="N512" s="53"/>
      <c r="O512" s="53"/>
    </row>
    <row r="513" spans="1:15" x14ac:dyDescent="0.2">
      <c r="A513" s="132">
        <v>1845202840</v>
      </c>
      <c r="B513" s="133" t="s">
        <v>226</v>
      </c>
      <c r="C513" s="51" t="str">
        <f>VLOOKUP(A513,'עזר 2025'!A:C,3,FALSE)</f>
        <v>פעולות רווחה</v>
      </c>
      <c r="D513" s="142">
        <v>80000</v>
      </c>
      <c r="E513" s="53">
        <v>0</v>
      </c>
      <c r="F513" s="53">
        <v>53782</v>
      </c>
      <c r="G513" s="53">
        <v>0</v>
      </c>
      <c r="H513" s="53">
        <f t="shared" si="68"/>
        <v>53782</v>
      </c>
      <c r="I513" s="53">
        <v>4000</v>
      </c>
      <c r="J513" s="53" t="s">
        <v>2079</v>
      </c>
      <c r="K513" s="142">
        <f>VLOOKUP(A513,'ביצוע דוח חשב 12.2024'!A:I,9,FALSE)</f>
        <v>53782</v>
      </c>
      <c r="L513" s="142">
        <v>60000</v>
      </c>
      <c r="M513" s="53"/>
      <c r="N513" s="53"/>
      <c r="O513" s="53"/>
    </row>
    <row r="514" spans="1:15" x14ac:dyDescent="0.2">
      <c r="A514" s="132">
        <v>1845204840</v>
      </c>
      <c r="B514" s="133" t="s">
        <v>313</v>
      </c>
      <c r="C514" s="51" t="str">
        <f>VLOOKUP(A514,'עזר 2025'!A:C,3,FALSE)</f>
        <v>פעולות רווחה</v>
      </c>
      <c r="D514" s="142">
        <v>600000</v>
      </c>
      <c r="E514" s="53">
        <v>0</v>
      </c>
      <c r="F514" s="53">
        <v>569285</v>
      </c>
      <c r="G514" s="53">
        <v>0</v>
      </c>
      <c r="H514" s="53">
        <f t="shared" si="68"/>
        <v>569285</v>
      </c>
      <c r="I514" s="53">
        <v>40000</v>
      </c>
      <c r="J514" s="53" t="s">
        <v>2079</v>
      </c>
      <c r="K514" s="142">
        <f>VLOOKUP(A514,'ביצוע דוח חשב 12.2024'!A:I,9,FALSE)</f>
        <v>641033</v>
      </c>
      <c r="L514" s="142">
        <v>650000</v>
      </c>
      <c r="M514" s="53"/>
      <c r="N514" s="53"/>
      <c r="O514" s="53"/>
    </row>
    <row r="515" spans="1:15" x14ac:dyDescent="0.2">
      <c r="A515" s="132">
        <v>1845301840</v>
      </c>
      <c r="B515" s="133" t="s">
        <v>228</v>
      </c>
      <c r="C515" s="51" t="str">
        <f>VLOOKUP(A515,'עזר 2025'!A:C,3,FALSE)</f>
        <v>פעולות רווחה</v>
      </c>
      <c r="D515" s="142">
        <v>15000</v>
      </c>
      <c r="E515" s="53">
        <v>0</v>
      </c>
      <c r="F515" s="53">
        <v>0</v>
      </c>
      <c r="G515" s="53">
        <v>0</v>
      </c>
      <c r="H515" s="53">
        <f t="shared" si="68"/>
        <v>0</v>
      </c>
      <c r="I515" s="53"/>
      <c r="J515" s="53"/>
      <c r="K515" s="142">
        <f>VLOOKUP(A515,'ביצוע דוח חשב 12.2024'!A:I,9,FALSE)</f>
        <v>0</v>
      </c>
      <c r="L515" s="142"/>
      <c r="M515" s="53"/>
      <c r="N515" s="53"/>
      <c r="O515" s="53"/>
    </row>
    <row r="516" spans="1:15" x14ac:dyDescent="0.2">
      <c r="A516" s="132">
        <v>1845302840</v>
      </c>
      <c r="B516" s="133" t="s">
        <v>229</v>
      </c>
      <c r="C516" s="51" t="str">
        <f>VLOOKUP(A516,'עזר 2025'!A:C,3,FALSE)</f>
        <v>פעולות רווחה</v>
      </c>
      <c r="D516" s="142">
        <v>15000</v>
      </c>
      <c r="E516" s="53">
        <v>0</v>
      </c>
      <c r="F516" s="53">
        <v>13392</v>
      </c>
      <c r="G516" s="53">
        <v>0</v>
      </c>
      <c r="H516" s="53">
        <f t="shared" si="68"/>
        <v>13392</v>
      </c>
      <c r="I516" s="53"/>
      <c r="J516" s="53"/>
      <c r="K516" s="142">
        <f>VLOOKUP(A516,'ביצוע דוח חשב 12.2024'!A:I,9,FALSE)</f>
        <v>17782</v>
      </c>
      <c r="L516" s="142">
        <v>15000</v>
      </c>
      <c r="M516" s="53"/>
      <c r="N516" s="53"/>
      <c r="O516" s="53"/>
    </row>
    <row r="517" spans="1:15" x14ac:dyDescent="0.2">
      <c r="A517" s="132">
        <v>1845304840</v>
      </c>
      <c r="B517" s="133" t="s">
        <v>230</v>
      </c>
      <c r="C517" s="51" t="str">
        <f>VLOOKUP(A517,'עזר 2025'!A:C,3,FALSE)</f>
        <v>פעולות רווחה</v>
      </c>
      <c r="D517" s="142">
        <v>800000</v>
      </c>
      <c r="E517" s="53">
        <v>0</v>
      </c>
      <c r="F517" s="53">
        <v>1022543</v>
      </c>
      <c r="G517" s="53">
        <v>0</v>
      </c>
      <c r="H517" s="53">
        <f t="shared" si="68"/>
        <v>1022543</v>
      </c>
      <c r="I517" s="53">
        <v>72000</v>
      </c>
      <c r="J517" s="53" t="s">
        <v>2079</v>
      </c>
      <c r="K517" s="142">
        <f>VLOOKUP(A517,'ביצוע דוח חשב 12.2024'!A:I,9,FALSE)</f>
        <v>1146028</v>
      </c>
      <c r="L517" s="142">
        <v>1200000</v>
      </c>
      <c r="M517" s="53"/>
      <c r="N517" s="53"/>
      <c r="O517" s="53"/>
    </row>
    <row r="518" spans="1:15" x14ac:dyDescent="0.2">
      <c r="A518" s="132">
        <v>1845401840</v>
      </c>
      <c r="B518" s="133" t="s">
        <v>1573</v>
      </c>
      <c r="C518" s="51" t="str">
        <f>VLOOKUP(A518,'עזר 2025'!A:C,3,FALSE)</f>
        <v>פעולות רווחה</v>
      </c>
      <c r="D518" s="142">
        <v>180000</v>
      </c>
      <c r="E518" s="53">
        <v>0</v>
      </c>
      <c r="F518" s="53">
        <v>197744</v>
      </c>
      <c r="G518" s="53">
        <v>0</v>
      </c>
      <c r="H518" s="53">
        <f t="shared" si="68"/>
        <v>197744</v>
      </c>
      <c r="I518" s="53">
        <v>5000</v>
      </c>
      <c r="J518" s="53" t="s">
        <v>2079</v>
      </c>
      <c r="K518" s="142">
        <v>400000</v>
      </c>
      <c r="L518" s="142">
        <v>450000</v>
      </c>
      <c r="M518" s="53"/>
      <c r="N518" s="53"/>
      <c r="O518" s="53"/>
    </row>
    <row r="519" spans="1:15" s="50" customFormat="1" ht="26.25" x14ac:dyDescent="0.2">
      <c r="A519" s="79"/>
      <c r="B519" s="79" t="s">
        <v>2139</v>
      </c>
      <c r="C519" s="79"/>
      <c r="D519" s="80">
        <f>SUM(D506:D518)</f>
        <v>14485000</v>
      </c>
      <c r="E519" s="80">
        <f t="shared" ref="E519:N519" si="70">SUM(E506:E518)</f>
        <v>1.5</v>
      </c>
      <c r="F519" s="80">
        <f t="shared" si="70"/>
        <v>16296732.9</v>
      </c>
      <c r="G519" s="80">
        <f t="shared" si="70"/>
        <v>0</v>
      </c>
      <c r="H519" s="80">
        <f t="shared" si="70"/>
        <v>16296732.9</v>
      </c>
      <c r="I519" s="80">
        <f t="shared" si="70"/>
        <v>1637879.42</v>
      </c>
      <c r="J519" s="80">
        <f t="shared" si="70"/>
        <v>0</v>
      </c>
      <c r="K519" s="80">
        <f t="shared" si="70"/>
        <v>17564028.059999999</v>
      </c>
      <c r="L519" s="80">
        <f t="shared" si="70"/>
        <v>17775000</v>
      </c>
      <c r="M519" s="80">
        <f t="shared" si="70"/>
        <v>1.5594545454545454</v>
      </c>
      <c r="N519" s="80">
        <f t="shared" si="70"/>
        <v>0</v>
      </c>
      <c r="O519" s="80">
        <v>0</v>
      </c>
    </row>
    <row r="520" spans="1:15" x14ac:dyDescent="0.2">
      <c r="A520" s="132">
        <v>1846401840</v>
      </c>
      <c r="B520" s="133" t="s">
        <v>232</v>
      </c>
      <c r="C520" s="51" t="str">
        <f>VLOOKUP(A520,'עזר 2025'!A:C,3,FALSE)</f>
        <v>פעולות רווחה</v>
      </c>
      <c r="D520" s="142">
        <v>15000</v>
      </c>
      <c r="E520" s="53">
        <v>0</v>
      </c>
      <c r="F520" s="53">
        <v>52391</v>
      </c>
      <c r="G520" s="53">
        <v>0</v>
      </c>
      <c r="H520" s="53">
        <f t="shared" si="68"/>
        <v>52391</v>
      </c>
      <c r="I520" s="53">
        <v>2200</v>
      </c>
      <c r="J520" s="53" t="s">
        <v>2079</v>
      </c>
      <c r="K520" s="142">
        <f>VLOOKUP(A520,'ביצוע דוח חשב 12.2024'!A:I,9,FALSE)</f>
        <v>57821</v>
      </c>
      <c r="L520" s="142">
        <v>60000</v>
      </c>
      <c r="M520" s="53"/>
      <c r="N520" s="53"/>
      <c r="O520" s="53"/>
    </row>
    <row r="521" spans="1:15" x14ac:dyDescent="0.2">
      <c r="A521" s="132">
        <v>1846601840</v>
      </c>
      <c r="B521" s="133" t="s">
        <v>233</v>
      </c>
      <c r="C521" s="51" t="str">
        <f>VLOOKUP(A521,'עזר 2025'!A:C,3,FALSE)</f>
        <v>פעולות רווחה</v>
      </c>
      <c r="D521" s="142">
        <v>350000</v>
      </c>
      <c r="E521" s="53">
        <v>0</v>
      </c>
      <c r="F521" s="53">
        <v>390591</v>
      </c>
      <c r="G521" s="53">
        <v>0</v>
      </c>
      <c r="H521" s="53">
        <f t="shared" ref="H521:H554" si="71">F521+G521</f>
        <v>390591</v>
      </c>
      <c r="I521" s="53">
        <v>24000</v>
      </c>
      <c r="J521" s="53" t="s">
        <v>2085</v>
      </c>
      <c r="K521" s="142">
        <f>VLOOKUP(A521,'ביצוע דוח חשב 12.2024'!A:I,9,FALSE)</f>
        <v>403528</v>
      </c>
      <c r="L521" s="142">
        <v>400000</v>
      </c>
      <c r="M521" s="53"/>
      <c r="N521" s="53"/>
      <c r="O521" s="53"/>
    </row>
    <row r="522" spans="1:15" x14ac:dyDescent="0.2">
      <c r="A522" s="132">
        <v>1846603840</v>
      </c>
      <c r="B522" s="133" t="s">
        <v>663</v>
      </c>
      <c r="C522" s="51" t="str">
        <f>VLOOKUP(A522,'עזר 2025'!A:C,3,FALSE)</f>
        <v>פעולות רווחה</v>
      </c>
      <c r="D522" s="142">
        <v>50000</v>
      </c>
      <c r="E522" s="53">
        <v>0</v>
      </c>
      <c r="F522" s="53">
        <v>1157</v>
      </c>
      <c r="G522" s="53">
        <v>0</v>
      </c>
      <c r="H522" s="53">
        <f t="shared" si="71"/>
        <v>1157</v>
      </c>
      <c r="I522" s="53"/>
      <c r="J522" s="53"/>
      <c r="K522" s="142">
        <v>0</v>
      </c>
      <c r="L522" s="142"/>
      <c r="M522" s="53"/>
      <c r="N522" s="53"/>
      <c r="O522" s="53"/>
    </row>
    <row r="523" spans="1:15" s="50" customFormat="1" hidden="1" x14ac:dyDescent="0.2">
      <c r="A523" s="51">
        <v>1846604840</v>
      </c>
      <c r="B523" s="52" t="s">
        <v>1918</v>
      </c>
      <c r="C523" s="51" t="str">
        <f>VLOOKUP(A523,'עזר 2025'!A:C,3,FALSE)</f>
        <v>פעולות רווחה</v>
      </c>
      <c r="D523" s="53"/>
      <c r="E523" s="53"/>
      <c r="F523" s="53">
        <v>317644</v>
      </c>
      <c r="G523" s="53">
        <v>0</v>
      </c>
      <c r="H523" s="53">
        <f t="shared" si="71"/>
        <v>317644</v>
      </c>
      <c r="I523" s="53">
        <v>75000</v>
      </c>
      <c r="J523" s="53" t="s">
        <v>2086</v>
      </c>
      <c r="K523" s="53">
        <v>0</v>
      </c>
      <c r="L523" s="53"/>
      <c r="M523" s="53"/>
      <c r="N523" s="53"/>
      <c r="O523" s="53">
        <v>1</v>
      </c>
    </row>
    <row r="524" spans="1:15" x14ac:dyDescent="0.2">
      <c r="A524" s="132">
        <v>1846605840</v>
      </c>
      <c r="B524" s="133" t="s">
        <v>1660</v>
      </c>
      <c r="C524" s="51" t="str">
        <f>VLOOKUP(A524,'עזר 2025'!A:C,3,FALSE)</f>
        <v>פעולות רווחה</v>
      </c>
      <c r="D524" s="142">
        <v>0</v>
      </c>
      <c r="E524" s="53">
        <v>0</v>
      </c>
      <c r="F524" s="53">
        <v>272507</v>
      </c>
      <c r="G524" s="53">
        <v>0</v>
      </c>
      <c r="H524" s="53">
        <f t="shared" si="71"/>
        <v>272507</v>
      </c>
      <c r="I524" s="53">
        <v>25000</v>
      </c>
      <c r="J524" s="53" t="s">
        <v>2079</v>
      </c>
      <c r="K524" s="142">
        <f>VLOOKUP(A524,'ביצוע דוח חשב 12.2024'!A:I,9,FALSE)</f>
        <v>290539</v>
      </c>
      <c r="L524" s="142">
        <v>300000</v>
      </c>
      <c r="M524" s="53"/>
      <c r="N524" s="53"/>
      <c r="O524" s="53"/>
    </row>
    <row r="525" spans="1:15" x14ac:dyDescent="0.2">
      <c r="A525" s="132">
        <v>1846701840</v>
      </c>
      <c r="B525" s="133" t="s">
        <v>234</v>
      </c>
      <c r="C525" s="51" t="str">
        <f>VLOOKUP(A525,'עזר 2025'!A:C,3,FALSE)</f>
        <v>פעולות רווחה</v>
      </c>
      <c r="D525" s="142">
        <v>1300000</v>
      </c>
      <c r="E525" s="53">
        <v>0</v>
      </c>
      <c r="F525" s="53">
        <v>0</v>
      </c>
      <c r="G525" s="53">
        <v>0</v>
      </c>
      <c r="H525" s="53">
        <f t="shared" si="71"/>
        <v>0</v>
      </c>
      <c r="I525" s="53"/>
      <c r="J525" s="53"/>
      <c r="K525" s="142">
        <f>VLOOKUP(A525,'ביצוע דוח חשב 12.2024'!A:I,9,FALSE)</f>
        <v>0</v>
      </c>
      <c r="L525" s="142">
        <v>1470000</v>
      </c>
      <c r="M525" s="53"/>
      <c r="N525" s="53"/>
      <c r="O525" s="53"/>
    </row>
    <row r="526" spans="1:15" x14ac:dyDescent="0.2">
      <c r="A526" s="132">
        <v>1846702840</v>
      </c>
      <c r="B526" s="133" t="s">
        <v>235</v>
      </c>
      <c r="C526" s="51" t="str">
        <f>VLOOKUP(A526,'עזר 2025'!A:C,3,FALSE)</f>
        <v>פעולות רווחה</v>
      </c>
      <c r="D526" s="142"/>
      <c r="E526" s="53"/>
      <c r="F526" s="53">
        <v>44331</v>
      </c>
      <c r="G526" s="53">
        <v>0</v>
      </c>
      <c r="H526" s="53">
        <f t="shared" si="71"/>
        <v>44331</v>
      </c>
      <c r="I526" s="53">
        <v>4129</v>
      </c>
      <c r="J526" s="53" t="s">
        <v>2079</v>
      </c>
      <c r="K526" s="142">
        <f>VLOOKUP(A526,'ביצוע דוח חשב 12.2024'!A:I,9,FALSE)</f>
        <v>48460</v>
      </c>
      <c r="L526" s="142">
        <v>50000</v>
      </c>
      <c r="M526" s="53"/>
      <c r="N526" s="53"/>
      <c r="O526" s="53"/>
    </row>
    <row r="527" spans="1:15" x14ac:dyDescent="0.2">
      <c r="A527" s="132">
        <v>1846703840</v>
      </c>
      <c r="B527" s="133" t="s">
        <v>236</v>
      </c>
      <c r="C527" s="51" t="str">
        <f>VLOOKUP(A527,'עזר 2025'!A:C,3,FALSE)</f>
        <v>פעולות רווחה</v>
      </c>
      <c r="D527" s="142">
        <v>800000</v>
      </c>
      <c r="E527" s="53">
        <v>0</v>
      </c>
      <c r="F527" s="53">
        <v>606074</v>
      </c>
      <c r="G527" s="53">
        <v>0</v>
      </c>
      <c r="H527" s="53">
        <f t="shared" si="71"/>
        <v>606074</v>
      </c>
      <c r="I527" s="53">
        <v>35000</v>
      </c>
      <c r="J527" s="53" t="s">
        <v>2079</v>
      </c>
      <c r="K527" s="142">
        <f>VLOOKUP(A527,'ביצוע דוח חשב 12.2024'!A:I,9,FALSE)</f>
        <v>667631</v>
      </c>
      <c r="L527" s="142">
        <v>670000</v>
      </c>
      <c r="M527" s="53"/>
      <c r="N527" s="53"/>
      <c r="O527" s="53"/>
    </row>
    <row r="528" spans="1:15" x14ac:dyDescent="0.2">
      <c r="A528" s="132">
        <v>1846704840</v>
      </c>
      <c r="B528" s="133" t="s">
        <v>237</v>
      </c>
      <c r="C528" s="51" t="str">
        <f>VLOOKUP(A528,'עזר 2025'!A:C,3,FALSE)</f>
        <v>פעולות רווחה</v>
      </c>
      <c r="D528" s="142">
        <v>200000</v>
      </c>
      <c r="E528" s="53">
        <v>0</v>
      </c>
      <c r="F528" s="53">
        <v>1466832</v>
      </c>
      <c r="G528" s="53">
        <v>0</v>
      </c>
      <c r="H528" s="53">
        <f t="shared" si="71"/>
        <v>1466832</v>
      </c>
      <c r="I528" s="53">
        <v>185000</v>
      </c>
      <c r="J528" s="53" t="s">
        <v>2079</v>
      </c>
      <c r="K528" s="142">
        <f>VLOOKUP(A528,'ביצוע דוח חשב 12.2024'!A:I,9,FALSE)-400000-250000</f>
        <v>973576</v>
      </c>
      <c r="L528" s="142">
        <v>140000</v>
      </c>
      <c r="M528" s="53"/>
      <c r="N528" s="53"/>
      <c r="O528" s="53"/>
    </row>
    <row r="529" spans="1:15" x14ac:dyDescent="0.2">
      <c r="A529" s="132">
        <v>1846705840</v>
      </c>
      <c r="B529" s="133" t="s">
        <v>768</v>
      </c>
      <c r="C529" s="51" t="str">
        <f>VLOOKUP(A529,'עזר 2025'!A:C,3,FALSE)</f>
        <v>פעולות רווחה</v>
      </c>
      <c r="D529" s="142">
        <v>70000</v>
      </c>
      <c r="E529" s="53">
        <v>0</v>
      </c>
      <c r="F529" s="53">
        <v>246619</v>
      </c>
      <c r="G529" s="53">
        <v>0</v>
      </c>
      <c r="H529" s="53">
        <f t="shared" si="71"/>
        <v>246619</v>
      </c>
      <c r="I529" s="53">
        <v>25000</v>
      </c>
      <c r="J529" s="53" t="s">
        <v>2079</v>
      </c>
      <c r="K529" s="142">
        <f>VLOOKUP(A529,'ביצוע דוח חשב 12.2024'!A:I,9,FALSE)</f>
        <v>272775</v>
      </c>
      <c r="L529" s="142">
        <v>270000</v>
      </c>
      <c r="M529" s="53"/>
      <c r="N529" s="53"/>
      <c r="O529" s="53"/>
    </row>
    <row r="530" spans="1:15" x14ac:dyDescent="0.2">
      <c r="A530" s="132">
        <v>1846712840</v>
      </c>
      <c r="B530" s="133" t="s">
        <v>1919</v>
      </c>
      <c r="C530" s="51" t="str">
        <f>VLOOKUP(A530,'עזר 2025'!A:C,3,FALSE)</f>
        <v>פעולות רווחה</v>
      </c>
      <c r="D530" s="142"/>
      <c r="E530" s="53"/>
      <c r="F530" s="53">
        <v>104686</v>
      </c>
      <c r="G530" s="53">
        <v>0</v>
      </c>
      <c r="H530" s="53">
        <f t="shared" si="71"/>
        <v>104686</v>
      </c>
      <c r="I530" s="53">
        <v>6500</v>
      </c>
      <c r="J530" s="53" t="s">
        <v>2079</v>
      </c>
      <c r="K530" s="142">
        <f>VLOOKUP(A530,'ביצוע דוח חשב 12.2024'!A:I,9,FALSE)</f>
        <v>111920</v>
      </c>
      <c r="L530" s="142">
        <v>100000</v>
      </c>
      <c r="M530" s="53"/>
      <c r="N530" s="53"/>
      <c r="O530" s="53"/>
    </row>
    <row r="531" spans="1:15" x14ac:dyDescent="0.2">
      <c r="A531" s="132">
        <v>1846801840</v>
      </c>
      <c r="B531" s="133" t="s">
        <v>238</v>
      </c>
      <c r="C531" s="51" t="str">
        <f>VLOOKUP(A531,'עזר 2025'!A:C,3,FALSE)</f>
        <v>פעולות רווחה</v>
      </c>
      <c r="D531" s="142">
        <v>250000</v>
      </c>
      <c r="E531" s="53">
        <v>0</v>
      </c>
      <c r="F531" s="53">
        <v>198005</v>
      </c>
      <c r="G531" s="53">
        <v>0</v>
      </c>
      <c r="H531" s="53">
        <f t="shared" si="71"/>
        <v>198005</v>
      </c>
      <c r="I531" s="53">
        <v>9077</v>
      </c>
      <c r="J531" s="53" t="s">
        <v>2079</v>
      </c>
      <c r="K531" s="142">
        <f>VLOOKUP(A531,'ביצוע דוח חשב 12.2024'!A:I,9,FALSE)</f>
        <v>219856</v>
      </c>
      <c r="L531" s="142">
        <v>250000</v>
      </c>
      <c r="M531" s="53"/>
      <c r="N531" s="53"/>
      <c r="O531" s="53"/>
    </row>
    <row r="532" spans="1:15" x14ac:dyDescent="0.2">
      <c r="A532" s="132">
        <v>1846901840</v>
      </c>
      <c r="B532" s="133" t="s">
        <v>1590</v>
      </c>
      <c r="C532" s="51" t="str">
        <f>VLOOKUP(A532,'עזר 2025'!A:C,3,FALSE)</f>
        <v>פעולות רווחה</v>
      </c>
      <c r="D532" s="142">
        <v>10000</v>
      </c>
      <c r="E532" s="53">
        <v>0</v>
      </c>
      <c r="F532" s="53">
        <v>0</v>
      </c>
      <c r="G532" s="53">
        <v>0</v>
      </c>
      <c r="H532" s="53">
        <f t="shared" si="71"/>
        <v>0</v>
      </c>
      <c r="I532" s="53"/>
      <c r="J532" s="53"/>
      <c r="K532" s="142">
        <f>VLOOKUP(A532,'ביצוע דוח חשב 12.2024'!A:I,9,FALSE)</f>
        <v>0</v>
      </c>
      <c r="L532" s="142"/>
      <c r="M532" s="53"/>
      <c r="N532" s="53"/>
      <c r="O532" s="53"/>
    </row>
    <row r="533" spans="1:15" s="50" customFormat="1" ht="26.25" x14ac:dyDescent="0.2">
      <c r="A533" s="79"/>
      <c r="B533" s="79" t="s">
        <v>2140</v>
      </c>
      <c r="C533" s="79"/>
      <c r="D533" s="80">
        <f>SUM(D520:D532)</f>
        <v>3045000</v>
      </c>
      <c r="E533" s="80">
        <f t="shared" ref="E533:N533" si="72">SUM(E520:E532)</f>
        <v>0</v>
      </c>
      <c r="F533" s="80">
        <f t="shared" si="72"/>
        <v>3700837</v>
      </c>
      <c r="G533" s="80">
        <f t="shared" si="72"/>
        <v>0</v>
      </c>
      <c r="H533" s="80">
        <f t="shared" si="72"/>
        <v>3700837</v>
      </c>
      <c r="I533" s="80">
        <f t="shared" si="72"/>
        <v>390906</v>
      </c>
      <c r="J533" s="80">
        <f t="shared" si="72"/>
        <v>0</v>
      </c>
      <c r="K533" s="80">
        <f t="shared" si="72"/>
        <v>3046106</v>
      </c>
      <c r="L533" s="80">
        <f t="shared" si="72"/>
        <v>3710000</v>
      </c>
      <c r="M533" s="80">
        <f t="shared" si="72"/>
        <v>0</v>
      </c>
      <c r="N533" s="80">
        <f t="shared" si="72"/>
        <v>0</v>
      </c>
      <c r="O533" s="80">
        <v>0</v>
      </c>
    </row>
    <row r="534" spans="1:15" hidden="1" x14ac:dyDescent="0.2">
      <c r="A534" s="132">
        <v>1847101780</v>
      </c>
      <c r="B534" s="133" t="s">
        <v>1027</v>
      </c>
      <c r="C534" s="51" t="str">
        <f>VLOOKUP(A534,'עזר 2025'!A:C,3,FALSE)</f>
        <v>פעולות רווחה</v>
      </c>
      <c r="D534" s="142">
        <v>25000</v>
      </c>
      <c r="E534" s="53">
        <v>0</v>
      </c>
      <c r="F534" s="53">
        <v>0</v>
      </c>
      <c r="G534" s="53">
        <v>0</v>
      </c>
      <c r="H534" s="53">
        <f t="shared" si="71"/>
        <v>0</v>
      </c>
      <c r="I534" s="53"/>
      <c r="J534" s="53"/>
      <c r="K534" s="142">
        <f>VLOOKUP(A534,'ביצוע דוח חשב 12.2024'!A:I,9,FALSE)</f>
        <v>0</v>
      </c>
      <c r="L534" s="142"/>
      <c r="M534" s="53"/>
      <c r="N534" s="53"/>
      <c r="O534" s="53"/>
    </row>
    <row r="535" spans="1:15" hidden="1" x14ac:dyDescent="0.2">
      <c r="A535" s="132">
        <v>1847102750</v>
      </c>
      <c r="B535" s="133" t="s">
        <v>1157</v>
      </c>
      <c r="C535" s="51" t="str">
        <f>VLOOKUP(A535,'עזר 2025'!A:C,3,FALSE)</f>
        <v>פעולות רווחה</v>
      </c>
      <c r="D535" s="142">
        <v>50000</v>
      </c>
      <c r="E535" s="53">
        <v>0</v>
      </c>
      <c r="F535" s="53">
        <v>3042</v>
      </c>
      <c r="G535" s="53">
        <v>0</v>
      </c>
      <c r="H535" s="53">
        <f t="shared" si="71"/>
        <v>3042</v>
      </c>
      <c r="I535" s="53"/>
      <c r="J535" s="53"/>
      <c r="K535" s="142">
        <v>0</v>
      </c>
      <c r="L535" s="142"/>
      <c r="M535" s="53"/>
      <c r="N535" s="53"/>
      <c r="O535" s="53"/>
    </row>
    <row r="536" spans="1:15" hidden="1" x14ac:dyDescent="0.2">
      <c r="A536" s="132">
        <v>1847103840</v>
      </c>
      <c r="B536" s="133" t="s">
        <v>240</v>
      </c>
      <c r="C536" s="51" t="str">
        <f>VLOOKUP(A536,'עזר 2025'!A:C,3,FALSE)</f>
        <v>פעולות רווחה</v>
      </c>
      <c r="D536" s="142">
        <v>250000</v>
      </c>
      <c r="E536" s="53">
        <v>0</v>
      </c>
      <c r="F536" s="53">
        <v>0</v>
      </c>
      <c r="G536" s="53">
        <v>0</v>
      </c>
      <c r="H536" s="53">
        <f t="shared" si="71"/>
        <v>0</v>
      </c>
      <c r="I536" s="53"/>
      <c r="J536" s="53"/>
      <c r="K536" s="142">
        <f>VLOOKUP(A536,'ביצוע דוח חשב 12.2024'!A:I,9,FALSE)</f>
        <v>0</v>
      </c>
      <c r="L536" s="142"/>
      <c r="M536" s="53"/>
      <c r="N536" s="53"/>
      <c r="O536" s="53"/>
    </row>
    <row r="537" spans="1:15" x14ac:dyDescent="0.2">
      <c r="A537" s="132">
        <v>1847104840</v>
      </c>
      <c r="B537" s="133" t="s">
        <v>241</v>
      </c>
      <c r="C537" s="51" t="str">
        <f>VLOOKUP(A537,'עזר 2025'!A:C,3,FALSE)</f>
        <v>פעולות רווחה</v>
      </c>
      <c r="D537" s="142">
        <v>35000</v>
      </c>
      <c r="E537" s="53">
        <v>0</v>
      </c>
      <c r="F537" s="53">
        <v>323333</v>
      </c>
      <c r="G537" s="53">
        <v>0</v>
      </c>
      <c r="H537" s="53">
        <f t="shared" si="71"/>
        <v>323333</v>
      </c>
      <c r="I537" s="53">
        <v>20000</v>
      </c>
      <c r="J537" s="53" t="s">
        <v>2079</v>
      </c>
      <c r="K537" s="142">
        <f>VLOOKUP(A537,'ביצוע דוח חשב 12.2024'!A:I,9,FALSE)</f>
        <v>325155</v>
      </c>
      <c r="L537" s="142">
        <v>330000</v>
      </c>
      <c r="M537" s="53"/>
      <c r="N537" s="53"/>
      <c r="O537" s="53"/>
    </row>
    <row r="538" spans="1:15" x14ac:dyDescent="0.2">
      <c r="A538" s="132">
        <v>1847105840</v>
      </c>
      <c r="B538" s="133" t="s">
        <v>1148</v>
      </c>
      <c r="C538" s="51" t="str">
        <f>VLOOKUP(A538,'עזר 2025'!A:C,3,FALSE)</f>
        <v>פעולות רווחה</v>
      </c>
      <c r="D538" s="142">
        <v>0</v>
      </c>
      <c r="E538" s="53">
        <v>0</v>
      </c>
      <c r="F538" s="53">
        <v>230346</v>
      </c>
      <c r="G538" s="53">
        <v>0</v>
      </c>
      <c r="H538" s="53">
        <f t="shared" si="71"/>
        <v>230346</v>
      </c>
      <c r="I538" s="53">
        <v>25000</v>
      </c>
      <c r="J538" s="53" t="s">
        <v>2079</v>
      </c>
      <c r="K538" s="142">
        <f>VLOOKUP(A538,'ביצוע דוח חשב 12.2024'!A:I,9,FALSE)</f>
        <v>270454</v>
      </c>
      <c r="L538" s="142">
        <v>300000</v>
      </c>
      <c r="M538" s="53"/>
      <c r="N538" s="53"/>
      <c r="O538" s="53"/>
    </row>
    <row r="539" spans="1:15" hidden="1" x14ac:dyDescent="0.2">
      <c r="A539" s="132">
        <v>1847201840</v>
      </c>
      <c r="B539" s="133" t="s">
        <v>242</v>
      </c>
      <c r="C539" s="51" t="str">
        <f>VLOOKUP(A539,'עזר 2025'!A:C,3,FALSE)</f>
        <v>פעולות רווחה</v>
      </c>
      <c r="D539" s="142">
        <v>200000</v>
      </c>
      <c r="E539" s="53">
        <v>0</v>
      </c>
      <c r="F539" s="53">
        <v>0</v>
      </c>
      <c r="G539" s="53">
        <v>0</v>
      </c>
      <c r="H539" s="53">
        <f t="shared" si="71"/>
        <v>0</v>
      </c>
      <c r="I539" s="53"/>
      <c r="J539" s="53"/>
      <c r="K539" s="142">
        <f>VLOOKUP(A539,'ביצוע דוח חשב 12.2024'!A:I,9,FALSE)</f>
        <v>0</v>
      </c>
      <c r="L539" s="142">
        <v>0</v>
      </c>
      <c r="M539" s="53"/>
      <c r="N539" s="53"/>
      <c r="O539" s="53"/>
    </row>
    <row r="540" spans="1:15" x14ac:dyDescent="0.2">
      <c r="A540" s="132">
        <v>1847202840</v>
      </c>
      <c r="B540" s="133" t="s">
        <v>640</v>
      </c>
      <c r="C540" s="51" t="str">
        <f>VLOOKUP(A540,'עזר 2025'!A:C,3,FALSE)</f>
        <v>פעולות רווחה</v>
      </c>
      <c r="D540" s="142">
        <v>100000</v>
      </c>
      <c r="E540" s="53">
        <v>0</v>
      </c>
      <c r="F540" s="53">
        <v>0</v>
      </c>
      <c r="G540" s="53">
        <v>0</v>
      </c>
      <c r="H540" s="53">
        <f t="shared" si="71"/>
        <v>0</v>
      </c>
      <c r="I540" s="53"/>
      <c r="J540" s="53"/>
      <c r="K540" s="142">
        <f>VLOOKUP(A540,'ביצוע דוח חשב 12.2024'!A:I,9,FALSE)</f>
        <v>0</v>
      </c>
      <c r="L540" s="142">
        <v>100000</v>
      </c>
      <c r="M540" s="53"/>
      <c r="N540" s="53"/>
      <c r="O540" s="53"/>
    </row>
    <row r="541" spans="1:15" x14ac:dyDescent="0.2">
      <c r="A541" s="132">
        <v>1847220840</v>
      </c>
      <c r="B541" s="133" t="s">
        <v>983</v>
      </c>
      <c r="C541" s="51" t="str">
        <f>VLOOKUP(A541,'עזר 2025'!A:C,3,FALSE)</f>
        <v>פעולות רווחה</v>
      </c>
      <c r="D541" s="142">
        <v>580000</v>
      </c>
      <c r="E541" s="53">
        <v>0</v>
      </c>
      <c r="F541" s="53">
        <v>568937</v>
      </c>
      <c r="G541" s="53">
        <v>0</v>
      </c>
      <c r="H541" s="53">
        <f t="shared" si="71"/>
        <v>568937</v>
      </c>
      <c r="I541" s="53">
        <v>50000</v>
      </c>
      <c r="J541" s="53" t="s">
        <v>2087</v>
      </c>
      <c r="K541" s="142">
        <f>VLOOKUP(A541,'ביצוע דוח חשב 12.2024'!A:I,9,FALSE)</f>
        <v>606537</v>
      </c>
      <c r="L541" s="142">
        <v>600000</v>
      </c>
      <c r="M541" s="53"/>
      <c r="N541" s="53"/>
      <c r="O541" s="53"/>
    </row>
    <row r="542" spans="1:15" x14ac:dyDescent="0.2">
      <c r="A542" s="132">
        <v>1842212840</v>
      </c>
      <c r="B542" s="133" t="s">
        <v>2231</v>
      </c>
      <c r="C542" s="51" t="s">
        <v>359</v>
      </c>
      <c r="D542" s="142"/>
      <c r="E542" s="53"/>
      <c r="F542" s="53"/>
      <c r="G542" s="53"/>
      <c r="H542" s="53"/>
      <c r="I542" s="53"/>
      <c r="J542" s="53"/>
      <c r="K542" s="142">
        <f>VLOOKUP(A542,'ביצוע דוח חשב 12.2024'!A:I,9,FALSE)</f>
        <v>283581</v>
      </c>
      <c r="L542" s="142"/>
      <c r="M542" s="53"/>
      <c r="N542" s="53"/>
      <c r="O542" s="53"/>
    </row>
    <row r="543" spans="1:15" x14ac:dyDescent="0.2">
      <c r="A543" s="132">
        <v>1842213840</v>
      </c>
      <c r="B543" s="133" t="s">
        <v>2229</v>
      </c>
      <c r="C543" s="51" t="s">
        <v>359</v>
      </c>
      <c r="D543" s="142"/>
      <c r="E543" s="53"/>
      <c r="F543" s="53"/>
      <c r="G543" s="53"/>
      <c r="H543" s="53"/>
      <c r="I543" s="53"/>
      <c r="J543" s="53"/>
      <c r="K543" s="142">
        <f>VLOOKUP(A543,'ביצוע דוח חשב 12.2024'!A:I,9,FALSE)</f>
        <v>1796245</v>
      </c>
      <c r="L543" s="142"/>
      <c r="M543" s="53"/>
      <c r="N543" s="53"/>
      <c r="O543" s="53"/>
    </row>
    <row r="544" spans="1:15" x14ac:dyDescent="0.2">
      <c r="A544" s="132">
        <v>1847301840</v>
      </c>
      <c r="B544" s="133" t="s">
        <v>243</v>
      </c>
      <c r="C544" s="51" t="str">
        <f>VLOOKUP(A544,'עזר 2025'!A:C,3,FALSE)</f>
        <v>פעולות רווחה</v>
      </c>
      <c r="D544" s="142">
        <v>95000</v>
      </c>
      <c r="E544" s="53">
        <v>0</v>
      </c>
      <c r="F544" s="53">
        <v>111019</v>
      </c>
      <c r="G544" s="53">
        <v>0</v>
      </c>
      <c r="H544" s="53">
        <f t="shared" si="71"/>
        <v>111019</v>
      </c>
      <c r="I544" s="53">
        <v>4000</v>
      </c>
      <c r="J544" s="53" t="s">
        <v>2079</v>
      </c>
      <c r="K544" s="142">
        <f>VLOOKUP(A544,'ביצוע דוח חשב 12.2024'!A:I,9,FALSE)</f>
        <v>117480</v>
      </c>
      <c r="L544" s="142">
        <v>180000</v>
      </c>
      <c r="M544" s="53"/>
      <c r="N544" s="53"/>
      <c r="O544" s="53"/>
    </row>
    <row r="545" spans="1:15" x14ac:dyDescent="0.2">
      <c r="A545" s="132">
        <v>1847305840</v>
      </c>
      <c r="B545" s="133" t="s">
        <v>643</v>
      </c>
      <c r="C545" s="51" t="str">
        <f>VLOOKUP(A545,'עזר 2025'!A:C,3,FALSE)</f>
        <v>פעולות רווחה</v>
      </c>
      <c r="D545" s="142">
        <v>1600000</v>
      </c>
      <c r="E545" s="53">
        <v>0</v>
      </c>
      <c r="F545" s="53">
        <v>1501901</v>
      </c>
      <c r="G545" s="53">
        <v>0</v>
      </c>
      <c r="H545" s="53">
        <f t="shared" si="71"/>
        <v>1501901</v>
      </c>
      <c r="I545" s="53">
        <v>150000</v>
      </c>
      <c r="J545" s="53" t="s">
        <v>2079</v>
      </c>
      <c r="K545" s="142">
        <f>VLOOKUP(A545,'ביצוע דוח חשב 12.2024'!A:I,9,FALSE)</f>
        <v>1680394</v>
      </c>
      <c r="L545" s="142">
        <v>1700000</v>
      </c>
      <c r="M545" s="53"/>
      <c r="N545" s="53"/>
      <c r="O545" s="53"/>
    </row>
    <row r="546" spans="1:15" x14ac:dyDescent="0.2">
      <c r="A546" s="132">
        <v>1847400840</v>
      </c>
      <c r="B546" s="133" t="s">
        <v>244</v>
      </c>
      <c r="C546" s="51" t="str">
        <f>VLOOKUP(A546,'עזר 2025'!A:C,3,FALSE)</f>
        <v>פעולות רווחה</v>
      </c>
      <c r="D546" s="142">
        <v>25000</v>
      </c>
      <c r="E546" s="53">
        <v>0</v>
      </c>
      <c r="F546" s="53">
        <v>34603</v>
      </c>
      <c r="G546" s="53">
        <v>0</v>
      </c>
      <c r="H546" s="53">
        <f t="shared" si="71"/>
        <v>34603</v>
      </c>
      <c r="I546" s="53">
        <v>2500</v>
      </c>
      <c r="J546" s="53" t="s">
        <v>2079</v>
      </c>
      <c r="K546" s="142">
        <f>VLOOKUP(A546,'ביצוע דוח חשב 12.2024'!A:I,9,FALSE)</f>
        <v>37723</v>
      </c>
      <c r="L546" s="142">
        <v>40000</v>
      </c>
      <c r="M546" s="53"/>
      <c r="N546" s="53"/>
      <c r="O546" s="53"/>
    </row>
    <row r="547" spans="1:15" x14ac:dyDescent="0.2">
      <c r="A547" s="132">
        <v>1848000840</v>
      </c>
      <c r="B547" s="133" t="s">
        <v>1661</v>
      </c>
      <c r="C547" s="51" t="str">
        <f>VLOOKUP(A547,'עזר 2025'!A:C,3,FALSE)</f>
        <v>פעולות רווחה</v>
      </c>
      <c r="D547" s="142">
        <v>0</v>
      </c>
      <c r="E547" s="53">
        <v>0</v>
      </c>
      <c r="F547" s="53">
        <v>230942</v>
      </c>
      <c r="G547" s="53">
        <v>0</v>
      </c>
      <c r="H547" s="53">
        <f t="shared" si="71"/>
        <v>230942</v>
      </c>
      <c r="I547" s="53">
        <v>22000</v>
      </c>
      <c r="J547" s="53" t="s">
        <v>2079</v>
      </c>
      <c r="K547" s="142">
        <f>VLOOKUP(A547,'ביצוע דוח חשב 12.2024'!A:I,9,FALSE)</f>
        <v>252501</v>
      </c>
      <c r="L547" s="142">
        <v>260000</v>
      </c>
      <c r="M547" s="53"/>
      <c r="N547" s="53"/>
      <c r="O547" s="53"/>
    </row>
    <row r="548" spans="1:15" ht="26.25" x14ac:dyDescent="0.2">
      <c r="A548" s="134"/>
      <c r="B548" s="134" t="s">
        <v>2160</v>
      </c>
      <c r="C548" s="79"/>
      <c r="D548" s="139">
        <f>SUM(D534:D547)</f>
        <v>2960000</v>
      </c>
      <c r="E548" s="80">
        <f t="shared" ref="E548:O548" si="73">SUM(E534:E547)</f>
        <v>0</v>
      </c>
      <c r="F548" s="80">
        <f t="shared" si="73"/>
        <v>3004123</v>
      </c>
      <c r="G548" s="80">
        <f t="shared" si="73"/>
        <v>0</v>
      </c>
      <c r="H548" s="80">
        <f t="shared" si="73"/>
        <v>3004123</v>
      </c>
      <c r="I548" s="80">
        <f t="shared" si="73"/>
        <v>273500</v>
      </c>
      <c r="J548" s="80">
        <f t="shared" si="73"/>
        <v>0</v>
      </c>
      <c r="K548" s="139">
        <f t="shared" si="73"/>
        <v>5370070</v>
      </c>
      <c r="L548" s="139">
        <f t="shared" si="73"/>
        <v>3510000</v>
      </c>
      <c r="M548" s="80">
        <f t="shared" si="73"/>
        <v>0</v>
      </c>
      <c r="N548" s="80">
        <f t="shared" si="73"/>
        <v>0</v>
      </c>
      <c r="O548" s="80">
        <f t="shared" si="73"/>
        <v>0</v>
      </c>
    </row>
    <row r="549" spans="1:15" s="50" customFormat="1" ht="41.25" customHeight="1" x14ac:dyDescent="0.2">
      <c r="A549" s="81"/>
      <c r="B549" s="81" t="s">
        <v>360</v>
      </c>
      <c r="C549" s="81"/>
      <c r="D549" s="82">
        <f>D548+D533+D519+D505+D497+D488+D477</f>
        <v>39714000</v>
      </c>
      <c r="E549" s="82">
        <f t="shared" ref="E549:O549" si="74">E548+E533+E519+E505+E497+E488+E477</f>
        <v>21</v>
      </c>
      <c r="F549" s="82">
        <f t="shared" si="74"/>
        <v>41591552.210000008</v>
      </c>
      <c r="G549" s="82">
        <f t="shared" si="74"/>
        <v>59887.41</v>
      </c>
      <c r="H549" s="82">
        <f t="shared" si="74"/>
        <v>41651439.620000005</v>
      </c>
      <c r="I549" s="82">
        <f t="shared" si="74"/>
        <v>4408915.1199999982</v>
      </c>
      <c r="J549" s="82">
        <f t="shared" si="74"/>
        <v>0</v>
      </c>
      <c r="K549" s="82">
        <f t="shared" si="74"/>
        <v>45803885.819999993</v>
      </c>
      <c r="L549" s="82">
        <f t="shared" si="74"/>
        <v>46155000</v>
      </c>
      <c r="M549" s="82">
        <f t="shared" si="74"/>
        <v>20.759454545454545</v>
      </c>
      <c r="N549" s="82">
        <f t="shared" si="74"/>
        <v>0</v>
      </c>
      <c r="O549" s="82">
        <f t="shared" si="74"/>
        <v>0</v>
      </c>
    </row>
    <row r="550" spans="1:15" x14ac:dyDescent="0.2">
      <c r="A550" s="132">
        <v>1853000431</v>
      </c>
      <c r="B550" s="133" t="s">
        <v>701</v>
      </c>
      <c r="C550" s="90" t="str">
        <f>VLOOKUP(A550,'עזר 2025'!A:C,3,FALSE)</f>
        <v>פעולות כלליות</v>
      </c>
      <c r="D550" s="142">
        <v>15000</v>
      </c>
      <c r="E550" s="92">
        <v>0</v>
      </c>
      <c r="F550" s="53">
        <v>17505.63</v>
      </c>
      <c r="G550" s="53">
        <v>0</v>
      </c>
      <c r="H550" s="53">
        <f t="shared" si="71"/>
        <v>17505.63</v>
      </c>
      <c r="I550" s="53">
        <v>2500</v>
      </c>
      <c r="J550" s="92"/>
      <c r="K550" s="142">
        <f>VLOOKUP(A550,'ביצוע דוח חשב 12.2024'!A:I,9,FALSE)</f>
        <v>17505.63</v>
      </c>
      <c r="L550" s="142">
        <v>22000</v>
      </c>
      <c r="M550" s="53"/>
      <c r="N550" s="53"/>
      <c r="O550" s="53"/>
    </row>
    <row r="551" spans="1:15" x14ac:dyDescent="0.2">
      <c r="A551" s="132">
        <v>1853000432</v>
      </c>
      <c r="B551" s="133" t="s">
        <v>246</v>
      </c>
      <c r="C551" s="90" t="str">
        <f>VLOOKUP(A551,'עזר 2025'!A:C,3,FALSE)</f>
        <v>פעולות כלליות</v>
      </c>
      <c r="D551" s="142">
        <v>30000</v>
      </c>
      <c r="E551" s="92">
        <v>0</v>
      </c>
      <c r="F551" s="53">
        <v>0</v>
      </c>
      <c r="G551" s="53">
        <v>0</v>
      </c>
      <c r="H551" s="53">
        <f t="shared" si="71"/>
        <v>0</v>
      </c>
      <c r="I551" s="53">
        <f>D551-H551</f>
        <v>30000</v>
      </c>
      <c r="J551" s="92" t="s">
        <v>115</v>
      </c>
      <c r="K551" s="142">
        <v>41000</v>
      </c>
      <c r="L551" s="142">
        <v>42000</v>
      </c>
      <c r="M551" s="53"/>
      <c r="N551" s="53"/>
      <c r="O551" s="53"/>
    </row>
    <row r="552" spans="1:15" x14ac:dyDescent="0.2">
      <c r="A552" s="132">
        <v>1853000750</v>
      </c>
      <c r="B552" s="133" t="s">
        <v>2254</v>
      </c>
      <c r="C552" s="90" t="s">
        <v>353</v>
      </c>
      <c r="D552" s="142"/>
      <c r="E552" s="92"/>
      <c r="F552" s="53"/>
      <c r="G552" s="53"/>
      <c r="H552" s="53"/>
      <c r="I552" s="53"/>
      <c r="J552" s="92"/>
      <c r="K552" s="142"/>
      <c r="L552" s="142">
        <v>50000</v>
      </c>
      <c r="M552" s="53"/>
      <c r="N552" s="53"/>
      <c r="O552" s="53"/>
    </row>
    <row r="553" spans="1:15" ht="41.25" customHeight="1" x14ac:dyDescent="0.2">
      <c r="A553" s="136"/>
      <c r="B553" s="136" t="s">
        <v>430</v>
      </c>
      <c r="C553" s="81"/>
      <c r="D553" s="140">
        <f t="shared" ref="D553:K553" si="75">SUM(D550:D551)</f>
        <v>45000</v>
      </c>
      <c r="E553" s="82">
        <f t="shared" si="75"/>
        <v>0</v>
      </c>
      <c r="F553" s="82">
        <f t="shared" si="75"/>
        <v>17505.63</v>
      </c>
      <c r="G553" s="82">
        <f t="shared" si="75"/>
        <v>0</v>
      </c>
      <c r="H553" s="82">
        <f t="shared" si="75"/>
        <v>17505.63</v>
      </c>
      <c r="I553" s="82">
        <f t="shared" si="75"/>
        <v>32500</v>
      </c>
      <c r="J553" s="82">
        <f t="shared" si="75"/>
        <v>0</v>
      </c>
      <c r="K553" s="140">
        <f t="shared" si="75"/>
        <v>58505.630000000005</v>
      </c>
      <c r="L553" s="140">
        <f>SUM(L550:L552)</f>
        <v>114000</v>
      </c>
      <c r="M553" s="82">
        <f>SUM(M550:M551)</f>
        <v>0</v>
      </c>
      <c r="N553" s="82">
        <f>SUM(N550:N551)</f>
        <v>0</v>
      </c>
      <c r="O553" s="82">
        <f>SUM(O550:O551)</f>
        <v>0</v>
      </c>
    </row>
    <row r="554" spans="1:15" x14ac:dyDescent="0.2">
      <c r="A554" s="132">
        <v>1879000830</v>
      </c>
      <c r="B554" s="133" t="s">
        <v>247</v>
      </c>
      <c r="C554" s="90" t="str">
        <f>VLOOKUP(A554,'עזר 2025'!A:C,3,FALSE)</f>
        <v>פעולות כלליות</v>
      </c>
      <c r="D554" s="142">
        <v>80000</v>
      </c>
      <c r="E554" s="92">
        <v>0</v>
      </c>
      <c r="F554" s="53">
        <v>118481</v>
      </c>
      <c r="G554" s="53">
        <v>0</v>
      </c>
      <c r="H554" s="53">
        <f t="shared" si="71"/>
        <v>118481</v>
      </c>
      <c r="I554" s="53"/>
      <c r="J554" s="92"/>
      <c r="K554" s="142">
        <f>VLOOKUP(A554,'ביצוע דוח חשב 12.2024'!A:I,9,FALSE)</f>
        <v>118481</v>
      </c>
      <c r="L554" s="142">
        <v>50000</v>
      </c>
      <c r="M554" s="53"/>
      <c r="N554" s="53"/>
      <c r="O554" s="53"/>
    </row>
    <row r="555" spans="1:15" ht="41.25" customHeight="1" x14ac:dyDescent="0.2">
      <c r="A555" s="136"/>
      <c r="B555" s="136" t="s">
        <v>2161</v>
      </c>
      <c r="C555" s="81"/>
      <c r="D555" s="140">
        <f>SUM(D554)</f>
        <v>80000</v>
      </c>
      <c r="E555" s="82">
        <f t="shared" ref="E555:O555" si="76">SUM(E554)</f>
        <v>0</v>
      </c>
      <c r="F555" s="82">
        <f t="shared" si="76"/>
        <v>118481</v>
      </c>
      <c r="G555" s="82">
        <f t="shared" si="76"/>
        <v>0</v>
      </c>
      <c r="H555" s="82">
        <f t="shared" si="76"/>
        <v>118481</v>
      </c>
      <c r="I555" s="82">
        <f t="shared" si="76"/>
        <v>0</v>
      </c>
      <c r="J555" s="82">
        <f t="shared" si="76"/>
        <v>0</v>
      </c>
      <c r="K555" s="140">
        <f t="shared" si="76"/>
        <v>118481</v>
      </c>
      <c r="L555" s="140">
        <f t="shared" si="76"/>
        <v>50000</v>
      </c>
      <c r="M555" s="82">
        <f t="shared" si="76"/>
        <v>0</v>
      </c>
      <c r="N555" s="82">
        <f t="shared" si="76"/>
        <v>0</v>
      </c>
      <c r="O555" s="82">
        <f t="shared" si="76"/>
        <v>0</v>
      </c>
    </row>
    <row r="556" spans="1:15" x14ac:dyDescent="0.2">
      <c r="A556" s="132">
        <v>1938000420</v>
      </c>
      <c r="B556" s="133" t="s">
        <v>105</v>
      </c>
      <c r="C556" s="90" t="str">
        <f>VLOOKUP(A556,'עזר 2025'!A:C,3,FALSE)</f>
        <v>פעולות כלליות</v>
      </c>
      <c r="D556" s="142">
        <v>50000</v>
      </c>
      <c r="E556" s="92">
        <v>0</v>
      </c>
      <c r="F556" s="53">
        <v>0</v>
      </c>
      <c r="G556" s="53">
        <v>0</v>
      </c>
      <c r="H556" s="53">
        <f t="shared" ref="H556:H569" si="77">F556+G556</f>
        <v>0</v>
      </c>
      <c r="I556" s="53"/>
      <c r="J556" s="92"/>
      <c r="K556" s="142">
        <f>VLOOKUP(A556,'ביצוע דוח חשב 12.2024'!A:I,9,FALSE)</f>
        <v>0</v>
      </c>
      <c r="L556" s="142">
        <v>50000</v>
      </c>
      <c r="M556" s="53"/>
      <c r="N556" s="53"/>
      <c r="O556" s="53"/>
    </row>
    <row r="557" spans="1:15" s="50" customFormat="1" hidden="1" x14ac:dyDescent="0.2">
      <c r="A557" s="51">
        <v>1938000432</v>
      </c>
      <c r="B557" s="52" t="s">
        <v>115</v>
      </c>
      <c r="C557" s="51" t="s">
        <v>333</v>
      </c>
      <c r="D557" s="53"/>
      <c r="E557" s="53"/>
      <c r="F557" s="53">
        <v>0</v>
      </c>
      <c r="G557" s="53">
        <v>0</v>
      </c>
      <c r="H557" s="53">
        <f t="shared" si="77"/>
        <v>0</v>
      </c>
      <c r="I557" s="53"/>
      <c r="J557" s="53"/>
      <c r="K557" s="53">
        <f>VLOOKUP(A557,'ביצוע דוח חשב 12.2024'!A:I,9,FALSE)</f>
        <v>0</v>
      </c>
      <c r="L557" s="53"/>
      <c r="M557" s="53"/>
      <c r="N557" s="53"/>
      <c r="O557" s="53">
        <v>1</v>
      </c>
    </row>
    <row r="558" spans="1:15" x14ac:dyDescent="0.2">
      <c r="A558" s="132">
        <v>1938000750</v>
      </c>
      <c r="B558" s="133" t="s">
        <v>49</v>
      </c>
      <c r="C558" s="90" t="str">
        <f>VLOOKUP(A558,'עזר 2025'!A:C,3,FALSE)</f>
        <v>פעולות כלליות</v>
      </c>
      <c r="D558" s="142">
        <v>80000</v>
      </c>
      <c r="E558" s="92">
        <v>0</v>
      </c>
      <c r="F558" s="53">
        <v>84280</v>
      </c>
      <c r="G558" s="53">
        <v>0</v>
      </c>
      <c r="H558" s="53">
        <f t="shared" si="77"/>
        <v>84280</v>
      </c>
      <c r="I558" s="53"/>
      <c r="J558" s="92"/>
      <c r="K558" s="142">
        <f>VLOOKUP(A558,'ביצוע דוח חשב 12.2024'!A:I,9,FALSE)</f>
        <v>84280</v>
      </c>
      <c r="L558" s="142">
        <v>80000</v>
      </c>
      <c r="M558" s="53"/>
      <c r="N558" s="53"/>
      <c r="O558" s="53"/>
    </row>
    <row r="559" spans="1:15" x14ac:dyDescent="0.2">
      <c r="A559" s="132">
        <v>1938000780</v>
      </c>
      <c r="B559" s="133" t="s">
        <v>977</v>
      </c>
      <c r="C559" s="90" t="str">
        <f>VLOOKUP(A559,'עזר 2025'!A:C,3,FALSE)</f>
        <v>פעולות כלליות</v>
      </c>
      <c r="D559" s="142">
        <v>400000</v>
      </c>
      <c r="E559" s="92">
        <v>0</v>
      </c>
      <c r="F559" s="53">
        <v>376260</v>
      </c>
      <c r="G559" s="53">
        <v>0</v>
      </c>
      <c r="H559" s="53">
        <f t="shared" si="77"/>
        <v>376260</v>
      </c>
      <c r="I559" s="53"/>
      <c r="J559" s="92"/>
      <c r="K559" s="142">
        <f>VLOOKUP(A559,'ביצוע דוח חשב 12.2024'!A:I,9,FALSE)</f>
        <v>397680</v>
      </c>
      <c r="L559" s="142">
        <v>400000</v>
      </c>
      <c r="M559" s="53"/>
      <c r="N559" s="53"/>
      <c r="O559" s="53"/>
    </row>
    <row r="560" spans="1:15" x14ac:dyDescent="0.2">
      <c r="A560" s="132">
        <v>1938000930</v>
      </c>
      <c r="B560" s="133" t="s">
        <v>1920</v>
      </c>
      <c r="C560" s="90" t="str">
        <f>VLOOKUP(A560,'עזר 2025'!A:C,3,FALSE)</f>
        <v>פעולות כלליות</v>
      </c>
      <c r="D560" s="142">
        <v>165000</v>
      </c>
      <c r="E560" s="92">
        <v>0</v>
      </c>
      <c r="F560" s="53">
        <v>34183.660000000003</v>
      </c>
      <c r="G560" s="53">
        <v>0</v>
      </c>
      <c r="H560" s="53">
        <f t="shared" si="77"/>
        <v>34183.660000000003</v>
      </c>
      <c r="I560" s="53"/>
      <c r="J560" s="92"/>
      <c r="K560" s="142">
        <f>VLOOKUP(A560,'ביצוע דוח חשב 12.2024'!A:I,9,FALSE)</f>
        <v>34183.660000000003</v>
      </c>
      <c r="L560" s="142">
        <v>50000</v>
      </c>
      <c r="M560" s="53"/>
      <c r="N560" s="53"/>
      <c r="O560" s="53"/>
    </row>
    <row r="561" spans="1:15" s="50" customFormat="1" ht="41.25" customHeight="1" x14ac:dyDescent="0.2">
      <c r="A561" s="81"/>
      <c r="B561" s="81" t="s">
        <v>2162</v>
      </c>
      <c r="C561" s="81"/>
      <c r="D561" s="82">
        <f>SUM(D556:D560)</f>
        <v>695000</v>
      </c>
      <c r="E561" s="82">
        <f t="shared" ref="E561:N561" si="78">SUM(E556:E560)</f>
        <v>0</v>
      </c>
      <c r="F561" s="82">
        <f t="shared" si="78"/>
        <v>494723.66000000003</v>
      </c>
      <c r="G561" s="82">
        <f t="shared" si="78"/>
        <v>0</v>
      </c>
      <c r="H561" s="82">
        <f t="shared" si="78"/>
        <v>494723.66000000003</v>
      </c>
      <c r="I561" s="82">
        <f t="shared" si="78"/>
        <v>0</v>
      </c>
      <c r="J561" s="82">
        <f t="shared" si="78"/>
        <v>0</v>
      </c>
      <c r="K561" s="82">
        <f t="shared" si="78"/>
        <v>516143.66000000003</v>
      </c>
      <c r="L561" s="82">
        <f t="shared" si="78"/>
        <v>580000</v>
      </c>
      <c r="M561" s="82">
        <f t="shared" si="78"/>
        <v>0</v>
      </c>
      <c r="N561" s="82">
        <f t="shared" si="78"/>
        <v>0</v>
      </c>
      <c r="O561" s="82">
        <v>0</v>
      </c>
    </row>
    <row r="562" spans="1:15" x14ac:dyDescent="0.2">
      <c r="A562" s="132">
        <v>1972000691</v>
      </c>
      <c r="B562" s="133" t="s">
        <v>250</v>
      </c>
      <c r="C562" s="51" t="str">
        <f>VLOOKUP(A562,'עזר 2025'!A:C,3,FALSE)</f>
        <v>פרעון מילוות מים וביוב</v>
      </c>
      <c r="D562" s="142">
        <v>400000</v>
      </c>
      <c r="E562" s="53">
        <v>0</v>
      </c>
      <c r="F562" s="53">
        <v>233918.73</v>
      </c>
      <c r="G562" s="53">
        <v>0</v>
      </c>
      <c r="H562" s="53">
        <f t="shared" si="77"/>
        <v>233918.73</v>
      </c>
      <c r="I562" s="53">
        <v>35000</v>
      </c>
      <c r="J562" s="53" t="s">
        <v>2058</v>
      </c>
      <c r="K562" s="142">
        <f>VLOOKUP(A562,'ביצוע דוח חשב 12.2024'!A:I,9,FALSE)</f>
        <v>233918.73</v>
      </c>
      <c r="L562" s="142">
        <v>220000</v>
      </c>
      <c r="M562" s="53"/>
      <c r="N562" s="53"/>
      <c r="O562" s="53"/>
    </row>
    <row r="563" spans="1:15" x14ac:dyDescent="0.2">
      <c r="A563" s="132">
        <v>1972000692</v>
      </c>
      <c r="B563" s="133" t="s">
        <v>251</v>
      </c>
      <c r="C563" s="51" t="str">
        <f>VLOOKUP(A563,'עזר 2025'!A:C,3,FALSE)</f>
        <v>פרעון מילוות מים וביוב</v>
      </c>
      <c r="D563" s="142">
        <v>50000</v>
      </c>
      <c r="E563" s="53">
        <v>0</v>
      </c>
      <c r="F563" s="53">
        <v>20475.91</v>
      </c>
      <c r="G563" s="53">
        <v>0</v>
      </c>
      <c r="H563" s="53">
        <f t="shared" si="77"/>
        <v>20475.91</v>
      </c>
      <c r="I563" s="53">
        <v>3500</v>
      </c>
      <c r="J563" s="53" t="s">
        <v>2058</v>
      </c>
      <c r="K563" s="142">
        <f>VLOOKUP(A563,'ביצוע דוח חשב 12.2024'!A:I,9,FALSE)</f>
        <v>20475.91</v>
      </c>
      <c r="L563" s="142">
        <v>20000</v>
      </c>
      <c r="M563" s="53"/>
      <c r="N563" s="53"/>
      <c r="O563" s="53"/>
    </row>
    <row r="564" spans="1:15" x14ac:dyDescent="0.2">
      <c r="A564" s="132">
        <v>1972000693</v>
      </c>
      <c r="B564" s="133" t="s">
        <v>252</v>
      </c>
      <c r="C564" s="51" t="str">
        <f>VLOOKUP(A564,'עזר 2025'!A:C,3,FALSE)</f>
        <v>פרעון מילוות מים וביוב</v>
      </c>
      <c r="D564" s="142">
        <v>150000</v>
      </c>
      <c r="E564" s="53">
        <v>0</v>
      </c>
      <c r="F564" s="53">
        <v>82883.59</v>
      </c>
      <c r="G564" s="53">
        <v>0</v>
      </c>
      <c r="H564" s="53">
        <f t="shared" si="77"/>
        <v>82883.59</v>
      </c>
      <c r="I564" s="53">
        <v>12000</v>
      </c>
      <c r="J564" s="53" t="s">
        <v>2058</v>
      </c>
      <c r="K564" s="142">
        <f>VLOOKUP(A564,'ביצוע דוח חשב 12.2024'!A:I,9,FALSE)</f>
        <v>82883.59</v>
      </c>
      <c r="L564" s="142">
        <v>70000</v>
      </c>
      <c r="M564" s="53"/>
      <c r="N564" s="53"/>
      <c r="O564" s="53"/>
    </row>
    <row r="565" spans="1:15" x14ac:dyDescent="0.2">
      <c r="A565" s="132">
        <v>1972000750</v>
      </c>
      <c r="B565" s="133" t="s">
        <v>253</v>
      </c>
      <c r="C565" s="90" t="str">
        <f>VLOOKUP(A565,'עזר 2025'!A:C,3,FALSE)</f>
        <v>פעולות כלליות</v>
      </c>
      <c r="D565" s="142">
        <v>50000</v>
      </c>
      <c r="E565" s="92">
        <v>0</v>
      </c>
      <c r="F565" s="53">
        <v>0</v>
      </c>
      <c r="G565" s="53">
        <v>0</v>
      </c>
      <c r="H565" s="53">
        <f t="shared" si="77"/>
        <v>0</v>
      </c>
      <c r="I565" s="53"/>
      <c r="J565" s="92"/>
      <c r="K565" s="142">
        <f>VLOOKUP(A565,'ביצוע דוח חשב 12.2024'!A:I,9,FALSE)</f>
        <v>0</v>
      </c>
      <c r="L565" s="142"/>
      <c r="M565" s="53"/>
      <c r="N565" s="53"/>
      <c r="O565" s="53"/>
    </row>
    <row r="566" spans="1:15" ht="41.25" customHeight="1" x14ac:dyDescent="0.2">
      <c r="A566" s="136"/>
      <c r="B566" s="136" t="s">
        <v>2143</v>
      </c>
      <c r="C566" s="81"/>
      <c r="D566" s="140">
        <f>SUM(D562:D565)</f>
        <v>650000</v>
      </c>
      <c r="E566" s="82">
        <f t="shared" ref="E566:O566" si="79">SUM(E562:E565)</f>
        <v>0</v>
      </c>
      <c r="F566" s="82">
        <f t="shared" si="79"/>
        <v>337278.23</v>
      </c>
      <c r="G566" s="82">
        <f t="shared" si="79"/>
        <v>0</v>
      </c>
      <c r="H566" s="82">
        <f t="shared" si="79"/>
        <v>337278.23</v>
      </c>
      <c r="I566" s="82">
        <f t="shared" si="79"/>
        <v>50500</v>
      </c>
      <c r="J566" s="82">
        <f t="shared" si="79"/>
        <v>0</v>
      </c>
      <c r="K566" s="140">
        <f t="shared" si="79"/>
        <v>337278.23</v>
      </c>
      <c r="L566" s="140">
        <f t="shared" si="79"/>
        <v>310000</v>
      </c>
      <c r="M566" s="82">
        <f t="shared" si="79"/>
        <v>0</v>
      </c>
      <c r="N566" s="82">
        <f t="shared" si="79"/>
        <v>0</v>
      </c>
      <c r="O566" s="82">
        <f t="shared" si="79"/>
        <v>0</v>
      </c>
    </row>
    <row r="567" spans="1:15" x14ac:dyDescent="0.2">
      <c r="A567" s="132">
        <v>1993000780</v>
      </c>
      <c r="B567" s="133" t="s">
        <v>254</v>
      </c>
      <c r="C567" s="51" t="str">
        <f>VLOOKUP(A567,'עזר 2025'!A:C,3,FALSE)</f>
        <v>הוצאה  שנים קודמות</v>
      </c>
      <c r="D567" s="138">
        <v>0</v>
      </c>
      <c r="E567" s="53">
        <v>0</v>
      </c>
      <c r="F567" s="53">
        <v>330690.3</v>
      </c>
      <c r="G567" s="53">
        <v>0</v>
      </c>
      <c r="H567" s="53">
        <f t="shared" si="77"/>
        <v>330690.3</v>
      </c>
      <c r="I567" s="53"/>
      <c r="J567" s="53" t="s">
        <v>2088</v>
      </c>
      <c r="K567" s="138">
        <f>VLOOKUP(A567,'ביצוע דוח חשב 12.2024'!A:I,9,FALSE)</f>
        <v>330690.3</v>
      </c>
      <c r="L567" s="138"/>
      <c r="M567" s="53"/>
      <c r="N567" s="53"/>
      <c r="O567" s="53"/>
    </row>
    <row r="568" spans="1:15" x14ac:dyDescent="0.2">
      <c r="A568" s="132">
        <v>1995000860</v>
      </c>
      <c r="B568" s="133" t="s">
        <v>255</v>
      </c>
      <c r="C568" s="51" t="str">
        <f>VLOOKUP(A568,'עזר 2025'!A:C,3,FALSE)</f>
        <v>הנחות ארנונה</v>
      </c>
      <c r="D568" s="138">
        <v>6500000</v>
      </c>
      <c r="E568" s="53">
        <v>0</v>
      </c>
      <c r="F568" s="53">
        <v>6198791</v>
      </c>
      <c r="G568" s="53">
        <v>0</v>
      </c>
      <c r="H568" s="53">
        <f t="shared" si="77"/>
        <v>6198791</v>
      </c>
      <c r="I568" s="53">
        <f>6700000-H568</f>
        <v>501209</v>
      </c>
      <c r="J568" s="53"/>
      <c r="K568" s="138">
        <f>VLOOKUP(A568,'ביצוע דוח חשב 12.2024'!A:I,9,FALSE)</f>
        <v>6591998.6699999999</v>
      </c>
      <c r="L568" s="138">
        <v>7000000</v>
      </c>
      <c r="M568" s="53"/>
      <c r="N568" s="53"/>
      <c r="O568" s="53"/>
    </row>
    <row r="569" spans="1:15" x14ac:dyDescent="0.2">
      <c r="A569" s="132">
        <v>1999000110</v>
      </c>
      <c r="B569" s="133" t="s">
        <v>256</v>
      </c>
      <c r="C569" s="51" t="s">
        <v>352</v>
      </c>
      <c r="D569" s="138">
        <v>300000</v>
      </c>
      <c r="E569" s="53">
        <v>1</v>
      </c>
      <c r="F569" s="53">
        <v>15982.9</v>
      </c>
      <c r="G569" s="53">
        <v>0</v>
      </c>
      <c r="H569" s="53">
        <f t="shared" si="77"/>
        <v>15982.9</v>
      </c>
      <c r="I569" s="53">
        <f>SUMIFS('תקציב שכר'!J:J,'תקציב שכר'!A:A,A569)-H569</f>
        <v>291618.63999999996</v>
      </c>
      <c r="J569" s="53" t="s">
        <v>2052</v>
      </c>
      <c r="K569" s="138">
        <v>315000</v>
      </c>
      <c r="L569" s="138">
        <f>SUMIFS('תקציב שכר'!L:L,'תקציב שכר'!A:A,A569)</f>
        <v>318367.59389999992</v>
      </c>
      <c r="M569" s="69">
        <v>1</v>
      </c>
      <c r="N569" s="53"/>
      <c r="O569" s="53"/>
    </row>
    <row r="570" spans="1:15" x14ac:dyDescent="0.2">
      <c r="A570" s="132">
        <v>1999900990</v>
      </c>
      <c r="B570" s="133" t="s">
        <v>703</v>
      </c>
      <c r="C570" s="51" t="str">
        <f>VLOOKUP(A570,'עזר 2025'!A:C,3,FALSE)</f>
        <v>הוצאה מותנה</v>
      </c>
      <c r="D570" s="138">
        <v>747166.25</v>
      </c>
      <c r="E570" s="53">
        <v>0</v>
      </c>
      <c r="F570" s="53">
        <v>0</v>
      </c>
      <c r="G570" s="53">
        <v>0</v>
      </c>
      <c r="H570" s="53">
        <f t="shared" ref="H570" si="80">F570+G570</f>
        <v>0</v>
      </c>
      <c r="I570" s="53"/>
      <c r="J570" s="53"/>
      <c r="K570" s="138">
        <f>VLOOKUP(A570,'ביצוע דוח חשב 12.2024'!A:I,9,FALSE)</f>
        <v>0</v>
      </c>
      <c r="L570" s="138">
        <v>2012100</v>
      </c>
      <c r="M570" s="53"/>
      <c r="N570" s="53"/>
      <c r="O570" s="53"/>
    </row>
    <row r="571" spans="1:15" ht="52.5" x14ac:dyDescent="0.2">
      <c r="A571" s="136"/>
      <c r="B571" s="151" t="s">
        <v>2163</v>
      </c>
      <c r="C571" s="81"/>
      <c r="D571" s="140">
        <f>SUM(D567:D570)</f>
        <v>7547166.25</v>
      </c>
      <c r="E571" s="82">
        <f t="shared" ref="E571:O571" si="81">SUM(E567:E570)</f>
        <v>1</v>
      </c>
      <c r="F571" s="82">
        <f t="shared" si="81"/>
        <v>6545464.2000000002</v>
      </c>
      <c r="G571" s="82">
        <f t="shared" si="81"/>
        <v>0</v>
      </c>
      <c r="H571" s="82">
        <f t="shared" si="81"/>
        <v>6545464.2000000002</v>
      </c>
      <c r="I571" s="82">
        <f t="shared" si="81"/>
        <v>792827.6399999999</v>
      </c>
      <c r="J571" s="82">
        <f t="shared" si="81"/>
        <v>0</v>
      </c>
      <c r="K571" s="140">
        <f t="shared" si="81"/>
        <v>7237688.9699999997</v>
      </c>
      <c r="L571" s="140">
        <f t="shared" si="81"/>
        <v>9330467.5938999988</v>
      </c>
      <c r="M571" s="82">
        <f t="shared" si="81"/>
        <v>1</v>
      </c>
      <c r="N571" s="82">
        <f t="shared" si="81"/>
        <v>0</v>
      </c>
      <c r="O571" s="82">
        <f t="shared" si="81"/>
        <v>0</v>
      </c>
    </row>
    <row r="572" spans="1:15" s="86" customFormat="1" ht="60" customHeight="1" x14ac:dyDescent="0.2">
      <c r="A572" s="83"/>
      <c r="B572" s="84"/>
      <c r="C572" s="83" t="s">
        <v>1544</v>
      </c>
      <c r="D572" s="85">
        <f t="shared" ref="D572:O572" si="82">D571+D566+D561+D555+D553+D549+D468+D462+D438+D329</f>
        <v>135853919.25</v>
      </c>
      <c r="E572" s="85">
        <f t="shared" si="82"/>
        <v>277.10000000000002</v>
      </c>
      <c r="F572" s="85">
        <f t="shared" si="82"/>
        <v>125356707.50999999</v>
      </c>
      <c r="G572" s="85">
        <f t="shared" si="82"/>
        <v>1949524.97</v>
      </c>
      <c r="H572" s="85">
        <f t="shared" si="82"/>
        <v>127306232.48</v>
      </c>
      <c r="I572" s="85">
        <f t="shared" si="82"/>
        <v>19539286.163333327</v>
      </c>
      <c r="J572" s="85">
        <f t="shared" si="82"/>
        <v>0</v>
      </c>
      <c r="K572" s="85">
        <f t="shared" si="82"/>
        <v>147338124.75999999</v>
      </c>
      <c r="L572" s="85">
        <f t="shared" si="82"/>
        <v>154307248.5939</v>
      </c>
      <c r="M572" s="85">
        <f t="shared" si="82"/>
        <v>300.75099999999998</v>
      </c>
      <c r="N572" s="85">
        <f t="shared" si="82"/>
        <v>0</v>
      </c>
      <c r="O572" s="85">
        <f t="shared" si="82"/>
        <v>0</v>
      </c>
    </row>
    <row r="573" spans="1:15" s="86" customFormat="1" ht="74.25" customHeight="1" x14ac:dyDescent="0.2">
      <c r="A573" s="87"/>
      <c r="B573" s="88"/>
      <c r="C573" s="87" t="s">
        <v>817</v>
      </c>
      <c r="D573" s="89">
        <f t="shared" ref="D573:O573" si="83">D226-D572</f>
        <v>-5348000</v>
      </c>
      <c r="E573" s="89">
        <f t="shared" si="83"/>
        <v>-277.10000000000002</v>
      </c>
      <c r="F573" s="89">
        <f t="shared" si="83"/>
        <v>-13152437.909999982</v>
      </c>
      <c r="G573" s="89">
        <f t="shared" si="83"/>
        <v>-1949524.97</v>
      </c>
      <c r="H573" s="89">
        <f t="shared" si="83"/>
        <v>-15101962.879999995</v>
      </c>
      <c r="I573" s="89" t="e">
        <f t="shared" si="83"/>
        <v>#REF!</v>
      </c>
      <c r="J573" s="89">
        <f t="shared" si="83"/>
        <v>0</v>
      </c>
      <c r="K573" s="89">
        <f t="shared" si="83"/>
        <v>-3959250.7775999904</v>
      </c>
      <c r="L573" s="89">
        <f t="shared" si="83"/>
        <v>-5303999.5938999951</v>
      </c>
      <c r="M573" s="89">
        <f t="shared" si="83"/>
        <v>-300.75099999999998</v>
      </c>
      <c r="N573" s="89">
        <f t="shared" si="83"/>
        <v>0</v>
      </c>
      <c r="O573" s="89">
        <f t="shared" si="83"/>
        <v>0</v>
      </c>
    </row>
    <row r="575" spans="1:15" x14ac:dyDescent="0.2">
      <c r="D575" s="145">
        <f>D573-'ריכוז תקציב'!K48</f>
        <v>0</v>
      </c>
      <c r="E575" s="55"/>
      <c r="F575" s="55"/>
      <c r="G575" s="55"/>
      <c r="H575" s="55"/>
      <c r="I575" s="55"/>
      <c r="J575" s="55"/>
      <c r="K575" s="145">
        <f>K573-'ריכוז תקציב'!M48</f>
        <v>0</v>
      </c>
      <c r="L575" s="145">
        <f>L573-'ריכוז תקציב'!N48</f>
        <v>0</v>
      </c>
      <c r="M575" s="70">
        <f>M572-'ריכוז תקציב'!O47</f>
        <v>0</v>
      </c>
    </row>
    <row r="577" spans="4:4" x14ac:dyDescent="0.2">
      <c r="D577" s="146"/>
    </row>
    <row r="579" spans="4:4" x14ac:dyDescent="0.2">
      <c r="D579" s="146"/>
    </row>
  </sheetData>
  <autoFilter ref="A1:O573" xr:uid="{CD6235B1-84E4-40F7-9512-DC1E74967E22}">
    <filterColumn colId="14">
      <filters blank="1">
        <filter val="-"/>
      </filters>
    </filterColumn>
  </autoFilter>
  <mergeCells count="2">
    <mergeCell ref="A230:O230"/>
    <mergeCell ref="A2:O2"/>
  </mergeCells>
  <pageMargins left="0.70866141732283472" right="0.70866141732283472" top="0.98425196850393704" bottom="0.74803149606299213" header="0.31496062992125984" footer="0.31496062992125984"/>
  <pageSetup paperSize="9" scale="55" fitToWidth="0" fitToHeight="0" orientation="portrait" r:id="rId1"/>
  <headerFooter>
    <oddHeader>&amp;C&amp;"David,מודגש"&amp;18מועצה מקומית ג'סר אלזרקא
הצעת תקציב רגיל
2025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AEE2-83A1-4C44-A7D1-8C16796A4668}">
  <sheetPr filterMode="1"/>
  <dimension ref="A1:E598"/>
  <sheetViews>
    <sheetView rightToLeft="1" workbookViewId="0">
      <selection activeCell="D415" sqref="A415:D415"/>
    </sheetView>
  </sheetViews>
  <sheetFormatPr defaultRowHeight="14.25" x14ac:dyDescent="0.2"/>
  <cols>
    <col min="1" max="1" width="15" bestFit="1" customWidth="1"/>
    <col min="2" max="2" width="29.625" bestFit="1" customWidth="1"/>
    <col min="3" max="3" width="22.375" bestFit="1" customWidth="1"/>
    <col min="4" max="4" width="15.5" bestFit="1" customWidth="1"/>
    <col min="5" max="5" width="9.25" bestFit="1" customWidth="1"/>
  </cols>
  <sheetData>
    <row r="1" spans="1:5" x14ac:dyDescent="0.2">
      <c r="A1" t="s">
        <v>0</v>
      </c>
      <c r="B1" t="s">
        <v>1</v>
      </c>
      <c r="C1" t="s">
        <v>1927</v>
      </c>
      <c r="D1" t="s">
        <v>1928</v>
      </c>
    </row>
    <row r="2" spans="1:5" hidden="1" x14ac:dyDescent="0.2">
      <c r="A2" t="s">
        <v>1153</v>
      </c>
    </row>
    <row r="3" spans="1:5" hidden="1" x14ac:dyDescent="0.2">
      <c r="A3" s="97">
        <v>1111000100</v>
      </c>
      <c r="B3" s="97" t="s">
        <v>260</v>
      </c>
      <c r="C3" s="97" t="s">
        <v>332</v>
      </c>
      <c r="D3" s="97">
        <v>9947000</v>
      </c>
      <c r="E3" s="97">
        <f>VLOOKUP(A3,'תקציב מפורט 2025'!A:O,4,FALSE)-D3</f>
        <v>0</v>
      </c>
    </row>
    <row r="4" spans="1:5" hidden="1" x14ac:dyDescent="0.2">
      <c r="A4" s="97">
        <v>1111000110</v>
      </c>
      <c r="B4" s="97" t="s">
        <v>2233</v>
      </c>
      <c r="C4" s="97" t="s">
        <v>332</v>
      </c>
      <c r="D4" s="97"/>
      <c r="E4" s="97">
        <v>0</v>
      </c>
    </row>
    <row r="5" spans="1:5" hidden="1" x14ac:dyDescent="0.2">
      <c r="A5" s="97">
        <v>1111000114</v>
      </c>
      <c r="B5" s="97" t="s">
        <v>748</v>
      </c>
      <c r="C5" s="97" t="s">
        <v>336</v>
      </c>
      <c r="D5" s="97">
        <v>20000</v>
      </c>
      <c r="E5" s="97">
        <f>VLOOKUP(A5,'תקציב מפורט 2025'!A:O,4,FALSE)-D5</f>
        <v>0</v>
      </c>
    </row>
    <row r="6" spans="1:5" hidden="1" x14ac:dyDescent="0.2">
      <c r="A6" s="97">
        <v>1111200100</v>
      </c>
      <c r="B6" s="97" t="s">
        <v>261</v>
      </c>
      <c r="C6" s="97" t="s">
        <v>332</v>
      </c>
      <c r="D6" s="97">
        <v>2625000</v>
      </c>
      <c r="E6" s="97">
        <f>VLOOKUP(A6,'תקציב מפורט 2025'!A:O,4,FALSE)-D6</f>
        <v>0</v>
      </c>
    </row>
    <row r="7" spans="1:5" hidden="1" x14ac:dyDescent="0.2">
      <c r="A7" s="97">
        <v>1112022100</v>
      </c>
      <c r="B7" s="97" t="s">
        <v>2234</v>
      </c>
      <c r="C7" s="97" t="s">
        <v>332</v>
      </c>
      <c r="D7" s="97"/>
      <c r="E7" s="97">
        <v>0</v>
      </c>
    </row>
    <row r="8" spans="1:5" hidden="1" x14ac:dyDescent="0.2">
      <c r="A8" s="97">
        <v>1116000100</v>
      </c>
      <c r="B8" s="97" t="s">
        <v>262</v>
      </c>
      <c r="C8" s="97" t="s">
        <v>346</v>
      </c>
      <c r="D8" s="97">
        <v>6500000</v>
      </c>
      <c r="E8" s="97">
        <f>VLOOKUP(A8,'תקציב מפורט 2025'!A:O,4,FALSE)-D8</f>
        <v>0</v>
      </c>
    </row>
    <row r="9" spans="1:5" hidden="1" x14ac:dyDescent="0.2">
      <c r="B9" t="s">
        <v>724</v>
      </c>
      <c r="D9">
        <v>19092000</v>
      </c>
      <c r="E9" t="e">
        <f>VLOOKUP(A9,'תקציב מפורט 2025'!A:O,4,FALSE)-D9</f>
        <v>#N/A</v>
      </c>
    </row>
    <row r="10" spans="1:5" hidden="1" x14ac:dyDescent="0.2">
      <c r="A10" s="97">
        <v>1191000910</v>
      </c>
      <c r="B10" s="97" t="s">
        <v>264</v>
      </c>
      <c r="C10" s="97" t="s">
        <v>264</v>
      </c>
      <c r="D10" s="97">
        <v>15832700</v>
      </c>
      <c r="E10" s="97">
        <f>VLOOKUP(A10,'תקציב מפורט 2025'!A:O,4,FALSE)-D10</f>
        <v>0</v>
      </c>
    </row>
    <row r="11" spans="1:5" hidden="1" x14ac:dyDescent="0.2">
      <c r="A11" s="97">
        <v>1192000910</v>
      </c>
      <c r="B11" s="97" t="s">
        <v>265</v>
      </c>
      <c r="C11" s="97" t="s">
        <v>341</v>
      </c>
      <c r="D11" s="97">
        <v>900000</v>
      </c>
      <c r="E11" s="97">
        <f>VLOOKUP(A11,'תקציב מפורט 2025'!A:O,4,FALSE)-D11</f>
        <v>0</v>
      </c>
    </row>
    <row r="12" spans="1:5" hidden="1" x14ac:dyDescent="0.2">
      <c r="A12" s="97">
        <v>1192010910</v>
      </c>
      <c r="B12" s="97" t="s">
        <v>266</v>
      </c>
      <c r="C12" s="97" t="s">
        <v>349</v>
      </c>
      <c r="D12" s="97">
        <v>747166.25</v>
      </c>
      <c r="E12" s="97">
        <f>VLOOKUP(A12,'תקציב מפורט 2025'!A:O,4,FALSE)-D12</f>
        <v>0</v>
      </c>
    </row>
    <row r="13" spans="1:5" hidden="1" x14ac:dyDescent="0.2">
      <c r="A13" s="97">
        <v>1196000910</v>
      </c>
      <c r="B13" s="97" t="s">
        <v>1021</v>
      </c>
      <c r="C13" s="97" t="s">
        <v>341</v>
      </c>
      <c r="D13" s="97">
        <v>1176323</v>
      </c>
      <c r="E13" s="97">
        <f>VLOOKUP(A13,'תקציב מפורט 2025'!A:O,4,FALSE)-D13</f>
        <v>0</v>
      </c>
    </row>
    <row r="14" spans="1:5" hidden="1" x14ac:dyDescent="0.2">
      <c r="B14" t="s">
        <v>2132</v>
      </c>
      <c r="D14">
        <v>18656189.25</v>
      </c>
      <c r="E14" t="e">
        <f>VLOOKUP(A14,'תקציב מפורט 2025'!A:O,4,FALSE)-D14</f>
        <v>#N/A</v>
      </c>
    </row>
    <row r="15" spans="1:5" hidden="1" x14ac:dyDescent="0.2">
      <c r="A15" s="97">
        <v>1121000291</v>
      </c>
      <c r="B15" s="97" t="s">
        <v>263</v>
      </c>
      <c r="C15" s="97" t="s">
        <v>336</v>
      </c>
      <c r="D15" s="97">
        <v>60000</v>
      </c>
      <c r="E15" s="97">
        <f>VLOOKUP(A15,'תקציב מפורט 2025'!A:O,4,FALSE)-D15</f>
        <v>0</v>
      </c>
    </row>
    <row r="16" spans="1:5" hidden="1" x14ac:dyDescent="0.2">
      <c r="A16" s="97">
        <v>1121000292</v>
      </c>
      <c r="B16" s="97" t="s">
        <v>1547</v>
      </c>
      <c r="C16" s="97" t="s">
        <v>336</v>
      </c>
      <c r="D16" s="97">
        <v>0</v>
      </c>
      <c r="E16" s="97">
        <f>VLOOKUP(A16,'תקציב מפורט 2025'!A:O,4,FALSE)-D16</f>
        <v>0</v>
      </c>
    </row>
    <row r="17" spans="1:5" hidden="1" x14ac:dyDescent="0.2">
      <c r="A17" s="97">
        <v>1212300220</v>
      </c>
      <c r="B17" s="97" t="s">
        <v>267</v>
      </c>
      <c r="C17" s="97" t="s">
        <v>336</v>
      </c>
      <c r="D17" s="97">
        <v>3000</v>
      </c>
      <c r="E17" s="97">
        <f>VLOOKUP(A17,'תקציב מפורט 2025'!A:O,4,FALSE)-D17</f>
        <v>0</v>
      </c>
    </row>
    <row r="18" spans="1:5" hidden="1" x14ac:dyDescent="0.2">
      <c r="A18" s="97">
        <v>1233100710</v>
      </c>
      <c r="B18" s="97" t="s">
        <v>268</v>
      </c>
      <c r="C18" s="97" t="s">
        <v>336</v>
      </c>
      <c r="D18" s="97">
        <v>800000</v>
      </c>
      <c r="E18" s="97">
        <f>VLOOKUP(A18,'תקציב מפורט 2025'!A:O,4,FALSE)-D18</f>
        <v>0</v>
      </c>
    </row>
    <row r="19" spans="1:5" hidden="1" x14ac:dyDescent="0.2">
      <c r="A19" s="97">
        <v>1233410290</v>
      </c>
      <c r="B19" s="97" t="s">
        <v>737</v>
      </c>
      <c r="C19" s="97" t="s">
        <v>336</v>
      </c>
      <c r="D19" s="97">
        <v>900000</v>
      </c>
      <c r="E19" s="97">
        <f>VLOOKUP(A19,'תקציב מפורט 2025'!A:O,4,FALSE)-D19</f>
        <v>0</v>
      </c>
    </row>
    <row r="20" spans="1:5" hidden="1" x14ac:dyDescent="0.2">
      <c r="A20" s="97">
        <v>1233420290</v>
      </c>
      <c r="B20" s="97" t="s">
        <v>1906</v>
      </c>
      <c r="C20" s="97" t="s">
        <v>336</v>
      </c>
      <c r="D20" s="97">
        <v>2008000</v>
      </c>
      <c r="E20" s="97">
        <f>VLOOKUP(A20,'תקציב מפורט 2025'!A:O,4,FALSE)-D20</f>
        <v>0</v>
      </c>
    </row>
    <row r="21" spans="1:5" hidden="1" x14ac:dyDescent="0.2">
      <c r="A21" s="97">
        <v>1269000690</v>
      </c>
      <c r="B21" s="97" t="s">
        <v>269</v>
      </c>
      <c r="C21" s="97" t="s">
        <v>336</v>
      </c>
      <c r="D21" s="97">
        <v>250000</v>
      </c>
      <c r="E21" s="97">
        <f>VLOOKUP(A21,'תקציב מפורט 2025'!A:O,4,FALSE)-D21</f>
        <v>0</v>
      </c>
    </row>
    <row r="22" spans="1:5" hidden="1" x14ac:dyDescent="0.2">
      <c r="A22" s="97">
        <v>1269000691</v>
      </c>
      <c r="B22" s="97" t="s">
        <v>2235</v>
      </c>
      <c r="C22" s="97" t="s">
        <v>336</v>
      </c>
      <c r="D22" s="97">
        <v>0</v>
      </c>
      <c r="E22" s="97">
        <v>0</v>
      </c>
    </row>
    <row r="23" spans="1:5" hidden="1" x14ac:dyDescent="0.2">
      <c r="A23" s="97">
        <v>1269000692</v>
      </c>
      <c r="B23" s="97" t="s">
        <v>1022</v>
      </c>
      <c r="C23" s="97" t="s">
        <v>336</v>
      </c>
      <c r="D23" s="97"/>
      <c r="E23" s="97">
        <f>VLOOKUP(A23,'תקציב מפורט 2025'!A:O,4,FALSE)-D23</f>
        <v>0</v>
      </c>
    </row>
    <row r="24" spans="1:5" hidden="1" x14ac:dyDescent="0.2">
      <c r="B24" t="s">
        <v>2133</v>
      </c>
      <c r="D24">
        <v>4021000</v>
      </c>
      <c r="E24" t="e">
        <f>VLOOKUP(A24,'תקציב מפורט 2025'!A:O,4,FALSE)-D24</f>
        <v>#N/A</v>
      </c>
    </row>
    <row r="25" spans="1:5" hidden="1" x14ac:dyDescent="0.2">
      <c r="A25" s="97">
        <v>1224000970</v>
      </c>
      <c r="B25" s="97" t="s">
        <v>66</v>
      </c>
      <c r="C25" s="97" t="s">
        <v>340</v>
      </c>
      <c r="D25" s="97">
        <v>350000</v>
      </c>
      <c r="E25" s="97">
        <f>VLOOKUP(A25,'תקציב מפורט 2025'!A:O,4,FALSE)-D25</f>
        <v>0</v>
      </c>
    </row>
    <row r="26" spans="1:5" hidden="1" x14ac:dyDescent="0.2">
      <c r="A26" s="97">
        <v>1224200970</v>
      </c>
      <c r="B26" s="97" t="s">
        <v>1520</v>
      </c>
      <c r="C26" s="97" t="s">
        <v>340</v>
      </c>
      <c r="D26" s="97">
        <v>0</v>
      </c>
      <c r="E26" s="97">
        <f>VLOOKUP(A26,'תקציב מפורט 2025'!A:O,4,FALSE)-D26</f>
        <v>0</v>
      </c>
    </row>
    <row r="27" spans="1:5" hidden="1" x14ac:dyDescent="0.2">
      <c r="A27" s="97">
        <v>1224300970</v>
      </c>
      <c r="B27" s="97" t="s">
        <v>1521</v>
      </c>
      <c r="C27" s="97" t="s">
        <v>340</v>
      </c>
      <c r="D27" s="97">
        <v>200000</v>
      </c>
      <c r="E27" s="97">
        <f>VLOOKUP(A27,'תקציב מפורט 2025'!A:O,4,FALSE)-D27</f>
        <v>0</v>
      </c>
    </row>
    <row r="28" spans="1:5" hidden="1" x14ac:dyDescent="0.2">
      <c r="A28" s="97">
        <v>1224400970</v>
      </c>
      <c r="B28" s="97" t="s">
        <v>1527</v>
      </c>
      <c r="C28" s="97" t="s">
        <v>340</v>
      </c>
      <c r="D28" s="97">
        <v>637000</v>
      </c>
      <c r="E28" s="97">
        <f>VLOOKUP(A28,'תקציב מפורט 2025'!A:O,4,FALSE)-D28</f>
        <v>0</v>
      </c>
    </row>
    <row r="29" spans="1:5" hidden="1" x14ac:dyDescent="0.2">
      <c r="A29" s="97">
        <v>1269100920</v>
      </c>
      <c r="B29" s="97" t="s">
        <v>2177</v>
      </c>
      <c r="C29" s="97" t="s">
        <v>336</v>
      </c>
      <c r="D29" s="97"/>
      <c r="E29" s="97">
        <v>0</v>
      </c>
    </row>
    <row r="30" spans="1:5" hidden="1" x14ac:dyDescent="0.2">
      <c r="A30" s="97">
        <v>1244000990</v>
      </c>
      <c r="B30" s="97" t="s">
        <v>67</v>
      </c>
      <c r="C30" s="97" t="s">
        <v>340</v>
      </c>
      <c r="D30" s="97">
        <v>60000</v>
      </c>
      <c r="E30" s="97">
        <f>VLOOKUP(A30,'תקציב מפורט 2025'!A:O,4,FALSE)-D30</f>
        <v>0</v>
      </c>
    </row>
    <row r="31" spans="1:5" hidden="1" x14ac:dyDescent="0.2">
      <c r="B31" t="s">
        <v>2134</v>
      </c>
      <c r="D31">
        <v>1247000</v>
      </c>
      <c r="E31" t="e">
        <f>VLOOKUP(A31,'תקציב מפורט 2025'!A:O,4,FALSE)-D31</f>
        <v>#N/A</v>
      </c>
    </row>
    <row r="32" spans="1:5" hidden="1" x14ac:dyDescent="0.2">
      <c r="B32" t="s">
        <v>2135</v>
      </c>
      <c r="D32">
        <v>43016189.25</v>
      </c>
      <c r="E32" t="e">
        <f>VLOOKUP(A32,'תקציב מפורט 2025'!A:O,4,FALSE)-D32</f>
        <v>#N/A</v>
      </c>
    </row>
    <row r="33" spans="1:5" hidden="1" x14ac:dyDescent="0.2">
      <c r="A33" s="97">
        <v>1310000920</v>
      </c>
      <c r="B33" s="97" t="s">
        <v>1548</v>
      </c>
      <c r="C33" s="97" t="s">
        <v>338</v>
      </c>
      <c r="D33" s="97">
        <v>6192</v>
      </c>
      <c r="E33" s="97">
        <f>VLOOKUP(A33,'תקציב מפורט 2025'!A:O,4,FALSE)-D33</f>
        <v>-6192</v>
      </c>
    </row>
    <row r="34" spans="1:5" hidden="1" x14ac:dyDescent="0.2">
      <c r="A34" s="97">
        <v>1311000790</v>
      </c>
      <c r="B34" s="97" t="s">
        <v>1549</v>
      </c>
      <c r="C34" s="97" t="s">
        <v>338</v>
      </c>
      <c r="D34" s="97"/>
      <c r="E34" s="97">
        <f>VLOOKUP(A34,'תקציב מפורט 2025'!A:O,4,FALSE)-D34</f>
        <v>0</v>
      </c>
    </row>
    <row r="35" spans="1:5" hidden="1" x14ac:dyDescent="0.2">
      <c r="A35" s="97">
        <v>1311001920</v>
      </c>
      <c r="B35" s="97" t="s">
        <v>1550</v>
      </c>
      <c r="C35" s="97" t="s">
        <v>338</v>
      </c>
      <c r="D35" s="97">
        <v>38946</v>
      </c>
      <c r="E35" s="97">
        <f>VLOOKUP(A35,'תקציב מפורט 2025'!A:O,4,FALSE)-D35</f>
        <v>6192</v>
      </c>
    </row>
    <row r="36" spans="1:5" hidden="1" x14ac:dyDescent="0.2">
      <c r="A36" s="97">
        <v>1312001920</v>
      </c>
      <c r="B36" s="97" t="s">
        <v>1551</v>
      </c>
      <c r="C36" s="97" t="s">
        <v>338</v>
      </c>
      <c r="D36" s="97">
        <v>0</v>
      </c>
      <c r="E36" s="97">
        <f>VLOOKUP(A36,'תקציב מפורט 2025'!A:O,4,FALSE)-D36</f>
        <v>0</v>
      </c>
    </row>
    <row r="37" spans="1:5" hidden="1" x14ac:dyDescent="0.2">
      <c r="A37" s="97">
        <v>1312201920</v>
      </c>
      <c r="B37" s="97" t="s">
        <v>270</v>
      </c>
      <c r="C37" s="97" t="s">
        <v>338</v>
      </c>
      <c r="D37" s="97">
        <v>1919276</v>
      </c>
      <c r="E37" s="97">
        <f>VLOOKUP(A37,'תקציב מפורט 2025'!A:O,4,FALSE)-D37</f>
        <v>0</v>
      </c>
    </row>
    <row r="38" spans="1:5" hidden="1" x14ac:dyDescent="0.2">
      <c r="A38" s="97">
        <v>1312201923</v>
      </c>
      <c r="B38" s="97" t="s">
        <v>657</v>
      </c>
      <c r="C38" s="97" t="s">
        <v>338</v>
      </c>
      <c r="D38" s="97">
        <v>23057</v>
      </c>
      <c r="E38" s="97">
        <f>VLOOKUP(A38,'תקציב מפורט 2025'!A:O,4,FALSE)-D38</f>
        <v>0</v>
      </c>
    </row>
    <row r="39" spans="1:5" hidden="1" x14ac:dyDescent="0.2">
      <c r="A39" s="97">
        <v>1312200690</v>
      </c>
      <c r="B39" s="97" t="s">
        <v>2178</v>
      </c>
      <c r="C39" s="97" t="s">
        <v>338</v>
      </c>
      <c r="D39" s="97"/>
      <c r="E39" s="97">
        <f>VLOOKUP(A39,'תקציב מפורט 2025'!A:O,4,FALSE)-D39</f>
        <v>0</v>
      </c>
    </row>
    <row r="40" spans="1:5" hidden="1" x14ac:dyDescent="0.2">
      <c r="A40" s="97">
        <v>1312203940</v>
      </c>
      <c r="B40" s="97" t="s">
        <v>1023</v>
      </c>
      <c r="C40" s="97" t="s">
        <v>338</v>
      </c>
      <c r="D40" s="97">
        <v>350000</v>
      </c>
      <c r="E40" s="97">
        <f>VLOOKUP(A40,'תקציב מפורט 2025'!A:O,4,FALSE)-D40</f>
        <v>0</v>
      </c>
    </row>
    <row r="41" spans="1:5" hidden="1" x14ac:dyDescent="0.2">
      <c r="A41" s="97">
        <v>1312213940</v>
      </c>
      <c r="B41" s="97" t="s">
        <v>1552</v>
      </c>
      <c r="C41" s="97" t="s">
        <v>338</v>
      </c>
      <c r="D41" s="97">
        <v>200000</v>
      </c>
      <c r="E41" s="97">
        <f>VLOOKUP(A41,'תקציב מפורט 2025'!A:O,4,FALSE)-D41</f>
        <v>0</v>
      </c>
    </row>
    <row r="42" spans="1:5" hidden="1" x14ac:dyDescent="0.2">
      <c r="A42" s="97">
        <v>1312300920</v>
      </c>
      <c r="B42" s="97" t="s">
        <v>271</v>
      </c>
      <c r="C42" s="97" t="s">
        <v>338</v>
      </c>
      <c r="D42" s="97">
        <v>7148054</v>
      </c>
      <c r="E42" s="97">
        <f>VLOOKUP(A42,'תקציב מפורט 2025'!A:O,4,FALSE)-D42</f>
        <v>0</v>
      </c>
    </row>
    <row r="43" spans="1:5" hidden="1" x14ac:dyDescent="0.2">
      <c r="A43" s="97">
        <v>1312300923</v>
      </c>
      <c r="B43" s="97" t="s">
        <v>272</v>
      </c>
      <c r="C43" s="97" t="s">
        <v>334</v>
      </c>
      <c r="D43" s="97">
        <v>0</v>
      </c>
      <c r="E43" s="97">
        <f>VLOOKUP(A43,'תקציב מפורט 2025'!A:O,4,FALSE)-D43</f>
        <v>0</v>
      </c>
    </row>
    <row r="44" spans="1:5" hidden="1" x14ac:dyDescent="0.2">
      <c r="A44" s="97">
        <v>1312301920</v>
      </c>
      <c r="B44" s="97" t="s">
        <v>706</v>
      </c>
      <c r="C44" s="97" t="s">
        <v>338</v>
      </c>
      <c r="D44" s="97">
        <v>7161</v>
      </c>
      <c r="E44" s="97">
        <f>VLOOKUP(A44,'תקציב מפורט 2025'!A:O,4,FALSE)-D44</f>
        <v>0</v>
      </c>
    </row>
    <row r="45" spans="1:5" hidden="1" x14ac:dyDescent="0.2">
      <c r="A45" s="97">
        <v>1312302920</v>
      </c>
      <c r="B45" s="97" t="s">
        <v>705</v>
      </c>
      <c r="C45" s="97" t="s">
        <v>338</v>
      </c>
      <c r="D45" s="97">
        <v>5584</v>
      </c>
      <c r="E45" s="97">
        <f>VLOOKUP(A45,'תקציב מפורט 2025'!A:O,4,FALSE)-D45</f>
        <v>0</v>
      </c>
    </row>
    <row r="46" spans="1:5" hidden="1" x14ac:dyDescent="0.2">
      <c r="A46" s="97">
        <v>1312311920</v>
      </c>
      <c r="B46" s="97" t="s">
        <v>704</v>
      </c>
      <c r="C46" s="97" t="s">
        <v>338</v>
      </c>
      <c r="D46" s="97">
        <v>2903666</v>
      </c>
      <c r="E46" s="97">
        <f>VLOOKUP(A46,'תקציב מפורט 2025'!A:O,4,FALSE)-D46</f>
        <v>0</v>
      </c>
    </row>
    <row r="47" spans="1:5" hidden="1" x14ac:dyDescent="0.2">
      <c r="A47" s="97">
        <v>1312312980</v>
      </c>
      <c r="B47" s="97" t="s">
        <v>1553</v>
      </c>
      <c r="C47" s="97" t="s">
        <v>338</v>
      </c>
      <c r="D47" s="97">
        <v>0</v>
      </c>
      <c r="E47" s="97">
        <f>VLOOKUP(A47,'תקציב מפורט 2025'!A:O,4,FALSE)-D47</f>
        <v>0</v>
      </c>
    </row>
    <row r="48" spans="1:5" hidden="1" x14ac:dyDescent="0.2">
      <c r="B48" t="s">
        <v>725</v>
      </c>
      <c r="D48">
        <v>12601936</v>
      </c>
      <c r="E48" t="e">
        <f>VLOOKUP(A48,'תקציב מפורט 2025'!A:O,4,FALSE)-D48</f>
        <v>#N/A</v>
      </c>
    </row>
    <row r="49" spans="1:5" hidden="1" x14ac:dyDescent="0.2">
      <c r="A49" s="97">
        <v>1313100920</v>
      </c>
      <c r="B49" s="97" t="s">
        <v>1554</v>
      </c>
      <c r="C49" s="97" t="s">
        <v>338</v>
      </c>
      <c r="D49" s="97">
        <v>0</v>
      </c>
      <c r="E49" s="97">
        <f>VLOOKUP(A49,'תקציב מפורט 2025'!A:O,4,FALSE)-D49</f>
        <v>0</v>
      </c>
    </row>
    <row r="50" spans="1:5" hidden="1" x14ac:dyDescent="0.2">
      <c r="A50" s="97">
        <v>1313200920</v>
      </c>
      <c r="B50" s="97" t="s">
        <v>273</v>
      </c>
      <c r="C50" s="97" t="s">
        <v>338</v>
      </c>
      <c r="D50" s="97">
        <v>550000</v>
      </c>
      <c r="E50" s="97">
        <f>VLOOKUP(A50,'תקציב מפורט 2025'!A:O,4,FALSE)-D50</f>
        <v>0</v>
      </c>
    </row>
    <row r="51" spans="1:5" hidden="1" x14ac:dyDescent="0.2">
      <c r="A51" s="97">
        <v>1313200921</v>
      </c>
      <c r="B51" s="97" t="s">
        <v>274</v>
      </c>
      <c r="C51" s="97" t="s">
        <v>338</v>
      </c>
      <c r="D51" s="97">
        <v>1934106</v>
      </c>
      <c r="E51" s="97">
        <f>VLOOKUP(A51,'תקציב מפורט 2025'!A:O,4,FALSE)-D51</f>
        <v>0</v>
      </c>
    </row>
    <row r="52" spans="1:5" hidden="1" x14ac:dyDescent="0.2">
      <c r="A52" s="97">
        <v>1313200923</v>
      </c>
      <c r="B52" s="97" t="s">
        <v>799</v>
      </c>
      <c r="C52" s="97" t="s">
        <v>338</v>
      </c>
      <c r="D52" s="97">
        <v>49340</v>
      </c>
      <c r="E52" s="97">
        <f>VLOOKUP(A52,'תקציב מפורט 2025'!A:O,4,FALSE)-D52</f>
        <v>0</v>
      </c>
    </row>
    <row r="53" spans="1:5" hidden="1" x14ac:dyDescent="0.2">
      <c r="A53" s="97">
        <v>1313200925</v>
      </c>
      <c r="B53" s="97" t="s">
        <v>275</v>
      </c>
      <c r="C53" s="97" t="s">
        <v>338</v>
      </c>
      <c r="D53" s="97">
        <v>241281</v>
      </c>
      <c r="E53" s="97">
        <f>VLOOKUP(A53,'תקציב מפורט 2025'!A:O,4,FALSE)-D53</f>
        <v>0</v>
      </c>
    </row>
    <row r="54" spans="1:5" hidden="1" x14ac:dyDescent="0.2">
      <c r="A54" s="97">
        <v>1313202920</v>
      </c>
      <c r="B54" s="97" t="s">
        <v>749</v>
      </c>
      <c r="C54" s="97" t="s">
        <v>338</v>
      </c>
      <c r="D54" s="97">
        <v>419187</v>
      </c>
      <c r="E54" s="97">
        <f>VLOOKUP(A54,'תקציב מפורט 2025'!A:O,4,FALSE)-D54</f>
        <v>0</v>
      </c>
    </row>
    <row r="55" spans="1:5" hidden="1" x14ac:dyDescent="0.2">
      <c r="A55" s="97">
        <v>1313202926</v>
      </c>
      <c r="B55" s="97" t="s">
        <v>1024</v>
      </c>
      <c r="C55" s="97" t="s">
        <v>338</v>
      </c>
      <c r="D55" s="97">
        <v>1065031</v>
      </c>
      <c r="E55" s="97">
        <f>VLOOKUP(A55,'תקציב מפורט 2025'!A:O,4,FALSE)-D55</f>
        <v>0</v>
      </c>
    </row>
    <row r="56" spans="1:5" hidden="1" x14ac:dyDescent="0.2">
      <c r="A56" s="97">
        <v>1313202927</v>
      </c>
      <c r="B56" s="97" t="s">
        <v>1025</v>
      </c>
      <c r="C56" s="97" t="s">
        <v>338</v>
      </c>
      <c r="D56" s="97">
        <v>393246</v>
      </c>
      <c r="E56" s="97">
        <f>VLOOKUP(A56,'תקציב מפורט 2025'!A:O,4,FALSE)-D56</f>
        <v>0</v>
      </c>
    </row>
    <row r="57" spans="1:5" hidden="1" x14ac:dyDescent="0.2">
      <c r="A57" s="97">
        <v>1313204920</v>
      </c>
      <c r="B57" s="97" t="s">
        <v>1907</v>
      </c>
      <c r="C57" s="97" t="s">
        <v>338</v>
      </c>
      <c r="D57" s="97">
        <v>220000</v>
      </c>
      <c r="E57" s="97">
        <f>VLOOKUP(A57,'תקציב מפורט 2025'!A:O,4,FALSE)-D57</f>
        <v>0</v>
      </c>
    </row>
    <row r="58" spans="1:5" hidden="1" x14ac:dyDescent="0.2">
      <c r="A58" s="97">
        <v>1313206920</v>
      </c>
      <c r="B58" s="97" t="s">
        <v>148</v>
      </c>
      <c r="C58" s="97" t="s">
        <v>338</v>
      </c>
      <c r="D58" s="97">
        <v>0</v>
      </c>
      <c r="E58" s="97">
        <f>VLOOKUP(A58,'תקציב מפורט 2025'!A:O,4,FALSE)-D58</f>
        <v>0</v>
      </c>
    </row>
    <row r="59" spans="1:5" hidden="1" x14ac:dyDescent="0.2">
      <c r="A59" s="97">
        <v>1313210921</v>
      </c>
      <c r="B59" s="97" t="s">
        <v>276</v>
      </c>
      <c r="C59" s="97" t="s">
        <v>338</v>
      </c>
      <c r="D59" s="97">
        <v>408288</v>
      </c>
      <c r="E59" s="97">
        <f>VLOOKUP(A59,'תקציב מפורט 2025'!A:O,4,FALSE)-D59</f>
        <v>0</v>
      </c>
    </row>
    <row r="60" spans="1:5" hidden="1" x14ac:dyDescent="0.2">
      <c r="A60" s="97">
        <v>1313210922</v>
      </c>
      <c r="B60" s="97" t="s">
        <v>277</v>
      </c>
      <c r="C60" s="97" t="s">
        <v>338</v>
      </c>
      <c r="D60" s="97">
        <v>135065</v>
      </c>
      <c r="E60" s="97">
        <f>VLOOKUP(A60,'תקציב מפורט 2025'!A:O,4,FALSE)-D60</f>
        <v>0</v>
      </c>
    </row>
    <row r="61" spans="1:5" hidden="1" x14ac:dyDescent="0.2">
      <c r="A61" s="97">
        <v>1313210924</v>
      </c>
      <c r="B61" s="97" t="s">
        <v>278</v>
      </c>
      <c r="C61" s="97" t="s">
        <v>338</v>
      </c>
      <c r="D61" s="97">
        <v>5355</v>
      </c>
      <c r="E61" s="97">
        <f>VLOOKUP(A61,'תקציב מפורט 2025'!A:O,4,FALSE)-D61</f>
        <v>0</v>
      </c>
    </row>
    <row r="62" spans="1:5" hidden="1" x14ac:dyDescent="0.2">
      <c r="A62" s="97">
        <v>1313210925</v>
      </c>
      <c r="B62" s="97" t="s">
        <v>279</v>
      </c>
      <c r="C62" s="97" t="s">
        <v>338</v>
      </c>
      <c r="D62" s="97">
        <v>0</v>
      </c>
      <c r="E62" s="97">
        <f>VLOOKUP(A62,'תקציב מפורט 2025'!A:O,4,FALSE)-D62</f>
        <v>1404579</v>
      </c>
    </row>
    <row r="63" spans="1:5" hidden="1" x14ac:dyDescent="0.2">
      <c r="A63" s="97">
        <v>1313210926</v>
      </c>
      <c r="B63" s="97" t="s">
        <v>280</v>
      </c>
      <c r="C63" s="97" t="s">
        <v>338</v>
      </c>
      <c r="D63" s="97">
        <v>0</v>
      </c>
      <c r="E63" s="97">
        <f>VLOOKUP(A63,'תקציב מפורט 2025'!A:O,4,FALSE)-D63</f>
        <v>0</v>
      </c>
    </row>
    <row r="64" spans="1:5" hidden="1" x14ac:dyDescent="0.2">
      <c r="A64" s="97">
        <v>1313210929</v>
      </c>
      <c r="B64" s="97" t="s">
        <v>281</v>
      </c>
      <c r="C64" s="97" t="s">
        <v>338</v>
      </c>
      <c r="D64" s="97">
        <v>54715</v>
      </c>
      <c r="E64" s="97">
        <f>VLOOKUP(A64,'תקציב מפורט 2025'!A:O,4,FALSE)-D64</f>
        <v>0</v>
      </c>
    </row>
    <row r="65" spans="1:5" hidden="1" x14ac:dyDescent="0.2">
      <c r="A65" s="97">
        <v>1313225920</v>
      </c>
      <c r="B65" s="97" t="s">
        <v>1555</v>
      </c>
      <c r="C65" s="97" t="s">
        <v>338</v>
      </c>
      <c r="D65" s="97">
        <v>4178</v>
      </c>
      <c r="E65" s="97">
        <f>VLOOKUP(A65,'תקציב מפורט 2025'!A:O,4,FALSE)-D65</f>
        <v>0</v>
      </c>
    </row>
    <row r="66" spans="1:5" hidden="1" x14ac:dyDescent="0.2">
      <c r="A66" s="97">
        <v>1313230922</v>
      </c>
      <c r="B66" s="97" t="s">
        <v>1010</v>
      </c>
      <c r="C66" s="97" t="s">
        <v>338</v>
      </c>
      <c r="D66" s="97">
        <v>1404579</v>
      </c>
      <c r="E66" s="97">
        <f>VLOOKUP(A66,'תקציב מפורט 2025'!A:O,4,FALSE)-D66</f>
        <v>-1404579</v>
      </c>
    </row>
    <row r="67" spans="1:5" hidden="1" x14ac:dyDescent="0.2">
      <c r="A67" s="97">
        <v>1313230925</v>
      </c>
      <c r="B67" s="97" t="s">
        <v>1650</v>
      </c>
      <c r="C67" s="97" t="s">
        <v>338</v>
      </c>
      <c r="D67" s="97">
        <v>3964376</v>
      </c>
      <c r="E67" s="97">
        <f>VLOOKUP(A67,'תקציב מפורט 2025'!A:O,4,FALSE)-D67</f>
        <v>0</v>
      </c>
    </row>
    <row r="68" spans="1:5" hidden="1" x14ac:dyDescent="0.2">
      <c r="A68" s="97">
        <v>1313300210</v>
      </c>
      <c r="B68" s="97" t="s">
        <v>282</v>
      </c>
      <c r="C68" s="97" t="s">
        <v>334</v>
      </c>
      <c r="D68" s="97">
        <v>0</v>
      </c>
      <c r="E68" s="97">
        <f>VLOOKUP(A68,'תקציב מפורט 2025'!A:O,4,FALSE)-D68</f>
        <v>0</v>
      </c>
    </row>
    <row r="69" spans="1:5" hidden="1" x14ac:dyDescent="0.2">
      <c r="A69" s="97">
        <v>1313301920</v>
      </c>
      <c r="B69" s="97" t="s">
        <v>1556</v>
      </c>
      <c r="C69" s="97" t="s">
        <v>338</v>
      </c>
      <c r="D69" s="97">
        <v>0</v>
      </c>
      <c r="E69" s="97">
        <f>VLOOKUP(A69,'תקציב מפורט 2025'!A:O,4,FALSE)-D69</f>
        <v>0</v>
      </c>
    </row>
    <row r="70" spans="1:5" hidden="1" x14ac:dyDescent="0.2">
      <c r="A70" s="97">
        <v>1313303920</v>
      </c>
      <c r="B70" s="97" t="s">
        <v>1558</v>
      </c>
      <c r="C70" s="97" t="s">
        <v>338</v>
      </c>
      <c r="D70" s="97">
        <v>398472</v>
      </c>
      <c r="E70" s="97">
        <f>VLOOKUP(A70,'תקציב מפורט 2025'!A:O,4,FALSE)-D70</f>
        <v>0</v>
      </c>
    </row>
    <row r="71" spans="1:5" hidden="1" x14ac:dyDescent="0.2">
      <c r="A71" s="97">
        <v>1313306920</v>
      </c>
      <c r="B71" s="97" t="s">
        <v>1559</v>
      </c>
      <c r="C71" s="97" t="s">
        <v>338</v>
      </c>
      <c r="D71" s="97">
        <v>175000</v>
      </c>
      <c r="E71" s="97">
        <f>VLOOKUP(A71,'תקציב מפורט 2025'!A:O,4,FALSE)-D71</f>
        <v>0</v>
      </c>
    </row>
    <row r="72" spans="1:5" hidden="1" x14ac:dyDescent="0.2">
      <c r="A72" s="97">
        <v>1313307920</v>
      </c>
      <c r="B72" s="97" t="s">
        <v>1560</v>
      </c>
      <c r="C72" s="97" t="s">
        <v>338</v>
      </c>
      <c r="D72" s="97">
        <v>45717</v>
      </c>
      <c r="E72" s="97">
        <f>VLOOKUP(A72,'תקציב מפורט 2025'!A:O,4,FALSE)-D72</f>
        <v>0</v>
      </c>
    </row>
    <row r="73" spans="1:5" hidden="1" x14ac:dyDescent="0.2">
      <c r="A73" s="97">
        <v>1313309920</v>
      </c>
      <c r="B73" s="97" t="s">
        <v>1561</v>
      </c>
      <c r="C73" s="97" t="s">
        <v>338</v>
      </c>
      <c r="D73" s="97">
        <v>58076</v>
      </c>
      <c r="E73" s="97">
        <f>VLOOKUP(A73,'תקציב מפורט 2025'!A:O,4,FALSE)-D73</f>
        <v>0</v>
      </c>
    </row>
    <row r="74" spans="1:5" hidden="1" x14ac:dyDescent="0.2">
      <c r="A74" s="97">
        <v>1313319920</v>
      </c>
      <c r="B74" s="97" t="s">
        <v>1562</v>
      </c>
      <c r="C74" s="97" t="s">
        <v>338</v>
      </c>
      <c r="D74" s="97">
        <v>0</v>
      </c>
      <c r="E74" s="97">
        <f>VLOOKUP(A74,'תקציב מפורט 2025'!A:O,4,FALSE)-D74</f>
        <v>0</v>
      </c>
    </row>
    <row r="75" spans="1:5" hidden="1" x14ac:dyDescent="0.2">
      <c r="A75" s="97">
        <v>1313339920</v>
      </c>
      <c r="B75" s="97" t="s">
        <v>1563</v>
      </c>
      <c r="C75" s="97" t="s">
        <v>338</v>
      </c>
      <c r="D75" s="97">
        <v>2676708</v>
      </c>
      <c r="E75" s="97">
        <f>VLOOKUP(A75,'תקציב מפורט 2025'!A:O,4,FALSE)-D75</f>
        <v>0</v>
      </c>
    </row>
    <row r="76" spans="1:5" hidden="1" x14ac:dyDescent="0.2">
      <c r="A76" s="97">
        <v>1313429920</v>
      </c>
      <c r="B76" s="97" t="s">
        <v>1564</v>
      </c>
      <c r="C76" s="97" t="s">
        <v>338</v>
      </c>
      <c r="D76" s="97">
        <v>0</v>
      </c>
      <c r="E76" s="97">
        <f>VLOOKUP(A76,'תקציב מפורט 2025'!A:O,4,FALSE)-D76</f>
        <v>0</v>
      </c>
    </row>
    <row r="77" spans="1:5" hidden="1" x14ac:dyDescent="0.2">
      <c r="A77" s="97">
        <v>1313600420</v>
      </c>
      <c r="B77" s="97" t="s">
        <v>658</v>
      </c>
      <c r="C77" s="97" t="s">
        <v>334</v>
      </c>
      <c r="D77" s="97">
        <v>120000</v>
      </c>
      <c r="E77" s="97">
        <f>VLOOKUP(A77,'תקציב מפורט 2025'!A:O,4,FALSE)-D77</f>
        <v>0</v>
      </c>
    </row>
    <row r="78" spans="1:5" hidden="1" x14ac:dyDescent="0.2">
      <c r="A78" s="97">
        <v>1313800920</v>
      </c>
      <c r="B78" s="97" t="s">
        <v>659</v>
      </c>
      <c r="C78" s="97" t="s">
        <v>338</v>
      </c>
      <c r="D78" s="97">
        <v>1200000</v>
      </c>
      <c r="E78" s="97">
        <f>VLOOKUP(A78,'תקציב מפורט 2025'!A:O,4,FALSE)-D78</f>
        <v>0</v>
      </c>
    </row>
    <row r="79" spans="1:5" hidden="1" x14ac:dyDescent="0.2">
      <c r="A79" s="97">
        <v>1313901920</v>
      </c>
      <c r="B79" s="97" t="s">
        <v>1565</v>
      </c>
      <c r="C79" s="97" t="s">
        <v>338</v>
      </c>
      <c r="D79" s="97">
        <v>67248</v>
      </c>
      <c r="E79" s="97">
        <f>VLOOKUP(A79,'תקציב מפורט 2025'!A:O,4,FALSE)-D79</f>
        <v>0</v>
      </c>
    </row>
    <row r="80" spans="1:5" hidden="1" x14ac:dyDescent="0.2">
      <c r="B80" t="s">
        <v>2136</v>
      </c>
      <c r="D80">
        <v>15589968</v>
      </c>
      <c r="E80" t="e">
        <f>VLOOKUP(A80,'תקציב מפורט 2025'!A:O,4,FALSE)-D80</f>
        <v>#N/A</v>
      </c>
    </row>
    <row r="81" spans="1:5" hidden="1" x14ac:dyDescent="0.2">
      <c r="A81" s="97">
        <v>1314000920</v>
      </c>
      <c r="B81" s="97" t="s">
        <v>283</v>
      </c>
      <c r="C81" s="97" t="s">
        <v>338</v>
      </c>
      <c r="D81" s="97">
        <v>2525991</v>
      </c>
      <c r="E81" s="97">
        <f>VLOOKUP(A81,'תקציב מפורט 2025'!A:O,4,FALSE)-D81</f>
        <v>0</v>
      </c>
    </row>
    <row r="82" spans="1:5" hidden="1" x14ac:dyDescent="0.2">
      <c r="A82" s="97">
        <v>1314000924</v>
      </c>
      <c r="B82" s="97" t="s">
        <v>284</v>
      </c>
      <c r="C82" s="97" t="s">
        <v>338</v>
      </c>
      <c r="D82" s="97">
        <v>0</v>
      </c>
      <c r="E82" s="97">
        <f>VLOOKUP(A82,'תקציב מפורט 2025'!A:O,4,FALSE)-D82</f>
        <v>0</v>
      </c>
    </row>
    <row r="83" spans="1:5" hidden="1" x14ac:dyDescent="0.2">
      <c r="B83" t="s">
        <v>726</v>
      </c>
      <c r="D83">
        <v>2525991</v>
      </c>
      <c r="E83" t="e">
        <f>VLOOKUP(A83,'תקציב מפורט 2025'!A:O,4,FALSE)-D83</f>
        <v>#N/A</v>
      </c>
    </row>
    <row r="84" spans="1:5" hidden="1" x14ac:dyDescent="0.2">
      <c r="A84" s="97">
        <v>1315200927</v>
      </c>
      <c r="B84" s="97" t="s">
        <v>272</v>
      </c>
      <c r="C84" s="97" t="s">
        <v>338</v>
      </c>
      <c r="D84" s="97">
        <v>9000</v>
      </c>
      <c r="E84" s="97">
        <f>VLOOKUP(A84,'תקציב מפורט 2025'!A:O,4,FALSE)-D84</f>
        <v>0</v>
      </c>
    </row>
    <row r="85" spans="1:5" hidden="1" x14ac:dyDescent="0.2">
      <c r="A85" s="97">
        <v>1315201920</v>
      </c>
      <c r="B85" s="97" t="s">
        <v>289</v>
      </c>
      <c r="C85" s="97" t="s">
        <v>338</v>
      </c>
      <c r="D85" s="97">
        <v>8724015</v>
      </c>
      <c r="E85" s="97">
        <f>VLOOKUP(A85,'תקציב מפורט 2025'!A:O,4,FALSE)-D85</f>
        <v>0</v>
      </c>
    </row>
    <row r="86" spans="1:5" hidden="1" x14ac:dyDescent="0.2">
      <c r="A86" s="97">
        <v>1315202920</v>
      </c>
      <c r="B86" s="97" t="s">
        <v>290</v>
      </c>
      <c r="C86" s="97" t="s">
        <v>338</v>
      </c>
      <c r="D86" s="97">
        <v>492452</v>
      </c>
      <c r="E86" s="97">
        <f>VLOOKUP(A86,'תקציב מפורט 2025'!A:O,4,FALSE)-D86</f>
        <v>0</v>
      </c>
    </row>
    <row r="87" spans="1:5" hidden="1" x14ac:dyDescent="0.2">
      <c r="A87" s="97">
        <v>1315203920</v>
      </c>
      <c r="B87" s="97" t="s">
        <v>291</v>
      </c>
      <c r="C87" s="97" t="s">
        <v>338</v>
      </c>
      <c r="D87" s="97">
        <v>49498</v>
      </c>
      <c r="E87" s="97">
        <f>VLOOKUP(A87,'תקציב מפורט 2025'!A:O,4,FALSE)-D87</f>
        <v>0</v>
      </c>
    </row>
    <row r="88" spans="1:5" hidden="1" x14ac:dyDescent="0.2">
      <c r="A88" s="97">
        <v>1315204920</v>
      </c>
      <c r="B88" s="97" t="s">
        <v>292</v>
      </c>
      <c r="C88" s="97" t="s">
        <v>338</v>
      </c>
      <c r="D88" s="97">
        <v>3378</v>
      </c>
      <c r="E88" s="97">
        <f>VLOOKUP(A88,'תקציב מפורט 2025'!A:O,4,FALSE)-D88</f>
        <v>0</v>
      </c>
    </row>
    <row r="89" spans="1:5" hidden="1" x14ac:dyDescent="0.2">
      <c r="A89" s="97">
        <v>1315206920</v>
      </c>
      <c r="B89" s="97" t="s">
        <v>293</v>
      </c>
      <c r="C89" s="97" t="s">
        <v>338</v>
      </c>
      <c r="D89" s="97">
        <v>37343</v>
      </c>
      <c r="E89" s="97">
        <f>VLOOKUP(A89,'תקציב מפורט 2025'!A:O,4,FALSE)-D89</f>
        <v>0</v>
      </c>
    </row>
    <row r="90" spans="1:5" hidden="1" x14ac:dyDescent="0.2">
      <c r="A90" s="97">
        <v>1315209920</v>
      </c>
      <c r="B90" s="97" t="s">
        <v>752</v>
      </c>
      <c r="C90" s="97" t="s">
        <v>338</v>
      </c>
      <c r="D90" s="97">
        <v>668854</v>
      </c>
      <c r="E90" s="97">
        <f>VLOOKUP(A90,'תקציב מפורט 2025'!A:O,4,FALSE)-D90</f>
        <v>0</v>
      </c>
    </row>
    <row r="91" spans="1:5" hidden="1" x14ac:dyDescent="0.2">
      <c r="A91" s="97">
        <v>1315210920</v>
      </c>
      <c r="B91" s="97" t="s">
        <v>285</v>
      </c>
      <c r="C91" s="97" t="s">
        <v>338</v>
      </c>
      <c r="D91" s="97">
        <v>7398</v>
      </c>
      <c r="E91" s="97">
        <f>VLOOKUP(A91,'תקציב מפורט 2025'!A:O,4,FALSE)-D91</f>
        <v>0</v>
      </c>
    </row>
    <row r="92" spans="1:5" hidden="1" x14ac:dyDescent="0.2">
      <c r="A92" s="97">
        <v>1315211920</v>
      </c>
      <c r="B92" s="97" t="s">
        <v>753</v>
      </c>
      <c r="C92" s="97" t="s">
        <v>338</v>
      </c>
      <c r="D92" s="97">
        <v>16557</v>
      </c>
      <c r="E92" s="97">
        <f>VLOOKUP(A92,'תקציב מפורט 2025'!A:O,4,FALSE)-D92</f>
        <v>0</v>
      </c>
    </row>
    <row r="93" spans="1:5" hidden="1" x14ac:dyDescent="0.2">
      <c r="A93" s="97">
        <v>1315213920</v>
      </c>
      <c r="B93" s="97" t="s">
        <v>286</v>
      </c>
      <c r="C93" s="97" t="s">
        <v>338</v>
      </c>
      <c r="D93" s="97">
        <v>182394</v>
      </c>
      <c r="E93" s="97">
        <f>VLOOKUP(A93,'תקציב מפורט 2025'!A:O,4,FALSE)-D93</f>
        <v>0</v>
      </c>
    </row>
    <row r="94" spans="1:5" hidden="1" x14ac:dyDescent="0.2">
      <c r="A94" s="97">
        <v>1315214920</v>
      </c>
      <c r="B94" s="97" t="s">
        <v>287</v>
      </c>
      <c r="C94" s="97" t="s">
        <v>338</v>
      </c>
      <c r="D94" s="97">
        <v>269615</v>
      </c>
      <c r="E94" s="97">
        <f>VLOOKUP(A94,'תקציב מפורט 2025'!A:O,4,FALSE)-D94</f>
        <v>0</v>
      </c>
    </row>
    <row r="95" spans="1:5" hidden="1" x14ac:dyDescent="0.2">
      <c r="A95" s="97">
        <v>1315216920</v>
      </c>
      <c r="B95" s="97" t="s">
        <v>288</v>
      </c>
      <c r="C95" s="97" t="s">
        <v>338</v>
      </c>
      <c r="D95" s="97">
        <v>9857</v>
      </c>
      <c r="E95" s="97">
        <f>VLOOKUP(A95,'תקציב מפורט 2025'!A:O,4,FALSE)-D95</f>
        <v>0</v>
      </c>
    </row>
    <row r="96" spans="1:5" hidden="1" x14ac:dyDescent="0.2">
      <c r="A96" s="97">
        <v>1315218920</v>
      </c>
      <c r="B96" s="97" t="s">
        <v>754</v>
      </c>
      <c r="C96" s="97" t="s">
        <v>338</v>
      </c>
      <c r="D96" s="97">
        <v>282053</v>
      </c>
      <c r="E96" s="97">
        <f>VLOOKUP(A96,'תקציב מפורט 2025'!A:O,4,FALSE)-D96</f>
        <v>0</v>
      </c>
    </row>
    <row r="97" spans="1:5" hidden="1" x14ac:dyDescent="0.2">
      <c r="A97" s="97">
        <v>1315219920</v>
      </c>
      <c r="B97" s="97" t="s">
        <v>755</v>
      </c>
      <c r="C97" s="97" t="s">
        <v>338</v>
      </c>
      <c r="D97" s="97">
        <v>12643</v>
      </c>
      <c r="E97" s="97">
        <f>VLOOKUP(A97,'תקציב מפורט 2025'!A:O,4,FALSE)-D97</f>
        <v>0</v>
      </c>
    </row>
    <row r="98" spans="1:5" hidden="1" x14ac:dyDescent="0.2">
      <c r="A98" s="97">
        <v>1315220920</v>
      </c>
      <c r="B98" s="97" t="s">
        <v>756</v>
      </c>
      <c r="C98" s="97" t="s">
        <v>338</v>
      </c>
      <c r="D98" s="97">
        <v>1547440</v>
      </c>
      <c r="E98" s="97">
        <f>VLOOKUP(A98,'תקציב מפורט 2025'!A:O,4,FALSE)-D98</f>
        <v>0</v>
      </c>
    </row>
    <row r="99" spans="1:5" hidden="1" x14ac:dyDescent="0.2">
      <c r="A99" s="97">
        <v>1315221920</v>
      </c>
      <c r="B99" s="97" t="s">
        <v>757</v>
      </c>
      <c r="C99" s="97" t="s">
        <v>338</v>
      </c>
      <c r="D99" s="97">
        <v>7793</v>
      </c>
      <c r="E99" s="97">
        <f>VLOOKUP(A99,'תקציב מפורט 2025'!A:O,4,FALSE)-D99</f>
        <v>0</v>
      </c>
    </row>
    <row r="100" spans="1:5" hidden="1" x14ac:dyDescent="0.2">
      <c r="A100" s="97">
        <v>1315222920</v>
      </c>
      <c r="B100" s="97" t="s">
        <v>758</v>
      </c>
      <c r="C100" s="97" t="s">
        <v>338</v>
      </c>
      <c r="D100" s="97">
        <v>169211</v>
      </c>
      <c r="E100" s="97">
        <f>VLOOKUP(A100,'תקציב מפורט 2025'!A:O,4,FALSE)-D100</f>
        <v>0</v>
      </c>
    </row>
    <row r="101" spans="1:5" hidden="1" x14ac:dyDescent="0.2">
      <c r="A101" s="97">
        <v>1315223920</v>
      </c>
      <c r="B101" s="97" t="s">
        <v>713</v>
      </c>
      <c r="C101" s="97" t="s">
        <v>338</v>
      </c>
      <c r="D101" s="97">
        <v>636853</v>
      </c>
      <c r="E101" s="97">
        <f>VLOOKUP(A101,'תקציב מפורט 2025'!A:O,4,FALSE)-D101</f>
        <v>0</v>
      </c>
    </row>
    <row r="102" spans="1:5" hidden="1" x14ac:dyDescent="0.2">
      <c r="A102" s="97">
        <v>1315224920</v>
      </c>
      <c r="B102" s="97" t="s">
        <v>709</v>
      </c>
      <c r="C102" s="97" t="s">
        <v>338</v>
      </c>
      <c r="D102" s="97">
        <v>108743</v>
      </c>
      <c r="E102" s="97">
        <f>VLOOKUP(A102,'תקציב מפורט 2025'!A:O,4,FALSE)-D102</f>
        <v>0</v>
      </c>
    </row>
    <row r="103" spans="1:5" hidden="1" x14ac:dyDescent="0.2">
      <c r="A103" s="97">
        <v>1315225920</v>
      </c>
      <c r="B103" s="97" t="s">
        <v>759</v>
      </c>
      <c r="C103" s="97" t="s">
        <v>338</v>
      </c>
      <c r="D103" s="97">
        <v>44823</v>
      </c>
      <c r="E103" s="97">
        <f>VLOOKUP(A103,'תקציב מפורט 2025'!A:O,4,FALSE)-D103</f>
        <v>0</v>
      </c>
    </row>
    <row r="104" spans="1:5" hidden="1" x14ac:dyDescent="0.2">
      <c r="A104" s="97">
        <v>1315226920</v>
      </c>
      <c r="B104" s="97" t="s">
        <v>1670</v>
      </c>
      <c r="C104" s="97" t="s">
        <v>338</v>
      </c>
      <c r="D104" s="97">
        <v>117171</v>
      </c>
      <c r="E104" s="97">
        <f>VLOOKUP(A104,'תקציב מפורט 2025'!A:O,4,FALSE)-D104</f>
        <v>0</v>
      </c>
    </row>
    <row r="105" spans="1:5" hidden="1" x14ac:dyDescent="0.2">
      <c r="A105" s="97">
        <v>1315228920</v>
      </c>
      <c r="B105" s="97" t="s">
        <v>710</v>
      </c>
      <c r="C105" s="97" t="s">
        <v>338</v>
      </c>
      <c r="D105" s="97">
        <v>342603</v>
      </c>
      <c r="E105" s="97">
        <f>VLOOKUP(A105,'תקציב מפורט 2025'!A:O,4,FALSE)-D105</f>
        <v>0</v>
      </c>
    </row>
    <row r="106" spans="1:5" hidden="1" x14ac:dyDescent="0.2">
      <c r="A106" s="97">
        <v>1315229920</v>
      </c>
      <c r="B106" s="97" t="s">
        <v>760</v>
      </c>
      <c r="C106" s="97" t="s">
        <v>338</v>
      </c>
      <c r="D106" s="97">
        <v>302867</v>
      </c>
      <c r="E106" s="97">
        <f>VLOOKUP(A106,'תקציב מפורט 2025'!A:O,4,FALSE)-D106</f>
        <v>0</v>
      </c>
    </row>
    <row r="107" spans="1:5" hidden="1" x14ac:dyDescent="0.2">
      <c r="A107" s="97">
        <v>1315230920</v>
      </c>
      <c r="B107" s="97" t="s">
        <v>761</v>
      </c>
      <c r="C107" s="97" t="s">
        <v>338</v>
      </c>
      <c r="D107" s="97">
        <v>52351</v>
      </c>
      <c r="E107" s="97">
        <f>VLOOKUP(A107,'תקציב מפורט 2025'!A:O,4,FALSE)-D107</f>
        <v>0</v>
      </c>
    </row>
    <row r="108" spans="1:5" hidden="1" x14ac:dyDescent="0.2">
      <c r="A108" s="97">
        <v>1315230921</v>
      </c>
      <c r="B108" s="97" t="s">
        <v>1523</v>
      </c>
      <c r="C108" s="97" t="s">
        <v>338</v>
      </c>
      <c r="D108" s="97">
        <v>100000</v>
      </c>
      <c r="E108" s="97">
        <f>VLOOKUP(A108,'תקציב מפורט 2025'!A:O,4,FALSE)-D108</f>
        <v>0</v>
      </c>
    </row>
    <row r="109" spans="1:5" hidden="1" x14ac:dyDescent="0.2">
      <c r="A109" s="97">
        <v>1315233920</v>
      </c>
      <c r="B109" s="97" t="s">
        <v>762</v>
      </c>
      <c r="C109" s="97" t="s">
        <v>338</v>
      </c>
      <c r="D109" s="97">
        <v>2579066</v>
      </c>
      <c r="E109" s="97">
        <f>VLOOKUP(A109,'תקציב מפורט 2025'!A:O,4,FALSE)-D109</f>
        <v>0</v>
      </c>
    </row>
    <row r="110" spans="1:5" hidden="1" x14ac:dyDescent="0.2">
      <c r="A110" s="97">
        <v>1315326920</v>
      </c>
      <c r="B110" s="97" t="s">
        <v>1566</v>
      </c>
      <c r="C110" s="97" t="s">
        <v>338</v>
      </c>
      <c r="D110" s="97">
        <v>0</v>
      </c>
      <c r="E110" s="97">
        <f>VLOOKUP(A110,'תקציב מפורט 2025'!A:O,4,FALSE)-D110</f>
        <v>0</v>
      </c>
    </row>
    <row r="111" spans="1:5" hidden="1" x14ac:dyDescent="0.2">
      <c r="A111" s="97">
        <v>1315426920</v>
      </c>
      <c r="B111" s="97" t="s">
        <v>1567</v>
      </c>
      <c r="C111" s="97" t="s">
        <v>338</v>
      </c>
      <c r="D111" s="97">
        <v>51939</v>
      </c>
      <c r="E111" s="97">
        <f>VLOOKUP(A111,'תקציב מפורט 2025'!A:O,4,FALSE)-D111</f>
        <v>0</v>
      </c>
    </row>
    <row r="112" spans="1:5" hidden="1" x14ac:dyDescent="0.2">
      <c r="A112" s="97">
        <v>1315526920</v>
      </c>
      <c r="B112" s="97" t="s">
        <v>1568</v>
      </c>
      <c r="C112" s="97" t="s">
        <v>338</v>
      </c>
      <c r="D112" s="97">
        <v>111581</v>
      </c>
      <c r="E112" s="97">
        <f>VLOOKUP(A112,'תקציב מפורט 2025'!A:O,4,FALSE)-D112</f>
        <v>0</v>
      </c>
    </row>
    <row r="113" spans="1:5" hidden="1" x14ac:dyDescent="0.2">
      <c r="A113" s="97">
        <v>1315626920</v>
      </c>
      <c r="B113" s="97" t="s">
        <v>1569</v>
      </c>
      <c r="C113" s="97" t="s">
        <v>338</v>
      </c>
      <c r="D113" s="97">
        <v>0</v>
      </c>
      <c r="E113" s="97">
        <f>VLOOKUP(A113,'תקציב מפורט 2025'!A:O,4,FALSE)-D113</f>
        <v>0</v>
      </c>
    </row>
    <row r="114" spans="1:5" hidden="1" x14ac:dyDescent="0.2">
      <c r="B114" t="s">
        <v>727</v>
      </c>
      <c r="D114">
        <v>16937498</v>
      </c>
      <c r="E114" t="e">
        <f>VLOOKUP(A114,'תקציב מפורט 2025'!A:O,4,FALSE)-D114</f>
        <v>#N/A</v>
      </c>
    </row>
    <row r="115" spans="1:5" hidden="1" x14ac:dyDescent="0.2">
      <c r="A115" s="97">
        <v>1317100990</v>
      </c>
      <c r="B115" s="97" t="s">
        <v>294</v>
      </c>
      <c r="C115" s="97" t="s">
        <v>340</v>
      </c>
      <c r="D115" s="97">
        <v>700000</v>
      </c>
      <c r="E115" s="97">
        <f>VLOOKUP(A115,'תקציב מפורט 2025'!A:O,4,FALSE)-D115</f>
        <v>0</v>
      </c>
    </row>
    <row r="116" spans="1:5" hidden="1" x14ac:dyDescent="0.2">
      <c r="A116" s="97">
        <v>1317301920</v>
      </c>
      <c r="B116" s="97" t="s">
        <v>763</v>
      </c>
      <c r="C116" s="97" t="s">
        <v>338</v>
      </c>
      <c r="D116" s="97">
        <v>640205</v>
      </c>
      <c r="E116" s="97">
        <f>VLOOKUP(A116,'תקציב מפורט 2025'!A:O,4,FALSE)-D116</f>
        <v>0</v>
      </c>
    </row>
    <row r="117" spans="1:5" hidden="1" x14ac:dyDescent="0.2">
      <c r="A117" s="97">
        <v>1317302920</v>
      </c>
      <c r="B117" s="97" t="s">
        <v>296</v>
      </c>
      <c r="C117" s="97" t="s">
        <v>338</v>
      </c>
      <c r="D117" s="97">
        <v>42277</v>
      </c>
      <c r="E117" s="97">
        <f>VLOOKUP(A117,'תקציב מפורט 2025'!A:O,4,FALSE)-D117</f>
        <v>0</v>
      </c>
    </row>
    <row r="118" spans="1:5" hidden="1" x14ac:dyDescent="0.2">
      <c r="A118" s="97">
        <v>1317603920</v>
      </c>
      <c r="B118" s="97" t="s">
        <v>183</v>
      </c>
      <c r="C118" s="97" t="s">
        <v>338</v>
      </c>
      <c r="D118" s="97">
        <v>255237</v>
      </c>
      <c r="E118" s="97">
        <f>VLOOKUP(A118,'תקציב מפורט 2025'!A:O,4,FALSE)-D118</f>
        <v>0</v>
      </c>
    </row>
    <row r="119" spans="1:5" hidden="1" x14ac:dyDescent="0.2">
      <c r="A119" s="97">
        <v>1317610920</v>
      </c>
      <c r="B119" s="97" t="s">
        <v>297</v>
      </c>
      <c r="C119" s="97" t="s">
        <v>338</v>
      </c>
      <c r="D119" s="97">
        <v>95874</v>
      </c>
      <c r="E119" s="97">
        <f>VLOOKUP(A119,'תקציב מפורט 2025'!A:O,4,FALSE)-D119</f>
        <v>0</v>
      </c>
    </row>
    <row r="120" spans="1:5" hidden="1" x14ac:dyDescent="0.2">
      <c r="A120" s="97">
        <v>1317620920</v>
      </c>
      <c r="B120" s="97" t="s">
        <v>245</v>
      </c>
      <c r="C120" s="97" t="s">
        <v>338</v>
      </c>
      <c r="D120" s="97">
        <v>185828</v>
      </c>
      <c r="E120" s="97">
        <f>VLOOKUP(A120,'תקציב מפורט 2025'!A:O,4,FALSE)-D120</f>
        <v>0</v>
      </c>
    </row>
    <row r="121" spans="1:5" hidden="1" x14ac:dyDescent="0.2">
      <c r="A121" s="97">
        <v>1317700920</v>
      </c>
      <c r="B121" s="97" t="s">
        <v>299</v>
      </c>
      <c r="C121" s="97" t="s">
        <v>338</v>
      </c>
      <c r="D121" s="97">
        <v>100000</v>
      </c>
      <c r="E121" s="97">
        <f>VLOOKUP(A121,'תקציב מפורט 2025'!A:O,4,FALSE)-D121</f>
        <v>0</v>
      </c>
    </row>
    <row r="122" spans="1:5" hidden="1" x14ac:dyDescent="0.2">
      <c r="A122" s="97">
        <v>1317710920</v>
      </c>
      <c r="B122" s="97" t="s">
        <v>300</v>
      </c>
      <c r="C122" s="97" t="s">
        <v>338</v>
      </c>
      <c r="D122" s="97">
        <v>322152</v>
      </c>
      <c r="E122" s="97">
        <f>VLOOKUP(A122,'תקציב מפורט 2025'!A:O,4,FALSE)-D122</f>
        <v>0</v>
      </c>
    </row>
    <row r="123" spans="1:5" hidden="1" x14ac:dyDescent="0.2">
      <c r="A123" s="97">
        <v>1317721920</v>
      </c>
      <c r="B123" s="97" t="s">
        <v>764</v>
      </c>
      <c r="C123" s="97" t="s">
        <v>338</v>
      </c>
      <c r="D123" s="97">
        <v>55824</v>
      </c>
      <c r="E123" s="97">
        <f>VLOOKUP(A123,'תקציב מפורט 2025'!A:O,4,FALSE)-D123</f>
        <v>0</v>
      </c>
    </row>
    <row r="124" spans="1:5" hidden="1" x14ac:dyDescent="0.2">
      <c r="A124" s="97">
        <v>1317730920</v>
      </c>
      <c r="B124" s="97" t="s">
        <v>1570</v>
      </c>
      <c r="C124" s="97" t="s">
        <v>338</v>
      </c>
      <c r="D124" s="97">
        <v>42341</v>
      </c>
      <c r="E124" s="97">
        <f>VLOOKUP(A124,'תקציב מפורט 2025'!A:O,4,FALSE)-D124</f>
        <v>0</v>
      </c>
    </row>
    <row r="125" spans="1:5" hidden="1" x14ac:dyDescent="0.2">
      <c r="A125" s="97">
        <v>1317800920</v>
      </c>
      <c r="B125" s="97" t="s">
        <v>179</v>
      </c>
      <c r="C125" s="97" t="s">
        <v>338</v>
      </c>
      <c r="D125" s="97">
        <v>158185</v>
      </c>
      <c r="E125" s="97">
        <f>VLOOKUP(A125,'תקציב מפורט 2025'!A:O,4,FALSE)-D125</f>
        <v>0</v>
      </c>
    </row>
    <row r="126" spans="1:5" hidden="1" x14ac:dyDescent="0.2">
      <c r="A126" s="97">
        <v>1317810920</v>
      </c>
      <c r="B126" s="97" t="s">
        <v>301</v>
      </c>
      <c r="C126" s="97" t="s">
        <v>338</v>
      </c>
      <c r="D126" s="97">
        <v>1494822</v>
      </c>
      <c r="E126" s="97">
        <f>VLOOKUP(A126,'תקציב מפורט 2025'!A:O,4,FALSE)-D126</f>
        <v>0</v>
      </c>
    </row>
    <row r="127" spans="1:5" hidden="1" x14ac:dyDescent="0.2">
      <c r="A127" s="97">
        <v>1317820690</v>
      </c>
      <c r="B127" s="97" t="s">
        <v>302</v>
      </c>
      <c r="C127" s="97" t="s">
        <v>343</v>
      </c>
      <c r="D127" s="97">
        <v>2500000</v>
      </c>
      <c r="E127" s="97">
        <f>VLOOKUP(A127,'תקציב מפורט 2025'!A:O,4,FALSE)-D127</f>
        <v>0</v>
      </c>
    </row>
    <row r="128" spans="1:5" hidden="1" x14ac:dyDescent="0.2">
      <c r="A128" s="97">
        <v>1317820920</v>
      </c>
      <c r="B128" s="97" t="s">
        <v>303</v>
      </c>
      <c r="C128" s="97" t="s">
        <v>338</v>
      </c>
      <c r="D128" s="97">
        <v>1142592</v>
      </c>
      <c r="E128" s="97">
        <f>VLOOKUP(A128,'תקציב מפורט 2025'!A:O,4,FALSE)-D128</f>
        <v>0</v>
      </c>
    </row>
    <row r="129" spans="1:5" hidden="1" x14ac:dyDescent="0.2">
      <c r="A129" s="97">
        <v>1319000920</v>
      </c>
      <c r="B129" s="97" t="s">
        <v>798</v>
      </c>
      <c r="C129" s="97" t="s">
        <v>338</v>
      </c>
      <c r="D129" s="97">
        <v>100000</v>
      </c>
      <c r="E129" s="97">
        <f>VLOOKUP(A129,'תקציב מפורט 2025'!A:O,4,FALSE)-D129</f>
        <v>0</v>
      </c>
    </row>
    <row r="130" spans="1:5" hidden="1" x14ac:dyDescent="0.2">
      <c r="A130" s="97">
        <v>1319101920</v>
      </c>
      <c r="B130" s="97" t="s">
        <v>715</v>
      </c>
      <c r="C130" s="97" t="s">
        <v>338</v>
      </c>
      <c r="D130" s="97">
        <v>100000</v>
      </c>
      <c r="E130" s="97">
        <f>VLOOKUP(A130,'תקציב מפורט 2025'!A:O,4,FALSE)-D130</f>
        <v>0</v>
      </c>
    </row>
    <row r="131" spans="1:5" hidden="1" x14ac:dyDescent="0.2">
      <c r="A131" s="97">
        <v>1319200920</v>
      </c>
      <c r="B131" s="97" t="s">
        <v>2186</v>
      </c>
      <c r="C131" s="97" t="s">
        <v>338</v>
      </c>
      <c r="D131" s="97"/>
      <c r="E131" s="97">
        <f>VLOOKUP(A131,'תקציב מפורט 2025'!A:O,4,FALSE)-D131</f>
        <v>0</v>
      </c>
    </row>
    <row r="132" spans="1:5" hidden="1" x14ac:dyDescent="0.2">
      <c r="A132" s="97">
        <v>1319102920</v>
      </c>
      <c r="B132" s="97" t="s">
        <v>716</v>
      </c>
      <c r="C132" s="97" t="s">
        <v>338</v>
      </c>
      <c r="D132" s="97">
        <v>400000</v>
      </c>
      <c r="E132" s="97">
        <f>VLOOKUP(A132,'תקציב מפורט 2025'!A:O,4,FALSE)-D132</f>
        <v>0</v>
      </c>
    </row>
    <row r="133" spans="1:5" hidden="1" x14ac:dyDescent="0.2">
      <c r="A133" s="97">
        <v>1319103920</v>
      </c>
      <c r="B133" s="97" t="s">
        <v>717</v>
      </c>
      <c r="C133" s="97" t="s">
        <v>338</v>
      </c>
      <c r="D133" s="97">
        <v>200000</v>
      </c>
      <c r="E133" s="97">
        <f>VLOOKUP(A133,'תקציב מפורט 2025'!A:O,4,FALSE)-D133</f>
        <v>0</v>
      </c>
    </row>
    <row r="134" spans="1:5" hidden="1" x14ac:dyDescent="0.2">
      <c r="B134" t="s">
        <v>2134</v>
      </c>
      <c r="D134">
        <v>8535337</v>
      </c>
      <c r="E134" t="e">
        <f>VLOOKUP(A134,'תקציב מפורט 2025'!A:O,4,FALSE)-D134</f>
        <v>#N/A</v>
      </c>
    </row>
    <row r="135" spans="1:5" hidden="1" x14ac:dyDescent="0.2">
      <c r="B135" t="s">
        <v>357</v>
      </c>
      <c r="D135">
        <v>56190730</v>
      </c>
      <c r="E135" t="e">
        <f>VLOOKUP(A135,'תקציב מפורט 2025'!A:O,4,FALSE)-D135</f>
        <v>#N/A</v>
      </c>
    </row>
    <row r="136" spans="1:5" hidden="1" x14ac:dyDescent="0.2">
      <c r="A136" s="97">
        <v>1322300410</v>
      </c>
      <c r="B136" s="97" t="s">
        <v>1571</v>
      </c>
      <c r="C136" s="97" t="s">
        <v>338</v>
      </c>
      <c r="D136" s="97">
        <v>117000</v>
      </c>
      <c r="E136" s="97">
        <f>VLOOKUP(A136,'תקציב מפורט 2025'!A:O,4,FALSE)-D136</f>
        <v>0</v>
      </c>
    </row>
    <row r="137" spans="1:5" hidden="1" x14ac:dyDescent="0.2">
      <c r="A137" s="97">
        <v>1322000990</v>
      </c>
      <c r="B137" s="97" t="s">
        <v>2182</v>
      </c>
      <c r="C137" s="97" t="s">
        <v>340</v>
      </c>
      <c r="D137" s="97"/>
      <c r="E137" s="97">
        <f>VLOOKUP(A137,'תקציב מפורט 2025'!A:O,4,FALSE)-D137</f>
        <v>0</v>
      </c>
    </row>
    <row r="138" spans="1:5" hidden="1" x14ac:dyDescent="0.2">
      <c r="A138" s="97">
        <v>1324000920</v>
      </c>
      <c r="B138" s="97" t="s">
        <v>973</v>
      </c>
      <c r="C138" s="97" t="s">
        <v>340</v>
      </c>
      <c r="D138" s="97">
        <v>350000</v>
      </c>
      <c r="E138" s="97">
        <f>VLOOKUP(A138,'תקציב מפורט 2025'!A:O,4,FALSE)-D138</f>
        <v>0</v>
      </c>
    </row>
    <row r="139" spans="1:5" hidden="1" x14ac:dyDescent="0.2">
      <c r="A139" s="97">
        <v>1328200750</v>
      </c>
      <c r="B139" s="97" t="s">
        <v>747</v>
      </c>
      <c r="C139" s="97" t="s">
        <v>340</v>
      </c>
      <c r="D139" s="97">
        <v>0</v>
      </c>
      <c r="E139" s="97">
        <f>VLOOKUP(A139,'תקציב מפורט 2025'!A:O,4,FALSE)-D139</f>
        <v>120000</v>
      </c>
    </row>
    <row r="140" spans="1:5" hidden="1" x14ac:dyDescent="0.2">
      <c r="A140" s="97">
        <v>1328300920</v>
      </c>
      <c r="B140" s="97" t="s">
        <v>660</v>
      </c>
      <c r="C140" s="97" t="s">
        <v>340</v>
      </c>
      <c r="D140" s="97">
        <v>120000</v>
      </c>
      <c r="E140" s="97">
        <f>VLOOKUP(A140,'תקציב מפורט 2025'!A:O,4,FALSE)-D140</f>
        <v>-120000</v>
      </c>
    </row>
    <row r="141" spans="1:5" hidden="1" x14ac:dyDescent="0.2">
      <c r="A141" s="97">
        <v>1329200420</v>
      </c>
      <c r="B141" s="97" t="s">
        <v>304</v>
      </c>
      <c r="C141" s="97" t="s">
        <v>336</v>
      </c>
      <c r="D141" s="97">
        <v>70000</v>
      </c>
      <c r="E141" s="97">
        <f>VLOOKUP(A141,'תקציב מפורט 2025'!A:O,4,FALSE)-D141</f>
        <v>0</v>
      </c>
    </row>
    <row r="142" spans="1:5" hidden="1" x14ac:dyDescent="0.2">
      <c r="A142" s="97">
        <v>1329200650</v>
      </c>
      <c r="B142" s="97" t="s">
        <v>661</v>
      </c>
      <c r="C142" s="97" t="s">
        <v>336</v>
      </c>
      <c r="D142" s="97">
        <v>66000</v>
      </c>
      <c r="E142" s="97">
        <f>VLOOKUP(A142,'תקציב מפורט 2025'!A:O,4,FALSE)-D142</f>
        <v>0</v>
      </c>
    </row>
    <row r="143" spans="1:5" hidden="1" x14ac:dyDescent="0.2">
      <c r="A143" s="97">
        <v>1329200990</v>
      </c>
      <c r="B143" s="97" t="s">
        <v>305</v>
      </c>
      <c r="C143" s="97" t="s">
        <v>340</v>
      </c>
      <c r="D143" s="97">
        <v>200000</v>
      </c>
      <c r="E143" s="97">
        <f>VLOOKUP(A143,'תקציב מפורט 2025'!A:O,4,FALSE)-D143</f>
        <v>0</v>
      </c>
    </row>
    <row r="144" spans="1:5" hidden="1" x14ac:dyDescent="0.2">
      <c r="A144" s="97">
        <v>1329300990</v>
      </c>
      <c r="B144" s="97" t="s">
        <v>1523</v>
      </c>
      <c r="C144" s="97" t="s">
        <v>340</v>
      </c>
      <c r="D144" s="97">
        <v>100000</v>
      </c>
      <c r="E144" s="97">
        <f>VLOOKUP(A144,'תקציב מפורט 2025'!A:O,4,FALSE)-D144</f>
        <v>0</v>
      </c>
    </row>
    <row r="145" spans="1:5" hidden="1" x14ac:dyDescent="0.2">
      <c r="B145" t="s">
        <v>428</v>
      </c>
      <c r="D145">
        <v>1023000</v>
      </c>
      <c r="E145" t="e">
        <f>VLOOKUP(A145,'תקציב מפורט 2025'!A:O,4,FALSE)-D145</f>
        <v>#N/A</v>
      </c>
    </row>
    <row r="146" spans="1:5" hidden="1" x14ac:dyDescent="0.2">
      <c r="A146" s="97">
        <v>1341000420</v>
      </c>
      <c r="B146" s="97" t="s">
        <v>306</v>
      </c>
      <c r="C146" s="97" t="s">
        <v>335</v>
      </c>
      <c r="D146" s="97">
        <v>0</v>
      </c>
      <c r="E146" s="97">
        <f>VLOOKUP(A146,'תקציב מפורט 2025'!A:O,4,FALSE)-D146</f>
        <v>0</v>
      </c>
    </row>
    <row r="147" spans="1:5" hidden="1" x14ac:dyDescent="0.2">
      <c r="A147" s="97">
        <v>1341001930</v>
      </c>
      <c r="B147" s="97" t="s">
        <v>307</v>
      </c>
      <c r="C147" s="97" t="s">
        <v>339</v>
      </c>
      <c r="D147" s="97">
        <v>2400000</v>
      </c>
      <c r="E147" s="97">
        <f>VLOOKUP(A147,'תקציב מפורט 2025'!A:O,4,FALSE)-D147</f>
        <v>0</v>
      </c>
    </row>
    <row r="148" spans="1:5" hidden="1" x14ac:dyDescent="0.2">
      <c r="A148" s="97">
        <v>1341002930</v>
      </c>
      <c r="B148" s="97" t="s">
        <v>308</v>
      </c>
      <c r="C148" s="97" t="s">
        <v>339</v>
      </c>
      <c r="D148" s="97">
        <v>60000</v>
      </c>
      <c r="E148" s="97">
        <f>VLOOKUP(A148,'תקציב מפורט 2025'!A:O,4,FALSE)-D148</f>
        <v>0</v>
      </c>
    </row>
    <row r="149" spans="1:5" hidden="1" x14ac:dyDescent="0.2">
      <c r="A149" s="97">
        <v>1341004930</v>
      </c>
      <c r="B149" s="97" t="s">
        <v>662</v>
      </c>
      <c r="C149" s="97" t="s">
        <v>339</v>
      </c>
      <c r="D149" s="97">
        <v>5000</v>
      </c>
      <c r="E149" s="97">
        <f>VLOOKUP(A149,'תקציב מפורט 2025'!A:O,4,FALSE)-D149</f>
        <v>0</v>
      </c>
    </row>
    <row r="150" spans="1:5" hidden="1" x14ac:dyDescent="0.2">
      <c r="A150" s="97">
        <v>1341100930</v>
      </c>
      <c r="B150" s="97" t="s">
        <v>1118</v>
      </c>
      <c r="C150" s="97" t="s">
        <v>339</v>
      </c>
      <c r="D150" s="97">
        <v>336000</v>
      </c>
      <c r="E150" s="97">
        <f>VLOOKUP(A150,'תקציב מפורט 2025'!A:O,4,FALSE)-D150</f>
        <v>0</v>
      </c>
    </row>
    <row r="151" spans="1:5" hidden="1" x14ac:dyDescent="0.2">
      <c r="A151" s="97">
        <v>1341105930</v>
      </c>
      <c r="B151" s="97" t="s">
        <v>1119</v>
      </c>
      <c r="C151" s="97" t="s">
        <v>339</v>
      </c>
      <c r="D151" s="97">
        <v>10000</v>
      </c>
      <c r="E151" s="97">
        <f>VLOOKUP(A151,'תקציב מפורט 2025'!A:O,4,FALSE)-D151</f>
        <v>0</v>
      </c>
    </row>
    <row r="152" spans="1:5" hidden="1" x14ac:dyDescent="0.2">
      <c r="A152" s="97">
        <v>1341200930</v>
      </c>
      <c r="B152" s="97" t="s">
        <v>1120</v>
      </c>
      <c r="C152" s="97" t="s">
        <v>339</v>
      </c>
      <c r="D152" s="97">
        <v>100000</v>
      </c>
      <c r="E152" s="97">
        <f>VLOOKUP(A152,'תקציב מפורט 2025'!A:O,4,FALSE)-D152</f>
        <v>0</v>
      </c>
    </row>
    <row r="153" spans="1:5" hidden="1" x14ac:dyDescent="0.2">
      <c r="A153" s="97">
        <v>1341206930</v>
      </c>
      <c r="B153" s="97" t="s">
        <v>1572</v>
      </c>
      <c r="C153" s="97" t="s">
        <v>339</v>
      </c>
      <c r="D153" s="97">
        <v>60000</v>
      </c>
      <c r="E153" s="97">
        <f>VLOOKUP(A153,'תקציב מפורט 2025'!A:O,4,FALSE)-D153</f>
        <v>0</v>
      </c>
    </row>
    <row r="154" spans="1:5" hidden="1" x14ac:dyDescent="0.2">
      <c r="B154" t="s">
        <v>728</v>
      </c>
      <c r="D154">
        <v>2971000</v>
      </c>
      <c r="E154" t="e">
        <f>VLOOKUP(A154,'תקציב מפורט 2025'!A:O,4,FALSE)-D154</f>
        <v>#N/A</v>
      </c>
    </row>
    <row r="155" spans="1:5" hidden="1" x14ac:dyDescent="0.2">
      <c r="A155" s="97">
        <v>1342100930</v>
      </c>
      <c r="B155" s="97" t="s">
        <v>1122</v>
      </c>
      <c r="C155" s="97" t="s">
        <v>339</v>
      </c>
      <c r="D155" s="97">
        <v>0</v>
      </c>
      <c r="E155" s="97">
        <v>0</v>
      </c>
    </row>
    <row r="156" spans="1:5" hidden="1" x14ac:dyDescent="0.2">
      <c r="A156" s="97">
        <v>1342101930</v>
      </c>
      <c r="B156" s="97" t="s">
        <v>241</v>
      </c>
      <c r="C156" s="97" t="s">
        <v>339</v>
      </c>
      <c r="D156" s="97">
        <v>188000</v>
      </c>
      <c r="E156" s="97">
        <f>VLOOKUP(A156,'תקציב מפורט 2025'!A:O,4,FALSE)-D156</f>
        <v>0</v>
      </c>
    </row>
    <row r="157" spans="1:5" hidden="1" x14ac:dyDescent="0.2">
      <c r="A157" s="97">
        <v>1342102930</v>
      </c>
      <c r="B157" s="97" t="s">
        <v>1123</v>
      </c>
      <c r="C157" s="97" t="s">
        <v>339</v>
      </c>
      <c r="D157" s="97">
        <v>190000</v>
      </c>
      <c r="E157" s="97">
        <f>VLOOKUP(A157,'תקציב מפורט 2025'!A:O,4,FALSE)-D157</f>
        <v>0</v>
      </c>
    </row>
    <row r="158" spans="1:5" hidden="1" x14ac:dyDescent="0.2">
      <c r="A158" s="97">
        <v>1342202930</v>
      </c>
      <c r="B158" s="97" t="s">
        <v>309</v>
      </c>
      <c r="C158" s="97" t="s">
        <v>339</v>
      </c>
      <c r="D158" s="97">
        <v>110000</v>
      </c>
      <c r="E158" s="97">
        <f>VLOOKUP(A158,'תקציב מפורט 2025'!A:O,4,FALSE)-D158</f>
        <v>0</v>
      </c>
    </row>
    <row r="159" spans="1:5" hidden="1" x14ac:dyDescent="0.2">
      <c r="A159" s="97">
        <v>1342208930</v>
      </c>
      <c r="B159" s="97" t="s">
        <v>765</v>
      </c>
      <c r="C159" s="97" t="s">
        <v>339</v>
      </c>
      <c r="D159" s="97">
        <v>100000</v>
      </c>
      <c r="E159" s="97">
        <f>VLOOKUP(A159,'תקציב מפורט 2025'!A:O,4,FALSE)-D159</f>
        <v>0</v>
      </c>
    </row>
    <row r="160" spans="1:5" hidden="1" x14ac:dyDescent="0.2">
      <c r="A160" s="97">
        <v>1342232930</v>
      </c>
      <c r="B160" s="97" t="s">
        <v>2183</v>
      </c>
      <c r="C160" s="97" t="s">
        <v>339</v>
      </c>
      <c r="D160" s="97"/>
      <c r="E160" s="97">
        <f>VLOOKUP(A160,'תקציב מפורט 2025'!A:O,4,FALSE)-D160</f>
        <v>0</v>
      </c>
    </row>
    <row r="161" spans="1:5" hidden="1" x14ac:dyDescent="0.2">
      <c r="A161" s="97">
        <v>1342233930</v>
      </c>
      <c r="B161" s="97" t="s">
        <v>2184</v>
      </c>
      <c r="C161" s="97" t="s">
        <v>339</v>
      </c>
      <c r="D161" s="97"/>
      <c r="E161" s="97">
        <f>VLOOKUP(A161,'תקציב מפורט 2025'!A:O,4,FALSE)-D161</f>
        <v>0</v>
      </c>
    </row>
    <row r="162" spans="1:5" hidden="1" x14ac:dyDescent="0.2">
      <c r="A162" s="97">
        <v>1342209930</v>
      </c>
      <c r="B162" s="97" t="s">
        <v>979</v>
      </c>
      <c r="C162" s="97" t="s">
        <v>339</v>
      </c>
      <c r="D162" s="97">
        <v>0</v>
      </c>
      <c r="E162" s="97">
        <v>0</v>
      </c>
    </row>
    <row r="163" spans="1:5" hidden="1" x14ac:dyDescent="0.2">
      <c r="A163" s="97">
        <v>1342231930</v>
      </c>
      <c r="B163" s="97" t="s">
        <v>209</v>
      </c>
      <c r="C163" s="97" t="s">
        <v>339</v>
      </c>
      <c r="D163" s="97"/>
      <c r="E163" s="97">
        <f>VLOOKUP(A163,'תקציב מפורט 2025'!A:O,4,FALSE)-D163</f>
        <v>0</v>
      </c>
    </row>
    <row r="164" spans="1:5" hidden="1" x14ac:dyDescent="0.2">
      <c r="A164" s="97">
        <v>1342301930</v>
      </c>
      <c r="B164" s="97" t="s">
        <v>981</v>
      </c>
      <c r="C164" s="97" t="s">
        <v>339</v>
      </c>
      <c r="D164" s="97"/>
      <c r="E164" s="97">
        <f>VLOOKUP(A164,'תקציב מפורט 2025'!A:O,4,FALSE)-D164</f>
        <v>0</v>
      </c>
    </row>
    <row r="165" spans="1:5" hidden="1" x14ac:dyDescent="0.2">
      <c r="A165" s="97">
        <v>1342401930</v>
      </c>
      <c r="B165" s="97" t="s">
        <v>210</v>
      </c>
      <c r="C165" s="97" t="s">
        <v>339</v>
      </c>
      <c r="D165" s="97">
        <v>26000</v>
      </c>
      <c r="E165" s="97">
        <f>VLOOKUP(A165,'תקציב מפורט 2025'!A:O,4,FALSE)-D165</f>
        <v>0</v>
      </c>
    </row>
    <row r="166" spans="1:5" hidden="1" x14ac:dyDescent="0.2">
      <c r="A166" s="97">
        <v>1342402930</v>
      </c>
      <c r="B166" s="97" t="s">
        <v>211</v>
      </c>
      <c r="C166" s="97" t="s">
        <v>339</v>
      </c>
      <c r="D166" s="97">
        <v>100000</v>
      </c>
      <c r="E166" s="97">
        <f>VLOOKUP(A166,'תקציב מפורט 2025'!A:O,4,FALSE)-D166</f>
        <v>0</v>
      </c>
    </row>
    <row r="167" spans="1:5" hidden="1" x14ac:dyDescent="0.2">
      <c r="A167" s="97">
        <v>1342404930</v>
      </c>
      <c r="B167" s="97" t="s">
        <v>1127</v>
      </c>
      <c r="C167" s="97" t="s">
        <v>339</v>
      </c>
      <c r="D167" s="97">
        <v>0</v>
      </c>
      <c r="E167" s="97">
        <v>0</v>
      </c>
    </row>
    <row r="168" spans="1:5" hidden="1" x14ac:dyDescent="0.2">
      <c r="A168" s="97">
        <v>1342405930</v>
      </c>
      <c r="B168" s="97" t="s">
        <v>992</v>
      </c>
      <c r="C168" s="97" t="s">
        <v>339</v>
      </c>
      <c r="D168" s="97">
        <v>18000</v>
      </c>
      <c r="E168" s="97">
        <f>VLOOKUP(A168,'תקציב מפורט 2025'!A:O,4,FALSE)-D168</f>
        <v>0</v>
      </c>
    </row>
    <row r="169" spans="1:5" hidden="1" x14ac:dyDescent="0.2">
      <c r="B169" t="s">
        <v>729</v>
      </c>
      <c r="D169">
        <v>732000</v>
      </c>
      <c r="E169" t="e">
        <f>VLOOKUP(A169,'תקציב מפורט 2025'!A:O,4,FALSE)-D169</f>
        <v>#N/A</v>
      </c>
    </row>
    <row r="170" spans="1:5" hidden="1" x14ac:dyDescent="0.2">
      <c r="A170" s="97">
        <v>1343501930</v>
      </c>
      <c r="B170" s="97" t="s">
        <v>310</v>
      </c>
      <c r="C170" s="97" t="s">
        <v>339</v>
      </c>
      <c r="D170" s="97">
        <v>74000</v>
      </c>
      <c r="E170" s="97">
        <f>VLOOKUP(A170,'תקציב מפורט 2025'!A:O,4,FALSE)-D170</f>
        <v>0</v>
      </c>
    </row>
    <row r="171" spans="1:5" hidden="1" x14ac:dyDescent="0.2">
      <c r="A171" s="97">
        <v>1343502930</v>
      </c>
      <c r="B171" s="97" t="s">
        <v>311</v>
      </c>
      <c r="C171" s="97" t="s">
        <v>339</v>
      </c>
      <c r="D171" s="97">
        <v>433000</v>
      </c>
      <c r="E171" s="97">
        <f>VLOOKUP(A171,'תקציב מפורט 2025'!A:O,4,FALSE)-D171</f>
        <v>0</v>
      </c>
    </row>
    <row r="172" spans="1:5" hidden="1" x14ac:dyDescent="0.2">
      <c r="A172" s="97">
        <v>1343503930</v>
      </c>
      <c r="B172" s="97" t="s">
        <v>214</v>
      </c>
      <c r="C172" s="97" t="s">
        <v>339</v>
      </c>
      <c r="D172" s="97">
        <v>450000</v>
      </c>
      <c r="E172" s="97">
        <f>VLOOKUP(A172,'תקציב מפורט 2025'!A:O,4,FALSE)-D172</f>
        <v>0</v>
      </c>
    </row>
    <row r="173" spans="1:5" hidden="1" x14ac:dyDescent="0.2">
      <c r="A173" s="97">
        <v>1343505930</v>
      </c>
      <c r="B173" s="97" t="s">
        <v>991</v>
      </c>
      <c r="C173" s="97" t="s">
        <v>339</v>
      </c>
      <c r="D173" s="97">
        <v>70000</v>
      </c>
      <c r="E173" s="97">
        <f>VLOOKUP(A173,'תקציב מפורט 2025'!A:O,4,FALSE)-D173</f>
        <v>0</v>
      </c>
    </row>
    <row r="174" spans="1:5" hidden="1" x14ac:dyDescent="0.2">
      <c r="A174" s="97">
        <v>1343801930</v>
      </c>
      <c r="B174" s="97" t="s">
        <v>217</v>
      </c>
      <c r="C174" s="97" t="s">
        <v>339</v>
      </c>
      <c r="D174" s="97">
        <v>4200000</v>
      </c>
      <c r="E174" s="97">
        <f>VLOOKUP(A174,'תקציב מפורט 2025'!A:O,4,FALSE)-D174</f>
        <v>0</v>
      </c>
    </row>
    <row r="175" spans="1:5" hidden="1" x14ac:dyDescent="0.2">
      <c r="A175" s="97">
        <v>1343901930</v>
      </c>
      <c r="B175" s="97" t="s">
        <v>218</v>
      </c>
      <c r="C175" s="97" t="s">
        <v>339</v>
      </c>
      <c r="D175" s="97">
        <v>4800000</v>
      </c>
      <c r="E175" s="97">
        <f>VLOOKUP(A175,'תקציב מפורט 2025'!A:O,4,FALSE)-D175</f>
        <v>0</v>
      </c>
    </row>
    <row r="176" spans="1:5" hidden="1" x14ac:dyDescent="0.2">
      <c r="A176" s="97">
        <v>1343903930</v>
      </c>
      <c r="B176" s="97" t="s">
        <v>1908</v>
      </c>
      <c r="C176" s="97" t="s">
        <v>339</v>
      </c>
      <c r="D176" s="97"/>
      <c r="E176" s="97">
        <f>VLOOKUP(A176,'תקציב מפורט 2025'!A:O,4,FALSE)-D176</f>
        <v>0</v>
      </c>
    </row>
    <row r="177" spans="1:5" hidden="1" x14ac:dyDescent="0.2">
      <c r="A177" s="97">
        <v>1343904930</v>
      </c>
      <c r="B177" s="97" t="s">
        <v>767</v>
      </c>
      <c r="C177" s="97" t="s">
        <v>339</v>
      </c>
      <c r="D177" s="97">
        <v>0</v>
      </c>
      <c r="E177" s="97">
        <f>VLOOKUP(A177,'תקציב מפורט 2025'!A:O,4,FALSE)-D177</f>
        <v>0</v>
      </c>
    </row>
    <row r="178" spans="1:5" hidden="1" x14ac:dyDescent="0.2">
      <c r="B178" t="s">
        <v>2137</v>
      </c>
      <c r="D178">
        <v>10027000</v>
      </c>
      <c r="E178" t="e">
        <f>VLOOKUP(A178,'תקציב מפורט 2025'!A:O,4,FALSE)-D178</f>
        <v>#N/A</v>
      </c>
    </row>
    <row r="179" spans="1:5" hidden="1" x14ac:dyDescent="0.2">
      <c r="A179" s="97">
        <v>1344300930</v>
      </c>
      <c r="B179" s="97" t="s">
        <v>219</v>
      </c>
      <c r="C179" s="97" t="s">
        <v>339</v>
      </c>
      <c r="D179" s="97">
        <v>95000</v>
      </c>
      <c r="E179" s="97">
        <f>VLOOKUP(A179,'תקציב מפורט 2025'!A:O,4,FALSE)-D179</f>
        <v>0</v>
      </c>
    </row>
    <row r="180" spans="1:5" hidden="1" x14ac:dyDescent="0.2">
      <c r="A180" s="97">
        <v>1344402420</v>
      </c>
      <c r="B180" s="97" t="s">
        <v>222</v>
      </c>
      <c r="C180" s="97" t="s">
        <v>339</v>
      </c>
      <c r="D180" s="97">
        <v>0</v>
      </c>
      <c r="E180" s="97">
        <f>VLOOKUP(A180,'תקציב מפורט 2025'!A:O,4,FALSE)-D180</f>
        <v>0</v>
      </c>
    </row>
    <row r="181" spans="1:5" hidden="1" x14ac:dyDescent="0.2">
      <c r="A181" s="97">
        <v>1344402930</v>
      </c>
      <c r="B181" s="97" t="s">
        <v>222</v>
      </c>
      <c r="C181" s="97" t="s">
        <v>339</v>
      </c>
      <c r="D181" s="97">
        <v>190000</v>
      </c>
      <c r="E181" s="97">
        <f>VLOOKUP(A181,'תקציב מפורט 2025'!A:O,4,FALSE)-D181</f>
        <v>0</v>
      </c>
    </row>
    <row r="182" spans="1:5" hidden="1" x14ac:dyDescent="0.2">
      <c r="A182" s="97">
        <v>1344403930</v>
      </c>
      <c r="B182" s="97" t="s">
        <v>312</v>
      </c>
      <c r="C182" s="97" t="s">
        <v>339</v>
      </c>
      <c r="D182" s="97">
        <v>17000</v>
      </c>
      <c r="E182" s="97">
        <f>VLOOKUP(A182,'תקציב מפורט 2025'!A:O,4,FALSE)-D182</f>
        <v>0</v>
      </c>
    </row>
    <row r="183" spans="1:5" hidden="1" x14ac:dyDescent="0.2">
      <c r="B183" t="s">
        <v>2138</v>
      </c>
      <c r="D183">
        <v>302000</v>
      </c>
      <c r="E183" t="e">
        <f>VLOOKUP(A183,'תקציב מפורט 2025'!A:O,4,FALSE)-D183</f>
        <v>#N/A</v>
      </c>
    </row>
    <row r="184" spans="1:5" hidden="1" x14ac:dyDescent="0.2">
      <c r="A184" s="97">
        <v>1345101930</v>
      </c>
      <c r="B184" s="97" t="s">
        <v>223</v>
      </c>
      <c r="C184" s="97" t="s">
        <v>339</v>
      </c>
      <c r="D184" s="97">
        <v>5250000</v>
      </c>
      <c r="E184" s="97">
        <f>VLOOKUP(A184,'תקציב מפורט 2025'!A:O,4,FALSE)-D184</f>
        <v>0</v>
      </c>
    </row>
    <row r="185" spans="1:5" hidden="1" x14ac:dyDescent="0.2">
      <c r="A185" s="97">
        <v>1345102930</v>
      </c>
      <c r="B185" s="97" t="s">
        <v>224</v>
      </c>
      <c r="C185" s="97" t="s">
        <v>339</v>
      </c>
      <c r="D185" s="97">
        <v>10000</v>
      </c>
      <c r="E185" s="97">
        <f>VLOOKUP(A185,'תקציב מפורט 2025'!A:O,4,FALSE)-D185</f>
        <v>0</v>
      </c>
    </row>
    <row r="186" spans="1:5" hidden="1" x14ac:dyDescent="0.2">
      <c r="A186" s="97">
        <v>1345201930</v>
      </c>
      <c r="B186" s="97" t="s">
        <v>225</v>
      </c>
      <c r="C186" s="97" t="s">
        <v>339</v>
      </c>
      <c r="D186" s="97">
        <v>4150000</v>
      </c>
      <c r="E186" s="97">
        <f>VLOOKUP(A186,'תקציב מפורט 2025'!A:O,4,FALSE)-D186</f>
        <v>0</v>
      </c>
    </row>
    <row r="187" spans="1:5" hidden="1" x14ac:dyDescent="0.2">
      <c r="A187" s="97">
        <v>1345202930</v>
      </c>
      <c r="B187" s="97" t="s">
        <v>226</v>
      </c>
      <c r="C187" s="97" t="s">
        <v>339</v>
      </c>
      <c r="D187" s="97">
        <v>60000</v>
      </c>
      <c r="E187" s="97">
        <f>VLOOKUP(A187,'תקציב מפורט 2025'!A:O,4,FALSE)-D187</f>
        <v>0</v>
      </c>
    </row>
    <row r="188" spans="1:5" hidden="1" x14ac:dyDescent="0.2">
      <c r="A188" s="97">
        <v>1345203930</v>
      </c>
      <c r="B188" s="97" t="s">
        <v>313</v>
      </c>
      <c r="C188" s="97" t="s">
        <v>339</v>
      </c>
      <c r="D188" s="97">
        <v>450000</v>
      </c>
      <c r="E188" s="97">
        <f>VLOOKUP(A188,'תקציב מפורט 2025'!A:O,4,FALSE)-D188</f>
        <v>0</v>
      </c>
    </row>
    <row r="189" spans="1:5" hidden="1" x14ac:dyDescent="0.2">
      <c r="A189" s="97">
        <v>1345301930</v>
      </c>
      <c r="B189" s="97" t="s">
        <v>228</v>
      </c>
      <c r="C189" s="97" t="s">
        <v>339</v>
      </c>
      <c r="D189" s="97">
        <v>10000</v>
      </c>
      <c r="E189" s="97">
        <f>VLOOKUP(A189,'תקציב מפורט 2025'!A:O,4,FALSE)-D189</f>
        <v>0</v>
      </c>
    </row>
    <row r="190" spans="1:5" hidden="1" x14ac:dyDescent="0.2">
      <c r="A190" s="97">
        <v>1345302420</v>
      </c>
      <c r="B190" s="97" t="s">
        <v>229</v>
      </c>
      <c r="C190" s="97" t="s">
        <v>335</v>
      </c>
      <c r="D190" s="97"/>
      <c r="E190" s="97">
        <f>VLOOKUP(A190,'תקציב מפורט 2025'!A:O,4,FALSE)-D190</f>
        <v>0</v>
      </c>
    </row>
    <row r="191" spans="1:5" hidden="1" x14ac:dyDescent="0.2">
      <c r="A191" s="97">
        <v>1345302930</v>
      </c>
      <c r="B191" s="97" t="s">
        <v>229</v>
      </c>
      <c r="C191" s="97" t="s">
        <v>339</v>
      </c>
      <c r="D191" s="97">
        <v>10000</v>
      </c>
      <c r="E191" s="97">
        <f>VLOOKUP(A191,'תקציב מפורט 2025'!A:O,4,FALSE)-D191</f>
        <v>0</v>
      </c>
    </row>
    <row r="192" spans="1:5" hidden="1" x14ac:dyDescent="0.2">
      <c r="A192" s="97">
        <v>1345303930</v>
      </c>
      <c r="B192" s="97" t="s">
        <v>314</v>
      </c>
      <c r="C192" s="97" t="s">
        <v>339</v>
      </c>
      <c r="D192" s="97">
        <v>0</v>
      </c>
      <c r="E192" s="97">
        <f>VLOOKUP(A192,'תקציב מפורט 2025'!A:O,4,FALSE)-D192</f>
        <v>0</v>
      </c>
    </row>
    <row r="193" spans="1:5" hidden="1" x14ac:dyDescent="0.2">
      <c r="A193" s="97">
        <v>1345401840</v>
      </c>
      <c r="B193" s="97" t="s">
        <v>1573</v>
      </c>
      <c r="C193" s="97" t="s">
        <v>339</v>
      </c>
      <c r="D193" s="97">
        <v>240000</v>
      </c>
      <c r="E193" s="97">
        <f>VLOOKUP(A193,'תקציב מפורט 2025'!A:O,4,FALSE)-D193</f>
        <v>0</v>
      </c>
    </row>
    <row r="194" spans="1:5" hidden="1" x14ac:dyDescent="0.2">
      <c r="A194" s="97">
        <v>1345902930</v>
      </c>
      <c r="B194" s="97" t="s">
        <v>1574</v>
      </c>
      <c r="C194" s="97" t="s">
        <v>339</v>
      </c>
      <c r="D194" s="97">
        <v>6000</v>
      </c>
      <c r="E194" s="97">
        <f>VLOOKUP(A194,'תקציב מפורט 2025'!A:O,4,FALSE)-D194</f>
        <v>0</v>
      </c>
    </row>
    <row r="195" spans="1:5" hidden="1" x14ac:dyDescent="0.2">
      <c r="B195" t="s">
        <v>2139</v>
      </c>
      <c r="D195">
        <v>10186000</v>
      </c>
      <c r="E195" t="e">
        <f>VLOOKUP(A195,'תקציב מפורט 2025'!A:O,4,FALSE)-D195</f>
        <v>#N/A</v>
      </c>
    </row>
    <row r="196" spans="1:5" hidden="1" x14ac:dyDescent="0.2">
      <c r="A196" s="97">
        <v>1346302930</v>
      </c>
      <c r="B196" s="97" t="s">
        <v>315</v>
      </c>
      <c r="C196" s="97" t="s">
        <v>339</v>
      </c>
      <c r="D196" s="97">
        <v>0</v>
      </c>
      <c r="E196" s="97">
        <f>VLOOKUP(A196,'תקציב מפורט 2025'!A:O,4,FALSE)-D196</f>
        <v>0</v>
      </c>
    </row>
    <row r="197" spans="1:5" hidden="1" x14ac:dyDescent="0.2">
      <c r="A197" s="97">
        <v>1346401930</v>
      </c>
      <c r="B197" s="97" t="s">
        <v>316</v>
      </c>
      <c r="C197" s="97" t="s">
        <v>339</v>
      </c>
      <c r="D197" s="97">
        <v>10000</v>
      </c>
      <c r="E197" s="97">
        <f>VLOOKUP(A197,'תקציב מפורט 2025'!A:O,4,FALSE)-D197</f>
        <v>0</v>
      </c>
    </row>
    <row r="198" spans="1:5" hidden="1" x14ac:dyDescent="0.2">
      <c r="A198" s="97">
        <v>1346500930</v>
      </c>
      <c r="B198" s="97" t="s">
        <v>230</v>
      </c>
      <c r="C198" s="97" t="s">
        <v>339</v>
      </c>
      <c r="D198" s="97">
        <v>600000</v>
      </c>
      <c r="E198" s="97">
        <f>VLOOKUP(A198,'תקציב מפורט 2025'!A:O,4,FALSE)-D198</f>
        <v>0</v>
      </c>
    </row>
    <row r="199" spans="1:5" hidden="1" x14ac:dyDescent="0.2">
      <c r="A199" s="97">
        <v>1346601930</v>
      </c>
      <c r="B199" s="97" t="s">
        <v>233</v>
      </c>
      <c r="C199" s="97" t="s">
        <v>339</v>
      </c>
      <c r="D199" s="97">
        <v>260000</v>
      </c>
      <c r="E199" s="97">
        <f>VLOOKUP(A199,'תקציב מפורט 2025'!A:O,4,FALSE)-D199</f>
        <v>0</v>
      </c>
    </row>
    <row r="200" spans="1:5" hidden="1" x14ac:dyDescent="0.2">
      <c r="A200" s="97">
        <v>1346603930</v>
      </c>
      <c r="B200" s="97" t="s">
        <v>663</v>
      </c>
      <c r="C200" s="97" t="s">
        <v>339</v>
      </c>
      <c r="D200" s="97">
        <v>40000</v>
      </c>
      <c r="E200" s="97">
        <f>VLOOKUP(A200,'תקציב מפורט 2025'!A:O,4,FALSE)-D200</f>
        <v>0</v>
      </c>
    </row>
    <row r="201" spans="1:5" hidden="1" x14ac:dyDescent="0.2">
      <c r="A201" s="97">
        <v>1346604930</v>
      </c>
      <c r="B201" s="97" t="s">
        <v>1654</v>
      </c>
      <c r="C201" s="97" t="s">
        <v>339</v>
      </c>
      <c r="D201" s="97">
        <v>0</v>
      </c>
      <c r="E201" s="97">
        <f>VLOOKUP(A201,'תקציב מפורט 2025'!A:O,4,FALSE)-D201</f>
        <v>0</v>
      </c>
    </row>
    <row r="202" spans="1:5" hidden="1" x14ac:dyDescent="0.2">
      <c r="A202" s="97">
        <v>1346701930</v>
      </c>
      <c r="B202" s="97" t="s">
        <v>317</v>
      </c>
      <c r="C202" s="97" t="s">
        <v>339</v>
      </c>
      <c r="D202" s="97">
        <v>1000000</v>
      </c>
      <c r="E202" s="97">
        <f>VLOOKUP(A202,'תקציב מפורט 2025'!A:O,4,FALSE)-D202</f>
        <v>0</v>
      </c>
    </row>
    <row r="203" spans="1:5" hidden="1" x14ac:dyDescent="0.2">
      <c r="A203" s="97">
        <v>1346702930</v>
      </c>
      <c r="B203" s="97" t="s">
        <v>235</v>
      </c>
      <c r="C203" s="97" t="s">
        <v>339</v>
      </c>
      <c r="D203" s="97">
        <v>0</v>
      </c>
      <c r="E203" s="97">
        <f>VLOOKUP(A203,'תקציב מפורט 2025'!A:O,4,FALSE)-D203</f>
        <v>0</v>
      </c>
    </row>
    <row r="204" spans="1:5" hidden="1" x14ac:dyDescent="0.2">
      <c r="A204" s="97">
        <v>1346703930</v>
      </c>
      <c r="B204" s="97" t="s">
        <v>236</v>
      </c>
      <c r="C204" s="97" t="s">
        <v>339</v>
      </c>
      <c r="D204" s="97">
        <v>600000</v>
      </c>
      <c r="E204" s="97">
        <f>VLOOKUP(A204,'תקציב מפורט 2025'!A:O,4,FALSE)-D204</f>
        <v>0</v>
      </c>
    </row>
    <row r="205" spans="1:5" hidden="1" x14ac:dyDescent="0.2">
      <c r="A205" s="97">
        <v>1346704930</v>
      </c>
      <c r="B205" s="97" t="s">
        <v>237</v>
      </c>
      <c r="C205" s="97" t="s">
        <v>339</v>
      </c>
      <c r="D205" s="97">
        <v>150000</v>
      </c>
      <c r="E205" s="97">
        <f>VLOOKUP(A205,'תקציב מפורט 2025'!A:O,4,FALSE)-D205</f>
        <v>0</v>
      </c>
    </row>
    <row r="206" spans="1:5" hidden="1" x14ac:dyDescent="0.2">
      <c r="A206" s="97">
        <v>1346705930</v>
      </c>
      <c r="B206" s="97" t="s">
        <v>768</v>
      </c>
      <c r="C206" s="97" t="s">
        <v>339</v>
      </c>
      <c r="D206" s="97">
        <v>50000</v>
      </c>
      <c r="E206" s="97">
        <f>VLOOKUP(A206,'תקציב מפורט 2025'!A:O,4,FALSE)-D206</f>
        <v>0</v>
      </c>
    </row>
    <row r="207" spans="1:5" hidden="1" x14ac:dyDescent="0.2">
      <c r="A207" s="97">
        <v>1346801930</v>
      </c>
      <c r="B207" s="97" t="s">
        <v>238</v>
      </c>
      <c r="C207" s="97" t="s">
        <v>339</v>
      </c>
      <c r="D207" s="97">
        <v>200000</v>
      </c>
      <c r="E207" s="97">
        <f>VLOOKUP(A207,'תקציב מפורט 2025'!A:O,4,FALSE)-D207</f>
        <v>0</v>
      </c>
    </row>
    <row r="208" spans="1:5" hidden="1" x14ac:dyDescent="0.2">
      <c r="B208" t="s">
        <v>2140</v>
      </c>
      <c r="D208">
        <v>2910000</v>
      </c>
      <c r="E208" t="e">
        <f>VLOOKUP(A208,'תקציב מפורט 2025'!A:O,4,FALSE)-D208</f>
        <v>#N/A</v>
      </c>
    </row>
    <row r="209" spans="1:5" hidden="1" x14ac:dyDescent="0.2">
      <c r="A209" s="97">
        <v>1347101930</v>
      </c>
      <c r="B209" s="97" t="s">
        <v>318</v>
      </c>
      <c r="C209" s="97" t="s">
        <v>339</v>
      </c>
      <c r="D209" s="97">
        <v>20000</v>
      </c>
      <c r="E209" s="97">
        <f>VLOOKUP(A209,'תקציב מפורט 2025'!A:O,4,FALSE)-D209</f>
        <v>0</v>
      </c>
    </row>
    <row r="210" spans="1:5" hidden="1" x14ac:dyDescent="0.2">
      <c r="A210" s="97">
        <v>1347102930</v>
      </c>
      <c r="B210" s="97" t="s">
        <v>239</v>
      </c>
      <c r="C210" s="97" t="s">
        <v>339</v>
      </c>
      <c r="D210" s="97">
        <v>38000</v>
      </c>
      <c r="E210" s="97">
        <f>VLOOKUP(A210,'תקציב מפורט 2025'!A:O,4,FALSE)-D210</f>
        <v>0</v>
      </c>
    </row>
    <row r="211" spans="1:5" hidden="1" x14ac:dyDescent="0.2">
      <c r="A211" s="97">
        <v>1347103930</v>
      </c>
      <c r="B211" s="97" t="s">
        <v>240</v>
      </c>
      <c r="C211" s="97" t="s">
        <v>339</v>
      </c>
      <c r="D211" s="97">
        <v>180000</v>
      </c>
      <c r="E211" s="97">
        <f>VLOOKUP(A211,'תקציב מפורט 2025'!A:O,4,FALSE)-D211</f>
        <v>0</v>
      </c>
    </row>
    <row r="212" spans="1:5" hidden="1" x14ac:dyDescent="0.2">
      <c r="A212" s="97">
        <v>1347104930</v>
      </c>
      <c r="B212" s="97" t="s">
        <v>241</v>
      </c>
      <c r="C212" s="97" t="s">
        <v>339</v>
      </c>
      <c r="D212" s="97">
        <v>25000</v>
      </c>
      <c r="E212" s="97">
        <f>VLOOKUP(A212,'תקציב מפורט 2025'!A:O,4,FALSE)-D212</f>
        <v>0</v>
      </c>
    </row>
    <row r="213" spans="1:5" hidden="1" x14ac:dyDescent="0.2">
      <c r="A213" s="97">
        <v>1347201930</v>
      </c>
      <c r="B213" s="97" t="s">
        <v>242</v>
      </c>
      <c r="C213" s="97" t="s">
        <v>339</v>
      </c>
      <c r="D213" s="97">
        <v>150000</v>
      </c>
      <c r="E213" s="97">
        <f>VLOOKUP(A213,'תקציב מפורט 2025'!A:O,4,FALSE)-D213</f>
        <v>0</v>
      </c>
    </row>
    <row r="214" spans="1:5" hidden="1" x14ac:dyDescent="0.2">
      <c r="A214" s="97">
        <v>1347202930</v>
      </c>
      <c r="B214" s="97" t="s">
        <v>319</v>
      </c>
      <c r="C214" s="97" t="s">
        <v>339</v>
      </c>
      <c r="D214" s="97">
        <v>75000</v>
      </c>
      <c r="E214" s="97">
        <f>VLOOKUP(A214,'תקציב מפורט 2025'!A:O,4,FALSE)-D214</f>
        <v>0</v>
      </c>
    </row>
    <row r="215" spans="1:5" hidden="1" x14ac:dyDescent="0.2">
      <c r="A215" s="97">
        <v>1347220930</v>
      </c>
      <c r="B215" s="97" t="s">
        <v>983</v>
      </c>
      <c r="C215" s="97" t="s">
        <v>339</v>
      </c>
      <c r="D215" s="97">
        <v>430000</v>
      </c>
      <c r="E215" s="97">
        <f>VLOOKUP(A215,'תקציב מפורט 2025'!A:O,4,FALSE)-D215</f>
        <v>0</v>
      </c>
    </row>
    <row r="216" spans="1:5" hidden="1" x14ac:dyDescent="0.2">
      <c r="A216" s="97">
        <v>1347301930</v>
      </c>
      <c r="B216" s="97" t="s">
        <v>320</v>
      </c>
      <c r="C216" s="97" t="s">
        <v>339</v>
      </c>
      <c r="D216" s="97">
        <v>70000</v>
      </c>
      <c r="E216" s="97">
        <f>VLOOKUP(A216,'תקציב מפורט 2025'!A:O,4,FALSE)-D216</f>
        <v>0</v>
      </c>
    </row>
    <row r="217" spans="1:5" hidden="1" x14ac:dyDescent="0.2">
      <c r="A217" s="97">
        <v>1347305930</v>
      </c>
      <c r="B217" s="97" t="s">
        <v>643</v>
      </c>
      <c r="C217" s="97" t="s">
        <v>339</v>
      </c>
      <c r="D217" s="97">
        <v>1250000</v>
      </c>
      <c r="E217" s="97">
        <f>VLOOKUP(A217,'תקציב מפורט 2025'!A:O,4,FALSE)-D217</f>
        <v>0</v>
      </c>
    </row>
    <row r="218" spans="1:5" hidden="1" x14ac:dyDescent="0.2">
      <c r="A218" s="97">
        <v>1347400930</v>
      </c>
      <c r="B218" s="97" t="s">
        <v>321</v>
      </c>
      <c r="C218" s="97" t="s">
        <v>339</v>
      </c>
      <c r="D218" s="97">
        <v>20000</v>
      </c>
      <c r="E218" s="97">
        <f>VLOOKUP(A218,'תקציב מפורט 2025'!A:O,4,FALSE)-D218</f>
        <v>0</v>
      </c>
    </row>
    <row r="219" spans="1:5" hidden="1" x14ac:dyDescent="0.2">
      <c r="A219" s="97">
        <v>1348501930</v>
      </c>
      <c r="B219" s="97" t="s">
        <v>322</v>
      </c>
      <c r="C219" s="97" t="s">
        <v>339</v>
      </c>
      <c r="D219" s="97"/>
      <c r="E219" s="97">
        <f>VLOOKUP(A219,'תקציב מפורט 2025'!A:O,4,FALSE)-D219</f>
        <v>0</v>
      </c>
    </row>
    <row r="220" spans="1:5" hidden="1" x14ac:dyDescent="0.2">
      <c r="A220" s="97">
        <v>1348900930</v>
      </c>
      <c r="B220" s="97" t="s">
        <v>806</v>
      </c>
      <c r="C220" s="97" t="s">
        <v>339</v>
      </c>
      <c r="D220" s="97">
        <v>0</v>
      </c>
      <c r="E220" s="97">
        <f>VLOOKUP(A220,'תקציב מפורט 2025'!A:O,4,FALSE)-D220</f>
        <v>0</v>
      </c>
    </row>
    <row r="221" spans="1:5" hidden="1" x14ac:dyDescent="0.2">
      <c r="B221" t="s">
        <v>2141</v>
      </c>
      <c r="D221">
        <v>2258000</v>
      </c>
      <c r="E221" t="e">
        <f>VLOOKUP(A221,'תקציב מפורט 2025'!A:O,4,FALSE)-D221</f>
        <v>#N/A</v>
      </c>
    </row>
    <row r="222" spans="1:5" hidden="1" x14ac:dyDescent="0.2">
      <c r="B222" t="s">
        <v>360</v>
      </c>
      <c r="D222">
        <v>29386000</v>
      </c>
      <c r="E222" t="e">
        <f>VLOOKUP(A222,'תקציב מפורט 2025'!A:O,4,FALSE)-D222</f>
        <v>#N/A</v>
      </c>
    </row>
    <row r="223" spans="1:5" hidden="1" x14ac:dyDescent="0.2">
      <c r="A223" s="97">
        <v>1413110210</v>
      </c>
      <c r="B223" s="97" t="s">
        <v>323</v>
      </c>
      <c r="C223" s="97" t="s">
        <v>333</v>
      </c>
      <c r="D223" s="97">
        <v>750000</v>
      </c>
      <c r="E223" s="97">
        <f>VLOOKUP(A223,'תקציב מפורט 2025'!A:O,4,FALSE)-D223</f>
        <v>0</v>
      </c>
    </row>
    <row r="224" spans="1:5" hidden="1" x14ac:dyDescent="0.2">
      <c r="A224" s="97">
        <v>1413200220</v>
      </c>
      <c r="B224" s="97" t="s">
        <v>2236</v>
      </c>
      <c r="C224" s="97" t="s">
        <v>336</v>
      </c>
      <c r="D224" s="97">
        <v>0</v>
      </c>
      <c r="E224" s="97">
        <v>0</v>
      </c>
    </row>
    <row r="225" spans="1:5" hidden="1" x14ac:dyDescent="0.2">
      <c r="A225" s="97">
        <v>1413300810</v>
      </c>
      <c r="B225" s="97" t="s">
        <v>2237</v>
      </c>
      <c r="C225" s="97" t="s">
        <v>333</v>
      </c>
      <c r="D225" s="97">
        <v>0</v>
      </c>
      <c r="E225" s="97">
        <v>0</v>
      </c>
    </row>
    <row r="226" spans="1:5" hidden="1" x14ac:dyDescent="0.2">
      <c r="A226" s="97">
        <v>1433000290</v>
      </c>
      <c r="B226" s="97" t="s">
        <v>324</v>
      </c>
      <c r="C226" s="97" t="s">
        <v>336</v>
      </c>
      <c r="D226" s="97">
        <v>0</v>
      </c>
      <c r="E226" s="97">
        <f>VLOOKUP(A226,'תקציב מפורט 2025'!A:O,4,FALSE)-D226</f>
        <v>0</v>
      </c>
    </row>
    <row r="227" spans="1:5" hidden="1" x14ac:dyDescent="0.2">
      <c r="B227" t="s">
        <v>2142</v>
      </c>
      <c r="D227">
        <v>750000</v>
      </c>
      <c r="E227" t="e">
        <f>VLOOKUP(A227,'תקציב מפורט 2025'!A:O,4,FALSE)-D227</f>
        <v>#N/A</v>
      </c>
    </row>
    <row r="228" spans="1:5" hidden="1" x14ac:dyDescent="0.2">
      <c r="A228" s="97">
        <v>1472000210</v>
      </c>
      <c r="B228" s="97" t="s">
        <v>325</v>
      </c>
      <c r="C228" s="97" t="s">
        <v>336</v>
      </c>
      <c r="D228" s="97">
        <v>0</v>
      </c>
      <c r="E228" s="97">
        <v>0</v>
      </c>
    </row>
    <row r="229" spans="1:5" hidden="1" x14ac:dyDescent="0.2">
      <c r="A229" s="97">
        <v>1472000810</v>
      </c>
      <c r="B229" s="97" t="s">
        <v>2238</v>
      </c>
      <c r="C229" s="97" t="s">
        <v>336</v>
      </c>
      <c r="D229" s="97">
        <v>0</v>
      </c>
      <c r="E229" s="97">
        <v>0</v>
      </c>
    </row>
    <row r="230" spans="1:5" hidden="1" x14ac:dyDescent="0.2">
      <c r="A230" s="97">
        <v>1472100210</v>
      </c>
      <c r="B230" s="97" t="s">
        <v>769</v>
      </c>
      <c r="C230" s="97" t="s">
        <v>336</v>
      </c>
      <c r="D230" s="97">
        <v>40000</v>
      </c>
      <c r="E230" s="97">
        <f>VLOOKUP(A230,'תקציב מפורט 2025'!A:O,4,FALSE)-D230</f>
        <v>0</v>
      </c>
    </row>
    <row r="231" spans="1:5" hidden="1" x14ac:dyDescent="0.2">
      <c r="B231" t="s">
        <v>2143</v>
      </c>
      <c r="D231">
        <v>40000</v>
      </c>
      <c r="E231" t="e">
        <f>VLOOKUP(A231,'תקציב מפורט 2025'!A:O,4,FALSE)-D231</f>
        <v>#N/A</v>
      </c>
    </row>
    <row r="232" spans="1:5" hidden="1" x14ac:dyDescent="0.2">
      <c r="A232" s="97">
        <v>1511000661</v>
      </c>
      <c r="B232" s="97" t="s">
        <v>664</v>
      </c>
      <c r="C232" s="97" t="s">
        <v>343</v>
      </c>
      <c r="D232" s="97">
        <v>100000</v>
      </c>
      <c r="E232" s="97">
        <f>VLOOKUP(A232,'תקציב מפורט 2025'!A:O,4,FALSE)-D232</f>
        <v>0</v>
      </c>
    </row>
    <row r="233" spans="1:5" hidden="1" x14ac:dyDescent="0.2">
      <c r="A233" s="97">
        <v>1599000590</v>
      </c>
      <c r="B233" s="97" t="s">
        <v>800</v>
      </c>
      <c r="C233" s="97" t="s">
        <v>344</v>
      </c>
      <c r="D233" s="97"/>
      <c r="E233" s="97">
        <f>VLOOKUP(A233,'תקציב מפורט 2025'!A:O,4,FALSE)-D233</f>
        <v>0</v>
      </c>
    </row>
    <row r="234" spans="1:5" hidden="1" x14ac:dyDescent="0.2">
      <c r="A234" s="97">
        <v>1599100910</v>
      </c>
      <c r="B234" s="97" t="s">
        <v>809</v>
      </c>
      <c r="C234" s="97" t="s">
        <v>347</v>
      </c>
      <c r="D234" s="97">
        <v>0</v>
      </c>
      <c r="E234" s="97">
        <f>VLOOKUP(A234,'תקציב מפורט 2025'!A:O,4,FALSE)-D234</f>
        <v>0</v>
      </c>
    </row>
    <row r="235" spans="1:5" hidden="1" x14ac:dyDescent="0.2">
      <c r="A235" s="97">
        <v>1599200910</v>
      </c>
      <c r="B235" s="97" t="s">
        <v>665</v>
      </c>
      <c r="C235" s="97" t="s">
        <v>347</v>
      </c>
      <c r="D235" s="97">
        <v>0</v>
      </c>
      <c r="E235" s="97">
        <f>VLOOKUP(A235,'תקציב מפורט 2025'!A:O,4,FALSE)-D235</f>
        <v>0</v>
      </c>
    </row>
    <row r="236" spans="1:5" hidden="1" x14ac:dyDescent="0.2">
      <c r="B236" t="s">
        <v>2144</v>
      </c>
      <c r="D236">
        <v>100000</v>
      </c>
      <c r="E236" t="e">
        <f>VLOOKUP(A236,'תקציב מפורט 2025'!A:O,4,FALSE)-D236</f>
        <v>#N/A</v>
      </c>
    </row>
    <row r="237" spans="1:5" hidden="1" x14ac:dyDescent="0.2">
      <c r="C237" t="s">
        <v>426</v>
      </c>
      <c r="D237">
        <v>130505919.25</v>
      </c>
      <c r="E237" t="e">
        <f>VLOOKUP(A237,'תקציב מפורט 2025'!A:O,4,FALSE)-D237</f>
        <v>#N/A</v>
      </c>
    </row>
    <row r="238" spans="1:5" hidden="1" x14ac:dyDescent="0.2">
      <c r="A238" t="s">
        <v>351</v>
      </c>
      <c r="E238">
        <f>VLOOKUP(A238,'תקציב מפורט 2025'!A:O,4,FALSE)-D238</f>
        <v>0</v>
      </c>
    </row>
    <row r="239" spans="1:5" hidden="1" x14ac:dyDescent="0.2">
      <c r="A239" s="97">
        <v>1611100110</v>
      </c>
      <c r="B239" s="97" t="s">
        <v>2</v>
      </c>
      <c r="C239" s="97" t="s">
        <v>352</v>
      </c>
      <c r="D239" s="97">
        <v>1600000</v>
      </c>
      <c r="E239" s="97">
        <f>VLOOKUP(A239,'תקציב מפורט 2025'!A:O,4,FALSE)-D239</f>
        <v>0</v>
      </c>
    </row>
    <row r="240" spans="1:5" hidden="1" x14ac:dyDescent="0.2">
      <c r="A240" s="97">
        <v>1611100511</v>
      </c>
      <c r="B240" s="97" t="s">
        <v>3</v>
      </c>
      <c r="C240" s="97" t="s">
        <v>353</v>
      </c>
      <c r="D240" s="97">
        <v>50000</v>
      </c>
      <c r="E240" s="97">
        <f>VLOOKUP(A240,'תקציב מפורט 2025'!A:O,4,FALSE)-D240</f>
        <v>0</v>
      </c>
    </row>
    <row r="241" spans="1:5" hidden="1" x14ac:dyDescent="0.2">
      <c r="A241" s="97">
        <v>1611100523</v>
      </c>
      <c r="B241" s="97" t="s">
        <v>7</v>
      </c>
      <c r="C241" s="97" t="s">
        <v>353</v>
      </c>
      <c r="D241" s="97">
        <v>0</v>
      </c>
      <c r="E241" s="97">
        <f>VLOOKUP(A241,'תקציב מפורט 2025'!A:O,4,FALSE)-D241</f>
        <v>0</v>
      </c>
    </row>
    <row r="242" spans="1:5" hidden="1" x14ac:dyDescent="0.2">
      <c r="A242" s="97">
        <v>1611100560</v>
      </c>
      <c r="B242" s="97" t="s">
        <v>10</v>
      </c>
      <c r="C242" s="97" t="s">
        <v>353</v>
      </c>
      <c r="D242" s="97">
        <v>85000</v>
      </c>
      <c r="E242" s="97">
        <f>VLOOKUP(A242,'תקציב מפורט 2025'!A:O,4,FALSE)-D242</f>
        <v>0</v>
      </c>
    </row>
    <row r="243" spans="1:5" hidden="1" x14ac:dyDescent="0.2">
      <c r="A243" s="97">
        <v>1611100750</v>
      </c>
      <c r="B243" s="97" t="s">
        <v>11</v>
      </c>
      <c r="C243" s="97" t="s">
        <v>353</v>
      </c>
      <c r="D243" s="97">
        <v>150000</v>
      </c>
      <c r="E243" s="97">
        <f>VLOOKUP(A243,'תקציב מפורט 2025'!A:O,4,FALSE)-D243</f>
        <v>0</v>
      </c>
    </row>
    <row r="244" spans="1:5" hidden="1" x14ac:dyDescent="0.2">
      <c r="A244" s="97">
        <v>1611100780</v>
      </c>
      <c r="B244" s="97" t="s">
        <v>13</v>
      </c>
      <c r="C244" s="97" t="s">
        <v>353</v>
      </c>
      <c r="D244" s="97">
        <v>75000</v>
      </c>
      <c r="E244" s="97">
        <f>VLOOKUP(A244,'תקציב מפורט 2025'!A:O,4,FALSE)-D244</f>
        <v>0</v>
      </c>
    </row>
    <row r="245" spans="1:5" hidden="1" x14ac:dyDescent="0.2">
      <c r="A245" s="97">
        <v>1611110110</v>
      </c>
      <c r="B245" s="97" t="s">
        <v>1909</v>
      </c>
      <c r="C245" s="97" t="s">
        <v>352</v>
      </c>
      <c r="D245" s="97">
        <v>330000</v>
      </c>
      <c r="E245" s="97">
        <f>VLOOKUP(A245,'תקציב מפורט 2025'!A:O,4,FALSE)-D245</f>
        <v>0</v>
      </c>
    </row>
    <row r="246" spans="1:5" hidden="1" x14ac:dyDescent="0.2">
      <c r="B246" t="s">
        <v>730</v>
      </c>
      <c r="D246">
        <v>2290000</v>
      </c>
      <c r="E246" t="e">
        <f>VLOOKUP(A246,'תקציב מפורט 2025'!A:O,4,FALSE)-D246</f>
        <v>#N/A</v>
      </c>
    </row>
    <row r="247" spans="1:5" hidden="1" x14ac:dyDescent="0.2">
      <c r="A247" s="97">
        <v>1612000523</v>
      </c>
      <c r="B247" s="97" t="s">
        <v>16</v>
      </c>
      <c r="C247" s="97" t="s">
        <v>353</v>
      </c>
      <c r="D247" s="97">
        <v>2000</v>
      </c>
      <c r="E247" s="97">
        <f>VLOOKUP(A247,'תקציב מפורט 2025'!A:O,4,FALSE)-D247</f>
        <v>0</v>
      </c>
    </row>
    <row r="248" spans="1:5" hidden="1" x14ac:dyDescent="0.2">
      <c r="A248" s="97">
        <v>1612000930</v>
      </c>
      <c r="B248" s="97" t="s">
        <v>18</v>
      </c>
      <c r="C248" s="97" t="s">
        <v>353</v>
      </c>
      <c r="D248" s="97">
        <v>5000</v>
      </c>
      <c r="E248" s="97">
        <f>VLOOKUP(A248,'תקציב מפורט 2025'!A:O,4,FALSE)-D248</f>
        <v>0</v>
      </c>
    </row>
    <row r="249" spans="1:5" hidden="1" x14ac:dyDescent="0.2">
      <c r="A249" s="97">
        <v>1613000110</v>
      </c>
      <c r="B249" s="97" t="s">
        <v>2239</v>
      </c>
      <c r="C249" s="97" t="s">
        <v>352</v>
      </c>
      <c r="D249" s="97">
        <v>450000</v>
      </c>
      <c r="E249" s="97">
        <f>VLOOKUP(A249,'תקציב מפורט 2025'!A:O,4,FALSE)-D249</f>
        <v>0</v>
      </c>
    </row>
    <row r="250" spans="1:5" hidden="1" x14ac:dyDescent="0.2">
      <c r="A250" s="97">
        <v>1613000320</v>
      </c>
      <c r="B250" s="97" t="s">
        <v>19</v>
      </c>
      <c r="C250" s="97" t="s">
        <v>352</v>
      </c>
      <c r="D250" s="97">
        <v>0</v>
      </c>
      <c r="E250" s="97">
        <v>0</v>
      </c>
    </row>
    <row r="251" spans="1:5" hidden="1" x14ac:dyDescent="0.2">
      <c r="A251" s="97">
        <v>1613000431</v>
      </c>
      <c r="B251" s="97" t="s">
        <v>20</v>
      </c>
      <c r="C251" s="97" t="s">
        <v>353</v>
      </c>
      <c r="D251" s="97">
        <v>30000</v>
      </c>
      <c r="E251" s="97">
        <f>VLOOKUP(A251,'תקציב מפורט 2025'!A:O,4,FALSE)-D251</f>
        <v>0</v>
      </c>
    </row>
    <row r="252" spans="1:5" hidden="1" x14ac:dyDescent="0.2">
      <c r="A252" s="97">
        <v>1613000523</v>
      </c>
      <c r="B252" s="97" t="s">
        <v>22</v>
      </c>
      <c r="C252" s="97" t="s">
        <v>353</v>
      </c>
      <c r="D252" s="97">
        <v>33000</v>
      </c>
      <c r="E252" s="97">
        <f>VLOOKUP(A252,'תקציב מפורט 2025'!A:O,4,FALSE)-D252</f>
        <v>0</v>
      </c>
    </row>
    <row r="253" spans="1:5" hidden="1" x14ac:dyDescent="0.2">
      <c r="A253" s="97">
        <v>1613000540</v>
      </c>
      <c r="B253" s="97" t="s">
        <v>23</v>
      </c>
      <c r="C253" s="97" t="s">
        <v>353</v>
      </c>
      <c r="D253" s="97">
        <v>0</v>
      </c>
      <c r="E253" s="97">
        <v>0</v>
      </c>
    </row>
    <row r="254" spans="1:5" hidden="1" x14ac:dyDescent="0.2">
      <c r="A254" s="97">
        <v>1613000550</v>
      </c>
      <c r="B254" s="97" t="s">
        <v>1655</v>
      </c>
      <c r="C254" s="97" t="s">
        <v>353</v>
      </c>
      <c r="D254" s="97">
        <v>40000</v>
      </c>
      <c r="E254" s="97">
        <f>VLOOKUP(A254,'תקציב מפורט 2025'!A:O,4,FALSE)-D254</f>
        <v>0</v>
      </c>
    </row>
    <row r="255" spans="1:5" hidden="1" x14ac:dyDescent="0.2">
      <c r="A255" s="97">
        <v>1613000560</v>
      </c>
      <c r="B255" s="97" t="s">
        <v>666</v>
      </c>
      <c r="C255" s="97" t="s">
        <v>353</v>
      </c>
      <c r="D255" s="97">
        <v>0</v>
      </c>
      <c r="E255" s="97">
        <f>VLOOKUP(A255,'תקציב מפורט 2025'!A:O,4,FALSE)-D255</f>
        <v>0</v>
      </c>
    </row>
    <row r="256" spans="1:5" hidden="1" x14ac:dyDescent="0.2">
      <c r="A256" s="97">
        <v>1613000750</v>
      </c>
      <c r="B256" s="97" t="s">
        <v>27</v>
      </c>
      <c r="C256" s="97" t="s">
        <v>353</v>
      </c>
      <c r="D256" s="97">
        <v>85000</v>
      </c>
      <c r="E256" s="97">
        <f>VLOOKUP(A256,'תקציב מפורט 2025'!A:O,4,FALSE)-D256</f>
        <v>0</v>
      </c>
    </row>
    <row r="257" spans="1:5" hidden="1" x14ac:dyDescent="0.2">
      <c r="A257" s="97">
        <v>1613000780</v>
      </c>
      <c r="B257" s="97" t="s">
        <v>13</v>
      </c>
      <c r="C257" s="97" t="s">
        <v>353</v>
      </c>
      <c r="D257" s="97">
        <v>50000</v>
      </c>
      <c r="E257" s="97">
        <f>VLOOKUP(A257,'תקציב מפורט 2025'!A:O,4,FALSE)-D257</f>
        <v>0</v>
      </c>
    </row>
    <row r="258" spans="1:5" hidden="1" x14ac:dyDescent="0.2">
      <c r="B258" t="s">
        <v>635</v>
      </c>
      <c r="D258">
        <v>695000</v>
      </c>
      <c r="E258" t="e">
        <f>VLOOKUP(A258,'תקציב מפורט 2025'!A:O,4,FALSE)-D258</f>
        <v>#N/A</v>
      </c>
    </row>
    <row r="259" spans="1:5" hidden="1" x14ac:dyDescent="0.2">
      <c r="A259" s="97">
        <v>1615000110</v>
      </c>
      <c r="B259" s="97" t="s">
        <v>29</v>
      </c>
      <c r="C259" s="97" t="s">
        <v>352</v>
      </c>
      <c r="D259" s="97">
        <v>560000</v>
      </c>
      <c r="E259" s="97">
        <f>VLOOKUP(A259,'תקציב מפורט 2025'!A:O,4,FALSE)-D259</f>
        <v>0</v>
      </c>
    </row>
    <row r="260" spans="1:5" hidden="1" x14ac:dyDescent="0.2">
      <c r="A260" s="97">
        <v>1615101110</v>
      </c>
      <c r="B260" s="97" t="s">
        <v>2240</v>
      </c>
      <c r="C260" s="97" t="s">
        <v>352</v>
      </c>
      <c r="D260" s="97">
        <v>300000</v>
      </c>
      <c r="E260" s="97">
        <f>VLOOKUP(A260,'תקציב מפורט 2025'!A:O,4,FALSE)-D260</f>
        <v>0</v>
      </c>
    </row>
    <row r="261" spans="1:5" hidden="1" x14ac:dyDescent="0.2">
      <c r="B261" t="s">
        <v>2145</v>
      </c>
      <c r="D261">
        <v>860000</v>
      </c>
      <c r="E261" t="e">
        <f>VLOOKUP(A261,'תקציב מפורט 2025'!A:O,4,FALSE)-D261</f>
        <v>#N/A</v>
      </c>
    </row>
    <row r="262" spans="1:5" hidden="1" x14ac:dyDescent="0.2">
      <c r="A262" s="97">
        <v>1615200110</v>
      </c>
      <c r="B262" s="97" t="s">
        <v>648</v>
      </c>
      <c r="C262" s="97" t="s">
        <v>352</v>
      </c>
      <c r="D262" s="97">
        <v>60000</v>
      </c>
      <c r="E262" s="97">
        <f>VLOOKUP(A262,'תקציב מפורט 2025'!A:O,4,FALSE)-D262</f>
        <v>0</v>
      </c>
    </row>
    <row r="263" spans="1:5" hidden="1" x14ac:dyDescent="0.2">
      <c r="A263" s="97">
        <v>1616000521</v>
      </c>
      <c r="B263" s="97" t="s">
        <v>31</v>
      </c>
      <c r="C263" s="97" t="s">
        <v>353</v>
      </c>
      <c r="D263" s="97">
        <v>220000</v>
      </c>
      <c r="E263" s="97">
        <f>VLOOKUP(A263,'תקציב מפורט 2025'!A:O,4,FALSE)-D263</f>
        <v>0</v>
      </c>
    </row>
    <row r="264" spans="1:5" hidden="1" x14ac:dyDescent="0.2">
      <c r="B264" t="s">
        <v>2146</v>
      </c>
      <c r="D264">
        <v>280000</v>
      </c>
      <c r="E264" t="e">
        <f>VLOOKUP(A264,'תקציב מפורט 2025'!A:O,4,FALSE)-D264</f>
        <v>#N/A</v>
      </c>
    </row>
    <row r="265" spans="1:5" hidden="1" x14ac:dyDescent="0.2">
      <c r="A265" s="97">
        <v>1617000581</v>
      </c>
      <c r="B265" s="97" t="s">
        <v>1616</v>
      </c>
      <c r="C265" s="97" t="s">
        <v>353</v>
      </c>
      <c r="D265" s="97"/>
      <c r="E265" s="97">
        <f>VLOOKUP(A265,'תקציב מפורט 2025'!A:O,4,FALSE)-D265</f>
        <v>0</v>
      </c>
    </row>
    <row r="266" spans="1:5" hidden="1" x14ac:dyDescent="0.2">
      <c r="A266" s="97">
        <v>1617000750</v>
      </c>
      <c r="B266" s="97" t="s">
        <v>34</v>
      </c>
      <c r="C266" s="97" t="s">
        <v>353</v>
      </c>
      <c r="D266" s="97">
        <v>403656</v>
      </c>
      <c r="E266" s="97">
        <f>VLOOKUP(A266,'תקציב מפורט 2025'!A:O,4,FALSE)-D266</f>
        <v>0</v>
      </c>
    </row>
    <row r="267" spans="1:5" hidden="1" x14ac:dyDescent="0.2">
      <c r="B267" t="s">
        <v>2147</v>
      </c>
      <c r="D267">
        <v>403656</v>
      </c>
      <c r="E267" t="e">
        <f>VLOOKUP(A267,'תקציב מפורט 2025'!A:O,4,FALSE)-D267</f>
        <v>#N/A</v>
      </c>
    </row>
    <row r="268" spans="1:5" hidden="1" x14ac:dyDescent="0.2">
      <c r="A268" s="97">
        <v>1619000780</v>
      </c>
      <c r="B268" s="97" t="s">
        <v>36</v>
      </c>
      <c r="C268" s="97" t="s">
        <v>353</v>
      </c>
      <c r="D268" s="97">
        <v>0</v>
      </c>
      <c r="E268" s="97">
        <f>VLOOKUP(A268,'תקציב מפורט 2025'!A:O,4,FALSE)-D268</f>
        <v>0</v>
      </c>
    </row>
    <row r="269" spans="1:5" hidden="1" x14ac:dyDescent="0.2">
      <c r="B269" t="s">
        <v>12</v>
      </c>
      <c r="D269">
        <v>0</v>
      </c>
      <c r="E269">
        <v>0</v>
      </c>
    </row>
    <row r="270" spans="1:5" hidden="1" x14ac:dyDescent="0.2">
      <c r="A270" s="97">
        <v>1621200110</v>
      </c>
      <c r="B270" s="97" t="s">
        <v>38</v>
      </c>
      <c r="C270" s="97" t="s">
        <v>352</v>
      </c>
      <c r="D270" s="97">
        <v>165000</v>
      </c>
      <c r="E270" s="97">
        <f>VLOOKUP(A270,'תקציב מפורט 2025'!A:O,4,FALSE)-D270</f>
        <v>0</v>
      </c>
    </row>
    <row r="271" spans="1:5" hidden="1" x14ac:dyDescent="0.2">
      <c r="A271" s="97">
        <v>1621300110</v>
      </c>
      <c r="B271" s="97" t="s">
        <v>39</v>
      </c>
      <c r="C271" s="97" t="s">
        <v>352</v>
      </c>
      <c r="D271" s="97">
        <v>870000</v>
      </c>
      <c r="E271" s="97">
        <f>VLOOKUP(A271,'תקציב מפורט 2025'!A:O,4,FALSE)-D271</f>
        <v>0</v>
      </c>
    </row>
    <row r="272" spans="1:5" hidden="1" x14ac:dyDescent="0.2">
      <c r="A272" s="97">
        <v>1621300523</v>
      </c>
      <c r="B272" s="97" t="s">
        <v>22</v>
      </c>
      <c r="C272" s="97" t="s">
        <v>353</v>
      </c>
      <c r="D272" s="97">
        <v>0</v>
      </c>
      <c r="E272" s="97">
        <f>VLOOKUP(A272,'תקציב מפורט 2025'!A:O,4,FALSE)-D272</f>
        <v>0</v>
      </c>
    </row>
    <row r="273" spans="1:5" hidden="1" x14ac:dyDescent="0.2">
      <c r="A273" s="97">
        <v>1621300570</v>
      </c>
      <c r="B273" s="97" t="s">
        <v>42</v>
      </c>
      <c r="C273" s="97" t="s">
        <v>353</v>
      </c>
      <c r="D273" s="97">
        <v>360000</v>
      </c>
      <c r="E273" s="97">
        <f>VLOOKUP(A273,'תקציב מפורט 2025'!A:O,4,FALSE)-D273</f>
        <v>0</v>
      </c>
    </row>
    <row r="274" spans="1:5" hidden="1" x14ac:dyDescent="0.2">
      <c r="A274" s="97">
        <v>1621300751</v>
      </c>
      <c r="B274" s="97" t="s">
        <v>45</v>
      </c>
      <c r="C274" s="97" t="s">
        <v>353</v>
      </c>
      <c r="D274" s="97">
        <v>550000</v>
      </c>
      <c r="E274" s="97">
        <f>VLOOKUP(A274,'תקציב מפורט 2025'!A:O,4,FALSE)-D274</f>
        <v>0</v>
      </c>
    </row>
    <row r="275" spans="1:5" hidden="1" x14ac:dyDescent="0.2">
      <c r="A275" s="97">
        <v>1621300780</v>
      </c>
      <c r="B275" s="97" t="s">
        <v>46</v>
      </c>
      <c r="C275" s="97" t="s">
        <v>353</v>
      </c>
      <c r="D275" s="97">
        <v>30000</v>
      </c>
      <c r="E275" s="97">
        <f>VLOOKUP(A275,'תקציב מפורט 2025'!A:O,4,FALSE)-D275</f>
        <v>0</v>
      </c>
    </row>
    <row r="276" spans="1:5" hidden="1" x14ac:dyDescent="0.2">
      <c r="A276" s="97">
        <v>1621300930</v>
      </c>
      <c r="B276" s="97" t="s">
        <v>14</v>
      </c>
      <c r="C276" s="97" t="s">
        <v>353</v>
      </c>
      <c r="D276" s="97">
        <v>15000</v>
      </c>
      <c r="E276" s="97">
        <f>VLOOKUP(A276,'תקציב מפורט 2025'!A:O,4,FALSE)-D276</f>
        <v>0</v>
      </c>
    </row>
    <row r="277" spans="1:5" hidden="1" x14ac:dyDescent="0.2">
      <c r="A277" s="97">
        <v>1623000550</v>
      </c>
      <c r="B277" s="97" t="s">
        <v>2190</v>
      </c>
      <c r="C277" s="97" t="s">
        <v>353</v>
      </c>
      <c r="D277" s="97"/>
      <c r="E277" s="97">
        <f>VLOOKUP(A277,'תקציב מפורט 2025'!A:O,4,FALSE)-D277</f>
        <v>0</v>
      </c>
    </row>
    <row r="278" spans="1:5" hidden="1" x14ac:dyDescent="0.2">
      <c r="A278" s="97">
        <v>1623000780</v>
      </c>
      <c r="B278" s="97" t="s">
        <v>2191</v>
      </c>
      <c r="C278" s="97" t="s">
        <v>353</v>
      </c>
      <c r="D278" s="97"/>
      <c r="E278" s="97">
        <f>VLOOKUP(A278,'תקציב מפורט 2025'!A:O,4,FALSE)-D278</f>
        <v>0</v>
      </c>
    </row>
    <row r="279" spans="1:5" hidden="1" x14ac:dyDescent="0.2">
      <c r="A279" s="97">
        <v>1623000110</v>
      </c>
      <c r="B279" s="97" t="s">
        <v>47</v>
      </c>
      <c r="C279" s="97" t="s">
        <v>352</v>
      </c>
      <c r="D279" s="97">
        <v>400000</v>
      </c>
      <c r="E279" s="97">
        <f>VLOOKUP(A279,'תקציב מפורט 2025'!A:O,4,FALSE)-D279</f>
        <v>0</v>
      </c>
    </row>
    <row r="280" spans="1:5" hidden="1" x14ac:dyDescent="0.2">
      <c r="A280" s="97">
        <v>1623000582</v>
      </c>
      <c r="B280" s="97" t="s">
        <v>27</v>
      </c>
      <c r="C280" s="97" t="s">
        <v>353</v>
      </c>
      <c r="D280" s="97">
        <v>60000</v>
      </c>
      <c r="E280" s="97">
        <f>VLOOKUP(A280,'תקציב מפורט 2025'!A:O,4,FALSE)-D280</f>
        <v>0</v>
      </c>
    </row>
    <row r="281" spans="1:5" hidden="1" x14ac:dyDescent="0.2">
      <c r="A281" s="97">
        <v>1623000750</v>
      </c>
      <c r="B281" s="97" t="s">
        <v>49</v>
      </c>
      <c r="C281" s="97" t="s">
        <v>353</v>
      </c>
      <c r="D281" s="97">
        <v>250000</v>
      </c>
      <c r="E281" s="97">
        <f>VLOOKUP(A281,'תקציב מפורט 2025'!A:O,4,FALSE)-D281</f>
        <v>0</v>
      </c>
    </row>
    <row r="282" spans="1:5" hidden="1" x14ac:dyDescent="0.2">
      <c r="A282" s="97">
        <v>1624000110</v>
      </c>
      <c r="B282" s="97" t="s">
        <v>1978</v>
      </c>
      <c r="C282" s="97" t="s">
        <v>352</v>
      </c>
      <c r="D282" s="97"/>
      <c r="E282" s="97">
        <f>VLOOKUP(A282,'תקציב מפורט 2025'!A:O,4,FALSE)-D282</f>
        <v>0</v>
      </c>
    </row>
    <row r="283" spans="1:5" hidden="1" x14ac:dyDescent="0.2">
      <c r="B283" t="s">
        <v>2148</v>
      </c>
      <c r="D283">
        <v>2700000</v>
      </c>
      <c r="E283" t="e">
        <f>VLOOKUP(A283,'תקציב מפורט 2025'!A:O,4,FALSE)-D283</f>
        <v>#N/A</v>
      </c>
    </row>
    <row r="284" spans="1:5" hidden="1" x14ac:dyDescent="0.2">
      <c r="A284" s="97">
        <v>1631000610</v>
      </c>
      <c r="B284" s="97" t="s">
        <v>51</v>
      </c>
      <c r="C284" s="97" t="s">
        <v>364</v>
      </c>
      <c r="D284" s="97">
        <v>200000</v>
      </c>
      <c r="E284" s="97">
        <f>VLOOKUP(A284,'תקציב מפורט 2025'!A:O,4,FALSE)-D284</f>
        <v>0</v>
      </c>
    </row>
    <row r="285" spans="1:5" hidden="1" x14ac:dyDescent="0.2">
      <c r="A285" s="97">
        <v>1632000620</v>
      </c>
      <c r="B285" s="97" t="s">
        <v>52</v>
      </c>
      <c r="C285" s="97" t="s">
        <v>364</v>
      </c>
      <c r="D285" s="97">
        <v>0</v>
      </c>
      <c r="E285" s="97">
        <v>0</v>
      </c>
    </row>
    <row r="286" spans="1:5" hidden="1" x14ac:dyDescent="0.2">
      <c r="A286" s="97">
        <v>1648000691</v>
      </c>
      <c r="B286" s="97" t="s">
        <v>53</v>
      </c>
      <c r="C286" s="97" t="s">
        <v>362</v>
      </c>
      <c r="D286" s="97">
        <v>1500000</v>
      </c>
      <c r="E286" s="97">
        <f>VLOOKUP(A286,'תקציב מפורט 2025'!A:O,4,FALSE)-D286</f>
        <v>0</v>
      </c>
    </row>
    <row r="287" spans="1:5" hidden="1" x14ac:dyDescent="0.2">
      <c r="A287" s="97">
        <v>1648000692</v>
      </c>
      <c r="B287" s="97" t="s">
        <v>54</v>
      </c>
      <c r="C287" s="97" t="s">
        <v>362</v>
      </c>
      <c r="D287" s="97">
        <v>500000</v>
      </c>
      <c r="E287" s="97">
        <f>VLOOKUP(A287,'תקציב מפורט 2025'!A:O,4,FALSE)-D287</f>
        <v>0</v>
      </c>
    </row>
    <row r="288" spans="1:5" hidden="1" x14ac:dyDescent="0.2">
      <c r="A288" s="97">
        <v>1648000693</v>
      </c>
      <c r="B288" s="97" t="s">
        <v>55</v>
      </c>
      <c r="C288" s="97" t="s">
        <v>362</v>
      </c>
      <c r="D288" s="97">
        <v>170000</v>
      </c>
      <c r="E288" s="97">
        <f>VLOOKUP(A288,'תקציב מפורט 2025'!A:O,4,FALSE)-D288</f>
        <v>0</v>
      </c>
    </row>
    <row r="289" spans="1:5" hidden="1" x14ac:dyDescent="0.2">
      <c r="B289" t="s">
        <v>2149</v>
      </c>
      <c r="D289">
        <v>2370000</v>
      </c>
      <c r="E289" t="e">
        <f>VLOOKUP(A289,'תקציב מפורט 2025'!A:O,4,FALSE)-D289</f>
        <v>#N/A</v>
      </c>
    </row>
    <row r="290" spans="1:5" hidden="1" x14ac:dyDescent="0.2">
      <c r="A290" s="97">
        <v>1711000110</v>
      </c>
      <c r="B290" s="97" t="s">
        <v>667</v>
      </c>
      <c r="C290" s="97" t="s">
        <v>352</v>
      </c>
      <c r="D290" s="97">
        <v>130000</v>
      </c>
      <c r="E290" s="97">
        <f>VLOOKUP(A290,'תקציב מפורט 2025'!A:O,4,FALSE)-D290</f>
        <v>0</v>
      </c>
    </row>
    <row r="291" spans="1:5" hidden="1" x14ac:dyDescent="0.2">
      <c r="A291" s="97">
        <v>1711000523</v>
      </c>
      <c r="B291" s="97" t="s">
        <v>668</v>
      </c>
      <c r="C291" s="97" t="s">
        <v>353</v>
      </c>
      <c r="D291" s="97">
        <v>1527</v>
      </c>
      <c r="E291" s="97">
        <f>VLOOKUP(A291,'תקציב מפורט 2025'!A:O,4,FALSE)-D291</f>
        <v>0</v>
      </c>
    </row>
    <row r="292" spans="1:5" hidden="1" x14ac:dyDescent="0.2">
      <c r="A292" s="97">
        <v>1712200740</v>
      </c>
      <c r="B292" s="97" t="s">
        <v>26</v>
      </c>
      <c r="C292" s="97" t="s">
        <v>353</v>
      </c>
      <c r="D292" s="97">
        <v>20000</v>
      </c>
      <c r="E292" s="97">
        <f>VLOOKUP(A292,'תקציב מפורט 2025'!A:O,4,FALSE)-D292</f>
        <v>0</v>
      </c>
    </row>
    <row r="293" spans="1:5" hidden="1" x14ac:dyDescent="0.2">
      <c r="A293" s="97">
        <v>1712200750</v>
      </c>
      <c r="B293" s="97" t="s">
        <v>49</v>
      </c>
      <c r="C293" s="97" t="s">
        <v>353</v>
      </c>
      <c r="D293" s="97">
        <v>530000</v>
      </c>
      <c r="E293" s="97">
        <f>VLOOKUP(A293,'תקציב מפורט 2025'!A:O,4,FALSE)-D293</f>
        <v>0</v>
      </c>
    </row>
    <row r="294" spans="1:5" hidden="1" x14ac:dyDescent="0.2">
      <c r="A294" s="97">
        <v>1712200780</v>
      </c>
      <c r="B294" s="97" t="s">
        <v>13</v>
      </c>
      <c r="C294" s="97" t="s">
        <v>353</v>
      </c>
      <c r="D294" s="97">
        <v>20000</v>
      </c>
      <c r="E294" s="97">
        <f>VLOOKUP(A294,'תקציב מפורט 2025'!A:O,4,FALSE)-D294</f>
        <v>0</v>
      </c>
    </row>
    <row r="295" spans="1:5" hidden="1" x14ac:dyDescent="0.2">
      <c r="A295" s="97">
        <v>1712300751</v>
      </c>
      <c r="B295" s="97" t="s">
        <v>57</v>
      </c>
      <c r="C295" s="97" t="s">
        <v>353</v>
      </c>
      <c r="D295" s="97">
        <v>5000000</v>
      </c>
      <c r="E295" s="97">
        <f>VLOOKUP(A295,'תקציב מפורט 2025'!A:O,4,FALSE)-D295</f>
        <v>0</v>
      </c>
    </row>
    <row r="296" spans="1:5" hidden="1" x14ac:dyDescent="0.2">
      <c r="A296" s="97">
        <v>1712300752</v>
      </c>
      <c r="B296" s="97" t="s">
        <v>974</v>
      </c>
      <c r="C296" s="97" t="s">
        <v>353</v>
      </c>
      <c r="D296" s="97">
        <v>250000</v>
      </c>
      <c r="E296" s="97">
        <f>VLOOKUP(A296,'תקציב מפורט 2025'!A:O,4,FALSE)-D296</f>
        <v>0</v>
      </c>
    </row>
    <row r="297" spans="1:5" hidden="1" x14ac:dyDescent="0.2">
      <c r="A297" s="97">
        <v>1713000110</v>
      </c>
      <c r="B297" s="97" t="s">
        <v>58</v>
      </c>
      <c r="C297" s="97" t="s">
        <v>352</v>
      </c>
      <c r="D297" s="97">
        <v>0</v>
      </c>
      <c r="E297" s="97">
        <v>0</v>
      </c>
    </row>
    <row r="298" spans="1:5" hidden="1" x14ac:dyDescent="0.2">
      <c r="A298" s="97">
        <v>1714100830</v>
      </c>
      <c r="B298" s="97" t="s">
        <v>59</v>
      </c>
      <c r="C298" s="97" t="s">
        <v>353</v>
      </c>
      <c r="D298" s="97">
        <v>121000</v>
      </c>
      <c r="E298" s="97">
        <f>VLOOKUP(A298,'תקציב מפורט 2025'!A:O,4,FALSE)-D298</f>
        <v>0</v>
      </c>
    </row>
    <row r="299" spans="1:5" hidden="1" x14ac:dyDescent="0.2">
      <c r="A299" s="97">
        <v>1715300750</v>
      </c>
      <c r="B299" s="97" t="s">
        <v>61</v>
      </c>
      <c r="C299" s="97" t="s">
        <v>353</v>
      </c>
      <c r="D299" s="97">
        <v>60000</v>
      </c>
      <c r="E299" s="97">
        <f>VLOOKUP(A299,'תקציב מפורט 2025'!A:O,4,FALSE)-D299</f>
        <v>0</v>
      </c>
    </row>
    <row r="300" spans="1:5" hidden="1" x14ac:dyDescent="0.2">
      <c r="B300" t="s">
        <v>633</v>
      </c>
      <c r="D300">
        <v>6132527</v>
      </c>
      <c r="E300" t="e">
        <f>VLOOKUP(A300,'תקציב מפורט 2025'!A:O,4,FALSE)-D300</f>
        <v>#N/A</v>
      </c>
    </row>
    <row r="301" spans="1:5" hidden="1" x14ac:dyDescent="0.2">
      <c r="A301" s="97">
        <v>1722000110</v>
      </c>
      <c r="B301" s="97" t="s">
        <v>670</v>
      </c>
      <c r="C301" s="97" t="s">
        <v>352</v>
      </c>
      <c r="D301" s="97">
        <v>280000</v>
      </c>
      <c r="E301" s="97">
        <f>VLOOKUP(A301,'תקציב מפורט 2025'!A:O,4,FALSE)-D301</f>
        <v>0</v>
      </c>
    </row>
    <row r="302" spans="1:5" hidden="1" x14ac:dyDescent="0.2">
      <c r="A302" s="97">
        <v>1722000731</v>
      </c>
      <c r="B302" s="97" t="s">
        <v>62</v>
      </c>
      <c r="C302" s="97" t="s">
        <v>353</v>
      </c>
      <c r="D302" s="97">
        <v>25000</v>
      </c>
      <c r="E302" s="97">
        <f>VLOOKUP(A302,'תקציב מפורט 2025'!A:O,4,FALSE)-D302</f>
        <v>0</v>
      </c>
    </row>
    <row r="303" spans="1:5" hidden="1" x14ac:dyDescent="0.2">
      <c r="A303" s="97">
        <v>1722000732</v>
      </c>
      <c r="B303" s="97" t="s">
        <v>63</v>
      </c>
      <c r="C303" s="97" t="s">
        <v>353</v>
      </c>
      <c r="D303" s="97">
        <v>10000</v>
      </c>
      <c r="E303" s="97">
        <f>VLOOKUP(A303,'תקציב מפורט 2025'!A:O,4,FALSE)-D303</f>
        <v>0</v>
      </c>
    </row>
    <row r="304" spans="1:5" hidden="1" x14ac:dyDescent="0.2">
      <c r="A304" s="97">
        <v>1722000733</v>
      </c>
      <c r="B304" s="97" t="s">
        <v>64</v>
      </c>
      <c r="C304" s="97" t="s">
        <v>353</v>
      </c>
      <c r="D304" s="97">
        <v>13000</v>
      </c>
      <c r="E304" s="97">
        <f>VLOOKUP(A304,'תקציב מפורט 2025'!A:O,4,FALSE)-D304</f>
        <v>0</v>
      </c>
    </row>
    <row r="305" spans="1:5" hidden="1" x14ac:dyDescent="0.2">
      <c r="A305" s="97">
        <v>1722000780</v>
      </c>
      <c r="B305" s="97" t="s">
        <v>46</v>
      </c>
      <c r="C305" s="97" t="s">
        <v>353</v>
      </c>
      <c r="D305" s="97">
        <v>0</v>
      </c>
      <c r="E305" s="97">
        <f>VLOOKUP(A305,'תקציב מפורט 2025'!A:O,4,FALSE)-D305</f>
        <v>0</v>
      </c>
    </row>
    <row r="306" spans="1:5" hidden="1" x14ac:dyDescent="0.2">
      <c r="A306" s="97">
        <v>1722002110</v>
      </c>
      <c r="B306" s="97" t="s">
        <v>671</v>
      </c>
      <c r="C306" s="97" t="s">
        <v>352</v>
      </c>
      <c r="D306" s="97">
        <v>910000</v>
      </c>
      <c r="E306" s="97">
        <f>VLOOKUP(A306,'תקציב מפורט 2025'!A:O,4,FALSE)-D306</f>
        <v>0</v>
      </c>
    </row>
    <row r="307" spans="1:5" hidden="1" x14ac:dyDescent="0.2">
      <c r="A307" s="97">
        <v>1722100750</v>
      </c>
      <c r="B307" s="97" t="s">
        <v>1575</v>
      </c>
      <c r="C307" s="97" t="s">
        <v>353</v>
      </c>
      <c r="D307" s="97">
        <v>70000</v>
      </c>
      <c r="E307" s="97">
        <f>VLOOKUP(A307,'תקציב מפורט 2025'!A:O,4,FALSE)-D307</f>
        <v>0</v>
      </c>
    </row>
    <row r="308" spans="1:5" hidden="1" x14ac:dyDescent="0.2">
      <c r="A308" s="97">
        <v>1723000810</v>
      </c>
      <c r="B308" s="97" t="s">
        <v>65</v>
      </c>
      <c r="C308" s="97" t="s">
        <v>353</v>
      </c>
      <c r="D308" s="97">
        <v>93574</v>
      </c>
      <c r="E308" s="97">
        <f>VLOOKUP(A308,'תקציב מפורט 2025'!A:O,4,FALSE)-D308</f>
        <v>0</v>
      </c>
    </row>
    <row r="309" spans="1:5" hidden="1" x14ac:dyDescent="0.2">
      <c r="A309" s="97">
        <v>1723100110</v>
      </c>
      <c r="B309" s="97" t="s">
        <v>1165</v>
      </c>
      <c r="C309" s="97" t="s">
        <v>352</v>
      </c>
      <c r="D309" s="97">
        <v>130000</v>
      </c>
      <c r="E309" s="97">
        <f>VLOOKUP(A309,'תקציב מפורט 2025'!A:O,4,FALSE)-D309</f>
        <v>0</v>
      </c>
    </row>
    <row r="310" spans="1:5" hidden="1" x14ac:dyDescent="0.2">
      <c r="A310" s="97">
        <v>1723420750</v>
      </c>
      <c r="B310" s="97" t="s">
        <v>1160</v>
      </c>
      <c r="C310" s="97" t="s">
        <v>353</v>
      </c>
      <c r="D310" s="97">
        <v>47000</v>
      </c>
      <c r="E310" s="97">
        <f>VLOOKUP(A310,'תקציב מפורט 2025'!A:O,4,FALSE)-D310</f>
        <v>0</v>
      </c>
    </row>
    <row r="311" spans="1:5" hidden="1" x14ac:dyDescent="0.2">
      <c r="A311" s="97">
        <v>1723421750</v>
      </c>
      <c r="B311" s="97" t="s">
        <v>1162</v>
      </c>
      <c r="C311" s="97" t="s">
        <v>353</v>
      </c>
      <c r="D311" s="97">
        <v>45000</v>
      </c>
      <c r="E311" s="97">
        <f>VLOOKUP(A311,'תקציב מפורט 2025'!A:O,4,FALSE)-D311</f>
        <v>0</v>
      </c>
    </row>
    <row r="312" spans="1:5" hidden="1" x14ac:dyDescent="0.2">
      <c r="A312" s="97">
        <v>1723422750</v>
      </c>
      <c r="B312" s="97" t="s">
        <v>1161</v>
      </c>
      <c r="C312" s="97" t="s">
        <v>353</v>
      </c>
      <c r="D312" s="97">
        <v>69000</v>
      </c>
      <c r="E312" s="97">
        <f>VLOOKUP(A312,'תקציב מפורט 2025'!A:O,4,FALSE)-D312</f>
        <v>0</v>
      </c>
    </row>
    <row r="313" spans="1:5" hidden="1" x14ac:dyDescent="0.2">
      <c r="A313" s="97">
        <v>1723423750</v>
      </c>
      <c r="B313" s="97" t="s">
        <v>1576</v>
      </c>
      <c r="C313" s="97" t="s">
        <v>353</v>
      </c>
      <c r="D313" s="97">
        <v>51700</v>
      </c>
      <c r="E313" s="97">
        <f>VLOOKUP(A313,'תקציב מפורט 2025'!A:O,4,FALSE)-D313</f>
        <v>0</v>
      </c>
    </row>
    <row r="314" spans="1:5" hidden="1" x14ac:dyDescent="0.2">
      <c r="A314" s="97">
        <v>1725000110</v>
      </c>
      <c r="B314" s="97" t="s">
        <v>66</v>
      </c>
      <c r="C314" s="97" t="s">
        <v>352</v>
      </c>
      <c r="D314" s="97">
        <v>350000</v>
      </c>
      <c r="E314" s="97">
        <f>VLOOKUP(A314,'תקציב מפורט 2025'!A:O,4,FALSE)-D314</f>
        <v>0</v>
      </c>
    </row>
    <row r="315" spans="1:5" hidden="1" x14ac:dyDescent="0.2">
      <c r="A315" s="97">
        <v>1725000750</v>
      </c>
      <c r="B315" s="97" t="s">
        <v>770</v>
      </c>
      <c r="C315" s="97" t="s">
        <v>353</v>
      </c>
      <c r="D315" s="97">
        <v>74848</v>
      </c>
      <c r="E315" s="97">
        <f>VLOOKUP(A315,'תקציב מפורט 2025'!A:O,4,FALSE)-D315</f>
        <v>0</v>
      </c>
    </row>
    <row r="316" spans="1:5" hidden="1" x14ac:dyDescent="0.2">
      <c r="A316" s="97">
        <v>1725002750</v>
      </c>
      <c r="B316" s="97" t="s">
        <v>1577</v>
      </c>
      <c r="C316" s="97" t="s">
        <v>353</v>
      </c>
      <c r="D316" s="97">
        <v>0</v>
      </c>
      <c r="E316" s="97">
        <f>VLOOKUP(A316,'תקציב מפורט 2025'!A:O,4,FALSE)-D316</f>
        <v>0</v>
      </c>
    </row>
    <row r="317" spans="1:5" hidden="1" x14ac:dyDescent="0.2">
      <c r="A317" s="97">
        <v>1725004110</v>
      </c>
      <c r="B317" s="97" t="s">
        <v>1521</v>
      </c>
      <c r="C317" s="97" t="s">
        <v>352</v>
      </c>
      <c r="D317" s="97">
        <v>200000</v>
      </c>
      <c r="E317" s="97">
        <f>VLOOKUP(A317,'תקציב מפורט 2025'!A:O,4,FALSE)-D317</f>
        <v>0</v>
      </c>
    </row>
    <row r="318" spans="1:5" hidden="1" x14ac:dyDescent="0.2">
      <c r="B318" t="s">
        <v>636</v>
      </c>
      <c r="D318">
        <v>2369122</v>
      </c>
      <c r="E318" t="e">
        <f>VLOOKUP(A318,'תקציב מפורט 2025'!A:O,4,FALSE)-D318</f>
        <v>#N/A</v>
      </c>
    </row>
    <row r="319" spans="1:5" hidden="1" x14ac:dyDescent="0.2">
      <c r="A319" s="97">
        <v>1731000110</v>
      </c>
      <c r="B319" s="97" t="s">
        <v>68</v>
      </c>
      <c r="C319" s="97" t="s">
        <v>352</v>
      </c>
      <c r="D319" s="97">
        <v>800000</v>
      </c>
      <c r="E319" s="97">
        <f>VLOOKUP(A319,'תקציב מפורט 2025'!A:O,4,FALSE)-D319</f>
        <v>0</v>
      </c>
    </row>
    <row r="320" spans="1:5" hidden="1" x14ac:dyDescent="0.2">
      <c r="A320" s="97">
        <v>1731000320</v>
      </c>
      <c r="B320" s="97" t="s">
        <v>787</v>
      </c>
      <c r="C320" s="97" t="s">
        <v>352</v>
      </c>
      <c r="D320" s="97">
        <v>0</v>
      </c>
      <c r="E320" s="97">
        <v>0</v>
      </c>
    </row>
    <row r="321" spans="1:5" hidden="1" x14ac:dyDescent="0.2">
      <c r="A321" s="97">
        <v>1731000780</v>
      </c>
      <c r="B321" s="97" t="s">
        <v>13</v>
      </c>
      <c r="C321" s="97" t="s">
        <v>353</v>
      </c>
      <c r="D321" s="97">
        <v>100000</v>
      </c>
      <c r="E321" s="97">
        <f>VLOOKUP(A321,'תקציב מפורט 2025'!A:O,4,FALSE)-D321</f>
        <v>0</v>
      </c>
    </row>
    <row r="322" spans="1:5" hidden="1" x14ac:dyDescent="0.2">
      <c r="A322" s="97">
        <v>1732100750</v>
      </c>
      <c r="B322" s="97" t="s">
        <v>672</v>
      </c>
      <c r="C322" s="97" t="s">
        <v>353</v>
      </c>
      <c r="D322" s="97">
        <v>100000</v>
      </c>
      <c r="E322" s="97">
        <f>VLOOKUP(A322,'תקציב מפורט 2025'!A:O,4,FALSE)-D322</f>
        <v>0</v>
      </c>
    </row>
    <row r="323" spans="1:5" hidden="1" x14ac:dyDescent="0.2">
      <c r="A323" s="97">
        <v>1733400750</v>
      </c>
      <c r="B323" s="97" t="s">
        <v>71</v>
      </c>
      <c r="C323" s="97" t="s">
        <v>353</v>
      </c>
      <c r="D323" s="97">
        <v>1300000</v>
      </c>
      <c r="E323" s="97">
        <f>VLOOKUP(A323,'תקציב מפורט 2025'!A:O,4,FALSE)-D323</f>
        <v>0</v>
      </c>
    </row>
    <row r="324" spans="1:5" hidden="1" x14ac:dyDescent="0.2">
      <c r="B324" t="s">
        <v>1030</v>
      </c>
      <c r="D324">
        <v>2300000</v>
      </c>
      <c r="E324" t="e">
        <f>VLOOKUP(A324,'תקציב מפורט 2025'!A:O,4,FALSE)-D324</f>
        <v>#N/A</v>
      </c>
    </row>
    <row r="325" spans="1:5" hidden="1" x14ac:dyDescent="0.2">
      <c r="A325" s="97">
        <v>1741000110</v>
      </c>
      <c r="B325" s="97" t="s">
        <v>72</v>
      </c>
      <c r="C325" s="97" t="s">
        <v>352</v>
      </c>
      <c r="D325" s="97">
        <v>350000</v>
      </c>
      <c r="E325" s="97">
        <f>VLOOKUP(A325,'תקציב מפורט 2025'!A:O,4,FALSE)-D325</f>
        <v>0</v>
      </c>
    </row>
    <row r="326" spans="1:5" hidden="1" x14ac:dyDescent="0.2">
      <c r="A326" s="97">
        <v>1741000750</v>
      </c>
      <c r="B326" s="97" t="s">
        <v>49</v>
      </c>
      <c r="C326" s="97" t="s">
        <v>353</v>
      </c>
      <c r="D326" s="97">
        <v>50000</v>
      </c>
      <c r="E326" s="97">
        <f>VLOOKUP(A326,'תקציב מפורט 2025'!A:O,4,FALSE)-D326</f>
        <v>0</v>
      </c>
    </row>
    <row r="327" spans="1:5" hidden="1" x14ac:dyDescent="0.2">
      <c r="A327" s="97">
        <v>1741000751</v>
      </c>
      <c r="B327" s="97" t="s">
        <v>771</v>
      </c>
      <c r="C327" s="97" t="s">
        <v>353</v>
      </c>
      <c r="D327" s="97">
        <v>200000</v>
      </c>
      <c r="E327" s="97">
        <f>VLOOKUP(A327,'תקציב מפורט 2025'!A:O,4,FALSE)-D327</f>
        <v>0</v>
      </c>
    </row>
    <row r="328" spans="1:5" hidden="1" x14ac:dyDescent="0.2">
      <c r="A328" s="97">
        <v>1742200110</v>
      </c>
      <c r="B328" s="97" t="s">
        <v>673</v>
      </c>
      <c r="C328" s="97" t="s">
        <v>352</v>
      </c>
      <c r="D328" s="97">
        <v>0</v>
      </c>
      <c r="E328" s="97">
        <f>VLOOKUP(A328,'תקציב מפורט 2025'!A:O,4,FALSE)-D328</f>
        <v>0</v>
      </c>
    </row>
    <row r="329" spans="1:5" hidden="1" x14ac:dyDescent="0.2">
      <c r="A329" s="97">
        <v>1743000750</v>
      </c>
      <c r="B329" s="97" t="s">
        <v>78</v>
      </c>
      <c r="C329" s="97" t="s">
        <v>353</v>
      </c>
      <c r="D329" s="97">
        <v>100000</v>
      </c>
      <c r="E329" s="97">
        <f>VLOOKUP(A329,'תקציב מפורט 2025'!A:O,4,FALSE)-D329</f>
        <v>0</v>
      </c>
    </row>
    <row r="330" spans="1:5" hidden="1" x14ac:dyDescent="0.2">
      <c r="A330" s="97">
        <v>1743000771</v>
      </c>
      <c r="B330" s="97" t="s">
        <v>79</v>
      </c>
      <c r="C330" s="97" t="s">
        <v>353</v>
      </c>
      <c r="D330" s="97">
        <v>250000</v>
      </c>
      <c r="E330" s="97">
        <f>VLOOKUP(A330,'תקציב מפורט 2025'!A:O,4,FALSE)-D330</f>
        <v>0</v>
      </c>
    </row>
    <row r="331" spans="1:5" hidden="1" x14ac:dyDescent="0.2">
      <c r="A331" s="97">
        <v>1744000750</v>
      </c>
      <c r="B331" s="97" t="s">
        <v>2241</v>
      </c>
      <c r="C331" s="97" t="s">
        <v>353</v>
      </c>
      <c r="D331" s="97">
        <v>0</v>
      </c>
      <c r="E331" s="97">
        <f>VLOOKUP(A331,'תקציב מפורט 2025'!A:O,4,FALSE)-D331</f>
        <v>0</v>
      </c>
    </row>
    <row r="332" spans="1:5" hidden="1" x14ac:dyDescent="0.2">
      <c r="A332" s="97">
        <v>1745000830</v>
      </c>
      <c r="B332" s="97" t="s">
        <v>81</v>
      </c>
      <c r="C332" s="97" t="s">
        <v>353</v>
      </c>
      <c r="D332" s="97">
        <v>130000</v>
      </c>
      <c r="E332" s="97">
        <f>VLOOKUP(A332,'תקציב מפורט 2025'!A:O,4,FALSE)-D332</f>
        <v>0</v>
      </c>
    </row>
    <row r="333" spans="1:5" hidden="1" x14ac:dyDescent="0.2">
      <c r="A333" s="97">
        <v>1747200110</v>
      </c>
      <c r="B333" s="97" t="s">
        <v>82</v>
      </c>
      <c r="C333" s="97" t="s">
        <v>352</v>
      </c>
      <c r="D333" s="97">
        <v>450000</v>
      </c>
      <c r="E333" s="97">
        <f>VLOOKUP(A333,'תקציב מפורט 2025'!A:O,4,FALSE)-D333</f>
        <v>0</v>
      </c>
    </row>
    <row r="334" spans="1:5" hidden="1" x14ac:dyDescent="0.2">
      <c r="A334" s="97">
        <v>1747200431</v>
      </c>
      <c r="B334" s="97" t="s">
        <v>83</v>
      </c>
      <c r="C334" s="97" t="s">
        <v>353</v>
      </c>
      <c r="D334" s="97">
        <v>40000</v>
      </c>
      <c r="E334" s="97">
        <f>VLOOKUP(A334,'תקציב מפורט 2025'!A:O,4,FALSE)-D334</f>
        <v>0</v>
      </c>
    </row>
    <row r="335" spans="1:5" hidden="1" x14ac:dyDescent="0.2">
      <c r="A335" s="97">
        <v>1747200432</v>
      </c>
      <c r="B335" s="97" t="s">
        <v>84</v>
      </c>
      <c r="C335" s="97" t="s">
        <v>353</v>
      </c>
      <c r="D335" s="97">
        <v>60000</v>
      </c>
      <c r="E335" s="97">
        <f>VLOOKUP(A335,'תקציב מפורט 2025'!A:O,4,FALSE)-D335</f>
        <v>0</v>
      </c>
    </row>
    <row r="336" spans="1:5" hidden="1" x14ac:dyDescent="0.2">
      <c r="A336" s="97">
        <v>1747200433</v>
      </c>
      <c r="B336" s="97" t="s">
        <v>99</v>
      </c>
      <c r="C336" s="97" t="s">
        <v>353</v>
      </c>
      <c r="D336" s="97">
        <v>10000</v>
      </c>
      <c r="E336" s="97">
        <f>VLOOKUP(A336,'תקציב מפורט 2025'!A:O,4,FALSE)-D336</f>
        <v>0</v>
      </c>
    </row>
    <row r="337" spans="1:5" hidden="1" x14ac:dyDescent="0.2">
      <c r="A337" s="97">
        <v>1747200750</v>
      </c>
      <c r="B337" s="97" t="s">
        <v>49</v>
      </c>
      <c r="C337" s="97" t="s">
        <v>353</v>
      </c>
      <c r="D337" s="97">
        <v>150000</v>
      </c>
      <c r="E337" s="97">
        <f>VLOOKUP(A337,'תקציב מפורט 2025'!A:O,4,FALSE)-D337</f>
        <v>0</v>
      </c>
    </row>
    <row r="338" spans="1:5" hidden="1" x14ac:dyDescent="0.2">
      <c r="B338" t="s">
        <v>634</v>
      </c>
      <c r="D338">
        <v>1790000</v>
      </c>
      <c r="E338" t="e">
        <f>VLOOKUP(A338,'תקציב מפורט 2025'!A:O,4,FALSE)-D338</f>
        <v>#N/A</v>
      </c>
    </row>
    <row r="339" spans="1:5" hidden="1" x14ac:dyDescent="0.2">
      <c r="A339" s="97">
        <v>1766000870</v>
      </c>
      <c r="B339" s="97" t="s">
        <v>88</v>
      </c>
      <c r="C339" s="97" t="s">
        <v>353</v>
      </c>
      <c r="D339" s="97"/>
      <c r="E339" s="97">
        <f>VLOOKUP(A339,'תקציב מפורט 2025'!A:O,4,FALSE)-D339</f>
        <v>0</v>
      </c>
    </row>
    <row r="340" spans="1:5" hidden="1" x14ac:dyDescent="0.2">
      <c r="A340" s="97">
        <v>1767000441</v>
      </c>
      <c r="B340" s="97" t="s">
        <v>2065</v>
      </c>
      <c r="C340" s="97" t="s">
        <v>353</v>
      </c>
      <c r="D340" s="97">
        <v>1050000</v>
      </c>
      <c r="E340" s="97">
        <f>VLOOKUP(A340,'תקציב מפורט 2025'!A:O,4,FALSE)-D340</f>
        <v>0</v>
      </c>
    </row>
    <row r="341" spans="1:5" hidden="1" x14ac:dyDescent="0.2">
      <c r="B341" t="s">
        <v>2150</v>
      </c>
      <c r="D341">
        <v>1050000</v>
      </c>
      <c r="E341" t="e">
        <f>VLOOKUP(A341,'תקציב מפורט 2025'!A:O,4,FALSE)-D341</f>
        <v>#N/A</v>
      </c>
    </row>
    <row r="342" spans="1:5" hidden="1" x14ac:dyDescent="0.2">
      <c r="B342" t="s">
        <v>427</v>
      </c>
      <c r="D342">
        <v>23240305</v>
      </c>
      <c r="E342" t="e">
        <f>VLOOKUP(A342,'תקציב מפורט 2025'!A:O,4,FALSE)-D342</f>
        <v>#N/A</v>
      </c>
    </row>
    <row r="343" spans="1:5" hidden="1" x14ac:dyDescent="0.2">
      <c r="A343" s="97">
        <v>1811000110</v>
      </c>
      <c r="B343" s="97" t="s">
        <v>92</v>
      </c>
      <c r="C343" s="97" t="s">
        <v>355</v>
      </c>
      <c r="D343" s="97">
        <v>970000</v>
      </c>
      <c r="E343" s="97">
        <f>VLOOKUP(A343,'תקציב מפורט 2025'!A:O,4,FALSE)-D343</f>
        <v>0</v>
      </c>
    </row>
    <row r="344" spans="1:5" hidden="1" x14ac:dyDescent="0.2">
      <c r="A344" s="97">
        <v>1811000540</v>
      </c>
      <c r="B344" s="97" t="s">
        <v>93</v>
      </c>
      <c r="C344" s="97" t="s">
        <v>356</v>
      </c>
      <c r="D344" s="97">
        <v>100000</v>
      </c>
      <c r="E344" s="97">
        <f>VLOOKUP(A344,'תקציב מפורט 2025'!A:O,4,FALSE)-D344</f>
        <v>200000</v>
      </c>
    </row>
    <row r="345" spans="1:5" hidden="1" x14ac:dyDescent="0.2">
      <c r="A345" s="97">
        <v>1811000750</v>
      </c>
      <c r="B345" s="97" t="s">
        <v>49</v>
      </c>
      <c r="C345" s="97" t="s">
        <v>356</v>
      </c>
      <c r="D345" s="97">
        <v>0</v>
      </c>
      <c r="E345" s="97">
        <f>VLOOKUP(A345,'תקציב מפורט 2025'!A:O,4,FALSE)-D345</f>
        <v>0</v>
      </c>
    </row>
    <row r="346" spans="1:5" hidden="1" x14ac:dyDescent="0.2">
      <c r="A346" s="97">
        <v>1811000781</v>
      </c>
      <c r="B346" s="97" t="s">
        <v>1578</v>
      </c>
      <c r="C346" s="97" t="s">
        <v>356</v>
      </c>
      <c r="D346" s="97">
        <v>15000</v>
      </c>
      <c r="E346" s="97">
        <f>VLOOKUP(A346,'תקציב מפורט 2025'!A:O,4,FALSE)-D346</f>
        <v>0</v>
      </c>
    </row>
    <row r="347" spans="1:5" hidden="1" x14ac:dyDescent="0.2">
      <c r="A347" s="97">
        <v>1811000800</v>
      </c>
      <c r="B347" s="97" t="s">
        <v>1579</v>
      </c>
      <c r="C347" s="97" t="s">
        <v>356</v>
      </c>
      <c r="D347" s="97"/>
      <c r="E347" s="97">
        <f>VLOOKUP(A347,'תקציב מפורט 2025'!A:O,4,FALSE)-D347</f>
        <v>0</v>
      </c>
    </row>
    <row r="348" spans="1:5" hidden="1" x14ac:dyDescent="0.2">
      <c r="A348" s="97">
        <v>1811000930</v>
      </c>
      <c r="B348" s="97" t="s">
        <v>1910</v>
      </c>
      <c r="C348" s="97" t="s">
        <v>356</v>
      </c>
      <c r="D348" s="97">
        <v>100000</v>
      </c>
      <c r="E348" s="97">
        <f>VLOOKUP(A348,'תקציב מפורט 2025'!A:O,4,FALSE)-D348</f>
        <v>0</v>
      </c>
    </row>
    <row r="349" spans="1:5" hidden="1" x14ac:dyDescent="0.2">
      <c r="A349" s="97">
        <v>1811000980</v>
      </c>
      <c r="B349" s="97" t="s">
        <v>1580</v>
      </c>
      <c r="C349" s="97" t="s">
        <v>356</v>
      </c>
      <c r="D349" s="97">
        <v>0</v>
      </c>
      <c r="E349" s="97">
        <f>VLOOKUP(A349,'תקציב מפורט 2025'!A:O,4,FALSE)-D349</f>
        <v>2098221</v>
      </c>
    </row>
    <row r="350" spans="1:5" hidden="1" x14ac:dyDescent="0.2">
      <c r="A350" s="97">
        <v>1811010930</v>
      </c>
      <c r="B350" s="97" t="s">
        <v>1656</v>
      </c>
      <c r="C350" s="97" t="s">
        <v>356</v>
      </c>
      <c r="D350" s="97">
        <v>100000</v>
      </c>
      <c r="E350" s="97">
        <f>VLOOKUP(A350,'תקציב מפורט 2025'!A:O,4,FALSE)-D350</f>
        <v>0</v>
      </c>
    </row>
    <row r="351" spans="1:5" hidden="1" x14ac:dyDescent="0.2">
      <c r="B351" t="s">
        <v>2151</v>
      </c>
      <c r="D351">
        <v>1285000</v>
      </c>
      <c r="E351" t="e">
        <f>VLOOKUP(A351,'תקציב מפורט 2025'!A:O,4,FALSE)-D351</f>
        <v>#N/A</v>
      </c>
    </row>
    <row r="352" spans="1:5" hidden="1" x14ac:dyDescent="0.2">
      <c r="A352" s="97">
        <v>1812200110</v>
      </c>
      <c r="B352" s="97" t="s">
        <v>96</v>
      </c>
      <c r="C352" s="97" t="s">
        <v>355</v>
      </c>
      <c r="D352" s="97">
        <v>3000000</v>
      </c>
      <c r="E352" s="97">
        <f>VLOOKUP(A352,'תקציב מפורט 2025'!A:O,4,FALSE)-D352</f>
        <v>0</v>
      </c>
    </row>
    <row r="353" spans="1:5" hidden="1" x14ac:dyDescent="0.2">
      <c r="A353" s="97">
        <v>1812200420</v>
      </c>
      <c r="B353" s="97" t="s">
        <v>675</v>
      </c>
      <c r="C353" s="97" t="s">
        <v>356</v>
      </c>
      <c r="D353" s="97">
        <v>0</v>
      </c>
      <c r="E353" s="97">
        <f>VLOOKUP(A353,'תקציב מפורט 2025'!A:O,4,FALSE)-D353</f>
        <v>0</v>
      </c>
    </row>
    <row r="354" spans="1:5" hidden="1" x14ac:dyDescent="0.2">
      <c r="A354" s="97">
        <v>1812200431</v>
      </c>
      <c r="B354" s="97" t="s">
        <v>2242</v>
      </c>
      <c r="C354" s="97" t="s">
        <v>356</v>
      </c>
      <c r="D354" s="97">
        <v>30000</v>
      </c>
      <c r="E354" s="97">
        <f>VLOOKUP(A354,'תקציב מפורט 2025'!A:O,4,FALSE)-D354</f>
        <v>0</v>
      </c>
    </row>
    <row r="355" spans="1:5" hidden="1" x14ac:dyDescent="0.2">
      <c r="A355" s="97">
        <v>1812200432</v>
      </c>
      <c r="B355" s="97" t="s">
        <v>98</v>
      </c>
      <c r="C355" s="97" t="s">
        <v>356</v>
      </c>
      <c r="D355" s="97">
        <v>50000</v>
      </c>
      <c r="E355" s="97">
        <f>VLOOKUP(A355,'תקציב מפורט 2025'!A:O,4,FALSE)-D355</f>
        <v>0</v>
      </c>
    </row>
    <row r="356" spans="1:5" hidden="1" x14ac:dyDescent="0.2">
      <c r="A356" s="97">
        <v>1812200433</v>
      </c>
      <c r="B356" s="97" t="s">
        <v>99</v>
      </c>
      <c r="C356" s="97" t="s">
        <v>356</v>
      </c>
      <c r="D356" s="97">
        <v>40000</v>
      </c>
      <c r="E356" s="97">
        <f>VLOOKUP(A356,'תקציב מפורט 2025'!A:O,4,FALSE)-D356</f>
        <v>0</v>
      </c>
    </row>
    <row r="357" spans="1:5" hidden="1" x14ac:dyDescent="0.2">
      <c r="A357" s="97">
        <v>1812200740</v>
      </c>
      <c r="B357" s="97" t="s">
        <v>26</v>
      </c>
      <c r="C357" s="97" t="s">
        <v>356</v>
      </c>
      <c r="D357" s="97">
        <v>40000</v>
      </c>
      <c r="E357" s="97">
        <f>VLOOKUP(A357,'תקציב מפורט 2025'!A:O,4,FALSE)-D357</f>
        <v>0</v>
      </c>
    </row>
    <row r="358" spans="1:5" hidden="1" x14ac:dyDescent="0.2">
      <c r="A358" s="97">
        <v>1812200750</v>
      </c>
      <c r="B358" s="97" t="s">
        <v>676</v>
      </c>
      <c r="C358" s="97" t="s">
        <v>356</v>
      </c>
      <c r="D358" s="97">
        <v>100000</v>
      </c>
      <c r="E358" s="97">
        <f>VLOOKUP(A358,'תקציב מפורט 2025'!A:O,4,FALSE)-D358</f>
        <v>0</v>
      </c>
    </row>
    <row r="359" spans="1:5" hidden="1" x14ac:dyDescent="0.2">
      <c r="A359" s="97">
        <v>1812200751</v>
      </c>
      <c r="B359" s="97" t="s">
        <v>1911</v>
      </c>
      <c r="C359" s="97" t="s">
        <v>356</v>
      </c>
      <c r="D359" s="97">
        <v>0</v>
      </c>
      <c r="E359" s="97">
        <f>VLOOKUP(A359,'תקציב מפורט 2025'!A:O,4,FALSE)-D359</f>
        <v>0</v>
      </c>
    </row>
    <row r="360" spans="1:5" hidden="1" x14ac:dyDescent="0.2">
      <c r="A360" s="97">
        <v>1812300110</v>
      </c>
      <c r="B360" s="97" t="s">
        <v>101</v>
      </c>
      <c r="C360" s="97" t="s">
        <v>355</v>
      </c>
      <c r="D360" s="97">
        <v>7100000</v>
      </c>
      <c r="E360" s="97">
        <f>VLOOKUP(A360,'תקציב מפורט 2025'!A:O,4,FALSE)-D360</f>
        <v>0</v>
      </c>
    </row>
    <row r="361" spans="1:5" hidden="1" x14ac:dyDescent="0.2">
      <c r="A361" s="97">
        <v>1812300320</v>
      </c>
      <c r="B361" s="97" t="s">
        <v>102</v>
      </c>
      <c r="C361" s="97" t="s">
        <v>355</v>
      </c>
      <c r="D361" s="97">
        <v>0</v>
      </c>
      <c r="E361" s="97">
        <v>0</v>
      </c>
    </row>
    <row r="362" spans="1:5" hidden="1" x14ac:dyDescent="0.2">
      <c r="A362" s="97">
        <v>1812300410</v>
      </c>
      <c r="B362" s="97" t="s">
        <v>103</v>
      </c>
      <c r="C362" s="97" t="s">
        <v>356</v>
      </c>
      <c r="D362" s="97">
        <v>220000</v>
      </c>
      <c r="E362" s="97">
        <f>VLOOKUP(A362,'תקציב מפורט 2025'!A:O,4,FALSE)-D362</f>
        <v>0</v>
      </c>
    </row>
    <row r="363" spans="1:5" hidden="1" x14ac:dyDescent="0.2">
      <c r="A363" s="97">
        <v>1812300431</v>
      </c>
      <c r="B363" s="97" t="s">
        <v>20</v>
      </c>
      <c r="C363" s="97" t="s">
        <v>356</v>
      </c>
      <c r="D363" s="97">
        <v>126000</v>
      </c>
      <c r="E363" s="97">
        <f>VLOOKUP(A363,'תקציב מפורט 2025'!A:O,4,FALSE)-D363</f>
        <v>0</v>
      </c>
    </row>
    <row r="364" spans="1:5" hidden="1" x14ac:dyDescent="0.2">
      <c r="A364" s="97">
        <v>1812300750</v>
      </c>
      <c r="B364" s="97" t="s">
        <v>49</v>
      </c>
      <c r="C364" s="97" t="s">
        <v>356</v>
      </c>
      <c r="D364" s="97">
        <v>0</v>
      </c>
      <c r="E364" s="97">
        <f>VLOOKUP(A364,'תקציב מפורט 2025'!A:O,4,FALSE)-D364</f>
        <v>0</v>
      </c>
    </row>
    <row r="365" spans="1:5" hidden="1" x14ac:dyDescent="0.2">
      <c r="A365" s="97">
        <v>1812300760</v>
      </c>
      <c r="B365" s="97" t="s">
        <v>111</v>
      </c>
      <c r="C365" s="97" t="s">
        <v>356</v>
      </c>
      <c r="D365" s="97">
        <v>4802065</v>
      </c>
      <c r="E365" s="97">
        <f>VLOOKUP(A365,'תקציב מפורט 2025'!A:O,4,FALSE)-D365</f>
        <v>0</v>
      </c>
    </row>
    <row r="366" spans="1:5" hidden="1" x14ac:dyDescent="0.2">
      <c r="A366" s="97">
        <v>1812300780</v>
      </c>
      <c r="B366" s="97" t="s">
        <v>772</v>
      </c>
      <c r="C366" s="97" t="s">
        <v>356</v>
      </c>
      <c r="D366" s="97">
        <v>500000</v>
      </c>
      <c r="E366" s="97">
        <f>VLOOKUP(A366,'תקציב מפורט 2025'!A:O,4,FALSE)-D366</f>
        <v>0</v>
      </c>
    </row>
    <row r="367" spans="1:5" hidden="1" x14ac:dyDescent="0.2">
      <c r="A367" s="97">
        <v>1812301780</v>
      </c>
      <c r="B367" s="97" t="s">
        <v>1912</v>
      </c>
      <c r="C367" s="97" t="s">
        <v>356</v>
      </c>
      <c r="D367" s="97"/>
      <c r="E367" s="97">
        <f>VLOOKUP(A367,'תקציב מפורט 2025'!A:O,4,FALSE)-D367</f>
        <v>0</v>
      </c>
    </row>
    <row r="368" spans="1:5" hidden="1" x14ac:dyDescent="0.2">
      <c r="A368" s="97">
        <v>1812312110</v>
      </c>
      <c r="B368" s="97" t="s">
        <v>773</v>
      </c>
      <c r="C368" s="97" t="s">
        <v>355</v>
      </c>
      <c r="D368" s="97">
        <v>0</v>
      </c>
      <c r="E368" s="97">
        <f>VLOOKUP(A368,'תקציב מפורט 2025'!A:O,4,FALSE)-D368</f>
        <v>0</v>
      </c>
    </row>
    <row r="369" spans="1:5" hidden="1" x14ac:dyDescent="0.2">
      <c r="A369" s="97">
        <v>1812312980</v>
      </c>
      <c r="B369" s="97" t="s">
        <v>1581</v>
      </c>
      <c r="C369" s="97" t="s">
        <v>356</v>
      </c>
      <c r="D369" s="97">
        <v>860690</v>
      </c>
      <c r="E369" s="97">
        <f>VLOOKUP(A369,'תקציב מפורט 2025'!A:O,4,FALSE)-D369</f>
        <v>-860690</v>
      </c>
    </row>
    <row r="370" spans="1:5" hidden="1" x14ac:dyDescent="0.2">
      <c r="A370" s="97">
        <v>1812400110</v>
      </c>
      <c r="B370" s="97" t="s">
        <v>678</v>
      </c>
      <c r="C370" s="97" t="s">
        <v>355</v>
      </c>
      <c r="D370" s="97">
        <v>100000</v>
      </c>
      <c r="E370" s="97">
        <f>VLOOKUP(A370,'תקציב מפורט 2025'!A:O,4,FALSE)-D370</f>
        <v>0</v>
      </c>
    </row>
    <row r="371" spans="1:5" hidden="1" x14ac:dyDescent="0.2">
      <c r="A371" s="97">
        <v>1812410780</v>
      </c>
      <c r="B371" s="97" t="s">
        <v>1582</v>
      </c>
      <c r="C371" s="97" t="s">
        <v>356</v>
      </c>
      <c r="D371" s="97">
        <v>60000</v>
      </c>
      <c r="E371" s="97">
        <f>VLOOKUP(A371,'תקציב מפורט 2025'!A:O,4,FALSE)-D371</f>
        <v>0</v>
      </c>
    </row>
    <row r="372" spans="1:5" hidden="1" x14ac:dyDescent="0.2">
      <c r="A372" s="97">
        <v>1812500110</v>
      </c>
      <c r="B372" s="97" t="s">
        <v>113</v>
      </c>
      <c r="C372" s="97" t="s">
        <v>355</v>
      </c>
      <c r="D372" s="97">
        <v>165000</v>
      </c>
      <c r="E372" s="97">
        <f>VLOOKUP(A372,'תקציב מפורט 2025'!A:O,4,FALSE)-D372</f>
        <v>0</v>
      </c>
    </row>
    <row r="373" spans="1:5" hidden="1" x14ac:dyDescent="0.2">
      <c r="A373" s="97">
        <v>1812500431</v>
      </c>
      <c r="B373" s="97" t="s">
        <v>20</v>
      </c>
      <c r="C373" s="97" t="s">
        <v>356</v>
      </c>
      <c r="D373" s="97">
        <v>40000</v>
      </c>
      <c r="E373" s="97">
        <f>VLOOKUP(A373,'תקציב מפורט 2025'!A:O,4,FALSE)-D373</f>
        <v>0</v>
      </c>
    </row>
    <row r="374" spans="1:5" hidden="1" x14ac:dyDescent="0.2">
      <c r="B374" t="s">
        <v>2152</v>
      </c>
      <c r="D374">
        <v>17233755</v>
      </c>
      <c r="E374" t="e">
        <f>VLOOKUP(A374,'תקציב מפורט 2025'!A:O,4,FALSE)-D374</f>
        <v>#N/A</v>
      </c>
    </row>
    <row r="375" spans="1:5" hidden="1" x14ac:dyDescent="0.2">
      <c r="A375" s="97">
        <v>1813200110</v>
      </c>
      <c r="B375" s="97" t="s">
        <v>2243</v>
      </c>
      <c r="C375" s="97" t="s">
        <v>355</v>
      </c>
      <c r="D375" s="97">
        <v>0</v>
      </c>
      <c r="E375" s="97">
        <v>0</v>
      </c>
    </row>
    <row r="376" spans="1:5" hidden="1" x14ac:dyDescent="0.2">
      <c r="A376" s="97">
        <v>1813200760</v>
      </c>
      <c r="B376" s="97" t="s">
        <v>1657</v>
      </c>
      <c r="C376" s="97" t="s">
        <v>356</v>
      </c>
      <c r="D376" s="97">
        <v>1000000</v>
      </c>
      <c r="E376" s="97">
        <f>VLOOKUP(A376,'תקציב מפורט 2025'!A:O,4,FALSE)-D376</f>
        <v>0</v>
      </c>
    </row>
    <row r="377" spans="1:5" hidden="1" x14ac:dyDescent="0.2">
      <c r="A377" s="97">
        <v>1813200780</v>
      </c>
      <c r="B377" s="97" t="s">
        <v>117</v>
      </c>
      <c r="C377" s="97" t="s">
        <v>356</v>
      </c>
      <c r="D377" s="97">
        <v>0</v>
      </c>
      <c r="E377" s="97">
        <f>VLOOKUP(A377,'תקציב מפורט 2025'!A:O,4,FALSE)-D377</f>
        <v>660690</v>
      </c>
    </row>
    <row r="378" spans="1:5" hidden="1" x14ac:dyDescent="0.2">
      <c r="A378" s="97">
        <v>1813200931</v>
      </c>
      <c r="B378" s="97" t="s">
        <v>148</v>
      </c>
      <c r="C378" s="97" t="s">
        <v>356</v>
      </c>
      <c r="D378" s="97">
        <v>0</v>
      </c>
      <c r="E378" s="97">
        <f>VLOOKUP(A378,'תקציב מפורט 2025'!A:O,4,FALSE)-D378</f>
        <v>0</v>
      </c>
    </row>
    <row r="379" spans="1:5" hidden="1" x14ac:dyDescent="0.2">
      <c r="A379" s="97">
        <v>1813210110</v>
      </c>
      <c r="B379" s="97" t="s">
        <v>118</v>
      </c>
      <c r="C379" s="97" t="s">
        <v>355</v>
      </c>
      <c r="D379" s="97">
        <v>700000</v>
      </c>
      <c r="E379" s="97">
        <f>VLOOKUP(A379,'תקציב מפורט 2025'!A:O,4,FALSE)-D379</f>
        <v>0</v>
      </c>
    </row>
    <row r="380" spans="1:5" hidden="1" x14ac:dyDescent="0.2">
      <c r="A380" s="97">
        <v>1813210431</v>
      </c>
      <c r="B380" s="97" t="s">
        <v>120</v>
      </c>
      <c r="C380" s="97" t="s">
        <v>356</v>
      </c>
      <c r="D380" s="97">
        <v>50000</v>
      </c>
      <c r="E380" s="97">
        <f>VLOOKUP(A380,'תקציב מפורט 2025'!A:O,4,FALSE)-D380</f>
        <v>0</v>
      </c>
    </row>
    <row r="381" spans="1:5" hidden="1" x14ac:dyDescent="0.2">
      <c r="A381" s="97">
        <v>1813210750</v>
      </c>
      <c r="B381" s="97" t="s">
        <v>1535</v>
      </c>
      <c r="C381" s="97" t="s">
        <v>356</v>
      </c>
      <c r="D381" s="97">
        <v>578487</v>
      </c>
      <c r="E381" s="97">
        <f>VLOOKUP(A381,'תקציב מפורט 2025'!A:O,4,FALSE)-D381</f>
        <v>0</v>
      </c>
    </row>
    <row r="382" spans="1:5" hidden="1" x14ac:dyDescent="0.2">
      <c r="A382" s="97">
        <v>1813210931</v>
      </c>
      <c r="B382" s="97" t="s">
        <v>1583</v>
      </c>
      <c r="C382" s="97" t="s">
        <v>356</v>
      </c>
      <c r="D382" s="97">
        <v>220000</v>
      </c>
      <c r="E382" s="97">
        <f>VLOOKUP(A382,'תקציב מפורט 2025'!A:O,4,FALSE)-D382</f>
        <v>0</v>
      </c>
    </row>
    <row r="383" spans="1:5" hidden="1" x14ac:dyDescent="0.2">
      <c r="A383" s="97">
        <v>1813211750</v>
      </c>
      <c r="B383" s="97" t="s">
        <v>1658</v>
      </c>
      <c r="C383" s="97" t="s">
        <v>356</v>
      </c>
      <c r="D383" s="97">
        <v>0</v>
      </c>
      <c r="E383" s="97">
        <f>VLOOKUP(A383,'תקציב מפורט 2025'!A:O,4,FALSE)-D383</f>
        <v>0</v>
      </c>
    </row>
    <row r="384" spans="1:5" hidden="1" x14ac:dyDescent="0.2">
      <c r="A384" s="97">
        <v>1813212110</v>
      </c>
      <c r="B384" s="97" t="s">
        <v>1584</v>
      </c>
      <c r="C384" s="97" t="s">
        <v>355</v>
      </c>
      <c r="D384" s="97">
        <v>0</v>
      </c>
      <c r="E384" s="97">
        <f>VLOOKUP(A384,'תקציב מפורט 2025'!A:O,4,FALSE)-D384</f>
        <v>0</v>
      </c>
    </row>
    <row r="385" spans="1:5" hidden="1" x14ac:dyDescent="0.2">
      <c r="A385" s="97">
        <v>1813212750</v>
      </c>
      <c r="B385" s="97" t="s">
        <v>1537</v>
      </c>
      <c r="C385" s="97" t="s">
        <v>356</v>
      </c>
      <c r="D385" s="97">
        <v>2098221</v>
      </c>
      <c r="E385" s="97">
        <f>VLOOKUP(A385,'תקציב מפורט 2025'!A:O,4,FALSE)-D385</f>
        <v>-2098221</v>
      </c>
    </row>
    <row r="386" spans="1:5" hidden="1" x14ac:dyDescent="0.2">
      <c r="A386" s="97">
        <v>1813220110</v>
      </c>
      <c r="B386" s="97" t="s">
        <v>125</v>
      </c>
      <c r="C386" s="97" t="s">
        <v>355</v>
      </c>
      <c r="D386" s="97">
        <v>625000</v>
      </c>
      <c r="E386" s="97">
        <f>VLOOKUP(A386,'תקציב מפורט 2025'!A:O,4,FALSE)-D386</f>
        <v>0</v>
      </c>
    </row>
    <row r="387" spans="1:5" hidden="1" x14ac:dyDescent="0.2">
      <c r="A387" s="97">
        <v>1813220431</v>
      </c>
      <c r="B387" s="97" t="s">
        <v>126</v>
      </c>
      <c r="C387" s="97" t="s">
        <v>356</v>
      </c>
      <c r="D387" s="97">
        <v>80000</v>
      </c>
      <c r="E387" s="97">
        <f>VLOOKUP(A387,'תקציב מפורט 2025'!A:O,4,FALSE)-D387</f>
        <v>0</v>
      </c>
    </row>
    <row r="388" spans="1:5" hidden="1" x14ac:dyDescent="0.2">
      <c r="A388" s="97">
        <v>1813230110</v>
      </c>
      <c r="B388" s="97" t="s">
        <v>132</v>
      </c>
      <c r="C388" s="97" t="s">
        <v>355</v>
      </c>
      <c r="D388" s="97">
        <v>880000</v>
      </c>
      <c r="E388" s="97">
        <f>VLOOKUP(A388,'תקציב מפורט 2025'!A:O,4,FALSE)-D388</f>
        <v>0</v>
      </c>
    </row>
    <row r="389" spans="1:5" hidden="1" x14ac:dyDescent="0.2">
      <c r="A389" s="97">
        <v>1813230431</v>
      </c>
      <c r="B389" s="97" t="s">
        <v>133</v>
      </c>
      <c r="C389" s="97" t="s">
        <v>356</v>
      </c>
      <c r="D389" s="97">
        <v>50000</v>
      </c>
      <c r="E389" s="97">
        <f>VLOOKUP(A389,'תקציב מפורט 2025'!A:O,4,FALSE)-D389</f>
        <v>0</v>
      </c>
    </row>
    <row r="390" spans="1:5" hidden="1" x14ac:dyDescent="0.2">
      <c r="A390" s="97">
        <v>1813240110</v>
      </c>
      <c r="B390" s="97" t="s">
        <v>139</v>
      </c>
      <c r="C390" s="97" t="s">
        <v>355</v>
      </c>
      <c r="D390" s="97">
        <v>540000</v>
      </c>
      <c r="E390" s="97">
        <f>VLOOKUP(A390,'תקציב מפורט 2025'!A:O,4,FALSE)-D390</f>
        <v>0</v>
      </c>
    </row>
    <row r="391" spans="1:5" hidden="1" x14ac:dyDescent="0.2">
      <c r="A391" s="97">
        <v>1813250110</v>
      </c>
      <c r="B391" s="97" t="s">
        <v>1585</v>
      </c>
      <c r="C391" s="97" t="s">
        <v>355</v>
      </c>
      <c r="D391" s="97">
        <v>120000</v>
      </c>
      <c r="E391" s="97">
        <f>VLOOKUP(A391,'תקציב מפורט 2025'!A:O,4,FALSE)-D391</f>
        <v>0</v>
      </c>
    </row>
    <row r="392" spans="1:5" hidden="1" x14ac:dyDescent="0.2">
      <c r="A392" s="97">
        <v>1813251110</v>
      </c>
      <c r="B392" s="97" t="s">
        <v>813</v>
      </c>
      <c r="C392" s="97" t="s">
        <v>355</v>
      </c>
      <c r="D392" s="97">
        <v>150000</v>
      </c>
      <c r="E392" s="97">
        <f>VLOOKUP(A392,'תקציב מפורט 2025'!A:O,4,FALSE)-D392</f>
        <v>0</v>
      </c>
    </row>
    <row r="393" spans="1:5" hidden="1" x14ac:dyDescent="0.2">
      <c r="A393" s="97">
        <v>1813260110</v>
      </c>
      <c r="B393" s="97" t="s">
        <v>112</v>
      </c>
      <c r="C393" s="97" t="s">
        <v>355</v>
      </c>
      <c r="D393" s="97"/>
      <c r="E393" s="97">
        <f>VLOOKUP(A393,'תקציב מפורט 2025'!A:O,4,FALSE)-D393</f>
        <v>0</v>
      </c>
    </row>
    <row r="394" spans="1:5" hidden="1" x14ac:dyDescent="0.2">
      <c r="A394" s="97">
        <v>1813300110</v>
      </c>
      <c r="B394" s="97" t="s">
        <v>145</v>
      </c>
      <c r="C394" s="97" t="s">
        <v>355</v>
      </c>
      <c r="D394" s="97">
        <v>2300000</v>
      </c>
      <c r="E394" s="97">
        <f>VLOOKUP(A394,'תקציב מפורט 2025'!A:O,4,FALSE)-D394</f>
        <v>0</v>
      </c>
    </row>
    <row r="395" spans="1:5" hidden="1" x14ac:dyDescent="0.2">
      <c r="A395" s="97">
        <v>1813300431</v>
      </c>
      <c r="B395" s="97" t="s">
        <v>679</v>
      </c>
      <c r="C395" s="97" t="s">
        <v>356</v>
      </c>
      <c r="D395" s="97">
        <v>40000</v>
      </c>
      <c r="E395" s="97">
        <f>VLOOKUP(A395,'תקציב מפורט 2025'!A:O,4,FALSE)-D395</f>
        <v>0</v>
      </c>
    </row>
    <row r="396" spans="1:5" hidden="1" x14ac:dyDescent="0.2">
      <c r="A396" s="97">
        <v>1813300870</v>
      </c>
      <c r="B396" s="97" t="s">
        <v>148</v>
      </c>
      <c r="C396" s="97" t="s">
        <v>356</v>
      </c>
      <c r="D396" s="97">
        <v>0</v>
      </c>
      <c r="E396" s="97">
        <f>VLOOKUP(A396,'תקציב מפורט 2025'!A:O,4,FALSE)-D396</f>
        <v>0</v>
      </c>
    </row>
    <row r="397" spans="1:5" hidden="1" x14ac:dyDescent="0.2">
      <c r="A397" s="97">
        <v>1813303760</v>
      </c>
      <c r="B397" s="97" t="s">
        <v>680</v>
      </c>
      <c r="C397" s="97" t="s">
        <v>356</v>
      </c>
      <c r="D397" s="97">
        <v>0</v>
      </c>
      <c r="E397" s="97">
        <f>VLOOKUP(A397,'תקציב מפורט 2025'!A:O,4,FALSE)-D397</f>
        <v>0</v>
      </c>
    </row>
    <row r="398" spans="1:5" hidden="1" x14ac:dyDescent="0.2">
      <c r="A398" s="97">
        <v>1813800110</v>
      </c>
      <c r="B398" s="97" t="s">
        <v>774</v>
      </c>
      <c r="C398" s="97" t="s">
        <v>355</v>
      </c>
      <c r="D398" s="97">
        <v>0</v>
      </c>
      <c r="E398" s="97">
        <f>VLOOKUP(A398,'תקציב מפורט 2025'!A:O,4,FALSE)-D398</f>
        <v>0</v>
      </c>
    </row>
    <row r="399" spans="1:5" hidden="1" x14ac:dyDescent="0.2">
      <c r="A399" s="97">
        <v>1813810110</v>
      </c>
      <c r="B399" s="97" t="s">
        <v>775</v>
      </c>
      <c r="C399" s="97" t="s">
        <v>355</v>
      </c>
      <c r="D399" s="97">
        <v>0</v>
      </c>
      <c r="E399" s="97">
        <f>VLOOKUP(A399,'תקציב מפורט 2025'!A:O,4,FALSE)-D399</f>
        <v>0</v>
      </c>
    </row>
    <row r="400" spans="1:5" hidden="1" x14ac:dyDescent="0.2">
      <c r="B400" t="s">
        <v>2153</v>
      </c>
      <c r="D400">
        <v>9431708</v>
      </c>
      <c r="E400" t="e">
        <f>VLOOKUP(A400,'תקציב מפורט 2025'!A:O,4,FALSE)-D400</f>
        <v>#N/A</v>
      </c>
    </row>
    <row r="401" spans="1:5" hidden="1" x14ac:dyDescent="0.2">
      <c r="A401" s="97">
        <v>1814000110</v>
      </c>
      <c r="B401" s="97" t="s">
        <v>150</v>
      </c>
      <c r="C401" s="97" t="s">
        <v>355</v>
      </c>
      <c r="D401" s="97">
        <v>1480000</v>
      </c>
      <c r="E401" s="97">
        <f>VLOOKUP(A401,'תקציב מפורט 2025'!A:O,4,FALSE)-D401</f>
        <v>0</v>
      </c>
    </row>
    <row r="402" spans="1:5" hidden="1" x14ac:dyDescent="0.2">
      <c r="A402" s="97">
        <v>1814000320</v>
      </c>
      <c r="B402" s="97" t="s">
        <v>2244</v>
      </c>
      <c r="C402" s="97" t="s">
        <v>355</v>
      </c>
      <c r="D402" s="97">
        <v>0</v>
      </c>
      <c r="E402" s="97">
        <v>0</v>
      </c>
    </row>
    <row r="403" spans="1:5" hidden="1" x14ac:dyDescent="0.2">
      <c r="A403" s="97">
        <v>1814000431</v>
      </c>
      <c r="B403" s="97" t="s">
        <v>151</v>
      </c>
      <c r="C403" s="97" t="s">
        <v>356</v>
      </c>
      <c r="D403" s="97">
        <v>70000</v>
      </c>
      <c r="E403" s="97">
        <f>VLOOKUP(A403,'תקציב מפורט 2025'!A:O,4,FALSE)-D403</f>
        <v>0</v>
      </c>
    </row>
    <row r="404" spans="1:5" hidden="1" x14ac:dyDescent="0.2">
      <c r="A404" s="97">
        <v>1814000750</v>
      </c>
      <c r="B404" s="97" t="s">
        <v>155</v>
      </c>
      <c r="C404" s="97" t="s">
        <v>356</v>
      </c>
      <c r="D404" s="97">
        <v>0</v>
      </c>
      <c r="E404" s="97">
        <f>VLOOKUP(A404,'תקציב מפורט 2025'!A:O,4,FALSE)-D404</f>
        <v>0</v>
      </c>
    </row>
    <row r="405" spans="1:5" hidden="1" x14ac:dyDescent="0.2">
      <c r="A405" s="97">
        <v>1814000780</v>
      </c>
      <c r="B405" s="97" t="s">
        <v>681</v>
      </c>
      <c r="C405" s="97" t="s">
        <v>356</v>
      </c>
      <c r="D405" s="97">
        <v>10000</v>
      </c>
      <c r="E405" s="97">
        <f>VLOOKUP(A405,'תקציב מפורט 2025'!A:O,4,FALSE)-D405</f>
        <v>25000</v>
      </c>
    </row>
    <row r="406" spans="1:5" hidden="1" x14ac:dyDescent="0.2">
      <c r="A406" s="97">
        <v>1814000870</v>
      </c>
      <c r="B406" s="97" t="s">
        <v>156</v>
      </c>
      <c r="C406" s="97" t="s">
        <v>356</v>
      </c>
      <c r="D406" s="97">
        <v>25000</v>
      </c>
      <c r="E406" s="97">
        <f>VLOOKUP(A406,'תקציב מפורט 2025'!A:O,4,FALSE)-D406</f>
        <v>-25000</v>
      </c>
    </row>
    <row r="407" spans="1:5" hidden="1" x14ac:dyDescent="0.2">
      <c r="B407" t="s">
        <v>637</v>
      </c>
      <c r="D407">
        <v>1585000</v>
      </c>
      <c r="E407" t="e">
        <f>VLOOKUP(A407,'תקציב מפורט 2025'!A:O,4,FALSE)-D407</f>
        <v>#N/A</v>
      </c>
    </row>
    <row r="408" spans="1:5" hidden="1" x14ac:dyDescent="0.2">
      <c r="A408" s="97">
        <v>1815200110</v>
      </c>
      <c r="B408" s="97" t="s">
        <v>157</v>
      </c>
      <c r="C408" s="97" t="s">
        <v>355</v>
      </c>
      <c r="D408" s="97">
        <v>15250000</v>
      </c>
      <c r="E408" s="97">
        <f>VLOOKUP(A408,'תקציב מפורט 2025'!A:O,4,FALSE)-D408</f>
        <v>0</v>
      </c>
    </row>
    <row r="409" spans="1:5" hidden="1" x14ac:dyDescent="0.2">
      <c r="A409" s="97">
        <v>1815200320</v>
      </c>
      <c r="B409" s="97" t="s">
        <v>19</v>
      </c>
      <c r="C409" s="97" t="s">
        <v>355</v>
      </c>
      <c r="D409" s="97">
        <v>0</v>
      </c>
      <c r="E409" s="97">
        <v>0</v>
      </c>
    </row>
    <row r="410" spans="1:5" hidden="1" x14ac:dyDescent="0.2">
      <c r="A410" s="97">
        <v>1815200434</v>
      </c>
      <c r="B410" s="97" t="s">
        <v>2071</v>
      </c>
      <c r="C410" s="97" t="s">
        <v>356</v>
      </c>
      <c r="D410" s="97">
        <v>2300000</v>
      </c>
      <c r="E410" s="97">
        <f>VLOOKUP(A410,'תקציב מפורט 2025'!A:O,4,FALSE)-D410</f>
        <v>0</v>
      </c>
    </row>
    <row r="411" spans="1:5" hidden="1" x14ac:dyDescent="0.2">
      <c r="A411" s="97">
        <v>1815200750</v>
      </c>
      <c r="B411" s="97" t="s">
        <v>163</v>
      </c>
      <c r="C411" s="97" t="s">
        <v>356</v>
      </c>
      <c r="D411" s="97">
        <v>1300000</v>
      </c>
      <c r="E411" s="97">
        <f>VLOOKUP(A411,'תקציב מפורט 2025'!A:O,4,FALSE)-D411</f>
        <v>-1300000</v>
      </c>
    </row>
    <row r="412" spans="1:5" hidden="1" x14ac:dyDescent="0.2">
      <c r="A412" s="97">
        <v>1815200751</v>
      </c>
      <c r="B412" s="97" t="s">
        <v>1913</v>
      </c>
      <c r="C412" s="97" t="s">
        <v>356</v>
      </c>
      <c r="D412" s="97"/>
      <c r="E412" s="97">
        <f>VLOOKUP(A412,'תקציב מפורט 2025'!A:O,4,FALSE)-D412</f>
        <v>1300000</v>
      </c>
    </row>
    <row r="413" spans="1:5" hidden="1" x14ac:dyDescent="0.2">
      <c r="A413" s="97">
        <v>1815200760</v>
      </c>
      <c r="B413" s="97" t="s">
        <v>164</v>
      </c>
      <c r="C413" s="97" t="s">
        <v>356</v>
      </c>
      <c r="D413" s="97">
        <v>150000</v>
      </c>
      <c r="E413" s="97">
        <f>VLOOKUP(A413,'תקציב מפורט 2025'!A:O,4,FALSE)-D413</f>
        <v>0</v>
      </c>
    </row>
    <row r="414" spans="1:5" hidden="1" x14ac:dyDescent="0.2">
      <c r="A414" s="97">
        <v>1815200780</v>
      </c>
      <c r="B414" s="97" t="s">
        <v>165</v>
      </c>
      <c r="C414" s="97" t="s">
        <v>356</v>
      </c>
      <c r="D414" s="97">
        <v>0</v>
      </c>
      <c r="E414" s="97">
        <f>VLOOKUP(A414,'תקציב מפורט 2025'!A:O,4,FALSE)-D414</f>
        <v>40000</v>
      </c>
    </row>
    <row r="415" spans="1:5" ht="18" x14ac:dyDescent="0.25">
      <c r="A415" s="98">
        <v>1815201110</v>
      </c>
      <c r="B415" s="98" t="s">
        <v>2245</v>
      </c>
      <c r="C415" s="98" t="s">
        <v>355</v>
      </c>
      <c r="D415" s="98">
        <v>200000</v>
      </c>
      <c r="E415" s="98">
        <f>VLOOKUP(A415,'תקציב מפורט 2025'!A:O,4,FALSE)-D415</f>
        <v>0</v>
      </c>
    </row>
    <row r="416" spans="1:5" hidden="1" x14ac:dyDescent="0.2">
      <c r="A416" s="97">
        <v>1815201750</v>
      </c>
      <c r="B416" s="97" t="s">
        <v>1557</v>
      </c>
      <c r="C416" s="97" t="s">
        <v>356</v>
      </c>
      <c r="D416" s="97">
        <v>40000</v>
      </c>
      <c r="E416" s="97">
        <f>VLOOKUP(A416,'תקציב מפורט 2025'!A:O,4,FALSE)-D416</f>
        <v>-40000</v>
      </c>
    </row>
    <row r="417" spans="1:5" hidden="1" x14ac:dyDescent="0.2">
      <c r="A417" s="97">
        <v>1815210780</v>
      </c>
      <c r="B417" s="97" t="s">
        <v>1914</v>
      </c>
      <c r="C417" s="97" t="s">
        <v>356</v>
      </c>
      <c r="D417" s="97"/>
      <c r="E417" s="97">
        <f>VLOOKUP(A417,'תקציב מפורט 2025'!A:O,4,FALSE)-D417</f>
        <v>0</v>
      </c>
    </row>
    <row r="418" spans="1:5" hidden="1" x14ac:dyDescent="0.2">
      <c r="A418" s="97">
        <v>1815220110</v>
      </c>
      <c r="B418" s="97" t="s">
        <v>1915</v>
      </c>
      <c r="C418" s="97" t="s">
        <v>355</v>
      </c>
      <c r="D418" s="97"/>
      <c r="E418" s="97">
        <f>VLOOKUP(A418,'תקציב מפורט 2025'!A:O,4,FALSE)-D418</f>
        <v>0</v>
      </c>
    </row>
    <row r="419" spans="1:5" hidden="1" x14ac:dyDescent="0.2">
      <c r="A419" s="97">
        <v>1815700760</v>
      </c>
      <c r="B419" s="97" t="s">
        <v>682</v>
      </c>
      <c r="C419" s="97" t="s">
        <v>356</v>
      </c>
      <c r="D419" s="97">
        <v>850000</v>
      </c>
      <c r="E419" s="97">
        <f>VLOOKUP(A419,'תקציב מפורט 2025'!A:O,4,FALSE)-D419</f>
        <v>0</v>
      </c>
    </row>
    <row r="420" spans="1:5" hidden="1" x14ac:dyDescent="0.2">
      <c r="B420" t="s">
        <v>2154</v>
      </c>
      <c r="D420">
        <v>20090000</v>
      </c>
      <c r="E420" t="e">
        <f>VLOOKUP(A420,'תקציב מפורט 2025'!A:O,4,FALSE)-D420</f>
        <v>#N/A</v>
      </c>
    </row>
    <row r="421" spans="1:5" hidden="1" x14ac:dyDescent="0.2">
      <c r="A421" s="97">
        <v>1817300110</v>
      </c>
      <c r="B421" s="97" t="s">
        <v>167</v>
      </c>
      <c r="C421" s="97" t="s">
        <v>355</v>
      </c>
      <c r="D421" s="97">
        <v>110000</v>
      </c>
      <c r="E421" s="97">
        <f>VLOOKUP(A421,'תקציב מפורט 2025'!A:O,4,FALSE)-D421</f>
        <v>0</v>
      </c>
    </row>
    <row r="422" spans="1:5" hidden="1" x14ac:dyDescent="0.2">
      <c r="A422" s="97">
        <v>1817301750</v>
      </c>
      <c r="B422" s="97" t="s">
        <v>171</v>
      </c>
      <c r="C422" s="97" t="s">
        <v>356</v>
      </c>
      <c r="D422" s="97">
        <v>50000</v>
      </c>
      <c r="E422" s="97">
        <f>VLOOKUP(A422,'תקציב מפורט 2025'!A:O,4,FALSE)-D422</f>
        <v>-50000</v>
      </c>
    </row>
    <row r="423" spans="1:5" hidden="1" x14ac:dyDescent="0.2">
      <c r="B423" t="s">
        <v>2155</v>
      </c>
      <c r="D423">
        <v>160000</v>
      </c>
      <c r="E423" t="e">
        <f>VLOOKUP(A423,'תקציב מפורט 2025'!A:O,4,FALSE)-D423</f>
        <v>#N/A</v>
      </c>
    </row>
    <row r="424" spans="1:5" hidden="1" x14ac:dyDescent="0.2">
      <c r="A424" s="97">
        <v>1817500441</v>
      </c>
      <c r="B424" s="97" t="s">
        <v>2064</v>
      </c>
      <c r="C424" s="97" t="s">
        <v>356</v>
      </c>
      <c r="D424" s="97">
        <v>370000</v>
      </c>
      <c r="E424" s="97">
        <f>VLOOKUP(A424,'תקציב מפורט 2025'!A:O,4,FALSE)-D424</f>
        <v>0</v>
      </c>
    </row>
    <row r="425" spans="1:5" hidden="1" x14ac:dyDescent="0.2">
      <c r="A425" s="97">
        <v>1817600110</v>
      </c>
      <c r="B425" s="97" t="s">
        <v>245</v>
      </c>
      <c r="C425" s="97" t="s">
        <v>355</v>
      </c>
      <c r="D425" s="97">
        <v>92874</v>
      </c>
      <c r="E425" s="97">
        <f>VLOOKUP(A425,'תקציב מפורט 2025'!A:O,4,FALSE)-D425</f>
        <v>0</v>
      </c>
    </row>
    <row r="426" spans="1:5" hidden="1" x14ac:dyDescent="0.2">
      <c r="A426" s="97">
        <v>1817600431</v>
      </c>
      <c r="B426" s="97" t="s">
        <v>20</v>
      </c>
      <c r="C426" s="97" t="s">
        <v>356</v>
      </c>
      <c r="D426" s="97">
        <v>33000</v>
      </c>
      <c r="E426" s="97">
        <f>VLOOKUP(A426,'תקציב מפורט 2025'!A:O,4,FALSE)-D426</f>
        <v>0</v>
      </c>
    </row>
    <row r="427" spans="1:5" hidden="1" x14ac:dyDescent="0.2">
      <c r="A427" s="97">
        <v>1817600750</v>
      </c>
      <c r="B427" s="97" t="s">
        <v>297</v>
      </c>
      <c r="C427" s="97" t="s">
        <v>356</v>
      </c>
      <c r="D427" s="97">
        <v>95874</v>
      </c>
      <c r="E427" s="97">
        <f>VLOOKUP(A427,'תקציב מפורט 2025'!A:O,4,FALSE)-D427</f>
        <v>0</v>
      </c>
    </row>
    <row r="428" spans="1:5" hidden="1" x14ac:dyDescent="0.2">
      <c r="A428" s="97">
        <v>1817600780</v>
      </c>
      <c r="B428" s="97" t="s">
        <v>173</v>
      </c>
      <c r="C428" s="97" t="s">
        <v>356</v>
      </c>
      <c r="D428" s="97">
        <v>9000</v>
      </c>
      <c r="E428" s="97">
        <f>VLOOKUP(A428,'תקציב מפורט 2025'!A:O,4,FALSE)-D428</f>
        <v>0</v>
      </c>
    </row>
    <row r="429" spans="1:5" hidden="1" x14ac:dyDescent="0.2">
      <c r="A429" s="97">
        <v>1817601750</v>
      </c>
      <c r="B429" s="97" t="s">
        <v>183</v>
      </c>
      <c r="C429" s="97" t="s">
        <v>356</v>
      </c>
      <c r="D429" s="97">
        <v>255237</v>
      </c>
      <c r="E429" s="97">
        <f>VLOOKUP(A429,'תקציב מפורט 2025'!A:O,4,FALSE)-D429</f>
        <v>0</v>
      </c>
    </row>
    <row r="430" spans="1:5" hidden="1" x14ac:dyDescent="0.2">
      <c r="A430" s="97">
        <v>1817602110</v>
      </c>
      <c r="B430" s="97" t="s">
        <v>1017</v>
      </c>
      <c r="C430" s="97" t="s">
        <v>355</v>
      </c>
      <c r="D430" s="97">
        <v>50000</v>
      </c>
      <c r="E430" s="97">
        <f>VLOOKUP(A430,'תקציב מפורט 2025'!A:O,4,FALSE)-D430</f>
        <v>0</v>
      </c>
    </row>
    <row r="431" spans="1:5" hidden="1" x14ac:dyDescent="0.2">
      <c r="A431" s="97">
        <v>1817610110</v>
      </c>
      <c r="B431" s="97" t="s">
        <v>174</v>
      </c>
      <c r="C431" s="97" t="s">
        <v>355</v>
      </c>
      <c r="D431" s="97">
        <v>100000</v>
      </c>
      <c r="E431" s="97">
        <f>VLOOKUP(A431,'תקציב מפורט 2025'!A:O,4,FALSE)-D431</f>
        <v>0</v>
      </c>
    </row>
    <row r="432" spans="1:5" hidden="1" x14ac:dyDescent="0.2">
      <c r="A432" s="97">
        <v>1817700110</v>
      </c>
      <c r="B432" s="97" t="s">
        <v>2053</v>
      </c>
      <c r="C432" s="97" t="s">
        <v>355</v>
      </c>
      <c r="D432" s="97"/>
      <c r="E432" s="97">
        <f>VLOOKUP(A432,'תקציב מפורט 2025'!A:O,4,FALSE)-D432</f>
        <v>180000</v>
      </c>
    </row>
    <row r="433" spans="1:5" hidden="1" x14ac:dyDescent="0.2">
      <c r="A433" s="97">
        <v>1817710870</v>
      </c>
      <c r="B433" s="97" t="s">
        <v>1586</v>
      </c>
      <c r="C433" s="97" t="s">
        <v>356</v>
      </c>
      <c r="D433" s="97">
        <v>200000</v>
      </c>
      <c r="E433" s="97">
        <f>VLOOKUP(A433,'תקציב מפורט 2025'!A:O,4,FALSE)-D433</f>
        <v>-200000</v>
      </c>
    </row>
    <row r="434" spans="1:5" hidden="1" x14ac:dyDescent="0.2">
      <c r="A434" s="97">
        <v>1817720110</v>
      </c>
      <c r="B434" s="97" t="s">
        <v>1587</v>
      </c>
      <c r="C434" s="97" t="s">
        <v>355</v>
      </c>
      <c r="D434" s="97">
        <v>0</v>
      </c>
      <c r="E434" s="97">
        <f>VLOOKUP(A434,'תקציב מפורט 2025'!A:O,4,FALSE)-D434</f>
        <v>0</v>
      </c>
    </row>
    <row r="435" spans="1:5" hidden="1" x14ac:dyDescent="0.2">
      <c r="A435" s="97">
        <v>1817720720</v>
      </c>
      <c r="B435" s="97" t="s">
        <v>656</v>
      </c>
      <c r="C435" s="97" t="s">
        <v>356</v>
      </c>
      <c r="D435" s="97">
        <v>0</v>
      </c>
      <c r="E435" s="97">
        <f>VLOOKUP(A435,'תקציב מפורט 2025'!A:O,4,FALSE)-D435</f>
        <v>0</v>
      </c>
    </row>
    <row r="436" spans="1:5" hidden="1" x14ac:dyDescent="0.2">
      <c r="A436" s="97">
        <v>1817800110</v>
      </c>
      <c r="B436" s="97" t="s">
        <v>178</v>
      </c>
      <c r="C436" s="97" t="s">
        <v>355</v>
      </c>
      <c r="D436" s="97">
        <v>1200000</v>
      </c>
      <c r="E436" s="97">
        <f>VLOOKUP(A436,'תקציב מפורט 2025'!A:O,4,FALSE)-D436</f>
        <v>0</v>
      </c>
    </row>
    <row r="437" spans="1:5" hidden="1" x14ac:dyDescent="0.2">
      <c r="A437" s="97">
        <v>1817800710</v>
      </c>
      <c r="B437" s="97" t="s">
        <v>179</v>
      </c>
      <c r="C437" s="97" t="s">
        <v>356</v>
      </c>
      <c r="D437" s="97">
        <v>2600000</v>
      </c>
      <c r="E437" s="97">
        <f>VLOOKUP(A437,'תקציב מפורט 2025'!A:O,4,FALSE)-D437</f>
        <v>0</v>
      </c>
    </row>
    <row r="438" spans="1:5" hidden="1" x14ac:dyDescent="0.2">
      <c r="A438" s="97">
        <v>1817801750</v>
      </c>
      <c r="B438" s="97" t="s">
        <v>1588</v>
      </c>
      <c r="C438" s="97" t="s">
        <v>356</v>
      </c>
      <c r="D438" s="97">
        <v>1400000</v>
      </c>
      <c r="E438" s="97">
        <f>VLOOKUP(A438,'תקציב מפורט 2025'!A:O,4,FALSE)-D438</f>
        <v>250000</v>
      </c>
    </row>
    <row r="439" spans="1:5" hidden="1" x14ac:dyDescent="0.2">
      <c r="A439" s="97">
        <v>1817900110</v>
      </c>
      <c r="B439" s="97" t="s">
        <v>779</v>
      </c>
      <c r="C439" s="97" t="s">
        <v>355</v>
      </c>
      <c r="D439" s="97">
        <v>680000</v>
      </c>
      <c r="E439" s="97">
        <f>VLOOKUP(A439,'תקציב מפורט 2025'!A:O,4,FALSE)-D439</f>
        <v>-180000</v>
      </c>
    </row>
    <row r="440" spans="1:5" hidden="1" x14ac:dyDescent="0.2">
      <c r="A440" s="97">
        <v>1817900320</v>
      </c>
      <c r="B440" s="97" t="s">
        <v>112</v>
      </c>
      <c r="C440" s="97" t="s">
        <v>355</v>
      </c>
      <c r="D440" s="97">
        <v>0</v>
      </c>
      <c r="E440" s="97">
        <f>VLOOKUP(A440,'תקציב מפורט 2025'!A:O,4,FALSE)-D440</f>
        <v>0</v>
      </c>
    </row>
    <row r="441" spans="1:5" hidden="1" x14ac:dyDescent="0.2">
      <c r="A441" s="97">
        <v>1817905110</v>
      </c>
      <c r="B441" s="97" t="s">
        <v>816</v>
      </c>
      <c r="C441" s="97" t="s">
        <v>355</v>
      </c>
      <c r="D441" s="97">
        <v>900000</v>
      </c>
      <c r="E441" s="97">
        <f>VLOOKUP(A441,'תקציב מפורט 2025'!A:O,4,FALSE)-D441</f>
        <v>0</v>
      </c>
    </row>
    <row r="442" spans="1:5" hidden="1" x14ac:dyDescent="0.2">
      <c r="A442" s="97">
        <v>1817910110</v>
      </c>
      <c r="B442" s="97" t="s">
        <v>684</v>
      </c>
      <c r="C442" s="97" t="s">
        <v>355</v>
      </c>
      <c r="D442" s="97">
        <v>0</v>
      </c>
      <c r="E442" s="97">
        <f>VLOOKUP(A442,'תקציב מפורט 2025'!A:O,4,FALSE)-D442</f>
        <v>0</v>
      </c>
    </row>
    <row r="443" spans="1:5" hidden="1" x14ac:dyDescent="0.2">
      <c r="A443" s="97">
        <v>1817910810</v>
      </c>
      <c r="B443" s="97" t="s">
        <v>181</v>
      </c>
      <c r="C443" s="97" t="s">
        <v>356</v>
      </c>
      <c r="D443" s="97">
        <v>1500000</v>
      </c>
      <c r="E443" s="97">
        <f>VLOOKUP(A443,'תקציב מפורט 2025'!A:O,4,FALSE)-D443</f>
        <v>0</v>
      </c>
    </row>
    <row r="444" spans="1:5" hidden="1" x14ac:dyDescent="0.2">
      <c r="A444" s="97">
        <v>1817911110</v>
      </c>
      <c r="B444" s="97" t="s">
        <v>803</v>
      </c>
      <c r="C444" s="97" t="s">
        <v>355</v>
      </c>
      <c r="D444" s="97">
        <v>0</v>
      </c>
      <c r="E444" s="97">
        <f>VLOOKUP(A444,'תקציב מפורט 2025'!A:O,4,FALSE)-D444</f>
        <v>0</v>
      </c>
    </row>
    <row r="445" spans="1:5" hidden="1" x14ac:dyDescent="0.2">
      <c r="A445" s="97">
        <v>1817911750</v>
      </c>
      <c r="B445" s="97" t="s">
        <v>687</v>
      </c>
      <c r="C445" s="97" t="s">
        <v>356</v>
      </c>
      <c r="D445" s="97">
        <v>66000</v>
      </c>
      <c r="E445" s="97">
        <f>VLOOKUP(A445,'תקציב מפורט 2025'!A:O,4,FALSE)-D445</f>
        <v>0</v>
      </c>
    </row>
    <row r="446" spans="1:5" hidden="1" x14ac:dyDescent="0.2">
      <c r="A446" s="97">
        <v>1817912750</v>
      </c>
      <c r="B446" s="97" t="s">
        <v>689</v>
      </c>
      <c r="C446" s="97" t="s">
        <v>356</v>
      </c>
      <c r="D446" s="97">
        <v>170000</v>
      </c>
      <c r="E446" s="97">
        <f>VLOOKUP(A446,'תקציב מפורט 2025'!A:O,4,FALSE)-D446</f>
        <v>0</v>
      </c>
    </row>
    <row r="447" spans="1:5" hidden="1" x14ac:dyDescent="0.2">
      <c r="A447" s="97">
        <v>1817913110</v>
      </c>
      <c r="B447" s="97" t="s">
        <v>2246</v>
      </c>
      <c r="C447" s="97" t="s">
        <v>355</v>
      </c>
      <c r="D447" s="97">
        <v>900000</v>
      </c>
      <c r="E447" s="97">
        <f>VLOOKUP(A447,'תקציב מפורט 2025'!A:O,4,FALSE)-D447</f>
        <v>0</v>
      </c>
    </row>
    <row r="448" spans="1:5" hidden="1" x14ac:dyDescent="0.2">
      <c r="A448" s="97">
        <v>1817913750</v>
      </c>
      <c r="B448" s="97" t="s">
        <v>1016</v>
      </c>
      <c r="C448" s="97" t="s">
        <v>356</v>
      </c>
      <c r="D448" s="97">
        <v>40000</v>
      </c>
      <c r="E448" s="97">
        <f>VLOOKUP(A448,'תקציב מפורט 2025'!A:O,4,FALSE)-D448</f>
        <v>0</v>
      </c>
    </row>
    <row r="449" spans="1:5" hidden="1" x14ac:dyDescent="0.2">
      <c r="A449" s="97">
        <v>1817914750</v>
      </c>
      <c r="B449" s="97" t="s">
        <v>996</v>
      </c>
      <c r="C449" s="97" t="s">
        <v>356</v>
      </c>
      <c r="D449" s="97">
        <v>60000</v>
      </c>
      <c r="E449" s="97">
        <f>VLOOKUP(A449,'תקציב מפורט 2025'!A:O,4,FALSE)-D449</f>
        <v>0</v>
      </c>
    </row>
    <row r="450" spans="1:5" hidden="1" x14ac:dyDescent="0.2">
      <c r="A450" s="97">
        <v>1817915750</v>
      </c>
      <c r="B450" s="97" t="s">
        <v>2247</v>
      </c>
      <c r="C450" s="97" t="s">
        <v>356</v>
      </c>
      <c r="D450" s="97">
        <v>0</v>
      </c>
      <c r="E450" s="97">
        <v>0</v>
      </c>
    </row>
    <row r="451" spans="1:5" hidden="1" x14ac:dyDescent="0.2">
      <c r="A451" s="97">
        <v>1817916110</v>
      </c>
      <c r="B451" s="97" t="s">
        <v>721</v>
      </c>
      <c r="C451" s="97" t="s">
        <v>355</v>
      </c>
      <c r="D451" s="97">
        <v>300000</v>
      </c>
      <c r="E451" s="97">
        <f>VLOOKUP(A451,'תקציב מפורט 2025'!A:O,4,FALSE)-D451</f>
        <v>0</v>
      </c>
    </row>
    <row r="452" spans="1:5" hidden="1" x14ac:dyDescent="0.2">
      <c r="A452" s="97">
        <v>1817917110</v>
      </c>
      <c r="B452" s="97" t="s">
        <v>776</v>
      </c>
      <c r="C452" s="97" t="s">
        <v>355</v>
      </c>
      <c r="D452" s="97">
        <v>150000</v>
      </c>
      <c r="E452" s="97">
        <f>VLOOKUP(A452,'תקציב מפורט 2025'!A:O,4,FALSE)-D452</f>
        <v>0</v>
      </c>
    </row>
    <row r="453" spans="1:5" hidden="1" x14ac:dyDescent="0.2">
      <c r="A453" s="97">
        <v>1817919110</v>
      </c>
      <c r="B453" s="97" t="s">
        <v>715</v>
      </c>
      <c r="C453" s="97" t="s">
        <v>355</v>
      </c>
      <c r="D453" s="97">
        <v>0</v>
      </c>
      <c r="E453" s="97">
        <f>VLOOKUP(A453,'תקציב מפורט 2025'!A:O,4,FALSE)-D453</f>
        <v>0</v>
      </c>
    </row>
    <row r="454" spans="1:5" hidden="1" x14ac:dyDescent="0.2">
      <c r="A454" s="97">
        <v>1817920110</v>
      </c>
      <c r="B454" s="97" t="s">
        <v>112</v>
      </c>
      <c r="C454" s="97" t="s">
        <v>355</v>
      </c>
      <c r="D454" s="97"/>
      <c r="E454" s="97">
        <f>VLOOKUP(A454,'תקציב מפורט 2025'!A:O,4,FALSE)-D454</f>
        <v>0</v>
      </c>
    </row>
    <row r="455" spans="1:5" hidden="1" x14ac:dyDescent="0.2">
      <c r="B455" t="s">
        <v>2156</v>
      </c>
      <c r="D455">
        <v>11171985</v>
      </c>
      <c r="E455" t="e">
        <f>VLOOKUP(A455,'תקציב מפורט 2025'!A:O,4,FALSE)-D455</f>
        <v>#N/A</v>
      </c>
    </row>
    <row r="456" spans="1:5" hidden="1" x14ac:dyDescent="0.2">
      <c r="B456" t="s">
        <v>357</v>
      </c>
      <c r="D456">
        <v>60957448</v>
      </c>
      <c r="E456" t="e">
        <f>VLOOKUP(A456,'תקציב מפורט 2025'!A:O,4,FALSE)-D456</f>
        <v>#N/A</v>
      </c>
    </row>
    <row r="457" spans="1:5" hidden="1" x14ac:dyDescent="0.2">
      <c r="A457" s="97">
        <v>1823000110</v>
      </c>
      <c r="B457" s="97" t="s">
        <v>1659</v>
      </c>
      <c r="C457" s="97" t="s">
        <v>352</v>
      </c>
      <c r="D457" s="97">
        <v>145000</v>
      </c>
      <c r="E457" s="97">
        <f>VLOOKUP(A457,'תקציב מפורט 2025'!A:O,4,FALSE)-D457</f>
        <v>0</v>
      </c>
    </row>
    <row r="458" spans="1:5" ht="18" x14ac:dyDescent="0.25">
      <c r="A458" s="98">
        <v>1824000110</v>
      </c>
      <c r="B458" s="98" t="s">
        <v>2248</v>
      </c>
      <c r="C458" s="98" t="s">
        <v>352</v>
      </c>
      <c r="D458" s="98">
        <v>150000</v>
      </c>
      <c r="E458" s="98">
        <f>VLOOKUP(A458,'תקציב מפורט 2025'!A:O,4,FALSE)-D458</f>
        <v>0</v>
      </c>
    </row>
    <row r="459" spans="1:5" hidden="1" x14ac:dyDescent="0.2">
      <c r="A459" s="97">
        <v>1824000431</v>
      </c>
      <c r="B459" s="97" t="s">
        <v>691</v>
      </c>
      <c r="C459" s="97" t="s">
        <v>353</v>
      </c>
      <c r="D459" s="97">
        <v>40000</v>
      </c>
      <c r="E459" s="97">
        <f>VLOOKUP(A459,'תקציב מפורט 2025'!A:O,4,FALSE)-D459</f>
        <v>0</v>
      </c>
    </row>
    <row r="460" spans="1:5" hidden="1" x14ac:dyDescent="0.2">
      <c r="A460" s="97">
        <v>1824000432</v>
      </c>
      <c r="B460" s="97" t="s">
        <v>182</v>
      </c>
      <c r="C460" s="97" t="s">
        <v>353</v>
      </c>
      <c r="D460" s="97">
        <v>20000</v>
      </c>
      <c r="E460" s="97">
        <f>VLOOKUP(A460,'תקציב מפורט 2025'!A:O,4,FALSE)-D460</f>
        <v>0</v>
      </c>
    </row>
    <row r="461" spans="1:5" hidden="1" x14ac:dyDescent="0.2">
      <c r="A461" s="97">
        <v>1824000750</v>
      </c>
      <c r="B461" s="97" t="s">
        <v>1589</v>
      </c>
      <c r="C461" s="97" t="s">
        <v>353</v>
      </c>
      <c r="D461" s="97">
        <v>70000</v>
      </c>
      <c r="E461" s="97">
        <f>VLOOKUP(A461,'תקציב מפורט 2025'!A:O,4,FALSE)-D461</f>
        <v>0</v>
      </c>
    </row>
    <row r="462" spans="1:5" hidden="1" x14ac:dyDescent="0.2">
      <c r="A462" s="97">
        <v>1824020870</v>
      </c>
      <c r="B462" s="97" t="s">
        <v>692</v>
      </c>
      <c r="C462" s="97" t="s">
        <v>353</v>
      </c>
      <c r="D462" s="97">
        <v>0</v>
      </c>
      <c r="E462" s="97">
        <f>VLOOKUP(A462,'תקציב מפורט 2025'!A:O,4,FALSE)-D462</f>
        <v>0</v>
      </c>
    </row>
    <row r="463" spans="1:5" hidden="1" x14ac:dyDescent="0.2">
      <c r="A463" s="97">
        <v>1824030110</v>
      </c>
      <c r="B463" s="97" t="s">
        <v>2249</v>
      </c>
      <c r="C463" s="97" t="s">
        <v>352</v>
      </c>
      <c r="D463" s="97">
        <v>220000</v>
      </c>
      <c r="E463" s="97">
        <f>VLOOKUP(A463,'תקציב מפורט 2025'!A:O,4,FALSE)-D463</f>
        <v>0</v>
      </c>
    </row>
    <row r="464" spans="1:5" hidden="1" x14ac:dyDescent="0.2">
      <c r="A464" s="97">
        <v>1824050870</v>
      </c>
      <c r="B464" s="97" t="s">
        <v>183</v>
      </c>
      <c r="C464" s="97" t="s">
        <v>353</v>
      </c>
      <c r="D464" s="97">
        <v>80000</v>
      </c>
      <c r="E464" s="97">
        <f>VLOOKUP(A464,'תקציב מפורט 2025'!A:O,4,FALSE)-D464</f>
        <v>0</v>
      </c>
    </row>
    <row r="465" spans="1:5" hidden="1" x14ac:dyDescent="0.2">
      <c r="A465" s="97">
        <v>1828100110</v>
      </c>
      <c r="B465" s="97" t="s">
        <v>2250</v>
      </c>
      <c r="C465" s="97" t="s">
        <v>352</v>
      </c>
      <c r="D465" s="97">
        <v>600000</v>
      </c>
      <c r="E465" s="97">
        <f>VLOOKUP(A465,'תקציב מפורט 2025'!A:O,4,FALSE)-D465</f>
        <v>0</v>
      </c>
    </row>
    <row r="466" spans="1:5" hidden="1" x14ac:dyDescent="0.2">
      <c r="A466" s="97">
        <v>1828100320</v>
      </c>
      <c r="B466" s="97" t="s">
        <v>2245</v>
      </c>
      <c r="C466" s="97" t="s">
        <v>352</v>
      </c>
      <c r="D466" s="97">
        <v>0</v>
      </c>
      <c r="E466" s="97">
        <v>0</v>
      </c>
    </row>
    <row r="467" spans="1:5" hidden="1" x14ac:dyDescent="0.2">
      <c r="A467" s="97">
        <v>1828300110</v>
      </c>
      <c r="B467" s="97" t="s">
        <v>184</v>
      </c>
      <c r="C467" s="97" t="s">
        <v>352</v>
      </c>
      <c r="D467" s="97">
        <v>60000</v>
      </c>
      <c r="E467" s="97">
        <f>VLOOKUP(A467,'תקציב מפורט 2025'!A:O,4,FALSE)-D467</f>
        <v>0</v>
      </c>
    </row>
    <row r="468" spans="1:5" hidden="1" x14ac:dyDescent="0.2">
      <c r="A468" s="97">
        <v>1828400780</v>
      </c>
      <c r="B468" s="97" t="s">
        <v>185</v>
      </c>
      <c r="C468" s="97" t="s">
        <v>356</v>
      </c>
      <c r="D468" s="97">
        <v>0</v>
      </c>
      <c r="E468" s="97">
        <v>0</v>
      </c>
    </row>
    <row r="469" spans="1:5" hidden="1" x14ac:dyDescent="0.2">
      <c r="A469" s="97">
        <v>1829000431</v>
      </c>
      <c r="B469" s="97" t="s">
        <v>186</v>
      </c>
      <c r="C469" s="97" t="s">
        <v>353</v>
      </c>
      <c r="D469" s="97">
        <v>40000</v>
      </c>
      <c r="E469" s="97">
        <f>VLOOKUP(A469,'תקציב מפורט 2025'!A:O,4,FALSE)-D469</f>
        <v>0</v>
      </c>
    </row>
    <row r="470" spans="1:5" hidden="1" x14ac:dyDescent="0.2">
      <c r="A470" s="97">
        <v>1829100110</v>
      </c>
      <c r="B470" s="97" t="s">
        <v>187</v>
      </c>
      <c r="C470" s="97" t="s">
        <v>352</v>
      </c>
      <c r="D470" s="97">
        <v>400000</v>
      </c>
      <c r="E470" s="97">
        <f>VLOOKUP(A470,'תקציב מפורט 2025'!A:O,4,FALSE)-D470</f>
        <v>0</v>
      </c>
    </row>
    <row r="471" spans="1:5" hidden="1" x14ac:dyDescent="0.2">
      <c r="A471" s="97">
        <v>1829200431</v>
      </c>
      <c r="B471" s="97" t="s">
        <v>189</v>
      </c>
      <c r="C471" s="97" t="s">
        <v>353</v>
      </c>
      <c r="D471" s="97">
        <v>35000</v>
      </c>
      <c r="E471" s="97">
        <f>VLOOKUP(A471,'תקציב מפורט 2025'!A:O,4,FALSE)-D471</f>
        <v>0</v>
      </c>
    </row>
    <row r="472" spans="1:5" hidden="1" x14ac:dyDescent="0.2">
      <c r="A472" s="97">
        <v>1829200432</v>
      </c>
      <c r="B472" s="97" t="s">
        <v>190</v>
      </c>
      <c r="C472" s="97" t="s">
        <v>353</v>
      </c>
      <c r="D472" s="97">
        <v>120000</v>
      </c>
      <c r="E472" s="97">
        <f>VLOOKUP(A472,'תקציב מפורט 2025'!A:O,4,FALSE)-D472</f>
        <v>0</v>
      </c>
    </row>
    <row r="473" spans="1:5" hidden="1" x14ac:dyDescent="0.2">
      <c r="A473" s="97">
        <v>1829200740</v>
      </c>
      <c r="B473" s="97" t="s">
        <v>110</v>
      </c>
      <c r="C473" s="97" t="s">
        <v>353</v>
      </c>
      <c r="D473" s="97">
        <v>80000</v>
      </c>
      <c r="E473" s="97">
        <f>VLOOKUP(A473,'תקציב מפורט 2025'!A:O,4,FALSE)-D473</f>
        <v>0</v>
      </c>
    </row>
    <row r="474" spans="1:5" hidden="1" x14ac:dyDescent="0.2">
      <c r="A474" s="97">
        <v>1829200750</v>
      </c>
      <c r="B474" s="97" t="s">
        <v>193</v>
      </c>
      <c r="C474" s="97" t="s">
        <v>353</v>
      </c>
      <c r="D474" s="97">
        <v>150000</v>
      </c>
      <c r="E474" s="97">
        <f>VLOOKUP(A474,'תקציב מפורט 2025'!A:O,4,FALSE)-D474</f>
        <v>0</v>
      </c>
    </row>
    <row r="475" spans="1:5" hidden="1" x14ac:dyDescent="0.2">
      <c r="A475" s="97">
        <v>1829200780</v>
      </c>
      <c r="B475" s="97" t="s">
        <v>194</v>
      </c>
      <c r="C475" s="97" t="s">
        <v>353</v>
      </c>
      <c r="D475" s="97">
        <v>0</v>
      </c>
      <c r="E475" s="97">
        <v>0</v>
      </c>
    </row>
    <row r="476" spans="1:5" hidden="1" x14ac:dyDescent="0.2">
      <c r="A476" s="97">
        <v>1829200781</v>
      </c>
      <c r="B476" s="97" t="s">
        <v>645</v>
      </c>
      <c r="C476" s="97" t="s">
        <v>353</v>
      </c>
      <c r="D476" s="97">
        <v>25000</v>
      </c>
      <c r="E476" s="97">
        <f>VLOOKUP(A476,'תקציב מפורט 2025'!A:O,4,FALSE)-D476</f>
        <v>0</v>
      </c>
    </row>
    <row r="477" spans="1:5" hidden="1" x14ac:dyDescent="0.2">
      <c r="A477" s="97">
        <v>1829201780</v>
      </c>
      <c r="B477" s="97" t="s">
        <v>641</v>
      </c>
      <c r="C477" s="97" t="s">
        <v>353</v>
      </c>
      <c r="D477" s="97">
        <v>30000</v>
      </c>
      <c r="E477" s="97">
        <f>VLOOKUP(A477,'תקציב מפורט 2025'!A:O,4,FALSE)-D477</f>
        <v>0</v>
      </c>
    </row>
    <row r="478" spans="1:5" hidden="1" x14ac:dyDescent="0.2">
      <c r="A478" s="97">
        <v>1829201781</v>
      </c>
      <c r="B478" s="97" t="s">
        <v>646</v>
      </c>
      <c r="C478" s="97" t="s">
        <v>353</v>
      </c>
      <c r="D478" s="97">
        <v>30000</v>
      </c>
      <c r="E478" s="97">
        <f>VLOOKUP(A478,'תקציב מפורט 2025'!A:O,4,FALSE)-D478</f>
        <v>0</v>
      </c>
    </row>
    <row r="479" spans="1:5" hidden="1" x14ac:dyDescent="0.2">
      <c r="A479" s="97">
        <v>1829202780</v>
      </c>
      <c r="B479" s="97" t="s">
        <v>693</v>
      </c>
      <c r="C479" s="97" t="s">
        <v>353</v>
      </c>
      <c r="D479" s="97">
        <v>75000</v>
      </c>
      <c r="E479" s="97">
        <f>VLOOKUP(A479,'תקציב מפורט 2025'!A:O,4,FALSE)-D479</f>
        <v>0</v>
      </c>
    </row>
    <row r="480" spans="1:5" hidden="1" x14ac:dyDescent="0.2">
      <c r="A480" s="97">
        <v>1829210110</v>
      </c>
      <c r="B480" s="97" t="s">
        <v>195</v>
      </c>
      <c r="C480" s="97" t="s">
        <v>352</v>
      </c>
      <c r="D480" s="97">
        <v>200000</v>
      </c>
      <c r="E480" s="97">
        <f>VLOOKUP(A480,'תקציב מפורט 2025'!A:O,4,FALSE)-D480</f>
        <v>0</v>
      </c>
    </row>
    <row r="481" spans="1:5" hidden="1" x14ac:dyDescent="0.2">
      <c r="A481" s="97">
        <v>1829300750</v>
      </c>
      <c r="B481" s="97" t="s">
        <v>196</v>
      </c>
      <c r="C481" s="97" t="s">
        <v>353</v>
      </c>
      <c r="D481" s="97">
        <v>0</v>
      </c>
      <c r="E481" s="97">
        <f>VLOOKUP(A481,'תקציב מפורט 2025'!A:O,4,FALSE)-D481</f>
        <v>0</v>
      </c>
    </row>
    <row r="482" spans="1:5" hidden="1" x14ac:dyDescent="0.2">
      <c r="B482" t="s">
        <v>2157</v>
      </c>
      <c r="D482">
        <v>2570000</v>
      </c>
      <c r="E482" t="e">
        <f>VLOOKUP(A482,'תקציב מפורט 2025'!A:O,4,FALSE)-D482</f>
        <v>#N/A</v>
      </c>
    </row>
    <row r="483" spans="1:5" hidden="1" x14ac:dyDescent="0.2">
      <c r="A483" s="97">
        <v>1832300110</v>
      </c>
      <c r="B483" s="97" t="s">
        <v>2251</v>
      </c>
      <c r="C483" s="97" t="s">
        <v>352</v>
      </c>
      <c r="D483" s="97"/>
      <c r="E483" s="97">
        <v>0</v>
      </c>
    </row>
    <row r="484" spans="1:5" hidden="1" x14ac:dyDescent="0.2">
      <c r="A484" s="97">
        <v>1832400110</v>
      </c>
      <c r="B484" s="97" t="s">
        <v>198</v>
      </c>
      <c r="C484" s="97" t="s">
        <v>352</v>
      </c>
      <c r="D484" s="97">
        <v>300000</v>
      </c>
      <c r="E484" s="97">
        <f>VLOOKUP(A484,'תקציב מפורט 2025'!A:O,4,FALSE)-D484</f>
        <v>0</v>
      </c>
    </row>
    <row r="485" spans="1:5" hidden="1" x14ac:dyDescent="0.2">
      <c r="A485" s="97">
        <v>1832400431</v>
      </c>
      <c r="B485" s="97" t="s">
        <v>199</v>
      </c>
      <c r="C485" s="97" t="s">
        <v>353</v>
      </c>
      <c r="D485" s="97">
        <v>25000</v>
      </c>
      <c r="E485" s="97">
        <f>VLOOKUP(A485,'תקציב מפורט 2025'!A:O,4,FALSE)-D485</f>
        <v>0</v>
      </c>
    </row>
    <row r="486" spans="1:5" hidden="1" x14ac:dyDescent="0.2">
      <c r="A486" s="97">
        <v>1832400432</v>
      </c>
      <c r="B486" s="97" t="s">
        <v>200</v>
      </c>
      <c r="C486" s="97" t="s">
        <v>353</v>
      </c>
      <c r="D486" s="97">
        <v>12000</v>
      </c>
      <c r="E486" s="97">
        <f>VLOOKUP(A486,'תקציב מפורט 2025'!A:O,4,FALSE)-D486</f>
        <v>0</v>
      </c>
    </row>
    <row r="487" spans="1:5" hidden="1" x14ac:dyDescent="0.2">
      <c r="A487" s="97">
        <v>1832400750</v>
      </c>
      <c r="B487" s="97" t="s">
        <v>201</v>
      </c>
      <c r="C487" s="97" t="s">
        <v>353</v>
      </c>
      <c r="D487" s="97">
        <v>18000</v>
      </c>
      <c r="E487" s="97">
        <f>VLOOKUP(A487,'תקציב מפורט 2025'!A:O,4,FALSE)-D487</f>
        <v>0</v>
      </c>
    </row>
    <row r="488" spans="1:5" hidden="1" x14ac:dyDescent="0.2">
      <c r="A488" s="97">
        <v>1832410750</v>
      </c>
      <c r="B488" s="97" t="s">
        <v>1916</v>
      </c>
      <c r="C488" s="97" t="s">
        <v>353</v>
      </c>
      <c r="D488" s="97"/>
      <c r="E488" s="97">
        <f>VLOOKUP(A488,'תקציב מפורט 2025'!A:O,4,FALSE)-D488</f>
        <v>0</v>
      </c>
    </row>
    <row r="489" spans="1:5" hidden="1" x14ac:dyDescent="0.2">
      <c r="B489" t="s">
        <v>429</v>
      </c>
      <c r="D489">
        <v>355000</v>
      </c>
      <c r="E489" t="e">
        <f>VLOOKUP(A489,'תקציב מפורט 2025'!A:O,4,FALSE)-D489</f>
        <v>#N/A</v>
      </c>
    </row>
    <row r="490" spans="1:5" hidden="1" x14ac:dyDescent="0.2">
      <c r="A490" s="97">
        <v>1841000420</v>
      </c>
      <c r="B490" s="97" t="s">
        <v>204</v>
      </c>
      <c r="C490" s="97" t="s">
        <v>359</v>
      </c>
      <c r="D490" s="97">
        <v>0</v>
      </c>
      <c r="E490" s="97">
        <f>VLOOKUP(A490,'תקציב מפורט 2025'!A:O,4,FALSE)-D490</f>
        <v>0</v>
      </c>
    </row>
    <row r="491" spans="1:5" hidden="1" x14ac:dyDescent="0.2">
      <c r="A491" s="97">
        <v>1841000431</v>
      </c>
      <c r="B491" s="97" t="s">
        <v>205</v>
      </c>
      <c r="C491" s="97" t="s">
        <v>359</v>
      </c>
      <c r="D491" s="97">
        <v>0</v>
      </c>
      <c r="E491" s="97">
        <f>VLOOKUP(A491,'תקציב מפורט 2025'!A:O,4,FALSE)-D491</f>
        <v>0</v>
      </c>
    </row>
    <row r="492" spans="1:5" hidden="1" x14ac:dyDescent="0.2">
      <c r="A492" s="97">
        <v>1841000780</v>
      </c>
      <c r="B492" s="97" t="s">
        <v>13</v>
      </c>
      <c r="C492" s="97" t="s">
        <v>359</v>
      </c>
      <c r="D492" s="97">
        <v>100000</v>
      </c>
      <c r="E492" s="97">
        <f>VLOOKUP(A492,'תקציב מפורט 2025'!A:O,4,FALSE)-D492</f>
        <v>0</v>
      </c>
    </row>
    <row r="493" spans="1:5" hidden="1" x14ac:dyDescent="0.2">
      <c r="A493" s="97">
        <v>1841001110</v>
      </c>
      <c r="B493" s="97" t="s">
        <v>206</v>
      </c>
      <c r="C493" s="97" t="s">
        <v>358</v>
      </c>
      <c r="D493" s="97">
        <v>3600000</v>
      </c>
      <c r="E493" s="97">
        <f>VLOOKUP(A493,'תקציב מפורט 2025'!A:O,4,FALSE)-D493</f>
        <v>0</v>
      </c>
    </row>
    <row r="494" spans="1:5" hidden="1" x14ac:dyDescent="0.2">
      <c r="A494" s="97">
        <v>1841001320</v>
      </c>
      <c r="B494" s="97" t="s">
        <v>19</v>
      </c>
      <c r="C494" s="97" t="s">
        <v>358</v>
      </c>
      <c r="D494" s="97">
        <v>0</v>
      </c>
      <c r="E494" s="97">
        <v>0</v>
      </c>
    </row>
    <row r="495" spans="1:5" hidden="1" x14ac:dyDescent="0.2">
      <c r="A495" s="97">
        <v>1841003431</v>
      </c>
      <c r="B495" s="97" t="s">
        <v>20</v>
      </c>
      <c r="C495" s="97" t="s">
        <v>359</v>
      </c>
      <c r="D495" s="97">
        <v>50000</v>
      </c>
      <c r="E495" s="97">
        <f>VLOOKUP(A495,'תקציב מפורט 2025'!A:O,4,FALSE)-D495</f>
        <v>0</v>
      </c>
    </row>
    <row r="496" spans="1:5" hidden="1" x14ac:dyDescent="0.2">
      <c r="A496" s="97">
        <v>1841003560</v>
      </c>
      <c r="B496" s="97" t="s">
        <v>208</v>
      </c>
      <c r="C496" s="97" t="s">
        <v>359</v>
      </c>
      <c r="D496" s="97">
        <v>20000</v>
      </c>
      <c r="E496" s="97">
        <f>VLOOKUP(A496,'תקציב מפורט 2025'!A:O,4,FALSE)-D496</f>
        <v>0</v>
      </c>
    </row>
    <row r="497" spans="1:5" hidden="1" x14ac:dyDescent="0.2">
      <c r="A497" s="97">
        <v>1841003780</v>
      </c>
      <c r="B497" s="97" t="s">
        <v>13</v>
      </c>
      <c r="C497" s="97" t="s">
        <v>359</v>
      </c>
      <c r="D497" s="97">
        <v>30000</v>
      </c>
      <c r="E497" s="97">
        <f>VLOOKUP(A497,'תקציב מפורט 2025'!A:O,4,FALSE)-D497</f>
        <v>0</v>
      </c>
    </row>
    <row r="498" spans="1:5" hidden="1" x14ac:dyDescent="0.2">
      <c r="A498" s="97">
        <v>1841100110</v>
      </c>
      <c r="B498" s="97" t="s">
        <v>644</v>
      </c>
      <c r="C498" s="97" t="s">
        <v>358</v>
      </c>
      <c r="D498" s="97">
        <v>170000</v>
      </c>
      <c r="E498" s="97">
        <f>VLOOKUP(A498,'תקציב מפורט 2025'!A:O,4,FALSE)-D498</f>
        <v>0</v>
      </c>
    </row>
    <row r="499" spans="1:5" hidden="1" x14ac:dyDescent="0.2">
      <c r="B499" t="s">
        <v>732</v>
      </c>
      <c r="D499">
        <v>3970000</v>
      </c>
      <c r="E499" t="e">
        <f>VLOOKUP(A499,'תקציב מפורט 2025'!A:O,4,FALSE)-D499</f>
        <v>#N/A</v>
      </c>
    </row>
    <row r="500" spans="1:5" hidden="1" x14ac:dyDescent="0.2">
      <c r="A500" s="97">
        <v>1842101840</v>
      </c>
      <c r="B500" s="97" t="s">
        <v>241</v>
      </c>
      <c r="C500" s="97" t="s">
        <v>359</v>
      </c>
      <c r="D500" s="97">
        <v>250000</v>
      </c>
      <c r="E500" s="97">
        <f>VLOOKUP(A500,'תקציב מפורט 2025'!A:O,4,FALSE)-D500</f>
        <v>0</v>
      </c>
    </row>
    <row r="501" spans="1:5" hidden="1" x14ac:dyDescent="0.2">
      <c r="A501" s="97">
        <v>1842102840</v>
      </c>
      <c r="B501" s="97" t="s">
        <v>1123</v>
      </c>
      <c r="C501" s="97" t="s">
        <v>359</v>
      </c>
      <c r="D501" s="97">
        <v>190000</v>
      </c>
      <c r="E501" s="97">
        <f>VLOOKUP(A501,'תקציב מפורט 2025'!A:O,4,FALSE)-D501</f>
        <v>0</v>
      </c>
    </row>
    <row r="502" spans="1:5" hidden="1" x14ac:dyDescent="0.2">
      <c r="A502" s="97">
        <v>1842200110</v>
      </c>
      <c r="B502" s="97" t="s">
        <v>1026</v>
      </c>
      <c r="C502" s="97" t="s">
        <v>358</v>
      </c>
      <c r="D502" s="97">
        <v>155000</v>
      </c>
      <c r="E502" s="97">
        <f>VLOOKUP(A502,'תקציב מפורט 2025'!A:O,4,FALSE)-D502</f>
        <v>0</v>
      </c>
    </row>
    <row r="503" spans="1:5" hidden="1" x14ac:dyDescent="0.2">
      <c r="A503" s="97">
        <v>1842202750</v>
      </c>
      <c r="B503" s="97" t="s">
        <v>694</v>
      </c>
      <c r="C503" s="97" t="s">
        <v>359</v>
      </c>
      <c r="D503" s="97">
        <v>336000</v>
      </c>
      <c r="E503" s="97">
        <f>VLOOKUP(A503,'תקציב מפורט 2025'!A:O,4,FALSE)-D503</f>
        <v>0</v>
      </c>
    </row>
    <row r="504" spans="1:5" hidden="1" x14ac:dyDescent="0.2">
      <c r="A504" s="97">
        <v>1842202780</v>
      </c>
      <c r="B504" s="97" t="s">
        <v>2252</v>
      </c>
      <c r="C504" s="97" t="s">
        <v>359</v>
      </c>
      <c r="D504" s="97">
        <v>0</v>
      </c>
      <c r="E504" s="97">
        <v>0</v>
      </c>
    </row>
    <row r="505" spans="1:5" hidden="1" x14ac:dyDescent="0.2">
      <c r="A505" s="97">
        <v>1842202840</v>
      </c>
      <c r="B505" s="97" t="s">
        <v>209</v>
      </c>
      <c r="C505" s="97" t="s">
        <v>359</v>
      </c>
      <c r="D505" s="97">
        <v>150000</v>
      </c>
      <c r="E505" s="97">
        <f>VLOOKUP(A505,'תקציב מפורט 2025'!A:O,4,FALSE)-D505</f>
        <v>0</v>
      </c>
    </row>
    <row r="506" spans="1:5" hidden="1" x14ac:dyDescent="0.2">
      <c r="A506" s="97">
        <v>1842206930</v>
      </c>
      <c r="B506" s="97" t="s">
        <v>1572</v>
      </c>
      <c r="C506" s="97" t="s">
        <v>359</v>
      </c>
      <c r="D506" s="97">
        <v>75000</v>
      </c>
      <c r="E506" s="97">
        <f>VLOOKUP(A506,'תקציב מפורט 2025'!A:O,4,FALSE)-D506</f>
        <v>0</v>
      </c>
    </row>
    <row r="507" spans="1:5" hidden="1" x14ac:dyDescent="0.2">
      <c r="A507" s="97">
        <v>1842208840</v>
      </c>
      <c r="B507" s="97" t="s">
        <v>765</v>
      </c>
      <c r="C507" s="97" t="s">
        <v>359</v>
      </c>
      <c r="D507" s="97">
        <v>140000</v>
      </c>
      <c r="E507" s="97">
        <f>VLOOKUP(A507,'תקציב מפורט 2025'!A:O,4,FALSE)-D507</f>
        <v>0</v>
      </c>
    </row>
    <row r="508" spans="1:5" hidden="1" x14ac:dyDescent="0.2">
      <c r="A508" s="97">
        <v>1842401840</v>
      </c>
      <c r="B508" s="97" t="s">
        <v>210</v>
      </c>
      <c r="C508" s="97" t="s">
        <v>359</v>
      </c>
      <c r="D508" s="97">
        <v>35000</v>
      </c>
      <c r="E508" s="97">
        <f>VLOOKUP(A508,'תקציב מפורט 2025'!A:O,4,FALSE)-D508</f>
        <v>0</v>
      </c>
    </row>
    <row r="509" spans="1:5" hidden="1" x14ac:dyDescent="0.2">
      <c r="A509" s="97">
        <v>1842402840</v>
      </c>
      <c r="B509" s="97" t="s">
        <v>211</v>
      </c>
      <c r="C509" s="97" t="s">
        <v>359</v>
      </c>
      <c r="D509" s="97">
        <v>135000</v>
      </c>
      <c r="E509" s="97">
        <f>VLOOKUP(A509,'תקציב מפורט 2025'!A:O,4,FALSE)-D509</f>
        <v>0</v>
      </c>
    </row>
    <row r="510" spans="1:5" hidden="1" x14ac:dyDescent="0.2">
      <c r="A510" s="97">
        <v>1842405840</v>
      </c>
      <c r="B510" s="97" t="s">
        <v>992</v>
      </c>
      <c r="C510" s="97" t="s">
        <v>359</v>
      </c>
      <c r="D510" s="97">
        <v>95000</v>
      </c>
      <c r="E510" s="97">
        <f>VLOOKUP(A510,'תקציב מפורט 2025'!A:O,4,FALSE)-D510</f>
        <v>0</v>
      </c>
    </row>
    <row r="511" spans="1:5" hidden="1" x14ac:dyDescent="0.2">
      <c r="B511" t="s">
        <v>2158</v>
      </c>
      <c r="D511">
        <v>1561000</v>
      </c>
      <c r="E511" t="e">
        <f>VLOOKUP(A511,'תקציב מפורט 2025'!A:O,4,FALSE)-D511</f>
        <v>#N/A</v>
      </c>
    </row>
    <row r="512" spans="1:5" hidden="1" x14ac:dyDescent="0.2">
      <c r="A512" s="97">
        <v>1843501840</v>
      </c>
      <c r="B512" s="97" t="s">
        <v>212</v>
      </c>
      <c r="C512" s="97" t="s">
        <v>359</v>
      </c>
      <c r="D512" s="97">
        <v>74000</v>
      </c>
      <c r="E512" s="97">
        <f>VLOOKUP(A512,'תקציב מפורט 2025'!A:O,4,FALSE)-D512</f>
        <v>0</v>
      </c>
    </row>
    <row r="513" spans="1:5" hidden="1" x14ac:dyDescent="0.2">
      <c r="A513" s="97">
        <v>1843502840</v>
      </c>
      <c r="B513" s="97" t="s">
        <v>213</v>
      </c>
      <c r="C513" s="97" t="s">
        <v>359</v>
      </c>
      <c r="D513" s="97">
        <v>577000</v>
      </c>
      <c r="E513" s="97">
        <f>VLOOKUP(A513,'תקציב מפורט 2025'!A:O,4,FALSE)-D513</f>
        <v>0</v>
      </c>
    </row>
    <row r="514" spans="1:5" hidden="1" x14ac:dyDescent="0.2">
      <c r="A514" s="97">
        <v>1843503840</v>
      </c>
      <c r="B514" s="97" t="s">
        <v>214</v>
      </c>
      <c r="C514" s="97" t="s">
        <v>359</v>
      </c>
      <c r="D514" s="97">
        <v>600000</v>
      </c>
      <c r="E514" s="97">
        <f>VLOOKUP(A514,'תקציב מפורט 2025'!A:O,4,FALSE)-D514</f>
        <v>0</v>
      </c>
    </row>
    <row r="515" spans="1:5" hidden="1" x14ac:dyDescent="0.2">
      <c r="A515" s="97">
        <v>1843504840</v>
      </c>
      <c r="B515" s="97" t="s">
        <v>216</v>
      </c>
      <c r="C515" s="97" t="s">
        <v>359</v>
      </c>
      <c r="D515" s="97"/>
      <c r="E515" s="97">
        <f>VLOOKUP(A515,'תקציב מפורט 2025'!A:O,4,FALSE)-D515</f>
        <v>0</v>
      </c>
    </row>
    <row r="516" spans="1:5" hidden="1" x14ac:dyDescent="0.2">
      <c r="A516" s="97">
        <v>1843505840</v>
      </c>
      <c r="B516" s="97" t="s">
        <v>991</v>
      </c>
      <c r="C516" s="97" t="s">
        <v>359</v>
      </c>
      <c r="D516" s="97">
        <v>30000</v>
      </c>
      <c r="E516" s="97">
        <f>VLOOKUP(A516,'תקציב מפורט 2025'!A:O,4,FALSE)-D516</f>
        <v>0</v>
      </c>
    </row>
    <row r="517" spans="1:5" hidden="1" x14ac:dyDescent="0.2">
      <c r="A517" s="97">
        <v>1843801840</v>
      </c>
      <c r="B517" s="97" t="s">
        <v>217</v>
      </c>
      <c r="C517" s="97" t="s">
        <v>359</v>
      </c>
      <c r="D517" s="97">
        <v>5500000</v>
      </c>
      <c r="E517" s="97">
        <f>VLOOKUP(A517,'תקציב מפורט 2025'!A:O,4,FALSE)-D517</f>
        <v>0</v>
      </c>
    </row>
    <row r="518" spans="1:5" hidden="1" x14ac:dyDescent="0.2">
      <c r="A518" s="97">
        <v>1843901840</v>
      </c>
      <c r="B518" s="97" t="s">
        <v>218</v>
      </c>
      <c r="C518" s="97" t="s">
        <v>359</v>
      </c>
      <c r="D518" s="97">
        <v>6400000</v>
      </c>
      <c r="E518" s="97">
        <f>VLOOKUP(A518,'תקציב מפורט 2025'!A:O,4,FALSE)-D518</f>
        <v>0</v>
      </c>
    </row>
    <row r="519" spans="1:5" hidden="1" x14ac:dyDescent="0.2">
      <c r="A519" s="97">
        <v>1843904840</v>
      </c>
      <c r="B519" s="97" t="s">
        <v>767</v>
      </c>
      <c r="C519" s="97" t="s">
        <v>359</v>
      </c>
      <c r="D519" s="97"/>
      <c r="E519" s="97">
        <f>VLOOKUP(A519,'תקציב מפורט 2025'!A:O,4,FALSE)-D519</f>
        <v>0</v>
      </c>
    </row>
    <row r="520" spans="1:5" hidden="1" x14ac:dyDescent="0.2">
      <c r="B520" t="s">
        <v>2159</v>
      </c>
      <c r="D520">
        <v>13181000</v>
      </c>
      <c r="E520" t="e">
        <f>VLOOKUP(A520,'תקציב מפורט 2025'!A:O,4,FALSE)-D520</f>
        <v>#N/A</v>
      </c>
    </row>
    <row r="521" spans="1:5" hidden="1" x14ac:dyDescent="0.2">
      <c r="A521" s="97">
        <v>1844300840</v>
      </c>
      <c r="B521" s="97" t="s">
        <v>219</v>
      </c>
      <c r="C521" s="97" t="s">
        <v>359</v>
      </c>
      <c r="D521" s="97">
        <v>127000</v>
      </c>
      <c r="E521" s="97">
        <f>VLOOKUP(A521,'תקציב מפורט 2025'!A:O,4,FALSE)-D521</f>
        <v>0</v>
      </c>
    </row>
    <row r="522" spans="1:5" hidden="1" x14ac:dyDescent="0.2">
      <c r="A522" s="97">
        <v>1844401110</v>
      </c>
      <c r="B522" s="97" t="s">
        <v>220</v>
      </c>
      <c r="C522" s="97" t="s">
        <v>358</v>
      </c>
      <c r="D522" s="97">
        <v>160000</v>
      </c>
      <c r="E522" s="97">
        <f>VLOOKUP(A522,'תקציב מפורט 2025'!A:O,4,FALSE)-D522</f>
        <v>0</v>
      </c>
    </row>
    <row r="523" spans="1:5" hidden="1" x14ac:dyDescent="0.2">
      <c r="A523" s="97">
        <v>1844401431</v>
      </c>
      <c r="B523" s="97" t="s">
        <v>221</v>
      </c>
      <c r="C523" s="97" t="s">
        <v>359</v>
      </c>
      <c r="D523" s="97">
        <v>0</v>
      </c>
      <c r="E523" s="97">
        <f>VLOOKUP(A523,'תקציב מפורט 2025'!A:O,4,FALSE)-D523</f>
        <v>0</v>
      </c>
    </row>
    <row r="524" spans="1:5" hidden="1" x14ac:dyDescent="0.2">
      <c r="A524" s="97">
        <v>1844401710</v>
      </c>
      <c r="B524" s="97" t="s">
        <v>695</v>
      </c>
      <c r="C524" s="97" t="s">
        <v>359</v>
      </c>
      <c r="D524" s="97">
        <v>110000</v>
      </c>
      <c r="E524" s="97">
        <f>VLOOKUP(A524,'תקציב מפורט 2025'!A:O,4,FALSE)-D524</f>
        <v>0</v>
      </c>
    </row>
    <row r="525" spans="1:5" hidden="1" x14ac:dyDescent="0.2">
      <c r="A525" s="97">
        <v>1844401720</v>
      </c>
      <c r="B525" s="97" t="s">
        <v>696</v>
      </c>
      <c r="C525" s="97" t="s">
        <v>359</v>
      </c>
      <c r="D525" s="97">
        <v>95000</v>
      </c>
      <c r="E525" s="97">
        <f>VLOOKUP(A525,'תקציב מפורט 2025'!A:O,4,FALSE)-D525</f>
        <v>0</v>
      </c>
    </row>
    <row r="526" spans="1:5" hidden="1" x14ac:dyDescent="0.2">
      <c r="A526" s="97">
        <v>1844401750</v>
      </c>
      <c r="B526" s="97" t="s">
        <v>697</v>
      </c>
      <c r="C526" s="97" t="s">
        <v>359</v>
      </c>
      <c r="D526" s="97">
        <v>0</v>
      </c>
      <c r="E526" s="97">
        <f>VLOOKUP(A526,'תקציב מפורט 2025'!A:O,4,FALSE)-D526</f>
        <v>0</v>
      </c>
    </row>
    <row r="527" spans="1:5" hidden="1" x14ac:dyDescent="0.2">
      <c r="A527" s="97">
        <v>1844402840</v>
      </c>
      <c r="B527" s="97" t="s">
        <v>222</v>
      </c>
      <c r="C527" s="97" t="s">
        <v>359</v>
      </c>
      <c r="D527" s="97">
        <v>20000</v>
      </c>
      <c r="E527" s="97">
        <f>VLOOKUP(A527,'תקציב מפורט 2025'!A:O,4,FALSE)-D527</f>
        <v>0</v>
      </c>
    </row>
    <row r="528" spans="1:5" hidden="1" x14ac:dyDescent="0.2">
      <c r="B528" t="s">
        <v>2138</v>
      </c>
      <c r="D528">
        <v>512000</v>
      </c>
      <c r="E528" t="e">
        <f>VLOOKUP(A528,'תקציב מפורט 2025'!A:O,4,FALSE)-D528</f>
        <v>#N/A</v>
      </c>
    </row>
    <row r="529" spans="1:5" hidden="1" x14ac:dyDescent="0.2">
      <c r="A529" s="97">
        <v>1845001840</v>
      </c>
      <c r="B529" s="97" t="s">
        <v>790</v>
      </c>
      <c r="C529" s="97" t="s">
        <v>359</v>
      </c>
      <c r="D529" s="97"/>
      <c r="E529" s="97">
        <f>VLOOKUP(A529,'תקציב מפורט 2025'!A:O,4,FALSE)-D529</f>
        <v>0</v>
      </c>
    </row>
    <row r="530" spans="1:5" hidden="1" x14ac:dyDescent="0.2">
      <c r="A530" s="97">
        <v>1845101840</v>
      </c>
      <c r="B530" s="97" t="s">
        <v>223</v>
      </c>
      <c r="C530" s="97" t="s">
        <v>359</v>
      </c>
      <c r="D530" s="97">
        <v>7000000</v>
      </c>
      <c r="E530" s="97">
        <f>VLOOKUP(A530,'תקציב מפורט 2025'!A:O,4,FALSE)-D530</f>
        <v>0</v>
      </c>
    </row>
    <row r="531" spans="1:5" hidden="1" x14ac:dyDescent="0.2">
      <c r="A531" s="97">
        <v>1845102840</v>
      </c>
      <c r="B531" s="97" t="s">
        <v>224</v>
      </c>
      <c r="C531" s="97" t="s">
        <v>359</v>
      </c>
      <c r="D531" s="97">
        <v>15000</v>
      </c>
      <c r="E531" s="97">
        <f>VLOOKUP(A531,'תקציב מפורט 2025'!A:O,4,FALSE)-D531</f>
        <v>0</v>
      </c>
    </row>
    <row r="532" spans="1:5" hidden="1" x14ac:dyDescent="0.2">
      <c r="A532" s="97">
        <v>1845200110</v>
      </c>
      <c r="B532" s="97" t="s">
        <v>698</v>
      </c>
      <c r="C532" s="97" t="s">
        <v>358</v>
      </c>
      <c r="D532" s="97">
        <v>200000</v>
      </c>
      <c r="E532" s="97">
        <f>VLOOKUP(A532,'תקציב מפורט 2025'!A:O,4,FALSE)-D532</f>
        <v>0</v>
      </c>
    </row>
    <row r="533" spans="1:5" hidden="1" x14ac:dyDescent="0.2">
      <c r="A533" s="97">
        <v>1845200780</v>
      </c>
      <c r="B533" s="97" t="s">
        <v>1917</v>
      </c>
      <c r="C533" s="97" t="s">
        <v>359</v>
      </c>
      <c r="D533" s="97">
        <v>0</v>
      </c>
      <c r="E533" s="97">
        <f>VLOOKUP(A533,'תקציב מפורט 2025'!A:O,4,FALSE)-D533</f>
        <v>0</v>
      </c>
    </row>
    <row r="534" spans="1:5" hidden="1" x14ac:dyDescent="0.2">
      <c r="A534" s="97">
        <v>1845201750</v>
      </c>
      <c r="B534" s="97" t="s">
        <v>700</v>
      </c>
      <c r="C534" s="97" t="s">
        <v>359</v>
      </c>
      <c r="D534" s="97">
        <v>80000</v>
      </c>
      <c r="E534" s="97">
        <f>VLOOKUP(A534,'תקציב מפורט 2025'!A:O,4,FALSE)-D534</f>
        <v>0</v>
      </c>
    </row>
    <row r="535" spans="1:5" hidden="1" x14ac:dyDescent="0.2">
      <c r="A535" s="97">
        <v>1845201840</v>
      </c>
      <c r="B535" s="97" t="s">
        <v>225</v>
      </c>
      <c r="C535" s="97" t="s">
        <v>359</v>
      </c>
      <c r="D535" s="97">
        <v>5500000</v>
      </c>
      <c r="E535" s="97">
        <f>VLOOKUP(A535,'תקציב מפורט 2025'!A:O,4,FALSE)-D535</f>
        <v>0</v>
      </c>
    </row>
    <row r="536" spans="1:5" hidden="1" x14ac:dyDescent="0.2">
      <c r="A536" s="97">
        <v>1845202840</v>
      </c>
      <c r="B536" s="97" t="s">
        <v>226</v>
      </c>
      <c r="C536" s="97" t="s">
        <v>359</v>
      </c>
      <c r="D536" s="97">
        <v>80000</v>
      </c>
      <c r="E536" s="97">
        <f>VLOOKUP(A536,'תקציב מפורט 2025'!A:O,4,FALSE)-D536</f>
        <v>0</v>
      </c>
    </row>
    <row r="537" spans="1:5" hidden="1" x14ac:dyDescent="0.2">
      <c r="A537" s="97">
        <v>1845204840</v>
      </c>
      <c r="B537" s="97" t="s">
        <v>313</v>
      </c>
      <c r="C537" s="97" t="s">
        <v>359</v>
      </c>
      <c r="D537" s="97">
        <v>600000</v>
      </c>
      <c r="E537" s="97">
        <f>VLOOKUP(A537,'תקציב מפורט 2025'!A:O,4,FALSE)-D537</f>
        <v>0</v>
      </c>
    </row>
    <row r="538" spans="1:5" hidden="1" x14ac:dyDescent="0.2">
      <c r="A538" s="97">
        <v>1845301840</v>
      </c>
      <c r="B538" s="97" t="s">
        <v>228</v>
      </c>
      <c r="C538" s="97" t="s">
        <v>359</v>
      </c>
      <c r="D538" s="97">
        <v>15000</v>
      </c>
      <c r="E538" s="97">
        <f>VLOOKUP(A538,'תקציב מפורט 2025'!A:O,4,FALSE)-D538</f>
        <v>0</v>
      </c>
    </row>
    <row r="539" spans="1:5" hidden="1" x14ac:dyDescent="0.2">
      <c r="A539" s="97">
        <v>1845302840</v>
      </c>
      <c r="B539" s="97" t="s">
        <v>229</v>
      </c>
      <c r="C539" s="97" t="s">
        <v>359</v>
      </c>
      <c r="D539" s="97">
        <v>15000</v>
      </c>
      <c r="E539" s="97">
        <f>VLOOKUP(A539,'תקציב מפורט 2025'!A:O,4,FALSE)-D539</f>
        <v>0</v>
      </c>
    </row>
    <row r="540" spans="1:5" hidden="1" x14ac:dyDescent="0.2">
      <c r="A540" s="97">
        <v>1845304840</v>
      </c>
      <c r="B540" s="97" t="s">
        <v>230</v>
      </c>
      <c r="C540" s="97" t="s">
        <v>359</v>
      </c>
      <c r="D540" s="97">
        <v>800000</v>
      </c>
      <c r="E540" s="97">
        <f>VLOOKUP(A540,'תקציב מפורט 2025'!A:O,4,FALSE)-D540</f>
        <v>0</v>
      </c>
    </row>
    <row r="541" spans="1:5" hidden="1" x14ac:dyDescent="0.2">
      <c r="A541" s="97">
        <v>1845401840</v>
      </c>
      <c r="B541" s="97" t="s">
        <v>1573</v>
      </c>
      <c r="C541" s="97" t="s">
        <v>359</v>
      </c>
      <c r="D541" s="97">
        <v>180000</v>
      </c>
      <c r="E541" s="97">
        <f>VLOOKUP(A541,'תקציב מפורט 2025'!A:O,4,FALSE)-D541</f>
        <v>0</v>
      </c>
    </row>
    <row r="542" spans="1:5" hidden="1" x14ac:dyDescent="0.2">
      <c r="B542" t="s">
        <v>2139</v>
      </c>
      <c r="D542">
        <v>14485000</v>
      </c>
      <c r="E542" t="e">
        <f>VLOOKUP(A542,'תקציב מפורט 2025'!A:O,4,FALSE)-D542</f>
        <v>#N/A</v>
      </c>
    </row>
    <row r="543" spans="1:5" hidden="1" x14ac:dyDescent="0.2">
      <c r="A543" s="97">
        <v>1846401840</v>
      </c>
      <c r="B543" s="97" t="s">
        <v>232</v>
      </c>
      <c r="C543" s="97" t="s">
        <v>359</v>
      </c>
      <c r="D543" s="97">
        <v>15000</v>
      </c>
      <c r="E543" s="97">
        <f>VLOOKUP(A543,'תקציב מפורט 2025'!A:O,4,FALSE)-D543</f>
        <v>0</v>
      </c>
    </row>
    <row r="544" spans="1:5" hidden="1" x14ac:dyDescent="0.2">
      <c r="A544" s="97">
        <v>1846601840</v>
      </c>
      <c r="B544" s="97" t="s">
        <v>233</v>
      </c>
      <c r="C544" s="97" t="s">
        <v>359</v>
      </c>
      <c r="D544" s="97">
        <v>350000</v>
      </c>
      <c r="E544" s="97">
        <f>VLOOKUP(A544,'תקציב מפורט 2025'!A:O,4,FALSE)-D544</f>
        <v>0</v>
      </c>
    </row>
    <row r="545" spans="1:5" hidden="1" x14ac:dyDescent="0.2">
      <c r="A545" s="97">
        <v>1846603840</v>
      </c>
      <c r="B545" s="97" t="s">
        <v>663</v>
      </c>
      <c r="C545" s="97" t="s">
        <v>359</v>
      </c>
      <c r="D545" s="97">
        <v>50000</v>
      </c>
      <c r="E545" s="97">
        <f>VLOOKUP(A545,'תקציב מפורט 2025'!A:O,4,FALSE)-D545</f>
        <v>0</v>
      </c>
    </row>
    <row r="546" spans="1:5" hidden="1" x14ac:dyDescent="0.2">
      <c r="A546" s="97">
        <v>1846604840</v>
      </c>
      <c r="B546" s="97" t="s">
        <v>1918</v>
      </c>
      <c r="C546" s="97" t="s">
        <v>359</v>
      </c>
      <c r="D546" s="97"/>
      <c r="E546" s="97">
        <f>VLOOKUP(A546,'תקציב מפורט 2025'!A:O,4,FALSE)-D546</f>
        <v>0</v>
      </c>
    </row>
    <row r="547" spans="1:5" hidden="1" x14ac:dyDescent="0.2">
      <c r="A547" s="97">
        <v>1846605840</v>
      </c>
      <c r="B547" s="97" t="s">
        <v>1660</v>
      </c>
      <c r="C547" s="97" t="s">
        <v>359</v>
      </c>
      <c r="D547" s="97">
        <v>0</v>
      </c>
      <c r="E547" s="97">
        <f>VLOOKUP(A547,'תקציב מפורט 2025'!A:O,4,FALSE)-D547</f>
        <v>0</v>
      </c>
    </row>
    <row r="548" spans="1:5" hidden="1" x14ac:dyDescent="0.2">
      <c r="A548" s="97">
        <v>1846701840</v>
      </c>
      <c r="B548" s="97" t="s">
        <v>234</v>
      </c>
      <c r="C548" s="97" t="s">
        <v>359</v>
      </c>
      <c r="D548" s="97">
        <v>1300000</v>
      </c>
      <c r="E548" s="97">
        <f>VLOOKUP(A548,'תקציב מפורט 2025'!A:O,4,FALSE)-D548</f>
        <v>0</v>
      </c>
    </row>
    <row r="549" spans="1:5" hidden="1" x14ac:dyDescent="0.2">
      <c r="A549" s="97">
        <v>1846702840</v>
      </c>
      <c r="B549" s="97" t="s">
        <v>235</v>
      </c>
      <c r="C549" s="97" t="s">
        <v>359</v>
      </c>
      <c r="D549" s="97"/>
      <c r="E549" s="97">
        <f>VLOOKUP(A549,'תקציב מפורט 2025'!A:O,4,FALSE)-D549</f>
        <v>0</v>
      </c>
    </row>
    <row r="550" spans="1:5" hidden="1" x14ac:dyDescent="0.2">
      <c r="A550" s="97">
        <v>1846703840</v>
      </c>
      <c r="B550" s="97" t="s">
        <v>236</v>
      </c>
      <c r="C550" s="97" t="s">
        <v>359</v>
      </c>
      <c r="D550" s="97">
        <v>800000</v>
      </c>
      <c r="E550" s="97">
        <f>VLOOKUP(A550,'תקציב מפורט 2025'!A:O,4,FALSE)-D550</f>
        <v>0</v>
      </c>
    </row>
    <row r="551" spans="1:5" hidden="1" x14ac:dyDescent="0.2">
      <c r="A551" s="97">
        <v>1846704840</v>
      </c>
      <c r="B551" s="97" t="s">
        <v>237</v>
      </c>
      <c r="C551" s="97" t="s">
        <v>359</v>
      </c>
      <c r="D551" s="97">
        <v>200000</v>
      </c>
      <c r="E551" s="97">
        <f>VLOOKUP(A551,'תקציב מפורט 2025'!A:O,4,FALSE)-D551</f>
        <v>0</v>
      </c>
    </row>
    <row r="552" spans="1:5" hidden="1" x14ac:dyDescent="0.2">
      <c r="A552" s="97">
        <v>1846705840</v>
      </c>
      <c r="B552" s="97" t="s">
        <v>768</v>
      </c>
      <c r="C552" s="97" t="s">
        <v>359</v>
      </c>
      <c r="D552" s="97">
        <v>70000</v>
      </c>
      <c r="E552" s="97">
        <f>VLOOKUP(A552,'תקציב מפורט 2025'!A:O,4,FALSE)-D552</f>
        <v>0</v>
      </c>
    </row>
    <row r="553" spans="1:5" hidden="1" x14ac:dyDescent="0.2">
      <c r="A553" s="97">
        <v>1846712840</v>
      </c>
      <c r="B553" s="97" t="s">
        <v>1919</v>
      </c>
      <c r="C553" s="97" t="s">
        <v>359</v>
      </c>
      <c r="D553" s="97"/>
      <c r="E553" s="97">
        <f>VLOOKUP(A553,'תקציב מפורט 2025'!A:O,4,FALSE)-D553</f>
        <v>0</v>
      </c>
    </row>
    <row r="554" spans="1:5" hidden="1" x14ac:dyDescent="0.2">
      <c r="A554" s="97">
        <v>1846801840</v>
      </c>
      <c r="B554" s="97" t="s">
        <v>238</v>
      </c>
      <c r="C554" s="97" t="s">
        <v>359</v>
      </c>
      <c r="D554" s="97">
        <v>250000</v>
      </c>
      <c r="E554" s="97">
        <f>VLOOKUP(A554,'תקציב מפורט 2025'!A:O,4,FALSE)-D554</f>
        <v>0</v>
      </c>
    </row>
    <row r="555" spans="1:5" hidden="1" x14ac:dyDescent="0.2">
      <c r="A555" s="97">
        <v>1846901840</v>
      </c>
      <c r="B555" s="97" t="s">
        <v>1590</v>
      </c>
      <c r="C555" s="97" t="s">
        <v>359</v>
      </c>
      <c r="D555" s="97">
        <v>10000</v>
      </c>
      <c r="E555" s="97">
        <f>VLOOKUP(A555,'תקציב מפורט 2025'!A:O,4,FALSE)-D555</f>
        <v>0</v>
      </c>
    </row>
    <row r="556" spans="1:5" hidden="1" x14ac:dyDescent="0.2">
      <c r="B556" t="s">
        <v>2140</v>
      </c>
      <c r="D556">
        <v>3045000</v>
      </c>
      <c r="E556" t="e">
        <f>VLOOKUP(A556,'תקציב מפורט 2025'!A:O,4,FALSE)-D556</f>
        <v>#N/A</v>
      </c>
    </row>
    <row r="557" spans="1:5" hidden="1" x14ac:dyDescent="0.2">
      <c r="A557" s="97">
        <v>1847101780</v>
      </c>
      <c r="B557" s="97" t="s">
        <v>1027</v>
      </c>
      <c r="C557" s="97" t="s">
        <v>359</v>
      </c>
      <c r="D557" s="97">
        <v>25000</v>
      </c>
      <c r="E557" s="97">
        <f>VLOOKUP(A557,'תקציב מפורט 2025'!A:O,4,FALSE)-D557</f>
        <v>0</v>
      </c>
    </row>
    <row r="558" spans="1:5" hidden="1" x14ac:dyDescent="0.2">
      <c r="A558" s="97">
        <v>1847102750</v>
      </c>
      <c r="B558" s="97" t="s">
        <v>1157</v>
      </c>
      <c r="C558" s="97" t="s">
        <v>359</v>
      </c>
      <c r="D558" s="97">
        <v>50000</v>
      </c>
      <c r="E558" s="97">
        <f>VLOOKUP(A558,'תקציב מפורט 2025'!A:O,4,FALSE)-D558</f>
        <v>0</v>
      </c>
    </row>
    <row r="559" spans="1:5" hidden="1" x14ac:dyDescent="0.2">
      <c r="A559" s="97">
        <v>1847103840</v>
      </c>
      <c r="B559" s="97" t="s">
        <v>240</v>
      </c>
      <c r="C559" s="97" t="s">
        <v>359</v>
      </c>
      <c r="D559" s="97">
        <v>250000</v>
      </c>
      <c r="E559" s="97">
        <f>VLOOKUP(A559,'תקציב מפורט 2025'!A:O,4,FALSE)-D559</f>
        <v>0</v>
      </c>
    </row>
    <row r="560" spans="1:5" hidden="1" x14ac:dyDescent="0.2">
      <c r="A560" s="97">
        <v>1847104840</v>
      </c>
      <c r="B560" s="97" t="s">
        <v>241</v>
      </c>
      <c r="C560" s="97" t="s">
        <v>359</v>
      </c>
      <c r="D560" s="97">
        <v>35000</v>
      </c>
      <c r="E560" s="97">
        <f>VLOOKUP(A560,'תקציב מפורט 2025'!A:O,4,FALSE)-D560</f>
        <v>0</v>
      </c>
    </row>
    <row r="561" spans="1:5" hidden="1" x14ac:dyDescent="0.2">
      <c r="A561" s="97">
        <v>1847105840</v>
      </c>
      <c r="B561" s="97" t="s">
        <v>1148</v>
      </c>
      <c r="C561" s="97" t="s">
        <v>359</v>
      </c>
      <c r="D561" s="97">
        <v>0</v>
      </c>
      <c r="E561" s="97">
        <f>VLOOKUP(A561,'תקציב מפורט 2025'!A:O,4,FALSE)-D561</f>
        <v>0</v>
      </c>
    </row>
    <row r="562" spans="1:5" hidden="1" x14ac:dyDescent="0.2">
      <c r="A562" s="97">
        <v>1847201840</v>
      </c>
      <c r="B562" s="97" t="s">
        <v>242</v>
      </c>
      <c r="C562" s="97" t="s">
        <v>359</v>
      </c>
      <c r="D562" s="97">
        <v>200000</v>
      </c>
      <c r="E562" s="97">
        <f>VLOOKUP(A562,'תקציב מפורט 2025'!A:O,4,FALSE)-D562</f>
        <v>0</v>
      </c>
    </row>
    <row r="563" spans="1:5" hidden="1" x14ac:dyDescent="0.2">
      <c r="A563" s="97">
        <v>1847202840</v>
      </c>
      <c r="B563" s="97" t="s">
        <v>640</v>
      </c>
      <c r="C563" s="97" t="s">
        <v>359</v>
      </c>
      <c r="D563" s="97">
        <v>100000</v>
      </c>
      <c r="E563" s="97">
        <f>VLOOKUP(A563,'תקציב מפורט 2025'!A:O,4,FALSE)-D563</f>
        <v>0</v>
      </c>
    </row>
    <row r="564" spans="1:5" hidden="1" x14ac:dyDescent="0.2">
      <c r="A564" s="97">
        <v>1847220840</v>
      </c>
      <c r="B564" s="97" t="s">
        <v>983</v>
      </c>
      <c r="C564" s="97" t="s">
        <v>359</v>
      </c>
      <c r="D564" s="97">
        <v>580000</v>
      </c>
      <c r="E564" s="97">
        <f>VLOOKUP(A564,'תקציב מפורט 2025'!A:O,4,FALSE)-D564</f>
        <v>0</v>
      </c>
    </row>
    <row r="565" spans="1:5" hidden="1" x14ac:dyDescent="0.2">
      <c r="A565" s="97">
        <v>1842212840</v>
      </c>
      <c r="B565" s="97" t="s">
        <v>2213</v>
      </c>
      <c r="C565" s="97" t="s">
        <v>359</v>
      </c>
      <c r="D565" s="97"/>
      <c r="E565" s="97">
        <f>VLOOKUP(A565,'תקציב מפורט 2025'!A:O,4,FALSE)-D565</f>
        <v>0</v>
      </c>
    </row>
    <row r="566" spans="1:5" hidden="1" x14ac:dyDescent="0.2">
      <c r="A566" s="97">
        <v>1842213840</v>
      </c>
      <c r="B566" s="97" t="s">
        <v>2214</v>
      </c>
      <c r="C566" s="97" t="s">
        <v>359</v>
      </c>
      <c r="D566" s="97"/>
      <c r="E566" s="97">
        <f>VLOOKUP(A566,'תקציב מפורט 2025'!A:O,4,FALSE)-D566</f>
        <v>0</v>
      </c>
    </row>
    <row r="567" spans="1:5" hidden="1" x14ac:dyDescent="0.2">
      <c r="A567" s="97">
        <v>1847301840</v>
      </c>
      <c r="B567" s="97" t="s">
        <v>243</v>
      </c>
      <c r="C567" s="97" t="s">
        <v>359</v>
      </c>
      <c r="D567" s="97">
        <v>95000</v>
      </c>
      <c r="E567" s="97">
        <f>VLOOKUP(A567,'תקציב מפורט 2025'!A:O,4,FALSE)-D567</f>
        <v>0</v>
      </c>
    </row>
    <row r="568" spans="1:5" hidden="1" x14ac:dyDescent="0.2">
      <c r="A568" s="97">
        <v>1847305840</v>
      </c>
      <c r="B568" s="97" t="s">
        <v>643</v>
      </c>
      <c r="C568" s="97" t="s">
        <v>359</v>
      </c>
      <c r="D568" s="97">
        <v>1600000</v>
      </c>
      <c r="E568" s="97">
        <f>VLOOKUP(A568,'תקציב מפורט 2025'!A:O,4,FALSE)-D568</f>
        <v>0</v>
      </c>
    </row>
    <row r="569" spans="1:5" hidden="1" x14ac:dyDescent="0.2">
      <c r="A569" s="97">
        <v>1847400840</v>
      </c>
      <c r="B569" s="97" t="s">
        <v>244</v>
      </c>
      <c r="C569" s="97" t="s">
        <v>359</v>
      </c>
      <c r="D569" s="97">
        <v>25000</v>
      </c>
      <c r="E569" s="97">
        <f>VLOOKUP(A569,'תקציב מפורט 2025'!A:O,4,FALSE)-D569</f>
        <v>0</v>
      </c>
    </row>
    <row r="570" spans="1:5" hidden="1" x14ac:dyDescent="0.2">
      <c r="A570" s="97">
        <v>1848000840</v>
      </c>
      <c r="B570" s="97" t="s">
        <v>1661</v>
      </c>
      <c r="C570" s="97" t="s">
        <v>359</v>
      </c>
      <c r="D570" s="97">
        <v>0</v>
      </c>
      <c r="E570" s="97">
        <f>VLOOKUP(A570,'תקציב מפורט 2025'!A:O,4,FALSE)-D570</f>
        <v>0</v>
      </c>
    </row>
    <row r="571" spans="1:5" hidden="1" x14ac:dyDescent="0.2">
      <c r="B571" t="s">
        <v>2160</v>
      </c>
      <c r="D571">
        <v>2960000</v>
      </c>
      <c r="E571" t="e">
        <f>VLOOKUP(A571,'תקציב מפורט 2025'!A:O,4,FALSE)-D571</f>
        <v>#N/A</v>
      </c>
    </row>
    <row r="572" spans="1:5" hidden="1" x14ac:dyDescent="0.2">
      <c r="B572" t="s">
        <v>360</v>
      </c>
      <c r="D572">
        <v>39714000</v>
      </c>
      <c r="E572" t="e">
        <f>VLOOKUP(A572,'תקציב מפורט 2025'!A:O,4,FALSE)-D572</f>
        <v>#N/A</v>
      </c>
    </row>
    <row r="573" spans="1:5" hidden="1" x14ac:dyDescent="0.2">
      <c r="A573" s="97">
        <v>1853000431</v>
      </c>
      <c r="B573" s="97" t="s">
        <v>701</v>
      </c>
      <c r="C573" s="97" t="s">
        <v>353</v>
      </c>
      <c r="D573" s="97">
        <v>15000</v>
      </c>
      <c r="E573" s="97">
        <f>VLOOKUP(A573,'תקציב מפורט 2025'!A:O,4,FALSE)-D573</f>
        <v>0</v>
      </c>
    </row>
    <row r="574" spans="1:5" hidden="1" x14ac:dyDescent="0.2">
      <c r="A574" s="97">
        <v>1853000432</v>
      </c>
      <c r="B574" s="97" t="s">
        <v>246</v>
      </c>
      <c r="C574" s="97" t="s">
        <v>353</v>
      </c>
      <c r="D574" s="97">
        <v>30000</v>
      </c>
      <c r="E574" s="97">
        <f>VLOOKUP(A574,'תקציב מפורט 2025'!A:O,4,FALSE)-D574</f>
        <v>0</v>
      </c>
    </row>
    <row r="575" spans="1:5" hidden="1" x14ac:dyDescent="0.2">
      <c r="B575" t="s">
        <v>430</v>
      </c>
      <c r="D575">
        <v>45000</v>
      </c>
      <c r="E575" t="e">
        <f>VLOOKUP(A575,'תקציב מפורט 2025'!A:O,4,FALSE)-D575</f>
        <v>#N/A</v>
      </c>
    </row>
    <row r="576" spans="1:5" hidden="1" x14ac:dyDescent="0.2">
      <c r="A576" s="97">
        <v>1879000830</v>
      </c>
      <c r="B576" s="97" t="s">
        <v>247</v>
      </c>
      <c r="C576" s="97" t="s">
        <v>353</v>
      </c>
      <c r="D576" s="97">
        <v>80000</v>
      </c>
      <c r="E576" s="97">
        <f>VLOOKUP(A576,'תקציב מפורט 2025'!A:O,4,FALSE)-D576</f>
        <v>0</v>
      </c>
    </row>
    <row r="577" spans="1:5" hidden="1" x14ac:dyDescent="0.2">
      <c r="B577" t="s">
        <v>2161</v>
      </c>
      <c r="D577">
        <v>80000</v>
      </c>
      <c r="E577" t="e">
        <f>VLOOKUP(A577,'תקציב מפורט 2025'!A:O,4,FALSE)-D577</f>
        <v>#N/A</v>
      </c>
    </row>
    <row r="578" spans="1:5" hidden="1" x14ac:dyDescent="0.2">
      <c r="A578" s="97">
        <v>1938000420</v>
      </c>
      <c r="B578" s="97" t="s">
        <v>105</v>
      </c>
      <c r="C578" s="97" t="s">
        <v>353</v>
      </c>
      <c r="D578" s="97">
        <v>50000</v>
      </c>
      <c r="E578" s="97">
        <f>VLOOKUP(A578,'תקציב מפורט 2025'!A:O,4,FALSE)-D578</f>
        <v>0</v>
      </c>
    </row>
    <row r="579" spans="1:5" hidden="1" x14ac:dyDescent="0.2">
      <c r="A579" s="97">
        <v>1938000432</v>
      </c>
      <c r="B579" s="97" t="s">
        <v>115</v>
      </c>
      <c r="C579" s="97" t="s">
        <v>333</v>
      </c>
      <c r="D579" s="97"/>
      <c r="E579" s="97">
        <f>VLOOKUP(A579,'תקציב מפורט 2025'!A:O,4,FALSE)-D579</f>
        <v>0</v>
      </c>
    </row>
    <row r="580" spans="1:5" hidden="1" x14ac:dyDescent="0.2">
      <c r="A580" s="97">
        <v>1938000750</v>
      </c>
      <c r="B580" s="97" t="s">
        <v>49</v>
      </c>
      <c r="C580" s="97" t="s">
        <v>353</v>
      </c>
      <c r="D580" s="97">
        <v>80000</v>
      </c>
      <c r="E580" s="97">
        <f>VLOOKUP(A580,'תקציב מפורט 2025'!A:O,4,FALSE)-D580</f>
        <v>0</v>
      </c>
    </row>
    <row r="581" spans="1:5" hidden="1" x14ac:dyDescent="0.2">
      <c r="A581" s="97">
        <v>1938000780</v>
      </c>
      <c r="B581" s="97" t="s">
        <v>977</v>
      </c>
      <c r="C581" s="97" t="s">
        <v>353</v>
      </c>
      <c r="D581" s="97">
        <v>400000</v>
      </c>
      <c r="E581" s="97">
        <f>VLOOKUP(A581,'תקציב מפורט 2025'!A:O,4,FALSE)-D581</f>
        <v>0</v>
      </c>
    </row>
    <row r="582" spans="1:5" hidden="1" x14ac:dyDescent="0.2">
      <c r="A582" s="97">
        <v>1938000930</v>
      </c>
      <c r="B582" s="97" t="s">
        <v>1920</v>
      </c>
      <c r="C582" s="97" t="s">
        <v>353</v>
      </c>
      <c r="D582" s="97">
        <v>165000</v>
      </c>
      <c r="E582" s="97">
        <f>VLOOKUP(A582,'תקציב מפורט 2025'!A:O,4,FALSE)-D582</f>
        <v>0</v>
      </c>
    </row>
    <row r="583" spans="1:5" hidden="1" x14ac:dyDescent="0.2">
      <c r="B583" t="s">
        <v>2162</v>
      </c>
      <c r="D583">
        <v>695000</v>
      </c>
      <c r="E583" t="e">
        <f>VLOOKUP(A583,'תקציב מפורט 2025'!A:O,4,FALSE)-D583</f>
        <v>#N/A</v>
      </c>
    </row>
    <row r="584" spans="1:5" hidden="1" x14ac:dyDescent="0.2">
      <c r="A584" s="97">
        <v>1972000691</v>
      </c>
      <c r="B584" s="97" t="s">
        <v>250</v>
      </c>
      <c r="C584" s="97" t="s">
        <v>361</v>
      </c>
      <c r="D584" s="97">
        <v>400000</v>
      </c>
      <c r="E584" s="97">
        <f>VLOOKUP(A584,'תקציב מפורט 2025'!A:O,4,FALSE)-D584</f>
        <v>0</v>
      </c>
    </row>
    <row r="585" spans="1:5" hidden="1" x14ac:dyDescent="0.2">
      <c r="A585" s="97">
        <v>1972000692</v>
      </c>
      <c r="B585" s="97" t="s">
        <v>251</v>
      </c>
      <c r="C585" s="97" t="s">
        <v>361</v>
      </c>
      <c r="D585" s="97">
        <v>50000</v>
      </c>
      <c r="E585" s="97">
        <f>VLOOKUP(A585,'תקציב מפורט 2025'!A:O,4,FALSE)-D585</f>
        <v>0</v>
      </c>
    </row>
    <row r="586" spans="1:5" hidden="1" x14ac:dyDescent="0.2">
      <c r="A586" s="97">
        <v>1972000693</v>
      </c>
      <c r="B586" s="97" t="s">
        <v>252</v>
      </c>
      <c r="C586" s="97" t="s">
        <v>361</v>
      </c>
      <c r="D586" s="97">
        <v>150000</v>
      </c>
      <c r="E586" s="97">
        <f>VLOOKUP(A586,'תקציב מפורט 2025'!A:O,4,FALSE)-D586</f>
        <v>0</v>
      </c>
    </row>
    <row r="587" spans="1:5" hidden="1" x14ac:dyDescent="0.2">
      <c r="A587" s="97">
        <v>1972000750</v>
      </c>
      <c r="B587" s="97" t="s">
        <v>253</v>
      </c>
      <c r="C587" s="97" t="s">
        <v>353</v>
      </c>
      <c r="D587" s="97">
        <v>50000</v>
      </c>
      <c r="E587" s="97">
        <f>VLOOKUP(A587,'תקציב מפורט 2025'!A:O,4,FALSE)-D587</f>
        <v>0</v>
      </c>
    </row>
    <row r="588" spans="1:5" hidden="1" x14ac:dyDescent="0.2">
      <c r="B588" t="s">
        <v>2143</v>
      </c>
      <c r="D588">
        <v>650000</v>
      </c>
      <c r="E588" t="e">
        <f>VLOOKUP(A588,'תקציב מפורט 2025'!A:O,4,FALSE)-D588</f>
        <v>#N/A</v>
      </c>
    </row>
    <row r="589" spans="1:5" hidden="1" x14ac:dyDescent="0.2">
      <c r="A589" s="97">
        <v>1993000780</v>
      </c>
      <c r="B589" s="97" t="s">
        <v>254</v>
      </c>
      <c r="C589" s="97" t="s">
        <v>365</v>
      </c>
      <c r="D589" s="97">
        <v>0</v>
      </c>
      <c r="E589" s="97">
        <f>VLOOKUP(A589,'תקציב מפורט 2025'!A:O,4,FALSE)-D589</f>
        <v>0</v>
      </c>
    </row>
    <row r="590" spans="1:5" hidden="1" x14ac:dyDescent="0.2">
      <c r="A590" s="97">
        <v>1995000860</v>
      </c>
      <c r="B590" s="97" t="s">
        <v>255</v>
      </c>
      <c r="C590" s="97" t="s">
        <v>346</v>
      </c>
      <c r="D590" s="97">
        <v>6500000</v>
      </c>
      <c r="E590" s="97">
        <f>VLOOKUP(A590,'תקציב מפורט 2025'!A:O,4,FALSE)-D590</f>
        <v>0</v>
      </c>
    </row>
    <row r="591" spans="1:5" ht="15" x14ac:dyDescent="0.25">
      <c r="A591" s="99">
        <v>1999000110</v>
      </c>
      <c r="B591" s="99" t="s">
        <v>256</v>
      </c>
      <c r="C591" s="99" t="s">
        <v>352</v>
      </c>
      <c r="D591" s="99">
        <v>0</v>
      </c>
      <c r="E591" s="99">
        <f>VLOOKUP(A591,'תקציב מפורט 2025'!A:O,4,FALSE)-D591</f>
        <v>300000</v>
      </c>
    </row>
    <row r="592" spans="1:5" ht="15" x14ac:dyDescent="0.25">
      <c r="A592" s="99">
        <v>1999000310</v>
      </c>
      <c r="B592" s="99" t="s">
        <v>257</v>
      </c>
      <c r="C592" s="99" t="s">
        <v>352</v>
      </c>
      <c r="D592" s="99">
        <v>300000</v>
      </c>
      <c r="E592" s="99" t="e">
        <f>VLOOKUP(A592,'תקציב מפורט 2025'!A:O,4,FALSE)-D592</f>
        <v>#N/A</v>
      </c>
    </row>
    <row r="593" spans="1:5" hidden="1" x14ac:dyDescent="0.2">
      <c r="A593" s="97">
        <v>1999900990</v>
      </c>
      <c r="B593" s="97" t="s">
        <v>703</v>
      </c>
      <c r="C593" s="97" t="s">
        <v>369</v>
      </c>
      <c r="D593" s="97">
        <v>747166.25</v>
      </c>
      <c r="E593" s="97">
        <f>VLOOKUP(A593,'תקציב מפורט 2025'!A:O,4,FALSE)-D593</f>
        <v>0</v>
      </c>
    </row>
    <row r="594" spans="1:5" hidden="1" x14ac:dyDescent="0.2">
      <c r="B594" t="s">
        <v>2163</v>
      </c>
      <c r="D594">
        <v>7547166.25</v>
      </c>
      <c r="E594" t="e">
        <f>VLOOKUP(A594,'תקציב מפורט 2025'!A:O,4,FALSE)-D594</f>
        <v>#N/A</v>
      </c>
    </row>
    <row r="595" spans="1:5" hidden="1" x14ac:dyDescent="0.2">
      <c r="C595" t="s">
        <v>1544</v>
      </c>
      <c r="D595">
        <v>135853919.25</v>
      </c>
      <c r="E595" t="e">
        <f>VLOOKUP(A595,'תקציב מפורט 2025'!A:O,4,FALSE)-D595</f>
        <v>#N/A</v>
      </c>
    </row>
    <row r="596" spans="1:5" hidden="1" x14ac:dyDescent="0.2">
      <c r="C596" t="s">
        <v>817</v>
      </c>
      <c r="D596">
        <v>-5348000</v>
      </c>
    </row>
    <row r="597" spans="1:5" x14ac:dyDescent="0.2">
      <c r="A597" s="97"/>
      <c r="B597" s="97"/>
      <c r="C597" s="97"/>
      <c r="D597" s="97"/>
      <c r="E597" s="97">
        <v>0</v>
      </c>
    </row>
    <row r="598" spans="1:5" x14ac:dyDescent="0.2">
      <c r="A598" s="97"/>
      <c r="B598" s="97"/>
      <c r="C598" s="97"/>
      <c r="D598" s="97">
        <v>0</v>
      </c>
      <c r="E598" s="97">
        <v>0</v>
      </c>
    </row>
  </sheetData>
  <autoFilter ref="A1:E596" xr:uid="{9FEFAEE2-83A1-4C44-A7D1-8C16796A4668}">
    <filterColumn colId="0">
      <filters>
        <filter val="1111000100"/>
        <filter val="1111000110"/>
        <filter val="1111000114"/>
        <filter val="1111200100"/>
        <filter val="1112022100"/>
        <filter val="1116000100"/>
        <filter val="1121000291"/>
        <filter val="1121000292"/>
        <filter val="1191000910"/>
        <filter val="1192000910"/>
        <filter val="1192010910"/>
        <filter val="1196000910"/>
        <filter val="1212300220"/>
        <filter val="1224000970"/>
        <filter val="1224200970"/>
        <filter val="1224300970"/>
        <filter val="1224400970"/>
        <filter val="1233100710"/>
        <filter val="1233410290"/>
        <filter val="1233420290"/>
        <filter val="1244000990"/>
        <filter val="1269000690"/>
        <filter val="1269000691"/>
        <filter val="1269000692"/>
        <filter val="1269100920"/>
        <filter val="1310000920"/>
        <filter val="1311000790"/>
        <filter val="1311001920"/>
        <filter val="1312001920"/>
        <filter val="1312200690"/>
        <filter val="1312201920"/>
        <filter val="1312201923"/>
        <filter val="1312203940"/>
        <filter val="1312213940"/>
        <filter val="1312300920"/>
        <filter val="1312300923"/>
        <filter val="1312301920"/>
        <filter val="1312302920"/>
        <filter val="1312311920"/>
        <filter val="1312312980"/>
        <filter val="1313100920"/>
        <filter val="1313200920"/>
        <filter val="1313200921"/>
        <filter val="1313200923"/>
        <filter val="1313200925"/>
        <filter val="1313202920"/>
        <filter val="1313202926"/>
        <filter val="1313202927"/>
        <filter val="1313204920"/>
        <filter val="1313206920"/>
        <filter val="1313210921"/>
        <filter val="1313210922"/>
        <filter val="1313210924"/>
        <filter val="1313210925"/>
        <filter val="1313210926"/>
        <filter val="1313210929"/>
        <filter val="1313225920"/>
        <filter val="1313230922"/>
        <filter val="1313230925"/>
        <filter val="1313300210"/>
        <filter val="1313301920"/>
        <filter val="1313303920"/>
        <filter val="1313306920"/>
        <filter val="1313307920"/>
        <filter val="1313309920"/>
        <filter val="1313319920"/>
        <filter val="1313339920"/>
        <filter val="1313429920"/>
        <filter val="1313600420"/>
        <filter val="1313800920"/>
        <filter val="1313901920"/>
        <filter val="1314000920"/>
        <filter val="1314000924"/>
        <filter val="1315200927"/>
        <filter val="1315201920"/>
        <filter val="1315202920"/>
        <filter val="1315203920"/>
        <filter val="1315204920"/>
        <filter val="1315206920"/>
        <filter val="1315209920"/>
        <filter val="1315210920"/>
        <filter val="1315211920"/>
        <filter val="1315213920"/>
        <filter val="1315214920"/>
        <filter val="1315216920"/>
        <filter val="1315218920"/>
        <filter val="1315219920"/>
        <filter val="1315220920"/>
        <filter val="1315221920"/>
        <filter val="1315222920"/>
        <filter val="1315223920"/>
        <filter val="1315224920"/>
        <filter val="1315225920"/>
        <filter val="1315226920"/>
        <filter val="1315228920"/>
        <filter val="1315229920"/>
        <filter val="1315230920"/>
        <filter val="1315230921"/>
        <filter val="1315233920"/>
        <filter val="1315326920"/>
        <filter val="1315426920"/>
        <filter val="1315526920"/>
        <filter val="1315626920"/>
        <filter val="1317100990"/>
        <filter val="1317301920"/>
        <filter val="1317302920"/>
        <filter val="1317603920"/>
        <filter val="1317610920"/>
        <filter val="1317620920"/>
        <filter val="1317700920"/>
        <filter val="1317710920"/>
        <filter val="1317721920"/>
        <filter val="1317730920"/>
        <filter val="1317800920"/>
        <filter val="1317810920"/>
        <filter val="1317820690"/>
        <filter val="1317820920"/>
        <filter val="1319000920"/>
        <filter val="1319101920"/>
        <filter val="1319102920"/>
        <filter val="1319103920"/>
        <filter val="1319200920"/>
        <filter val="1322000990"/>
        <filter val="1322300410"/>
        <filter val="1324000920"/>
        <filter val="1328200750"/>
        <filter val="1328300920"/>
        <filter val="1329200420"/>
        <filter val="1329200650"/>
        <filter val="1329200990"/>
        <filter val="1329300990"/>
        <filter val="1341000420"/>
        <filter val="1341001930"/>
        <filter val="1341002930"/>
        <filter val="1341004930"/>
        <filter val="1341100930"/>
        <filter val="1341105930"/>
        <filter val="1341200930"/>
        <filter val="1341206930"/>
        <filter val="1342100930"/>
        <filter val="1342101930"/>
        <filter val="1342102930"/>
        <filter val="1342202930"/>
        <filter val="1342208930"/>
        <filter val="1342209930"/>
        <filter val="1342231930"/>
        <filter val="1342232930"/>
        <filter val="1342233930"/>
        <filter val="1342301930"/>
        <filter val="1342401930"/>
        <filter val="1342402930"/>
        <filter val="1342404930"/>
        <filter val="1342405930"/>
        <filter val="1343501930"/>
        <filter val="1343502930"/>
        <filter val="1343503930"/>
        <filter val="1343505930"/>
        <filter val="1343801930"/>
        <filter val="1343901930"/>
        <filter val="1343903930"/>
        <filter val="1343904930"/>
        <filter val="1344300930"/>
        <filter val="1344402420"/>
        <filter val="1344402930"/>
        <filter val="1344403930"/>
        <filter val="1345101930"/>
        <filter val="1345102930"/>
        <filter val="1345201930"/>
        <filter val="1345202930"/>
        <filter val="1345203930"/>
        <filter val="1345301930"/>
        <filter val="1345302420"/>
        <filter val="1345302930"/>
        <filter val="1345303930"/>
        <filter val="1345401840"/>
        <filter val="1345902930"/>
        <filter val="1346302930"/>
        <filter val="1346401930"/>
        <filter val="1346500930"/>
        <filter val="1346601930"/>
        <filter val="1346603930"/>
        <filter val="1346604930"/>
        <filter val="1346701930"/>
        <filter val="1346702930"/>
        <filter val="1346703930"/>
        <filter val="1346704930"/>
        <filter val="1346705930"/>
        <filter val="1346801930"/>
        <filter val="1347101930"/>
        <filter val="1347102930"/>
        <filter val="1347103930"/>
        <filter val="1347104930"/>
        <filter val="1347201930"/>
        <filter val="1347202930"/>
        <filter val="1347220930"/>
        <filter val="1347301930"/>
        <filter val="1347305930"/>
        <filter val="1347400930"/>
        <filter val="1348501930"/>
        <filter val="1348900930"/>
        <filter val="1413110210"/>
        <filter val="1413200220"/>
        <filter val="1413300810"/>
        <filter val="1433000290"/>
        <filter val="1472000210"/>
        <filter val="1472000810"/>
        <filter val="1472100210"/>
        <filter val="1511000661"/>
        <filter val="1599000590"/>
        <filter val="1599100910"/>
        <filter val="1599200910"/>
        <filter val="1611100110"/>
        <filter val="1611100511"/>
        <filter val="1611100523"/>
        <filter val="1611100560"/>
        <filter val="1611100750"/>
        <filter val="1611100780"/>
        <filter val="1611110110"/>
        <filter val="1612000523"/>
        <filter val="1612000930"/>
        <filter val="1613000110"/>
        <filter val="1613000320"/>
        <filter val="1613000431"/>
        <filter val="1613000523"/>
        <filter val="1613000540"/>
        <filter val="1613000550"/>
        <filter val="1613000560"/>
        <filter val="1613000750"/>
        <filter val="1613000780"/>
        <filter val="1615000110"/>
        <filter val="1615101110"/>
        <filter val="1615200110"/>
        <filter val="1616000521"/>
        <filter val="1617000581"/>
        <filter val="1617000750"/>
        <filter val="1619000780"/>
        <filter val="1621200110"/>
        <filter val="1621300110"/>
        <filter val="1621300523"/>
        <filter val="1621300570"/>
        <filter val="1621300751"/>
        <filter val="1621300780"/>
        <filter val="1621300930"/>
        <filter val="1623000110"/>
        <filter val="1623000550"/>
        <filter val="1623000582"/>
        <filter val="1623000750"/>
        <filter val="1623000780"/>
        <filter val="1624000110"/>
        <filter val="1631000610"/>
        <filter val="1632000620"/>
        <filter val="1648000691"/>
        <filter val="1648000692"/>
        <filter val="1648000693"/>
        <filter val="1711000110"/>
        <filter val="1711000523"/>
        <filter val="1712200740"/>
        <filter val="1712200750"/>
        <filter val="1712200780"/>
        <filter val="1712300751"/>
        <filter val="1712300752"/>
        <filter val="1713000110"/>
        <filter val="1714100830"/>
        <filter val="1715300750"/>
        <filter val="1722000110"/>
        <filter val="1722000731"/>
        <filter val="1722000732"/>
        <filter val="1722000733"/>
        <filter val="1722000780"/>
        <filter val="1722002110"/>
        <filter val="1722100750"/>
        <filter val="1723000810"/>
        <filter val="1723100110"/>
        <filter val="1723420750"/>
        <filter val="1723421750"/>
        <filter val="1723422750"/>
        <filter val="1723423750"/>
        <filter val="1725000110"/>
        <filter val="1725000750"/>
        <filter val="1725002750"/>
        <filter val="1725004110"/>
        <filter val="1731000110"/>
        <filter val="1731000320"/>
        <filter val="1731000780"/>
        <filter val="1732100750"/>
        <filter val="1733400750"/>
        <filter val="1741000110"/>
        <filter val="1741000750"/>
        <filter val="1741000751"/>
        <filter val="1742200110"/>
        <filter val="1743000750"/>
        <filter val="1743000771"/>
        <filter val="1744000750"/>
        <filter val="1745000830"/>
        <filter val="1747200110"/>
        <filter val="1747200431"/>
        <filter val="1747200432"/>
        <filter val="1747200433"/>
        <filter val="1747200750"/>
        <filter val="1766000870"/>
        <filter val="1767000441"/>
        <filter val="1811000110"/>
        <filter val="1811000540"/>
        <filter val="1811000750"/>
        <filter val="1811000781"/>
        <filter val="1811000800"/>
        <filter val="1811000930"/>
        <filter val="1811000980"/>
        <filter val="1811010930"/>
        <filter val="1812200110"/>
        <filter val="1812200420"/>
        <filter val="1812200431"/>
        <filter val="1812200432"/>
        <filter val="1812200433"/>
        <filter val="1812200740"/>
        <filter val="1812200750"/>
        <filter val="1812200751"/>
        <filter val="1812300110"/>
        <filter val="1812300320"/>
        <filter val="1812300410"/>
        <filter val="1812300431"/>
        <filter val="1812300750"/>
        <filter val="1812300760"/>
        <filter val="1812300780"/>
        <filter val="1812301780"/>
        <filter val="1812312110"/>
        <filter val="1812312980"/>
        <filter val="1812400110"/>
        <filter val="1812410780"/>
        <filter val="1812500110"/>
        <filter val="1812500431"/>
        <filter val="1813200110"/>
        <filter val="1813200760"/>
        <filter val="1813200780"/>
        <filter val="1813200931"/>
        <filter val="1813210110"/>
        <filter val="1813210431"/>
        <filter val="1813210750"/>
        <filter val="1813210931"/>
        <filter val="1813211750"/>
        <filter val="1813212110"/>
        <filter val="1813212750"/>
        <filter val="1813220110"/>
        <filter val="1813220431"/>
        <filter val="1813230110"/>
        <filter val="1813230431"/>
        <filter val="1813240110"/>
        <filter val="1813250110"/>
        <filter val="1813251110"/>
        <filter val="1813260110"/>
        <filter val="1813300110"/>
        <filter val="1813300431"/>
        <filter val="1813300870"/>
        <filter val="1813303760"/>
        <filter val="1813800110"/>
        <filter val="1813810110"/>
        <filter val="1814000110"/>
        <filter val="1814000320"/>
        <filter val="1814000431"/>
        <filter val="1814000750"/>
        <filter val="1814000780"/>
        <filter val="1814000870"/>
        <filter val="1815200110"/>
        <filter val="1815200320"/>
        <filter val="1815200434"/>
        <filter val="1815200750"/>
        <filter val="1815200751"/>
        <filter val="1815200760"/>
        <filter val="1815200780"/>
        <filter val="1815201110"/>
        <filter val="1815201750"/>
        <filter val="1815210780"/>
        <filter val="1815220110"/>
        <filter val="1815700760"/>
        <filter val="1817300110"/>
        <filter val="1817301750"/>
        <filter val="1817500441"/>
        <filter val="1817600110"/>
        <filter val="1817600431"/>
        <filter val="1817600750"/>
        <filter val="1817600780"/>
        <filter val="1817601750"/>
        <filter val="1817602110"/>
        <filter val="1817610110"/>
        <filter val="1817700110"/>
        <filter val="1817710870"/>
        <filter val="1817720110"/>
        <filter val="1817720720"/>
        <filter val="1817800110"/>
        <filter val="1817800710"/>
        <filter val="1817801750"/>
        <filter val="1817900110"/>
        <filter val="1817900320"/>
        <filter val="1817905110"/>
        <filter val="1817910110"/>
        <filter val="1817910810"/>
        <filter val="1817911110"/>
        <filter val="1817911750"/>
        <filter val="1817912750"/>
        <filter val="1817913110"/>
        <filter val="1817913750"/>
        <filter val="1817914750"/>
        <filter val="1817915750"/>
        <filter val="1817916110"/>
        <filter val="1817917110"/>
        <filter val="1817919110"/>
        <filter val="1817920110"/>
        <filter val="1823000110"/>
        <filter val="1824000110"/>
        <filter val="1824000431"/>
        <filter val="1824000432"/>
        <filter val="1824000750"/>
        <filter val="1824020870"/>
        <filter val="1824030110"/>
        <filter val="1824050870"/>
        <filter val="1828100110"/>
        <filter val="1828100320"/>
        <filter val="1828300110"/>
        <filter val="1828400780"/>
        <filter val="1829000431"/>
        <filter val="1829100110"/>
        <filter val="1829200431"/>
        <filter val="1829200432"/>
        <filter val="1829200740"/>
        <filter val="1829200750"/>
        <filter val="1829200780"/>
        <filter val="1829200781"/>
        <filter val="1829201780"/>
        <filter val="1829201781"/>
        <filter val="1829202780"/>
        <filter val="1829210110"/>
        <filter val="1829300750"/>
        <filter val="1832300110"/>
        <filter val="1832400110"/>
        <filter val="1832400431"/>
        <filter val="1832400432"/>
        <filter val="1832400750"/>
        <filter val="1832410750"/>
        <filter val="1841000420"/>
        <filter val="1841000431"/>
        <filter val="1841000780"/>
        <filter val="1841001110"/>
        <filter val="1841001320"/>
        <filter val="1841003431"/>
        <filter val="1841003560"/>
        <filter val="1841003780"/>
        <filter val="1841100110"/>
        <filter val="1842101840"/>
        <filter val="1842102840"/>
        <filter val="1842200110"/>
        <filter val="1842202750"/>
        <filter val="1842202780"/>
        <filter val="1842202840"/>
        <filter val="1842206930"/>
        <filter val="1842208840"/>
        <filter val="1842212840"/>
        <filter val="1842213840"/>
        <filter val="1842401840"/>
        <filter val="1842402840"/>
        <filter val="1842405840"/>
        <filter val="1843501840"/>
        <filter val="1843502840"/>
        <filter val="1843503840"/>
        <filter val="1843504840"/>
        <filter val="1843505840"/>
        <filter val="1843801840"/>
        <filter val="1843901840"/>
        <filter val="1843904840"/>
        <filter val="1844300840"/>
        <filter val="1844401110"/>
        <filter val="1844401431"/>
        <filter val="1844401710"/>
        <filter val="1844401720"/>
        <filter val="1844401750"/>
        <filter val="1844402840"/>
        <filter val="1845001840"/>
        <filter val="1845101840"/>
        <filter val="1845102840"/>
        <filter val="1845200110"/>
        <filter val="1845200780"/>
        <filter val="1845201750"/>
        <filter val="1845201840"/>
        <filter val="1845202840"/>
        <filter val="1845204840"/>
        <filter val="1845301840"/>
        <filter val="1845302840"/>
        <filter val="1845304840"/>
        <filter val="1845401840"/>
        <filter val="1846401840"/>
        <filter val="1846601840"/>
        <filter val="1846603840"/>
        <filter val="1846604840"/>
        <filter val="1846605840"/>
        <filter val="1846701840"/>
        <filter val="1846702840"/>
        <filter val="1846703840"/>
        <filter val="1846704840"/>
        <filter val="1846705840"/>
        <filter val="1846712840"/>
        <filter val="1846801840"/>
        <filter val="1846901840"/>
        <filter val="1847101780"/>
        <filter val="1847102750"/>
        <filter val="1847103840"/>
        <filter val="1847104840"/>
        <filter val="1847105840"/>
        <filter val="1847201840"/>
        <filter val="1847202840"/>
        <filter val="1847220840"/>
        <filter val="1847301840"/>
        <filter val="1847305840"/>
        <filter val="1847400840"/>
        <filter val="1848000840"/>
        <filter val="1853000431"/>
        <filter val="1853000432"/>
        <filter val="1879000830"/>
        <filter val="1938000420"/>
        <filter val="1938000432"/>
        <filter val="1938000750"/>
        <filter val="1938000780"/>
        <filter val="1938000930"/>
        <filter val="1972000691"/>
        <filter val="1972000692"/>
        <filter val="1972000693"/>
        <filter val="1972000750"/>
        <filter val="1993000780"/>
        <filter val="1995000860"/>
        <filter val="1999000110"/>
        <filter val="1999000310"/>
        <filter val="1999900990"/>
      </filters>
    </filterColumn>
    <filterColumn colId="4">
      <colorFilter dxfId="4"/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C0A7-9921-432E-B8E0-AF58CCBDC677}">
  <dimension ref="A1:C542"/>
  <sheetViews>
    <sheetView rightToLeft="1" workbookViewId="0">
      <selection activeCell="G33" sqref="G33"/>
    </sheetView>
  </sheetViews>
  <sheetFormatPr defaultRowHeight="14.25" x14ac:dyDescent="0.2"/>
  <cols>
    <col min="1" max="1" width="10.875" bestFit="1" customWidth="1"/>
    <col min="2" max="2" width="23.875" bestFit="1" customWidth="1"/>
    <col min="3" max="3" width="22.375" bestFit="1" customWidth="1"/>
  </cols>
  <sheetData>
    <row r="1" spans="1:3" x14ac:dyDescent="0.2">
      <c r="A1" t="s">
        <v>1172</v>
      </c>
      <c r="B1" t="s">
        <v>1028</v>
      </c>
      <c r="C1" t="s">
        <v>1050</v>
      </c>
    </row>
    <row r="2" spans="1:3" x14ac:dyDescent="0.2">
      <c r="A2">
        <v>1111000100</v>
      </c>
      <c r="B2" t="s">
        <v>1173</v>
      </c>
      <c r="C2" t="s">
        <v>332</v>
      </c>
    </row>
    <row r="3" spans="1:3" x14ac:dyDescent="0.2">
      <c r="A3">
        <v>1111000110</v>
      </c>
      <c r="B3" t="s">
        <v>1174</v>
      </c>
      <c r="C3" t="s">
        <v>332</v>
      </c>
    </row>
    <row r="4" spans="1:3" x14ac:dyDescent="0.2">
      <c r="A4">
        <v>1111000114</v>
      </c>
      <c r="B4" t="s">
        <v>1175</v>
      </c>
      <c r="C4" t="s">
        <v>336</v>
      </c>
    </row>
    <row r="5" spans="1:3" x14ac:dyDescent="0.2">
      <c r="A5">
        <v>1111200100</v>
      </c>
      <c r="B5" t="s">
        <v>1176</v>
      </c>
      <c r="C5" t="s">
        <v>261</v>
      </c>
    </row>
    <row r="6" spans="1:3" x14ac:dyDescent="0.2">
      <c r="A6">
        <v>1112022100</v>
      </c>
      <c r="B6" t="s">
        <v>1591</v>
      </c>
      <c r="C6" t="s">
        <v>261</v>
      </c>
    </row>
    <row r="7" spans="1:3" x14ac:dyDescent="0.2">
      <c r="A7">
        <v>1116000100</v>
      </c>
      <c r="B7" t="s">
        <v>1177</v>
      </c>
      <c r="C7" t="s">
        <v>346</v>
      </c>
    </row>
    <row r="8" spans="1:3" x14ac:dyDescent="0.2">
      <c r="A8">
        <v>1121000291</v>
      </c>
      <c r="B8" t="s">
        <v>1178</v>
      </c>
      <c r="C8" t="s">
        <v>336</v>
      </c>
    </row>
    <row r="9" spans="1:3" x14ac:dyDescent="0.2">
      <c r="A9">
        <v>1121000292</v>
      </c>
      <c r="B9" t="s">
        <v>1539</v>
      </c>
      <c r="C9" t="s">
        <v>336</v>
      </c>
    </row>
    <row r="10" spans="1:3" x14ac:dyDescent="0.2">
      <c r="A10">
        <v>1191000910</v>
      </c>
      <c r="B10" t="s">
        <v>1179</v>
      </c>
      <c r="C10" t="s">
        <v>264</v>
      </c>
    </row>
    <row r="11" spans="1:3" x14ac:dyDescent="0.2">
      <c r="A11">
        <v>1192000910</v>
      </c>
      <c r="B11" t="s">
        <v>1933</v>
      </c>
      <c r="C11" t="s">
        <v>341</v>
      </c>
    </row>
    <row r="12" spans="1:3" x14ac:dyDescent="0.2">
      <c r="A12">
        <v>1192010910</v>
      </c>
      <c r="B12" t="s">
        <v>1180</v>
      </c>
      <c r="C12" t="s">
        <v>349</v>
      </c>
    </row>
    <row r="13" spans="1:3" x14ac:dyDescent="0.2">
      <c r="A13">
        <v>1196000910</v>
      </c>
      <c r="B13" t="s">
        <v>1181</v>
      </c>
      <c r="C13" t="s">
        <v>341</v>
      </c>
    </row>
    <row r="14" spans="1:3" x14ac:dyDescent="0.2">
      <c r="A14">
        <v>1212300220</v>
      </c>
      <c r="B14" t="s">
        <v>1182</v>
      </c>
      <c r="C14" t="s">
        <v>336</v>
      </c>
    </row>
    <row r="15" spans="1:3" x14ac:dyDescent="0.2">
      <c r="A15">
        <v>1224000970</v>
      </c>
      <c r="B15" t="s">
        <v>1183</v>
      </c>
      <c r="C15" t="s">
        <v>340</v>
      </c>
    </row>
    <row r="16" spans="1:3" x14ac:dyDescent="0.2">
      <c r="A16">
        <v>1224200970</v>
      </c>
      <c r="B16" t="s">
        <v>1592</v>
      </c>
      <c r="C16" t="s">
        <v>340</v>
      </c>
    </row>
    <row r="17" spans="1:3" x14ac:dyDescent="0.2">
      <c r="A17">
        <v>1224300970</v>
      </c>
      <c r="B17" t="s">
        <v>1593</v>
      </c>
      <c r="C17" t="s">
        <v>340</v>
      </c>
    </row>
    <row r="18" spans="1:3" x14ac:dyDescent="0.2">
      <c r="A18">
        <v>1224400970</v>
      </c>
      <c r="B18" t="s">
        <v>1594</v>
      </c>
      <c r="C18" t="s">
        <v>340</v>
      </c>
    </row>
    <row r="19" spans="1:3" x14ac:dyDescent="0.2">
      <c r="A19">
        <v>1233100710</v>
      </c>
      <c r="B19" t="s">
        <v>1184</v>
      </c>
      <c r="C19" t="s">
        <v>336</v>
      </c>
    </row>
    <row r="20" spans="1:3" x14ac:dyDescent="0.2">
      <c r="A20">
        <v>1233410290</v>
      </c>
      <c r="B20" t="s">
        <v>737</v>
      </c>
      <c r="C20" t="s">
        <v>336</v>
      </c>
    </row>
    <row r="21" spans="1:3" x14ac:dyDescent="0.2">
      <c r="A21">
        <v>1233420290</v>
      </c>
      <c r="B21" t="s">
        <v>1934</v>
      </c>
      <c r="C21" t="s">
        <v>336</v>
      </c>
    </row>
    <row r="22" spans="1:3" x14ac:dyDescent="0.2">
      <c r="A22">
        <v>1244000990</v>
      </c>
      <c r="B22" t="s">
        <v>1185</v>
      </c>
      <c r="C22" t="s">
        <v>340</v>
      </c>
    </row>
    <row r="23" spans="1:3" x14ac:dyDescent="0.2">
      <c r="A23">
        <v>1269000690</v>
      </c>
      <c r="B23" t="s">
        <v>1186</v>
      </c>
      <c r="C23" t="s">
        <v>336</v>
      </c>
    </row>
    <row r="24" spans="1:3" x14ac:dyDescent="0.2">
      <c r="A24">
        <v>1269000691</v>
      </c>
      <c r="B24" t="s">
        <v>1187</v>
      </c>
      <c r="C24" t="s">
        <v>336</v>
      </c>
    </row>
    <row r="25" spans="1:3" x14ac:dyDescent="0.2">
      <c r="A25">
        <v>1269000692</v>
      </c>
      <c r="B25" t="s">
        <v>1188</v>
      </c>
      <c r="C25" t="s">
        <v>336</v>
      </c>
    </row>
    <row r="26" spans="1:3" x14ac:dyDescent="0.2">
      <c r="A26">
        <v>1310000920</v>
      </c>
      <c r="B26" t="s">
        <v>1595</v>
      </c>
      <c r="C26" t="s">
        <v>338</v>
      </c>
    </row>
    <row r="27" spans="1:3" x14ac:dyDescent="0.2">
      <c r="A27">
        <v>1311000790</v>
      </c>
      <c r="B27" t="s">
        <v>1596</v>
      </c>
      <c r="C27">
        <v>0</v>
      </c>
    </row>
    <row r="28" spans="1:3" x14ac:dyDescent="0.2">
      <c r="A28">
        <v>1311001920</v>
      </c>
      <c r="B28" t="s">
        <v>1597</v>
      </c>
      <c r="C28" t="s">
        <v>338</v>
      </c>
    </row>
    <row r="29" spans="1:3" x14ac:dyDescent="0.2">
      <c r="A29">
        <v>1312001920</v>
      </c>
      <c r="B29" t="s">
        <v>1598</v>
      </c>
      <c r="C29" t="s">
        <v>338</v>
      </c>
    </row>
    <row r="30" spans="1:3" x14ac:dyDescent="0.2">
      <c r="A30">
        <v>1312201920</v>
      </c>
      <c r="B30" t="s">
        <v>1189</v>
      </c>
      <c r="C30" t="s">
        <v>338</v>
      </c>
    </row>
    <row r="31" spans="1:3" x14ac:dyDescent="0.2">
      <c r="A31">
        <v>1312201923</v>
      </c>
      <c r="B31" t="s">
        <v>1935</v>
      </c>
      <c r="C31" t="s">
        <v>338</v>
      </c>
    </row>
    <row r="32" spans="1:3" x14ac:dyDescent="0.2">
      <c r="A32">
        <v>1312203940</v>
      </c>
      <c r="B32" t="s">
        <v>1190</v>
      </c>
      <c r="C32" t="s">
        <v>338</v>
      </c>
    </row>
    <row r="33" spans="1:3" x14ac:dyDescent="0.2">
      <c r="A33">
        <v>1312213940</v>
      </c>
      <c r="B33" t="s">
        <v>1498</v>
      </c>
      <c r="C33" t="s">
        <v>338</v>
      </c>
    </row>
    <row r="34" spans="1:3" x14ac:dyDescent="0.2">
      <c r="A34">
        <v>1312300920</v>
      </c>
      <c r="B34" t="s">
        <v>1191</v>
      </c>
      <c r="C34" t="s">
        <v>338</v>
      </c>
    </row>
    <row r="35" spans="1:3" x14ac:dyDescent="0.2">
      <c r="A35">
        <v>1312300923</v>
      </c>
      <c r="B35" t="s">
        <v>1197</v>
      </c>
      <c r="C35" t="s">
        <v>334</v>
      </c>
    </row>
    <row r="36" spans="1:3" x14ac:dyDescent="0.2">
      <c r="A36">
        <v>1312301920</v>
      </c>
      <c r="B36" t="s">
        <v>1192</v>
      </c>
      <c r="C36" t="s">
        <v>338</v>
      </c>
    </row>
    <row r="37" spans="1:3" x14ac:dyDescent="0.2">
      <c r="A37">
        <v>1312302920</v>
      </c>
      <c r="B37" t="s">
        <v>1193</v>
      </c>
      <c r="C37" t="s">
        <v>338</v>
      </c>
    </row>
    <row r="38" spans="1:3" x14ac:dyDescent="0.2">
      <c r="A38">
        <v>1312311920</v>
      </c>
      <c r="B38" t="s">
        <v>1194</v>
      </c>
      <c r="C38" t="s">
        <v>338</v>
      </c>
    </row>
    <row r="39" spans="1:3" x14ac:dyDescent="0.2">
      <c r="A39">
        <v>1312312980</v>
      </c>
      <c r="B39" t="s">
        <v>1599</v>
      </c>
      <c r="C39" t="s">
        <v>338</v>
      </c>
    </row>
    <row r="40" spans="1:3" x14ac:dyDescent="0.2">
      <c r="A40">
        <v>1313100920</v>
      </c>
      <c r="B40" t="s">
        <v>1540</v>
      </c>
      <c r="C40" t="s">
        <v>338</v>
      </c>
    </row>
    <row r="41" spans="1:3" x14ac:dyDescent="0.2">
      <c r="A41">
        <v>1313200920</v>
      </c>
      <c r="B41" t="s">
        <v>1195</v>
      </c>
      <c r="C41" t="s">
        <v>338</v>
      </c>
    </row>
    <row r="42" spans="1:3" x14ac:dyDescent="0.2">
      <c r="A42">
        <v>1313200921</v>
      </c>
      <c r="B42" t="s">
        <v>1196</v>
      </c>
      <c r="C42" t="s">
        <v>338</v>
      </c>
    </row>
    <row r="43" spans="1:3" x14ac:dyDescent="0.2">
      <c r="A43">
        <v>1313200923</v>
      </c>
      <c r="B43" t="s">
        <v>1541</v>
      </c>
      <c r="C43" t="s">
        <v>338</v>
      </c>
    </row>
    <row r="44" spans="1:3" x14ac:dyDescent="0.2">
      <c r="A44">
        <v>1313200925</v>
      </c>
      <c r="B44" t="s">
        <v>1198</v>
      </c>
      <c r="C44" t="s">
        <v>338</v>
      </c>
    </row>
    <row r="45" spans="1:3" x14ac:dyDescent="0.2">
      <c r="A45">
        <v>1313202920</v>
      </c>
      <c r="B45" t="s">
        <v>1499</v>
      </c>
      <c r="C45" t="s">
        <v>338</v>
      </c>
    </row>
    <row r="46" spans="1:3" x14ac:dyDescent="0.2">
      <c r="A46">
        <v>1313202926</v>
      </c>
      <c r="B46" t="s">
        <v>1199</v>
      </c>
      <c r="C46" t="s">
        <v>338</v>
      </c>
    </row>
    <row r="47" spans="1:3" x14ac:dyDescent="0.2">
      <c r="A47">
        <v>1313202927</v>
      </c>
      <c r="B47" t="s">
        <v>1200</v>
      </c>
      <c r="C47" t="s">
        <v>338</v>
      </c>
    </row>
    <row r="48" spans="1:3" x14ac:dyDescent="0.2">
      <c r="A48">
        <v>1313204920</v>
      </c>
      <c r="B48" t="s">
        <v>1936</v>
      </c>
      <c r="C48" t="s">
        <v>338</v>
      </c>
    </row>
    <row r="49" spans="1:3" x14ac:dyDescent="0.2">
      <c r="A49">
        <v>1313206920</v>
      </c>
      <c r="B49" t="s">
        <v>1013</v>
      </c>
      <c r="C49" t="s">
        <v>338</v>
      </c>
    </row>
    <row r="50" spans="1:3" x14ac:dyDescent="0.2">
      <c r="A50">
        <v>1313210921</v>
      </c>
      <c r="B50" t="s">
        <v>1201</v>
      </c>
      <c r="C50" t="s">
        <v>338</v>
      </c>
    </row>
    <row r="51" spans="1:3" x14ac:dyDescent="0.2">
      <c r="A51">
        <v>1313210922</v>
      </c>
      <c r="B51" t="s">
        <v>1202</v>
      </c>
      <c r="C51" t="s">
        <v>338</v>
      </c>
    </row>
    <row r="52" spans="1:3" x14ac:dyDescent="0.2">
      <c r="A52">
        <v>1313210924</v>
      </c>
      <c r="B52" t="s">
        <v>1203</v>
      </c>
      <c r="C52" t="s">
        <v>338</v>
      </c>
    </row>
    <row r="53" spans="1:3" x14ac:dyDescent="0.2">
      <c r="A53">
        <v>1313210925</v>
      </c>
      <c r="B53" t="s">
        <v>1204</v>
      </c>
      <c r="C53" t="s">
        <v>338</v>
      </c>
    </row>
    <row r="54" spans="1:3" x14ac:dyDescent="0.2">
      <c r="A54">
        <v>1313210926</v>
      </c>
      <c r="B54" t="s">
        <v>1937</v>
      </c>
      <c r="C54" t="s">
        <v>338</v>
      </c>
    </row>
    <row r="55" spans="1:3" x14ac:dyDescent="0.2">
      <c r="A55">
        <v>1313210929</v>
      </c>
      <c r="B55" t="s">
        <v>1205</v>
      </c>
      <c r="C55" t="s">
        <v>338</v>
      </c>
    </row>
    <row r="56" spans="1:3" x14ac:dyDescent="0.2">
      <c r="A56">
        <v>1313225920</v>
      </c>
      <c r="B56" t="s">
        <v>1600</v>
      </c>
      <c r="C56" t="s">
        <v>338</v>
      </c>
    </row>
    <row r="57" spans="1:3" x14ac:dyDescent="0.2">
      <c r="A57">
        <v>1313230922</v>
      </c>
      <c r="B57" t="s">
        <v>1938</v>
      </c>
      <c r="C57" t="s">
        <v>336</v>
      </c>
    </row>
    <row r="58" spans="1:3" x14ac:dyDescent="0.2">
      <c r="A58">
        <v>1313230925</v>
      </c>
      <c r="B58" t="s">
        <v>1939</v>
      </c>
      <c r="C58" t="s">
        <v>338</v>
      </c>
    </row>
    <row r="59" spans="1:3" x14ac:dyDescent="0.2">
      <c r="A59">
        <v>1313300210</v>
      </c>
      <c r="B59" t="s">
        <v>1637</v>
      </c>
      <c r="C59" t="s">
        <v>334</v>
      </c>
    </row>
    <row r="60" spans="1:3" x14ac:dyDescent="0.2">
      <c r="A60">
        <v>1313301920</v>
      </c>
      <c r="B60" t="s">
        <v>1500</v>
      </c>
      <c r="C60" t="s">
        <v>338</v>
      </c>
    </row>
    <row r="61" spans="1:3" x14ac:dyDescent="0.2">
      <c r="A61">
        <v>1313303920</v>
      </c>
      <c r="B61" t="s">
        <v>1502</v>
      </c>
      <c r="C61" t="s">
        <v>338</v>
      </c>
    </row>
    <row r="62" spans="1:3" x14ac:dyDescent="0.2">
      <c r="A62">
        <v>1313306920</v>
      </c>
      <c r="B62" t="s">
        <v>1504</v>
      </c>
      <c r="C62" t="s">
        <v>338</v>
      </c>
    </row>
    <row r="63" spans="1:3" x14ac:dyDescent="0.2">
      <c r="A63">
        <v>1313307920</v>
      </c>
      <c r="B63" t="s">
        <v>1505</v>
      </c>
      <c r="C63" t="s">
        <v>338</v>
      </c>
    </row>
    <row r="64" spans="1:3" x14ac:dyDescent="0.2">
      <c r="A64">
        <v>1313309920</v>
      </c>
      <c r="B64" t="s">
        <v>1506</v>
      </c>
      <c r="C64" t="s">
        <v>338</v>
      </c>
    </row>
    <row r="65" spans="1:3" x14ac:dyDescent="0.2">
      <c r="A65">
        <v>1313319920</v>
      </c>
      <c r="B65" t="s">
        <v>1507</v>
      </c>
      <c r="C65" t="s">
        <v>338</v>
      </c>
    </row>
    <row r="66" spans="1:3" x14ac:dyDescent="0.2">
      <c r="A66">
        <v>1313339920</v>
      </c>
      <c r="B66" t="s">
        <v>1601</v>
      </c>
      <c r="C66" t="s">
        <v>338</v>
      </c>
    </row>
    <row r="67" spans="1:3" x14ac:dyDescent="0.2">
      <c r="A67">
        <v>1313429920</v>
      </c>
      <c r="B67" t="s">
        <v>1602</v>
      </c>
      <c r="C67" t="s">
        <v>338</v>
      </c>
    </row>
    <row r="68" spans="1:3" x14ac:dyDescent="0.2">
      <c r="A68">
        <v>1313600420</v>
      </c>
      <c r="B68" t="s">
        <v>1206</v>
      </c>
      <c r="C68" t="s">
        <v>334</v>
      </c>
    </row>
    <row r="69" spans="1:3" x14ac:dyDescent="0.2">
      <c r="A69">
        <v>1313800920</v>
      </c>
      <c r="B69" t="s">
        <v>1207</v>
      </c>
      <c r="C69" t="s">
        <v>338</v>
      </c>
    </row>
    <row r="70" spans="1:3" x14ac:dyDescent="0.2">
      <c r="A70">
        <v>1313901920</v>
      </c>
      <c r="B70" t="s">
        <v>1603</v>
      </c>
      <c r="C70" t="s">
        <v>338</v>
      </c>
    </row>
    <row r="71" spans="1:3" x14ac:dyDescent="0.2">
      <c r="A71">
        <v>1314000920</v>
      </c>
      <c r="B71" t="s">
        <v>1208</v>
      </c>
      <c r="C71" t="s">
        <v>338</v>
      </c>
    </row>
    <row r="72" spans="1:3" x14ac:dyDescent="0.2">
      <c r="A72">
        <v>1314000924</v>
      </c>
      <c r="B72" t="s">
        <v>1209</v>
      </c>
      <c r="C72" t="s">
        <v>338</v>
      </c>
    </row>
    <row r="73" spans="1:3" x14ac:dyDescent="0.2">
      <c r="A73">
        <v>1315200927</v>
      </c>
      <c r="B73" t="s">
        <v>1197</v>
      </c>
      <c r="C73" t="s">
        <v>338</v>
      </c>
    </row>
    <row r="74" spans="1:3" x14ac:dyDescent="0.2">
      <c r="A74">
        <v>1315201920</v>
      </c>
      <c r="B74" t="s">
        <v>1210</v>
      </c>
      <c r="C74" t="s">
        <v>338</v>
      </c>
    </row>
    <row r="75" spans="1:3" x14ac:dyDescent="0.2">
      <c r="A75">
        <v>1315202920</v>
      </c>
      <c r="B75" t="s">
        <v>1211</v>
      </c>
      <c r="C75" t="s">
        <v>338</v>
      </c>
    </row>
    <row r="76" spans="1:3" x14ac:dyDescent="0.2">
      <c r="A76">
        <v>1315203920</v>
      </c>
      <c r="B76" t="s">
        <v>1212</v>
      </c>
      <c r="C76" t="s">
        <v>338</v>
      </c>
    </row>
    <row r="77" spans="1:3" x14ac:dyDescent="0.2">
      <c r="A77">
        <v>1315204920</v>
      </c>
      <c r="B77" t="s">
        <v>1213</v>
      </c>
      <c r="C77" t="s">
        <v>338</v>
      </c>
    </row>
    <row r="78" spans="1:3" x14ac:dyDescent="0.2">
      <c r="A78">
        <v>1315206920</v>
      </c>
      <c r="B78" t="s">
        <v>1214</v>
      </c>
      <c r="C78" t="s">
        <v>338</v>
      </c>
    </row>
    <row r="79" spans="1:3" x14ac:dyDescent="0.2">
      <c r="A79">
        <v>1315209920</v>
      </c>
      <c r="B79" t="s">
        <v>1215</v>
      </c>
      <c r="C79" t="s">
        <v>338</v>
      </c>
    </row>
    <row r="80" spans="1:3" x14ac:dyDescent="0.2">
      <c r="A80">
        <v>1315210920</v>
      </c>
      <c r="B80" t="s">
        <v>1216</v>
      </c>
      <c r="C80" t="s">
        <v>338</v>
      </c>
    </row>
    <row r="81" spans="1:3" x14ac:dyDescent="0.2">
      <c r="A81">
        <v>1315211920</v>
      </c>
      <c r="B81" t="s">
        <v>1217</v>
      </c>
      <c r="C81" t="s">
        <v>338</v>
      </c>
    </row>
    <row r="82" spans="1:3" x14ac:dyDescent="0.2">
      <c r="A82">
        <v>1315213920</v>
      </c>
      <c r="B82" t="s">
        <v>1218</v>
      </c>
      <c r="C82" t="s">
        <v>338</v>
      </c>
    </row>
    <row r="83" spans="1:3" x14ac:dyDescent="0.2">
      <c r="A83">
        <v>1315214920</v>
      </c>
      <c r="B83" t="s">
        <v>1219</v>
      </c>
      <c r="C83" t="s">
        <v>338</v>
      </c>
    </row>
    <row r="84" spans="1:3" x14ac:dyDescent="0.2">
      <c r="A84">
        <v>1315216920</v>
      </c>
      <c r="B84" t="s">
        <v>1220</v>
      </c>
      <c r="C84" t="s">
        <v>338</v>
      </c>
    </row>
    <row r="85" spans="1:3" x14ac:dyDescent="0.2">
      <c r="A85">
        <v>1315218920</v>
      </c>
      <c r="B85" t="s">
        <v>707</v>
      </c>
      <c r="C85" t="s">
        <v>338</v>
      </c>
    </row>
    <row r="86" spans="1:3" x14ac:dyDescent="0.2">
      <c r="A86">
        <v>1315219920</v>
      </c>
      <c r="B86" t="s">
        <v>712</v>
      </c>
      <c r="C86" t="s">
        <v>338</v>
      </c>
    </row>
    <row r="87" spans="1:3" x14ac:dyDescent="0.2">
      <c r="A87">
        <v>1315220920</v>
      </c>
      <c r="B87" t="s">
        <v>1221</v>
      </c>
      <c r="C87" t="s">
        <v>338</v>
      </c>
    </row>
    <row r="88" spans="1:3" x14ac:dyDescent="0.2">
      <c r="A88">
        <v>1315221920</v>
      </c>
      <c r="B88" t="s">
        <v>1005</v>
      </c>
      <c r="C88" t="s">
        <v>338</v>
      </c>
    </row>
    <row r="89" spans="1:3" x14ac:dyDescent="0.2">
      <c r="A89">
        <v>1315222920</v>
      </c>
      <c r="B89" t="s">
        <v>1222</v>
      </c>
      <c r="C89" t="s">
        <v>338</v>
      </c>
    </row>
    <row r="90" spans="1:3" x14ac:dyDescent="0.2">
      <c r="A90">
        <v>1315223920</v>
      </c>
      <c r="B90" t="s">
        <v>1223</v>
      </c>
      <c r="C90" t="s">
        <v>338</v>
      </c>
    </row>
    <row r="91" spans="1:3" x14ac:dyDescent="0.2">
      <c r="A91">
        <v>1315224920</v>
      </c>
      <c r="B91" t="s">
        <v>1224</v>
      </c>
      <c r="C91" t="s">
        <v>338</v>
      </c>
    </row>
    <row r="92" spans="1:3" x14ac:dyDescent="0.2">
      <c r="A92">
        <v>1315225920</v>
      </c>
      <c r="B92" t="s">
        <v>714</v>
      </c>
      <c r="C92" t="s">
        <v>338</v>
      </c>
    </row>
    <row r="93" spans="1:3" x14ac:dyDescent="0.2">
      <c r="A93">
        <v>1315226920</v>
      </c>
      <c r="B93" t="s">
        <v>1940</v>
      </c>
      <c r="C93" t="s">
        <v>336</v>
      </c>
    </row>
    <row r="94" spans="1:3" x14ac:dyDescent="0.2">
      <c r="A94">
        <v>1315228920</v>
      </c>
      <c r="B94" t="s">
        <v>1225</v>
      </c>
      <c r="C94" t="s">
        <v>338</v>
      </c>
    </row>
    <row r="95" spans="1:3" x14ac:dyDescent="0.2">
      <c r="A95">
        <v>1315229920</v>
      </c>
      <c r="B95" t="s">
        <v>1226</v>
      </c>
      <c r="C95" t="s">
        <v>338</v>
      </c>
    </row>
    <row r="96" spans="1:3" x14ac:dyDescent="0.2">
      <c r="A96">
        <v>1315230920</v>
      </c>
      <c r="B96" t="s">
        <v>1227</v>
      </c>
      <c r="C96" t="s">
        <v>338</v>
      </c>
    </row>
    <row r="97" spans="1:3" x14ac:dyDescent="0.2">
      <c r="A97">
        <v>1315230921</v>
      </c>
      <c r="B97" t="s">
        <v>1604</v>
      </c>
      <c r="C97" t="s">
        <v>338</v>
      </c>
    </row>
    <row r="98" spans="1:3" x14ac:dyDescent="0.2">
      <c r="A98">
        <v>1315233920</v>
      </c>
      <c r="B98" t="s">
        <v>1228</v>
      </c>
      <c r="C98" t="s">
        <v>338</v>
      </c>
    </row>
    <row r="99" spans="1:3" x14ac:dyDescent="0.2">
      <c r="A99">
        <v>1315326920</v>
      </c>
      <c r="B99" t="s">
        <v>1605</v>
      </c>
      <c r="C99" t="s">
        <v>338</v>
      </c>
    </row>
    <row r="100" spans="1:3" x14ac:dyDescent="0.2">
      <c r="A100">
        <v>1315426920</v>
      </c>
      <c r="B100" t="s">
        <v>1606</v>
      </c>
      <c r="C100" t="s">
        <v>338</v>
      </c>
    </row>
    <row r="101" spans="1:3" x14ac:dyDescent="0.2">
      <c r="A101">
        <v>1315526920</v>
      </c>
      <c r="B101" t="s">
        <v>1607</v>
      </c>
      <c r="C101" t="s">
        <v>338</v>
      </c>
    </row>
    <row r="102" spans="1:3" x14ac:dyDescent="0.2">
      <c r="A102">
        <v>1315626920</v>
      </c>
      <c r="B102" t="s">
        <v>1608</v>
      </c>
      <c r="C102" t="s">
        <v>338</v>
      </c>
    </row>
    <row r="103" spans="1:3" x14ac:dyDescent="0.2">
      <c r="A103">
        <v>1317100990</v>
      </c>
      <c r="B103" t="s">
        <v>1229</v>
      </c>
      <c r="C103" t="s">
        <v>340</v>
      </c>
    </row>
    <row r="104" spans="1:3" x14ac:dyDescent="0.2">
      <c r="A104">
        <v>1317301920</v>
      </c>
      <c r="B104" t="s">
        <v>1230</v>
      </c>
      <c r="C104" t="s">
        <v>338</v>
      </c>
    </row>
    <row r="105" spans="1:3" x14ac:dyDescent="0.2">
      <c r="A105">
        <v>1317302920</v>
      </c>
      <c r="B105" t="s">
        <v>1231</v>
      </c>
      <c r="C105" t="s">
        <v>338</v>
      </c>
    </row>
    <row r="106" spans="1:3" x14ac:dyDescent="0.2">
      <c r="A106">
        <v>1317603920</v>
      </c>
      <c r="B106" t="s">
        <v>1232</v>
      </c>
      <c r="C106" t="s">
        <v>338</v>
      </c>
    </row>
    <row r="107" spans="1:3" x14ac:dyDescent="0.2">
      <c r="A107">
        <v>1317610920</v>
      </c>
      <c r="B107" t="s">
        <v>1233</v>
      </c>
      <c r="C107" t="s">
        <v>338</v>
      </c>
    </row>
    <row r="108" spans="1:3" x14ac:dyDescent="0.2">
      <c r="A108">
        <v>1317620920</v>
      </c>
      <c r="B108" t="s">
        <v>1234</v>
      </c>
      <c r="C108" t="s">
        <v>338</v>
      </c>
    </row>
    <row r="109" spans="1:3" x14ac:dyDescent="0.2">
      <c r="A109">
        <v>1317700920</v>
      </c>
      <c r="B109" t="s">
        <v>1508</v>
      </c>
      <c r="C109" t="s">
        <v>338</v>
      </c>
    </row>
    <row r="110" spans="1:3" x14ac:dyDescent="0.2">
      <c r="A110">
        <v>1317710920</v>
      </c>
      <c r="B110" t="s">
        <v>1235</v>
      </c>
      <c r="C110" t="s">
        <v>338</v>
      </c>
    </row>
    <row r="111" spans="1:3" x14ac:dyDescent="0.2">
      <c r="A111">
        <v>1317721920</v>
      </c>
      <c r="B111" t="s">
        <v>1236</v>
      </c>
      <c r="C111" t="s">
        <v>338</v>
      </c>
    </row>
    <row r="112" spans="1:3" x14ac:dyDescent="0.2">
      <c r="A112">
        <v>1317730920</v>
      </c>
      <c r="B112" t="s">
        <v>1609</v>
      </c>
      <c r="C112" t="s">
        <v>338</v>
      </c>
    </row>
    <row r="113" spans="1:3" x14ac:dyDescent="0.2">
      <c r="A113">
        <v>1317800920</v>
      </c>
      <c r="B113" t="s">
        <v>1237</v>
      </c>
      <c r="C113" t="s">
        <v>338</v>
      </c>
    </row>
    <row r="114" spans="1:3" x14ac:dyDescent="0.2">
      <c r="A114">
        <v>1317810920</v>
      </c>
      <c r="B114" t="s">
        <v>1238</v>
      </c>
      <c r="C114" t="s">
        <v>338</v>
      </c>
    </row>
    <row r="115" spans="1:3" x14ac:dyDescent="0.2">
      <c r="A115">
        <v>1317820690</v>
      </c>
      <c r="B115" t="s">
        <v>1239</v>
      </c>
      <c r="C115" t="s">
        <v>343</v>
      </c>
    </row>
    <row r="116" spans="1:3" x14ac:dyDescent="0.2">
      <c r="A116">
        <v>1317820920</v>
      </c>
      <c r="B116" t="s">
        <v>1240</v>
      </c>
      <c r="C116" t="s">
        <v>338</v>
      </c>
    </row>
    <row r="117" spans="1:3" x14ac:dyDescent="0.2">
      <c r="A117">
        <v>1319000920</v>
      </c>
      <c r="B117" t="s">
        <v>1241</v>
      </c>
      <c r="C117" t="s">
        <v>338</v>
      </c>
    </row>
    <row r="118" spans="1:3" x14ac:dyDescent="0.2">
      <c r="A118">
        <v>1319101920</v>
      </c>
      <c r="B118" t="s">
        <v>1242</v>
      </c>
      <c r="C118" t="s">
        <v>338</v>
      </c>
    </row>
    <row r="119" spans="1:3" x14ac:dyDescent="0.2">
      <c r="A119">
        <v>1319102920</v>
      </c>
      <c r="B119" t="s">
        <v>1243</v>
      </c>
      <c r="C119" t="s">
        <v>338</v>
      </c>
    </row>
    <row r="120" spans="1:3" x14ac:dyDescent="0.2">
      <c r="A120">
        <v>1319103920</v>
      </c>
      <c r="B120" t="s">
        <v>1244</v>
      </c>
      <c r="C120" t="s">
        <v>338</v>
      </c>
    </row>
    <row r="121" spans="1:3" x14ac:dyDescent="0.2">
      <c r="A121">
        <v>1322300410</v>
      </c>
      <c r="B121" t="s">
        <v>1610</v>
      </c>
      <c r="C121" t="s">
        <v>338</v>
      </c>
    </row>
    <row r="122" spans="1:3" x14ac:dyDescent="0.2">
      <c r="A122">
        <v>1324000920</v>
      </c>
      <c r="B122" t="s">
        <v>1509</v>
      </c>
      <c r="C122" t="s">
        <v>340</v>
      </c>
    </row>
    <row r="123" spans="1:3" x14ac:dyDescent="0.2">
      <c r="A123">
        <v>1328200750</v>
      </c>
      <c r="B123" t="s">
        <v>1436</v>
      </c>
      <c r="C123" t="s">
        <v>340</v>
      </c>
    </row>
    <row r="124" spans="1:3" x14ac:dyDescent="0.2">
      <c r="A124">
        <v>1328300920</v>
      </c>
      <c r="B124" t="s">
        <v>1245</v>
      </c>
      <c r="C124" t="s">
        <v>340</v>
      </c>
    </row>
    <row r="125" spans="1:3" x14ac:dyDescent="0.2">
      <c r="A125">
        <v>1329200420</v>
      </c>
      <c r="B125" t="s">
        <v>1246</v>
      </c>
      <c r="C125" t="s">
        <v>336</v>
      </c>
    </row>
    <row r="126" spans="1:3" x14ac:dyDescent="0.2">
      <c r="A126">
        <v>1329200650</v>
      </c>
      <c r="B126" t="s">
        <v>1247</v>
      </c>
      <c r="C126" t="s">
        <v>336</v>
      </c>
    </row>
    <row r="127" spans="1:3" x14ac:dyDescent="0.2">
      <c r="A127">
        <v>1329200990</v>
      </c>
      <c r="B127" t="s">
        <v>1248</v>
      </c>
      <c r="C127" t="s">
        <v>340</v>
      </c>
    </row>
    <row r="128" spans="1:3" x14ac:dyDescent="0.2">
      <c r="A128">
        <v>1329300990</v>
      </c>
      <c r="B128" t="s">
        <v>1604</v>
      </c>
      <c r="C128" t="s">
        <v>340</v>
      </c>
    </row>
    <row r="129" spans="1:3" x14ac:dyDescent="0.2">
      <c r="A129">
        <v>1341000420</v>
      </c>
      <c r="B129" t="s">
        <v>1249</v>
      </c>
      <c r="C129" t="s">
        <v>335</v>
      </c>
    </row>
    <row r="130" spans="1:3" x14ac:dyDescent="0.2">
      <c r="A130">
        <v>1341001930</v>
      </c>
      <c r="B130" t="s">
        <v>1250</v>
      </c>
      <c r="C130" t="s">
        <v>339</v>
      </c>
    </row>
    <row r="131" spans="1:3" x14ac:dyDescent="0.2">
      <c r="A131">
        <v>1341002930</v>
      </c>
      <c r="B131" t="s">
        <v>1251</v>
      </c>
      <c r="C131" t="s">
        <v>339</v>
      </c>
    </row>
    <row r="132" spans="1:3" x14ac:dyDescent="0.2">
      <c r="A132">
        <v>1341004930</v>
      </c>
      <c r="B132" t="s">
        <v>1252</v>
      </c>
      <c r="C132" t="s">
        <v>339</v>
      </c>
    </row>
    <row r="133" spans="1:3" x14ac:dyDescent="0.2">
      <c r="A133">
        <v>1341100930</v>
      </c>
      <c r="B133" t="s">
        <v>1253</v>
      </c>
      <c r="C133" t="s">
        <v>339</v>
      </c>
    </row>
    <row r="134" spans="1:3" x14ac:dyDescent="0.2">
      <c r="A134">
        <v>1341105930</v>
      </c>
      <c r="B134" t="s">
        <v>1254</v>
      </c>
      <c r="C134" t="s">
        <v>339</v>
      </c>
    </row>
    <row r="135" spans="1:3" x14ac:dyDescent="0.2">
      <c r="A135">
        <v>1341200930</v>
      </c>
      <c r="B135" t="s">
        <v>1255</v>
      </c>
      <c r="C135" t="s">
        <v>339</v>
      </c>
    </row>
    <row r="136" spans="1:3" x14ac:dyDescent="0.2">
      <c r="A136">
        <v>1341206930</v>
      </c>
      <c r="B136" t="s">
        <v>1611</v>
      </c>
      <c r="C136" t="s">
        <v>339</v>
      </c>
    </row>
    <row r="137" spans="1:3" x14ac:dyDescent="0.2">
      <c r="A137">
        <v>1342100930</v>
      </c>
      <c r="B137" t="s">
        <v>1256</v>
      </c>
      <c r="C137" t="s">
        <v>339</v>
      </c>
    </row>
    <row r="138" spans="1:3" x14ac:dyDescent="0.2">
      <c r="A138">
        <v>1342101930</v>
      </c>
      <c r="B138" t="s">
        <v>1257</v>
      </c>
      <c r="C138" t="s">
        <v>339</v>
      </c>
    </row>
    <row r="139" spans="1:3" x14ac:dyDescent="0.2">
      <c r="A139">
        <v>1342102930</v>
      </c>
      <c r="B139" t="s">
        <v>1258</v>
      </c>
      <c r="C139" t="s">
        <v>339</v>
      </c>
    </row>
    <row r="140" spans="1:3" x14ac:dyDescent="0.2">
      <c r="A140">
        <v>1342202930</v>
      </c>
      <c r="B140" t="s">
        <v>1259</v>
      </c>
      <c r="C140" t="s">
        <v>339</v>
      </c>
    </row>
    <row r="141" spans="1:3" x14ac:dyDescent="0.2">
      <c r="A141">
        <v>1342208930</v>
      </c>
      <c r="B141" t="s">
        <v>1260</v>
      </c>
      <c r="C141" t="s">
        <v>339</v>
      </c>
    </row>
    <row r="142" spans="1:3" x14ac:dyDescent="0.2">
      <c r="A142">
        <v>1342209930</v>
      </c>
      <c r="B142" t="s">
        <v>1261</v>
      </c>
      <c r="C142" t="s">
        <v>339</v>
      </c>
    </row>
    <row r="143" spans="1:3" x14ac:dyDescent="0.2">
      <c r="A143">
        <v>1342231930</v>
      </c>
      <c r="B143" t="s">
        <v>1124</v>
      </c>
      <c r="C143" t="s">
        <v>339</v>
      </c>
    </row>
    <row r="144" spans="1:3" x14ac:dyDescent="0.2">
      <c r="A144">
        <v>1342301930</v>
      </c>
      <c r="B144" t="s">
        <v>1941</v>
      </c>
      <c r="C144" t="s">
        <v>339</v>
      </c>
    </row>
    <row r="145" spans="1:3" x14ac:dyDescent="0.2">
      <c r="A145">
        <v>1342401930</v>
      </c>
      <c r="B145" t="s">
        <v>1262</v>
      </c>
      <c r="C145" t="s">
        <v>339</v>
      </c>
    </row>
    <row r="146" spans="1:3" x14ac:dyDescent="0.2">
      <c r="A146">
        <v>1342402930</v>
      </c>
      <c r="B146" t="s">
        <v>1125</v>
      </c>
      <c r="C146" t="s">
        <v>339</v>
      </c>
    </row>
    <row r="147" spans="1:3" x14ac:dyDescent="0.2">
      <c r="A147">
        <v>1342404930</v>
      </c>
      <c r="B147" t="s">
        <v>1263</v>
      </c>
      <c r="C147" t="s">
        <v>339</v>
      </c>
    </row>
    <row r="148" spans="1:3" x14ac:dyDescent="0.2">
      <c r="A148">
        <v>1342405930</v>
      </c>
      <c r="B148" t="s">
        <v>1264</v>
      </c>
      <c r="C148" t="s">
        <v>339</v>
      </c>
    </row>
    <row r="149" spans="1:3" x14ac:dyDescent="0.2">
      <c r="A149">
        <v>1343501930</v>
      </c>
      <c r="B149" t="s">
        <v>1265</v>
      </c>
      <c r="C149" t="s">
        <v>339</v>
      </c>
    </row>
    <row r="150" spans="1:3" x14ac:dyDescent="0.2">
      <c r="A150">
        <v>1343502930</v>
      </c>
      <c r="B150" t="s">
        <v>1266</v>
      </c>
      <c r="C150" t="s">
        <v>339</v>
      </c>
    </row>
    <row r="151" spans="1:3" x14ac:dyDescent="0.2">
      <c r="A151">
        <v>1343503930</v>
      </c>
      <c r="B151" t="s">
        <v>1267</v>
      </c>
      <c r="C151" t="s">
        <v>339</v>
      </c>
    </row>
    <row r="152" spans="1:3" x14ac:dyDescent="0.2">
      <c r="A152">
        <v>1343505930</v>
      </c>
      <c r="B152" t="s">
        <v>1268</v>
      </c>
      <c r="C152" t="s">
        <v>339</v>
      </c>
    </row>
    <row r="153" spans="1:3" x14ac:dyDescent="0.2">
      <c r="A153">
        <v>1343801930</v>
      </c>
      <c r="B153" t="s">
        <v>1128</v>
      </c>
      <c r="C153" t="s">
        <v>339</v>
      </c>
    </row>
    <row r="154" spans="1:3" x14ac:dyDescent="0.2">
      <c r="A154">
        <v>1343901930</v>
      </c>
      <c r="B154" t="s">
        <v>1129</v>
      </c>
      <c r="C154" t="s">
        <v>339</v>
      </c>
    </row>
    <row r="155" spans="1:3" x14ac:dyDescent="0.2">
      <c r="A155">
        <v>1343903930</v>
      </c>
      <c r="B155" t="s">
        <v>1942</v>
      </c>
      <c r="C155" t="s">
        <v>339</v>
      </c>
    </row>
    <row r="156" spans="1:3" x14ac:dyDescent="0.2">
      <c r="A156">
        <v>1343904930</v>
      </c>
      <c r="B156" t="s">
        <v>1943</v>
      </c>
      <c r="C156" t="s">
        <v>339</v>
      </c>
    </row>
    <row r="157" spans="1:3" x14ac:dyDescent="0.2">
      <c r="A157">
        <v>1344300930</v>
      </c>
      <c r="B157" t="s">
        <v>1270</v>
      </c>
      <c r="C157" t="s">
        <v>339</v>
      </c>
    </row>
    <row r="158" spans="1:3" x14ac:dyDescent="0.2">
      <c r="A158">
        <v>1344402420</v>
      </c>
      <c r="B158" t="s">
        <v>1271</v>
      </c>
      <c r="C158" t="s">
        <v>339</v>
      </c>
    </row>
    <row r="159" spans="1:3" x14ac:dyDescent="0.2">
      <c r="A159">
        <v>1344402930</v>
      </c>
      <c r="B159" t="s">
        <v>1271</v>
      </c>
      <c r="C159" t="s">
        <v>339</v>
      </c>
    </row>
    <row r="160" spans="1:3" x14ac:dyDescent="0.2">
      <c r="A160">
        <v>1344403930</v>
      </c>
      <c r="B160" t="s">
        <v>1272</v>
      </c>
      <c r="C160" t="s">
        <v>339</v>
      </c>
    </row>
    <row r="161" spans="1:3" x14ac:dyDescent="0.2">
      <c r="A161">
        <v>1345101930</v>
      </c>
      <c r="B161" t="s">
        <v>1273</v>
      </c>
      <c r="C161" t="s">
        <v>339</v>
      </c>
    </row>
    <row r="162" spans="1:3" x14ac:dyDescent="0.2">
      <c r="A162">
        <v>1345102930</v>
      </c>
      <c r="B162" t="s">
        <v>1274</v>
      </c>
      <c r="C162" t="s">
        <v>339</v>
      </c>
    </row>
    <row r="163" spans="1:3" x14ac:dyDescent="0.2">
      <c r="A163">
        <v>1345201930</v>
      </c>
      <c r="B163" t="s">
        <v>1275</v>
      </c>
      <c r="C163" t="s">
        <v>339</v>
      </c>
    </row>
    <row r="164" spans="1:3" x14ac:dyDescent="0.2">
      <c r="A164">
        <v>1345202930</v>
      </c>
      <c r="B164" t="s">
        <v>1276</v>
      </c>
      <c r="C164" t="s">
        <v>339</v>
      </c>
    </row>
    <row r="165" spans="1:3" x14ac:dyDescent="0.2">
      <c r="A165">
        <v>1345203930</v>
      </c>
      <c r="B165" t="s">
        <v>1137</v>
      </c>
      <c r="C165" t="s">
        <v>339</v>
      </c>
    </row>
    <row r="166" spans="1:3" x14ac:dyDescent="0.2">
      <c r="A166">
        <v>1345301930</v>
      </c>
      <c r="B166" t="s">
        <v>1277</v>
      </c>
      <c r="C166" t="s">
        <v>339</v>
      </c>
    </row>
    <row r="167" spans="1:3" x14ac:dyDescent="0.2">
      <c r="A167">
        <v>1345302420</v>
      </c>
      <c r="B167" t="s">
        <v>1278</v>
      </c>
      <c r="C167" t="s">
        <v>335</v>
      </c>
    </row>
    <row r="168" spans="1:3" x14ac:dyDescent="0.2">
      <c r="A168">
        <v>1345302930</v>
      </c>
      <c r="B168" t="s">
        <v>1278</v>
      </c>
      <c r="C168" t="s">
        <v>339</v>
      </c>
    </row>
    <row r="169" spans="1:3" x14ac:dyDescent="0.2">
      <c r="A169">
        <v>1345303930</v>
      </c>
      <c r="B169" t="s">
        <v>1279</v>
      </c>
      <c r="C169" t="s">
        <v>339</v>
      </c>
    </row>
    <row r="170" spans="1:3" x14ac:dyDescent="0.2">
      <c r="A170">
        <v>1345401840</v>
      </c>
      <c r="B170" t="s">
        <v>1612</v>
      </c>
      <c r="C170" t="s">
        <v>339</v>
      </c>
    </row>
    <row r="171" spans="1:3" x14ac:dyDescent="0.2">
      <c r="A171">
        <v>1345902930</v>
      </c>
      <c r="B171" t="s">
        <v>1613</v>
      </c>
      <c r="C171" t="s">
        <v>339</v>
      </c>
    </row>
    <row r="172" spans="1:3" x14ac:dyDescent="0.2">
      <c r="A172">
        <v>1346302930</v>
      </c>
      <c r="B172" t="s">
        <v>1138</v>
      </c>
      <c r="C172" t="s">
        <v>339</v>
      </c>
    </row>
    <row r="173" spans="1:3" x14ac:dyDescent="0.2">
      <c r="A173">
        <v>1346401930</v>
      </c>
      <c r="B173" t="s">
        <v>1280</v>
      </c>
      <c r="C173" t="s">
        <v>339</v>
      </c>
    </row>
    <row r="174" spans="1:3" x14ac:dyDescent="0.2">
      <c r="A174">
        <v>1346500930</v>
      </c>
      <c r="B174" t="s">
        <v>1139</v>
      </c>
      <c r="C174" t="s">
        <v>339</v>
      </c>
    </row>
    <row r="175" spans="1:3" x14ac:dyDescent="0.2">
      <c r="A175">
        <v>1346601930</v>
      </c>
      <c r="B175" t="s">
        <v>1140</v>
      </c>
      <c r="C175" t="s">
        <v>339</v>
      </c>
    </row>
    <row r="176" spans="1:3" x14ac:dyDescent="0.2">
      <c r="A176">
        <v>1346603930</v>
      </c>
      <c r="B176" t="s">
        <v>1281</v>
      </c>
      <c r="C176" t="s">
        <v>339</v>
      </c>
    </row>
    <row r="177" spans="1:3" x14ac:dyDescent="0.2">
      <c r="A177">
        <v>1346604930</v>
      </c>
      <c r="B177" t="s">
        <v>1944</v>
      </c>
      <c r="C177" t="s">
        <v>339</v>
      </c>
    </row>
    <row r="178" spans="1:3" x14ac:dyDescent="0.2">
      <c r="A178">
        <v>1346701930</v>
      </c>
      <c r="B178" t="s">
        <v>1141</v>
      </c>
      <c r="C178" t="s">
        <v>339</v>
      </c>
    </row>
    <row r="179" spans="1:3" x14ac:dyDescent="0.2">
      <c r="A179">
        <v>1346702930</v>
      </c>
      <c r="B179" t="s">
        <v>1510</v>
      </c>
      <c r="C179" t="s">
        <v>339</v>
      </c>
    </row>
    <row r="180" spans="1:3" x14ac:dyDescent="0.2">
      <c r="A180">
        <v>1346703930</v>
      </c>
      <c r="B180" t="s">
        <v>1142</v>
      </c>
      <c r="C180" t="s">
        <v>339</v>
      </c>
    </row>
    <row r="181" spans="1:3" x14ac:dyDescent="0.2">
      <c r="A181">
        <v>1346704930</v>
      </c>
      <c r="B181" t="s">
        <v>1143</v>
      </c>
      <c r="C181" t="s">
        <v>339</v>
      </c>
    </row>
    <row r="182" spans="1:3" x14ac:dyDescent="0.2">
      <c r="A182">
        <v>1346705930</v>
      </c>
      <c r="B182" t="s">
        <v>1144</v>
      </c>
      <c r="C182" t="s">
        <v>339</v>
      </c>
    </row>
    <row r="183" spans="1:3" x14ac:dyDescent="0.2">
      <c r="A183">
        <v>1346801930</v>
      </c>
      <c r="B183" t="s">
        <v>1282</v>
      </c>
      <c r="C183" t="s">
        <v>339</v>
      </c>
    </row>
    <row r="184" spans="1:3" x14ac:dyDescent="0.2">
      <c r="A184">
        <v>1347101930</v>
      </c>
      <c r="B184" t="s">
        <v>1283</v>
      </c>
      <c r="C184" t="s">
        <v>339</v>
      </c>
    </row>
    <row r="185" spans="1:3" x14ac:dyDescent="0.2">
      <c r="A185">
        <v>1347102930</v>
      </c>
      <c r="B185" t="s">
        <v>1284</v>
      </c>
      <c r="C185" t="s">
        <v>339</v>
      </c>
    </row>
    <row r="186" spans="1:3" x14ac:dyDescent="0.2">
      <c r="A186">
        <v>1347103930</v>
      </c>
      <c r="B186" t="s">
        <v>1285</v>
      </c>
      <c r="C186" t="s">
        <v>339</v>
      </c>
    </row>
    <row r="187" spans="1:3" x14ac:dyDescent="0.2">
      <c r="A187">
        <v>1347104930</v>
      </c>
      <c r="B187" t="s">
        <v>1257</v>
      </c>
      <c r="C187" t="s">
        <v>339</v>
      </c>
    </row>
    <row r="188" spans="1:3" x14ac:dyDescent="0.2">
      <c r="A188">
        <v>1347201930</v>
      </c>
      <c r="B188" t="s">
        <v>1286</v>
      </c>
      <c r="C188" t="s">
        <v>339</v>
      </c>
    </row>
    <row r="189" spans="1:3" x14ac:dyDescent="0.2">
      <c r="A189">
        <v>1347202930</v>
      </c>
      <c r="B189" t="s">
        <v>1287</v>
      </c>
      <c r="C189" t="s">
        <v>339</v>
      </c>
    </row>
    <row r="190" spans="1:3" x14ac:dyDescent="0.2">
      <c r="A190">
        <v>1347220930</v>
      </c>
      <c r="B190" t="s">
        <v>1288</v>
      </c>
      <c r="C190" t="s">
        <v>339</v>
      </c>
    </row>
    <row r="191" spans="1:3" x14ac:dyDescent="0.2">
      <c r="A191">
        <v>1347301930</v>
      </c>
      <c r="B191" t="s">
        <v>1289</v>
      </c>
      <c r="C191" t="s">
        <v>339</v>
      </c>
    </row>
    <row r="192" spans="1:3" x14ac:dyDescent="0.2">
      <c r="A192">
        <v>1347305930</v>
      </c>
      <c r="B192" t="s">
        <v>1151</v>
      </c>
      <c r="C192" t="s">
        <v>339</v>
      </c>
    </row>
    <row r="193" spans="1:3" x14ac:dyDescent="0.2">
      <c r="A193">
        <v>1347400930</v>
      </c>
      <c r="B193" t="s">
        <v>1290</v>
      </c>
      <c r="C193" t="s">
        <v>339</v>
      </c>
    </row>
    <row r="194" spans="1:3" x14ac:dyDescent="0.2">
      <c r="A194">
        <v>1348900930</v>
      </c>
      <c r="B194" t="s">
        <v>1292</v>
      </c>
      <c r="C194" t="s">
        <v>339</v>
      </c>
    </row>
    <row r="195" spans="1:3" x14ac:dyDescent="0.2">
      <c r="A195">
        <v>1413110210</v>
      </c>
      <c r="B195" t="s">
        <v>1293</v>
      </c>
      <c r="C195" t="s">
        <v>333</v>
      </c>
    </row>
    <row r="196" spans="1:3" x14ac:dyDescent="0.2">
      <c r="A196">
        <v>1413200220</v>
      </c>
      <c r="B196" t="s">
        <v>1294</v>
      </c>
      <c r="C196" t="s">
        <v>336</v>
      </c>
    </row>
    <row r="197" spans="1:3" x14ac:dyDescent="0.2">
      <c r="A197">
        <v>1413300810</v>
      </c>
      <c r="B197" t="s">
        <v>1295</v>
      </c>
      <c r="C197" t="s">
        <v>333</v>
      </c>
    </row>
    <row r="198" spans="1:3" x14ac:dyDescent="0.2">
      <c r="A198">
        <v>1433000290</v>
      </c>
      <c r="B198" t="s">
        <v>1296</v>
      </c>
      <c r="C198" t="s">
        <v>336</v>
      </c>
    </row>
    <row r="199" spans="1:3" x14ac:dyDescent="0.2">
      <c r="A199">
        <v>1472000210</v>
      </c>
      <c r="B199" t="s">
        <v>1297</v>
      </c>
      <c r="C199" t="s">
        <v>336</v>
      </c>
    </row>
    <row r="200" spans="1:3" x14ac:dyDescent="0.2">
      <c r="A200">
        <v>1472000810</v>
      </c>
      <c r="B200" t="s">
        <v>1298</v>
      </c>
      <c r="C200" t="s">
        <v>336</v>
      </c>
    </row>
    <row r="201" spans="1:3" x14ac:dyDescent="0.2">
      <c r="A201">
        <v>1472100210</v>
      </c>
      <c r="B201" t="s">
        <v>1299</v>
      </c>
      <c r="C201" t="s">
        <v>336</v>
      </c>
    </row>
    <row r="202" spans="1:3" x14ac:dyDescent="0.2">
      <c r="A202">
        <v>1511000661</v>
      </c>
      <c r="B202" t="s">
        <v>1300</v>
      </c>
      <c r="C202" t="s">
        <v>343</v>
      </c>
    </row>
    <row r="203" spans="1:3" x14ac:dyDescent="0.2">
      <c r="A203">
        <v>1599000590</v>
      </c>
      <c r="B203" t="s">
        <v>1301</v>
      </c>
      <c r="C203">
        <v>0</v>
      </c>
    </row>
    <row r="204" spans="1:3" x14ac:dyDescent="0.2">
      <c r="A204">
        <v>1599100910</v>
      </c>
      <c r="B204" t="s">
        <v>1614</v>
      </c>
      <c r="C204" t="s">
        <v>347</v>
      </c>
    </row>
    <row r="205" spans="1:3" x14ac:dyDescent="0.2">
      <c r="A205">
        <v>1599200910</v>
      </c>
      <c r="B205" t="s">
        <v>1302</v>
      </c>
      <c r="C205" t="s">
        <v>347</v>
      </c>
    </row>
    <row r="206" spans="1:3" x14ac:dyDescent="0.2">
      <c r="C206" t="s">
        <v>426</v>
      </c>
    </row>
    <row r="207" spans="1:3" x14ac:dyDescent="0.2">
      <c r="A207">
        <v>1611100110</v>
      </c>
      <c r="B207" t="s">
        <v>1303</v>
      </c>
      <c r="C207" t="s">
        <v>352</v>
      </c>
    </row>
    <row r="208" spans="1:3" x14ac:dyDescent="0.2">
      <c r="A208">
        <v>1611100511</v>
      </c>
      <c r="B208" t="s">
        <v>1304</v>
      </c>
      <c r="C208" t="s">
        <v>353</v>
      </c>
    </row>
    <row r="209" spans="1:3" x14ac:dyDescent="0.2">
      <c r="A209">
        <v>1611100521</v>
      </c>
      <c r="B209" t="s">
        <v>1305</v>
      </c>
      <c r="C209" t="s">
        <v>353</v>
      </c>
    </row>
    <row r="210" spans="1:3" x14ac:dyDescent="0.2">
      <c r="A210">
        <v>1611100523</v>
      </c>
      <c r="B210" t="s">
        <v>1306</v>
      </c>
      <c r="C210" t="s">
        <v>353</v>
      </c>
    </row>
    <row r="211" spans="1:3" x14ac:dyDescent="0.2">
      <c r="A211">
        <v>1611100560</v>
      </c>
      <c r="B211" t="s">
        <v>1307</v>
      </c>
      <c r="C211" t="s">
        <v>353</v>
      </c>
    </row>
    <row r="212" spans="1:3" x14ac:dyDescent="0.2">
      <c r="A212">
        <v>1611100750</v>
      </c>
      <c r="B212" t="s">
        <v>1308</v>
      </c>
      <c r="C212" t="s">
        <v>353</v>
      </c>
    </row>
    <row r="213" spans="1:3" x14ac:dyDescent="0.2">
      <c r="A213">
        <v>1611100780</v>
      </c>
      <c r="B213" t="s">
        <v>1309</v>
      </c>
      <c r="C213" t="s">
        <v>353</v>
      </c>
    </row>
    <row r="214" spans="1:3" x14ac:dyDescent="0.2">
      <c r="A214">
        <v>1611110110</v>
      </c>
      <c r="B214" t="s">
        <v>1945</v>
      </c>
      <c r="C214" t="s">
        <v>352</v>
      </c>
    </row>
    <row r="215" spans="1:3" x14ac:dyDescent="0.2">
      <c r="A215">
        <v>1612000523</v>
      </c>
      <c r="B215" t="s">
        <v>1310</v>
      </c>
      <c r="C215" t="s">
        <v>353</v>
      </c>
    </row>
    <row r="216" spans="1:3" x14ac:dyDescent="0.2">
      <c r="A216">
        <v>1612000930</v>
      </c>
      <c r="B216" t="s">
        <v>1311</v>
      </c>
      <c r="C216" t="s">
        <v>353</v>
      </c>
    </row>
    <row r="217" spans="1:3" x14ac:dyDescent="0.2">
      <c r="A217">
        <v>1613000110</v>
      </c>
      <c r="B217" t="s">
        <v>1312</v>
      </c>
      <c r="C217" t="s">
        <v>352</v>
      </c>
    </row>
    <row r="218" spans="1:3" x14ac:dyDescent="0.2">
      <c r="A218">
        <v>1613000320</v>
      </c>
      <c r="B218" t="s">
        <v>1313</v>
      </c>
      <c r="C218" t="s">
        <v>352</v>
      </c>
    </row>
    <row r="219" spans="1:3" x14ac:dyDescent="0.2">
      <c r="A219">
        <v>1613000431</v>
      </c>
      <c r="B219" t="s">
        <v>1314</v>
      </c>
      <c r="C219" t="s">
        <v>353</v>
      </c>
    </row>
    <row r="220" spans="1:3" x14ac:dyDescent="0.2">
      <c r="A220">
        <v>1613000523</v>
      </c>
      <c r="B220" t="s">
        <v>1315</v>
      </c>
      <c r="C220" t="s">
        <v>353</v>
      </c>
    </row>
    <row r="221" spans="1:3" x14ac:dyDescent="0.2">
      <c r="A221">
        <v>1613000540</v>
      </c>
      <c r="B221" t="s">
        <v>1316</v>
      </c>
      <c r="C221" t="s">
        <v>353</v>
      </c>
    </row>
    <row r="222" spans="1:3" x14ac:dyDescent="0.2">
      <c r="A222">
        <v>1613000550</v>
      </c>
      <c r="B222" t="s">
        <v>1615</v>
      </c>
      <c r="C222" t="s">
        <v>353</v>
      </c>
    </row>
    <row r="223" spans="1:3" x14ac:dyDescent="0.2">
      <c r="A223">
        <v>1613000560</v>
      </c>
      <c r="B223" t="s">
        <v>1317</v>
      </c>
      <c r="C223" t="s">
        <v>353</v>
      </c>
    </row>
    <row r="224" spans="1:3" x14ac:dyDescent="0.2">
      <c r="A224">
        <v>1613000750</v>
      </c>
      <c r="B224" t="s">
        <v>1318</v>
      </c>
      <c r="C224" t="s">
        <v>353</v>
      </c>
    </row>
    <row r="225" spans="1:3" x14ac:dyDescent="0.2">
      <c r="A225">
        <v>1613000780</v>
      </c>
      <c r="B225" t="s">
        <v>1309</v>
      </c>
      <c r="C225" t="s">
        <v>353</v>
      </c>
    </row>
    <row r="226" spans="1:3" x14ac:dyDescent="0.2">
      <c r="A226">
        <v>1613000830</v>
      </c>
      <c r="B226" t="s">
        <v>1319</v>
      </c>
      <c r="C226" t="s">
        <v>353</v>
      </c>
    </row>
    <row r="227" spans="1:3" x14ac:dyDescent="0.2">
      <c r="A227">
        <v>1615000110</v>
      </c>
      <c r="B227" t="s">
        <v>1320</v>
      </c>
      <c r="C227" t="s">
        <v>352</v>
      </c>
    </row>
    <row r="228" spans="1:3" x14ac:dyDescent="0.2">
      <c r="A228">
        <v>1615101110</v>
      </c>
      <c r="B228" t="s">
        <v>1321</v>
      </c>
      <c r="C228" t="s">
        <v>352</v>
      </c>
    </row>
    <row r="229" spans="1:3" x14ac:dyDescent="0.2">
      <c r="A229">
        <v>1615200110</v>
      </c>
      <c r="B229" t="s">
        <v>1946</v>
      </c>
      <c r="C229" t="s">
        <v>352</v>
      </c>
    </row>
    <row r="230" spans="1:3" x14ac:dyDescent="0.2">
      <c r="A230">
        <v>1616000521</v>
      </c>
      <c r="B230" t="s">
        <v>1322</v>
      </c>
      <c r="C230" t="s">
        <v>353</v>
      </c>
    </row>
    <row r="231" spans="1:3" x14ac:dyDescent="0.2">
      <c r="A231">
        <v>1617000581</v>
      </c>
      <c r="B231" t="s">
        <v>1616</v>
      </c>
      <c r="C231" t="s">
        <v>353</v>
      </c>
    </row>
    <row r="232" spans="1:3" x14ac:dyDescent="0.2">
      <c r="A232">
        <v>1617000750</v>
      </c>
      <c r="B232" t="s">
        <v>1323</v>
      </c>
      <c r="C232" t="s">
        <v>353</v>
      </c>
    </row>
    <row r="233" spans="1:3" x14ac:dyDescent="0.2">
      <c r="A233">
        <v>1618000780</v>
      </c>
      <c r="B233" t="s">
        <v>1617</v>
      </c>
      <c r="C233" t="s">
        <v>353</v>
      </c>
    </row>
    <row r="234" spans="1:3" x14ac:dyDescent="0.2">
      <c r="A234">
        <v>1619000780</v>
      </c>
      <c r="B234" t="s">
        <v>1618</v>
      </c>
      <c r="C234" t="s">
        <v>353</v>
      </c>
    </row>
    <row r="235" spans="1:3" x14ac:dyDescent="0.2">
      <c r="A235">
        <v>1621200110</v>
      </c>
      <c r="B235" t="s">
        <v>1324</v>
      </c>
      <c r="C235" t="s">
        <v>352</v>
      </c>
    </row>
    <row r="236" spans="1:3" x14ac:dyDescent="0.2">
      <c r="A236">
        <v>1621300110</v>
      </c>
      <c r="B236" t="s">
        <v>1325</v>
      </c>
      <c r="C236" t="s">
        <v>352</v>
      </c>
    </row>
    <row r="237" spans="1:3" x14ac:dyDescent="0.2">
      <c r="A237">
        <v>1621300523</v>
      </c>
      <c r="B237" t="s">
        <v>1315</v>
      </c>
      <c r="C237" t="s">
        <v>353</v>
      </c>
    </row>
    <row r="238" spans="1:3" x14ac:dyDescent="0.2">
      <c r="A238">
        <v>1621300560</v>
      </c>
      <c r="B238" t="s">
        <v>1326</v>
      </c>
      <c r="C238">
        <v>0</v>
      </c>
    </row>
    <row r="239" spans="1:3" x14ac:dyDescent="0.2">
      <c r="A239">
        <v>1621300570</v>
      </c>
      <c r="B239" t="s">
        <v>1327</v>
      </c>
      <c r="C239" t="s">
        <v>353</v>
      </c>
    </row>
    <row r="240" spans="1:3" x14ac:dyDescent="0.2">
      <c r="A240">
        <v>1621300571</v>
      </c>
      <c r="B240" t="s">
        <v>1542</v>
      </c>
      <c r="C240" t="s">
        <v>353</v>
      </c>
    </row>
    <row r="241" spans="1:3" x14ac:dyDescent="0.2">
      <c r="A241">
        <v>1621300750</v>
      </c>
      <c r="B241" t="s">
        <v>1619</v>
      </c>
      <c r="C241" t="s">
        <v>353</v>
      </c>
    </row>
    <row r="242" spans="1:3" x14ac:dyDescent="0.2">
      <c r="A242">
        <v>1621300751</v>
      </c>
      <c r="B242" t="s">
        <v>1328</v>
      </c>
      <c r="C242" t="s">
        <v>353</v>
      </c>
    </row>
    <row r="243" spans="1:3" x14ac:dyDescent="0.2">
      <c r="A243">
        <v>1621300780</v>
      </c>
      <c r="B243" t="s">
        <v>976</v>
      </c>
      <c r="C243" t="s">
        <v>353</v>
      </c>
    </row>
    <row r="244" spans="1:3" x14ac:dyDescent="0.2">
      <c r="A244">
        <v>1621300930</v>
      </c>
      <c r="B244" t="s">
        <v>1329</v>
      </c>
      <c r="C244" t="s">
        <v>353</v>
      </c>
    </row>
    <row r="245" spans="1:3" x14ac:dyDescent="0.2">
      <c r="A245">
        <v>1623000110</v>
      </c>
      <c r="B245" t="s">
        <v>1330</v>
      </c>
      <c r="C245" t="s">
        <v>352</v>
      </c>
    </row>
    <row r="246" spans="1:3" x14ac:dyDescent="0.2">
      <c r="A246">
        <v>1623000582</v>
      </c>
      <c r="B246" t="s">
        <v>1318</v>
      </c>
      <c r="C246" t="s">
        <v>353</v>
      </c>
    </row>
    <row r="247" spans="1:3" x14ac:dyDescent="0.2">
      <c r="A247">
        <v>1623000750</v>
      </c>
      <c r="B247" t="s">
        <v>1331</v>
      </c>
      <c r="C247" t="s">
        <v>353</v>
      </c>
    </row>
    <row r="248" spans="1:3" x14ac:dyDescent="0.2">
      <c r="A248">
        <v>1631000610</v>
      </c>
      <c r="B248" t="s">
        <v>1332</v>
      </c>
      <c r="C248" t="s">
        <v>364</v>
      </c>
    </row>
    <row r="249" spans="1:3" x14ac:dyDescent="0.2">
      <c r="A249">
        <v>1632000620</v>
      </c>
      <c r="B249" t="s">
        <v>1333</v>
      </c>
      <c r="C249" t="s">
        <v>364</v>
      </c>
    </row>
    <row r="250" spans="1:3" x14ac:dyDescent="0.2">
      <c r="A250">
        <v>1648000691</v>
      </c>
      <c r="B250" t="s">
        <v>1334</v>
      </c>
      <c r="C250" t="s">
        <v>362</v>
      </c>
    </row>
    <row r="251" spans="1:3" x14ac:dyDescent="0.2">
      <c r="A251">
        <v>1648000692</v>
      </c>
      <c r="B251" t="s">
        <v>1335</v>
      </c>
      <c r="C251" t="s">
        <v>362</v>
      </c>
    </row>
    <row r="252" spans="1:3" x14ac:dyDescent="0.2">
      <c r="A252">
        <v>1648000693</v>
      </c>
      <c r="B252" t="s">
        <v>1336</v>
      </c>
      <c r="C252" t="s">
        <v>362</v>
      </c>
    </row>
    <row r="253" spans="1:3" x14ac:dyDescent="0.2">
      <c r="A253">
        <v>1711000110</v>
      </c>
      <c r="B253" t="s">
        <v>1337</v>
      </c>
      <c r="C253" t="s">
        <v>352</v>
      </c>
    </row>
    <row r="254" spans="1:3" x14ac:dyDescent="0.2">
      <c r="A254">
        <v>1711000523</v>
      </c>
      <c r="B254" t="s">
        <v>1338</v>
      </c>
      <c r="C254" t="s">
        <v>353</v>
      </c>
    </row>
    <row r="255" spans="1:3" x14ac:dyDescent="0.2">
      <c r="A255">
        <v>1712200740</v>
      </c>
      <c r="B255" t="s">
        <v>1339</v>
      </c>
      <c r="C255" t="s">
        <v>353</v>
      </c>
    </row>
    <row r="256" spans="1:3" x14ac:dyDescent="0.2">
      <c r="A256">
        <v>1712200750</v>
      </c>
      <c r="B256" t="s">
        <v>1331</v>
      </c>
      <c r="C256" t="s">
        <v>353</v>
      </c>
    </row>
    <row r="257" spans="1:3" x14ac:dyDescent="0.2">
      <c r="A257">
        <v>1712200780</v>
      </c>
      <c r="B257" t="s">
        <v>1309</v>
      </c>
      <c r="C257" t="s">
        <v>353</v>
      </c>
    </row>
    <row r="258" spans="1:3" x14ac:dyDescent="0.2">
      <c r="A258">
        <v>1712300751</v>
      </c>
      <c r="B258" t="s">
        <v>1340</v>
      </c>
      <c r="C258" t="s">
        <v>353</v>
      </c>
    </row>
    <row r="259" spans="1:3" x14ac:dyDescent="0.2">
      <c r="A259">
        <v>1712300752</v>
      </c>
      <c r="B259" t="s">
        <v>1341</v>
      </c>
      <c r="C259" t="s">
        <v>353</v>
      </c>
    </row>
    <row r="260" spans="1:3" x14ac:dyDescent="0.2">
      <c r="A260">
        <v>1713000110</v>
      </c>
      <c r="B260" t="s">
        <v>1342</v>
      </c>
      <c r="C260" t="s">
        <v>352</v>
      </c>
    </row>
    <row r="261" spans="1:3" x14ac:dyDescent="0.2">
      <c r="A261">
        <v>1714100830</v>
      </c>
      <c r="B261" t="s">
        <v>1343</v>
      </c>
      <c r="C261" t="s">
        <v>353</v>
      </c>
    </row>
    <row r="262" spans="1:3" x14ac:dyDescent="0.2">
      <c r="A262">
        <v>1715300750</v>
      </c>
      <c r="B262" t="s">
        <v>1344</v>
      </c>
      <c r="C262" t="s">
        <v>353</v>
      </c>
    </row>
    <row r="263" spans="1:3" x14ac:dyDescent="0.2">
      <c r="A263">
        <v>1722000110</v>
      </c>
      <c r="B263" t="s">
        <v>1345</v>
      </c>
      <c r="C263" t="s">
        <v>352</v>
      </c>
    </row>
    <row r="264" spans="1:3" x14ac:dyDescent="0.2">
      <c r="A264">
        <v>1722000731</v>
      </c>
      <c r="B264" t="s">
        <v>1620</v>
      </c>
      <c r="C264" t="s">
        <v>353</v>
      </c>
    </row>
    <row r="265" spans="1:3" x14ac:dyDescent="0.2">
      <c r="A265">
        <v>1722000732</v>
      </c>
      <c r="B265" t="s">
        <v>1346</v>
      </c>
      <c r="C265" t="s">
        <v>353</v>
      </c>
    </row>
    <row r="266" spans="1:3" x14ac:dyDescent="0.2">
      <c r="A266">
        <v>1722000733</v>
      </c>
      <c r="B266" t="s">
        <v>1029</v>
      </c>
      <c r="C266" t="s">
        <v>353</v>
      </c>
    </row>
    <row r="267" spans="1:3" x14ac:dyDescent="0.2">
      <c r="A267">
        <v>1722000780</v>
      </c>
      <c r="B267" t="s">
        <v>976</v>
      </c>
      <c r="C267">
        <v>0</v>
      </c>
    </row>
    <row r="268" spans="1:3" x14ac:dyDescent="0.2">
      <c r="A268">
        <v>1722002110</v>
      </c>
      <c r="B268" t="s">
        <v>1621</v>
      </c>
      <c r="C268" t="s">
        <v>352</v>
      </c>
    </row>
    <row r="269" spans="1:3" x14ac:dyDescent="0.2">
      <c r="A269">
        <v>1722100750</v>
      </c>
      <c r="B269" t="s">
        <v>1622</v>
      </c>
      <c r="C269" t="s">
        <v>353</v>
      </c>
    </row>
    <row r="270" spans="1:3" x14ac:dyDescent="0.2">
      <c r="A270">
        <v>1723000810</v>
      </c>
      <c r="B270" t="s">
        <v>1347</v>
      </c>
      <c r="C270" t="s">
        <v>353</v>
      </c>
    </row>
    <row r="271" spans="1:3" x14ac:dyDescent="0.2">
      <c r="A271">
        <v>1723100110</v>
      </c>
      <c r="B271" t="s">
        <v>1348</v>
      </c>
      <c r="C271" t="s">
        <v>352</v>
      </c>
    </row>
    <row r="272" spans="1:3" x14ac:dyDescent="0.2">
      <c r="A272">
        <v>1723420750</v>
      </c>
      <c r="B272" t="s">
        <v>1349</v>
      </c>
      <c r="C272" t="s">
        <v>353</v>
      </c>
    </row>
    <row r="273" spans="1:3" x14ac:dyDescent="0.2">
      <c r="A273">
        <v>1723421750</v>
      </c>
      <c r="B273" t="s">
        <v>1350</v>
      </c>
      <c r="C273" t="s">
        <v>353</v>
      </c>
    </row>
    <row r="274" spans="1:3" x14ac:dyDescent="0.2">
      <c r="A274">
        <v>1723422750</v>
      </c>
      <c r="B274" t="s">
        <v>1351</v>
      </c>
      <c r="C274" t="s">
        <v>353</v>
      </c>
    </row>
    <row r="275" spans="1:3" x14ac:dyDescent="0.2">
      <c r="A275">
        <v>1723423750</v>
      </c>
      <c r="B275" t="s">
        <v>1352</v>
      </c>
      <c r="C275" t="s">
        <v>353</v>
      </c>
    </row>
    <row r="276" spans="1:3" x14ac:dyDescent="0.2">
      <c r="A276">
        <v>1725000110</v>
      </c>
      <c r="B276" t="s">
        <v>1183</v>
      </c>
      <c r="C276" t="s">
        <v>352</v>
      </c>
    </row>
    <row r="277" spans="1:3" x14ac:dyDescent="0.2">
      <c r="A277">
        <v>1725000750</v>
      </c>
      <c r="B277" t="s">
        <v>1353</v>
      </c>
      <c r="C277" t="s">
        <v>353</v>
      </c>
    </row>
    <row r="278" spans="1:3" x14ac:dyDescent="0.2">
      <c r="A278">
        <v>1725002750</v>
      </c>
      <c r="B278" t="s">
        <v>1623</v>
      </c>
      <c r="C278" t="s">
        <v>353</v>
      </c>
    </row>
    <row r="279" spans="1:3" x14ac:dyDescent="0.2">
      <c r="A279">
        <v>1725004110</v>
      </c>
      <c r="B279" t="s">
        <v>1593</v>
      </c>
      <c r="C279" t="s">
        <v>352</v>
      </c>
    </row>
    <row r="280" spans="1:3" x14ac:dyDescent="0.2">
      <c r="A280">
        <v>1731000110</v>
      </c>
      <c r="B280" t="s">
        <v>1354</v>
      </c>
      <c r="C280" t="s">
        <v>352</v>
      </c>
    </row>
    <row r="281" spans="1:3" x14ac:dyDescent="0.2">
      <c r="A281">
        <v>1731000320</v>
      </c>
      <c r="B281" t="s">
        <v>1355</v>
      </c>
      <c r="C281" t="s">
        <v>352</v>
      </c>
    </row>
    <row r="282" spans="1:3" x14ac:dyDescent="0.2">
      <c r="A282">
        <v>1731000780</v>
      </c>
      <c r="B282" t="s">
        <v>1309</v>
      </c>
      <c r="C282" t="s">
        <v>353</v>
      </c>
    </row>
    <row r="283" spans="1:3" x14ac:dyDescent="0.2">
      <c r="A283">
        <v>1732100750</v>
      </c>
      <c r="B283" t="s">
        <v>1356</v>
      </c>
      <c r="C283" t="s">
        <v>353</v>
      </c>
    </row>
    <row r="284" spans="1:3" x14ac:dyDescent="0.2">
      <c r="A284">
        <v>1733400750</v>
      </c>
      <c r="B284" t="s">
        <v>1357</v>
      </c>
      <c r="C284" t="s">
        <v>353</v>
      </c>
    </row>
    <row r="285" spans="1:3" x14ac:dyDescent="0.2">
      <c r="A285">
        <v>1741000110</v>
      </c>
      <c r="B285" t="s">
        <v>1358</v>
      </c>
      <c r="C285" t="s">
        <v>352</v>
      </c>
    </row>
    <row r="286" spans="1:3" x14ac:dyDescent="0.2">
      <c r="A286">
        <v>1741000750</v>
      </c>
      <c r="B286" t="s">
        <v>1331</v>
      </c>
      <c r="C286" t="s">
        <v>353</v>
      </c>
    </row>
    <row r="287" spans="1:3" x14ac:dyDescent="0.2">
      <c r="A287">
        <v>1741000751</v>
      </c>
      <c r="B287" t="s">
        <v>1359</v>
      </c>
      <c r="C287" t="s">
        <v>353</v>
      </c>
    </row>
    <row r="288" spans="1:3" x14ac:dyDescent="0.2">
      <c r="A288">
        <v>1742200110</v>
      </c>
      <c r="B288" t="s">
        <v>1624</v>
      </c>
      <c r="C288" t="s">
        <v>352</v>
      </c>
    </row>
    <row r="289" spans="1:3" x14ac:dyDescent="0.2">
      <c r="A289">
        <v>1743000750</v>
      </c>
      <c r="B289" t="s">
        <v>1360</v>
      </c>
      <c r="C289" t="s">
        <v>353</v>
      </c>
    </row>
    <row r="290" spans="1:3" x14ac:dyDescent="0.2">
      <c r="A290">
        <v>1743000771</v>
      </c>
      <c r="B290" t="s">
        <v>1361</v>
      </c>
      <c r="C290" t="s">
        <v>353</v>
      </c>
    </row>
    <row r="291" spans="1:3" x14ac:dyDescent="0.2">
      <c r="A291">
        <v>1744000750</v>
      </c>
      <c r="B291" t="s">
        <v>1947</v>
      </c>
      <c r="C291" t="s">
        <v>353</v>
      </c>
    </row>
    <row r="292" spans="1:3" x14ac:dyDescent="0.2">
      <c r="A292">
        <v>1745000830</v>
      </c>
      <c r="B292" t="s">
        <v>1362</v>
      </c>
      <c r="C292" t="s">
        <v>353</v>
      </c>
    </row>
    <row r="293" spans="1:3" x14ac:dyDescent="0.2">
      <c r="A293">
        <v>1747200110</v>
      </c>
      <c r="B293" t="s">
        <v>1363</v>
      </c>
      <c r="C293" t="s">
        <v>352</v>
      </c>
    </row>
    <row r="294" spans="1:3" x14ac:dyDescent="0.2">
      <c r="A294">
        <v>1747200431</v>
      </c>
      <c r="B294" t="s">
        <v>1364</v>
      </c>
      <c r="C294" t="s">
        <v>353</v>
      </c>
    </row>
    <row r="295" spans="1:3" x14ac:dyDescent="0.2">
      <c r="A295">
        <v>1747200432</v>
      </c>
      <c r="B295" t="s">
        <v>1365</v>
      </c>
      <c r="C295" t="s">
        <v>353</v>
      </c>
    </row>
    <row r="296" spans="1:3" x14ac:dyDescent="0.2">
      <c r="A296">
        <v>1747200433</v>
      </c>
      <c r="B296" t="s">
        <v>1366</v>
      </c>
      <c r="C296" t="s">
        <v>353</v>
      </c>
    </row>
    <row r="297" spans="1:3" x14ac:dyDescent="0.2">
      <c r="A297">
        <v>1747200750</v>
      </c>
      <c r="B297" t="s">
        <v>1331</v>
      </c>
      <c r="C297" t="s">
        <v>353</v>
      </c>
    </row>
    <row r="298" spans="1:3" x14ac:dyDescent="0.2">
      <c r="A298">
        <v>1766000870</v>
      </c>
      <c r="B298" t="s">
        <v>1367</v>
      </c>
      <c r="C298" t="s">
        <v>353</v>
      </c>
    </row>
    <row r="299" spans="1:3" x14ac:dyDescent="0.2">
      <c r="A299">
        <v>1767000441</v>
      </c>
      <c r="B299" t="s">
        <v>1368</v>
      </c>
      <c r="C299" t="s">
        <v>353</v>
      </c>
    </row>
    <row r="300" spans="1:3" x14ac:dyDescent="0.2">
      <c r="A300">
        <v>1811000110</v>
      </c>
      <c r="B300" t="s">
        <v>1369</v>
      </c>
      <c r="C300" t="s">
        <v>355</v>
      </c>
    </row>
    <row r="301" spans="1:3" x14ac:dyDescent="0.2">
      <c r="A301">
        <v>1811000540</v>
      </c>
      <c r="B301" t="s">
        <v>1370</v>
      </c>
      <c r="C301" t="s">
        <v>356</v>
      </c>
    </row>
    <row r="302" spans="1:3" x14ac:dyDescent="0.2">
      <c r="A302">
        <v>1811000705</v>
      </c>
      <c r="B302" t="s">
        <v>1625</v>
      </c>
      <c r="C302" t="s">
        <v>356</v>
      </c>
    </row>
    <row r="303" spans="1:3" x14ac:dyDescent="0.2">
      <c r="A303">
        <v>1811000750</v>
      </c>
      <c r="B303" t="s">
        <v>1331</v>
      </c>
      <c r="C303" t="s">
        <v>356</v>
      </c>
    </row>
    <row r="304" spans="1:3" x14ac:dyDescent="0.2">
      <c r="A304">
        <v>1811000780</v>
      </c>
      <c r="B304" t="s">
        <v>1309</v>
      </c>
      <c r="C304" t="s">
        <v>356</v>
      </c>
    </row>
    <row r="305" spans="1:3" x14ac:dyDescent="0.2">
      <c r="A305">
        <v>1811000781</v>
      </c>
      <c r="B305" t="s">
        <v>1626</v>
      </c>
      <c r="C305" t="s">
        <v>356</v>
      </c>
    </row>
    <row r="306" spans="1:3" x14ac:dyDescent="0.2">
      <c r="A306">
        <v>1811000800</v>
      </c>
      <c r="B306" t="s">
        <v>1627</v>
      </c>
      <c r="C306">
        <v>0</v>
      </c>
    </row>
    <row r="307" spans="1:3" x14ac:dyDescent="0.2">
      <c r="A307">
        <v>1811000930</v>
      </c>
      <c r="B307" t="s">
        <v>1948</v>
      </c>
      <c r="C307" t="s">
        <v>356</v>
      </c>
    </row>
    <row r="308" spans="1:3" x14ac:dyDescent="0.2">
      <c r="A308">
        <v>1811000980</v>
      </c>
      <c r="B308" t="s">
        <v>1628</v>
      </c>
      <c r="C308" t="s">
        <v>356</v>
      </c>
    </row>
    <row r="309" spans="1:3" x14ac:dyDescent="0.2">
      <c r="A309">
        <v>1811010930</v>
      </c>
      <c r="B309" t="s">
        <v>1629</v>
      </c>
      <c r="C309" t="s">
        <v>356</v>
      </c>
    </row>
    <row r="310" spans="1:3" x14ac:dyDescent="0.2">
      <c r="A310">
        <v>1812200110</v>
      </c>
      <c r="B310" t="s">
        <v>1371</v>
      </c>
      <c r="C310" t="s">
        <v>355</v>
      </c>
    </row>
    <row r="311" spans="1:3" x14ac:dyDescent="0.2">
      <c r="A311">
        <v>1812200420</v>
      </c>
      <c r="B311" t="s">
        <v>1372</v>
      </c>
      <c r="C311" t="s">
        <v>356</v>
      </c>
    </row>
    <row r="312" spans="1:3" x14ac:dyDescent="0.2">
      <c r="A312">
        <v>1812200431</v>
      </c>
      <c r="B312" t="s">
        <v>1373</v>
      </c>
      <c r="C312" t="s">
        <v>356</v>
      </c>
    </row>
    <row r="313" spans="1:3" x14ac:dyDescent="0.2">
      <c r="A313">
        <v>1812200432</v>
      </c>
      <c r="B313" t="s">
        <v>1374</v>
      </c>
      <c r="C313" t="s">
        <v>356</v>
      </c>
    </row>
    <row r="314" spans="1:3" x14ac:dyDescent="0.2">
      <c r="A314">
        <v>1812200433</v>
      </c>
      <c r="B314" t="s">
        <v>1366</v>
      </c>
      <c r="C314" t="s">
        <v>356</v>
      </c>
    </row>
    <row r="315" spans="1:3" x14ac:dyDescent="0.2">
      <c r="A315">
        <v>1812200740</v>
      </c>
      <c r="B315" t="s">
        <v>1339</v>
      </c>
      <c r="C315" t="s">
        <v>356</v>
      </c>
    </row>
    <row r="316" spans="1:3" x14ac:dyDescent="0.2">
      <c r="A316">
        <v>1812200750</v>
      </c>
      <c r="B316" t="s">
        <v>1375</v>
      </c>
      <c r="C316" t="s">
        <v>356</v>
      </c>
    </row>
    <row r="317" spans="1:3" x14ac:dyDescent="0.2">
      <c r="A317">
        <v>1812200751</v>
      </c>
      <c r="B317" t="s">
        <v>1949</v>
      </c>
      <c r="C317" t="s">
        <v>356</v>
      </c>
    </row>
    <row r="318" spans="1:3" x14ac:dyDescent="0.2">
      <c r="A318">
        <v>1812300110</v>
      </c>
      <c r="B318" t="s">
        <v>1376</v>
      </c>
      <c r="C318" t="s">
        <v>355</v>
      </c>
    </row>
    <row r="319" spans="1:3" x14ac:dyDescent="0.2">
      <c r="A319">
        <v>1812300320</v>
      </c>
      <c r="B319" t="s">
        <v>1377</v>
      </c>
      <c r="C319" t="s">
        <v>355</v>
      </c>
    </row>
    <row r="320" spans="1:3" x14ac:dyDescent="0.2">
      <c r="A320">
        <v>1812300410</v>
      </c>
      <c r="B320" t="s">
        <v>1378</v>
      </c>
      <c r="C320" t="s">
        <v>356</v>
      </c>
    </row>
    <row r="321" spans="1:3" x14ac:dyDescent="0.2">
      <c r="A321">
        <v>1812300431</v>
      </c>
      <c r="B321" t="s">
        <v>1314</v>
      </c>
      <c r="C321" t="s">
        <v>356</v>
      </c>
    </row>
    <row r="322" spans="1:3" x14ac:dyDescent="0.2">
      <c r="A322">
        <v>1812300750</v>
      </c>
      <c r="B322" t="s">
        <v>1331</v>
      </c>
      <c r="C322" t="s">
        <v>356</v>
      </c>
    </row>
    <row r="323" spans="1:3" x14ac:dyDescent="0.2">
      <c r="A323">
        <v>1812300760</v>
      </c>
      <c r="B323" t="s">
        <v>1380</v>
      </c>
      <c r="C323" t="s">
        <v>356</v>
      </c>
    </row>
    <row r="324" spans="1:3" x14ac:dyDescent="0.2">
      <c r="A324">
        <v>1812300780</v>
      </c>
      <c r="B324" t="s">
        <v>1381</v>
      </c>
      <c r="C324" t="s">
        <v>356</v>
      </c>
    </row>
    <row r="325" spans="1:3" x14ac:dyDescent="0.2">
      <c r="A325">
        <v>1812301780</v>
      </c>
      <c r="B325" t="s">
        <v>1950</v>
      </c>
      <c r="C325" t="s">
        <v>356</v>
      </c>
    </row>
    <row r="326" spans="1:3" x14ac:dyDescent="0.2">
      <c r="A326">
        <v>1812310631</v>
      </c>
      <c r="B326" t="s">
        <v>1630</v>
      </c>
      <c r="C326" t="s">
        <v>356</v>
      </c>
    </row>
    <row r="327" spans="1:3" x14ac:dyDescent="0.2">
      <c r="A327">
        <v>1812312110</v>
      </c>
      <c r="B327" t="s">
        <v>1951</v>
      </c>
      <c r="C327" t="s">
        <v>355</v>
      </c>
    </row>
    <row r="328" spans="1:3" x14ac:dyDescent="0.2">
      <c r="A328">
        <v>1812312980</v>
      </c>
      <c r="B328" t="s">
        <v>1631</v>
      </c>
      <c r="C328" t="s">
        <v>356</v>
      </c>
    </row>
    <row r="329" spans="1:3" x14ac:dyDescent="0.2">
      <c r="A329">
        <v>1812400110</v>
      </c>
      <c r="B329" t="s">
        <v>1511</v>
      </c>
      <c r="C329" t="s">
        <v>355</v>
      </c>
    </row>
    <row r="330" spans="1:3" x14ac:dyDescent="0.2">
      <c r="A330">
        <v>1812410780</v>
      </c>
      <c r="B330" t="s">
        <v>1512</v>
      </c>
      <c r="C330" t="s">
        <v>356</v>
      </c>
    </row>
    <row r="331" spans="1:3" x14ac:dyDescent="0.2">
      <c r="A331">
        <v>1812500110</v>
      </c>
      <c r="B331" t="s">
        <v>1382</v>
      </c>
      <c r="C331" t="s">
        <v>355</v>
      </c>
    </row>
    <row r="332" spans="1:3" x14ac:dyDescent="0.2">
      <c r="A332">
        <v>1812500431</v>
      </c>
      <c r="B332" t="s">
        <v>1314</v>
      </c>
      <c r="C332" t="s">
        <v>356</v>
      </c>
    </row>
    <row r="333" spans="1:3" x14ac:dyDescent="0.2">
      <c r="A333">
        <v>1813200110</v>
      </c>
      <c r="B333" t="s">
        <v>1952</v>
      </c>
      <c r="C333" t="s">
        <v>355</v>
      </c>
    </row>
    <row r="334" spans="1:3" x14ac:dyDescent="0.2">
      <c r="A334">
        <v>1813200760</v>
      </c>
      <c r="B334" t="s">
        <v>1383</v>
      </c>
      <c r="C334" t="s">
        <v>356</v>
      </c>
    </row>
    <row r="335" spans="1:3" x14ac:dyDescent="0.2">
      <c r="A335">
        <v>1813200780</v>
      </c>
      <c r="B335" t="s">
        <v>1513</v>
      </c>
      <c r="C335" t="s">
        <v>356</v>
      </c>
    </row>
    <row r="336" spans="1:3" x14ac:dyDescent="0.2">
      <c r="A336">
        <v>1813200923</v>
      </c>
      <c r="B336" t="s">
        <v>1632</v>
      </c>
      <c r="C336" t="s">
        <v>356</v>
      </c>
    </row>
    <row r="337" spans="1:3" x14ac:dyDescent="0.2">
      <c r="A337">
        <v>1813200931</v>
      </c>
      <c r="B337" t="s">
        <v>1013</v>
      </c>
      <c r="C337" t="s">
        <v>356</v>
      </c>
    </row>
    <row r="338" spans="1:3" x14ac:dyDescent="0.2">
      <c r="A338">
        <v>1813210110</v>
      </c>
      <c r="B338" t="s">
        <v>1384</v>
      </c>
      <c r="C338" t="s">
        <v>355</v>
      </c>
    </row>
    <row r="339" spans="1:3" x14ac:dyDescent="0.2">
      <c r="A339">
        <v>1813210431</v>
      </c>
      <c r="B339" t="s">
        <v>1385</v>
      </c>
      <c r="C339" t="s">
        <v>356</v>
      </c>
    </row>
    <row r="340" spans="1:3" x14ac:dyDescent="0.2">
      <c r="A340">
        <v>1813210750</v>
      </c>
      <c r="B340" t="s">
        <v>1633</v>
      </c>
      <c r="C340" t="s">
        <v>356</v>
      </c>
    </row>
    <row r="341" spans="1:3" x14ac:dyDescent="0.2">
      <c r="A341">
        <v>1813210871</v>
      </c>
      <c r="B341" t="s">
        <v>1386</v>
      </c>
      <c r="C341" t="s">
        <v>356</v>
      </c>
    </row>
    <row r="342" spans="1:3" x14ac:dyDescent="0.2">
      <c r="A342">
        <v>1813210931</v>
      </c>
      <c r="B342" t="s">
        <v>1387</v>
      </c>
      <c r="C342" t="s">
        <v>356</v>
      </c>
    </row>
    <row r="343" spans="1:3" x14ac:dyDescent="0.2">
      <c r="A343">
        <v>1813211750</v>
      </c>
      <c r="B343" t="s">
        <v>1634</v>
      </c>
      <c r="C343" t="s">
        <v>356</v>
      </c>
    </row>
    <row r="344" spans="1:3" x14ac:dyDescent="0.2">
      <c r="A344">
        <v>1813212110</v>
      </c>
      <c r="B344" t="s">
        <v>1635</v>
      </c>
      <c r="C344" t="s">
        <v>355</v>
      </c>
    </row>
    <row r="345" spans="1:3" x14ac:dyDescent="0.2">
      <c r="A345">
        <v>1813212750</v>
      </c>
      <c r="B345" t="s">
        <v>1636</v>
      </c>
      <c r="C345" t="s">
        <v>356</v>
      </c>
    </row>
    <row r="346" spans="1:3" x14ac:dyDescent="0.2">
      <c r="A346">
        <v>1813220110</v>
      </c>
      <c r="B346" t="s">
        <v>1388</v>
      </c>
      <c r="C346" t="s">
        <v>355</v>
      </c>
    </row>
    <row r="347" spans="1:3" x14ac:dyDescent="0.2">
      <c r="A347">
        <v>1813220431</v>
      </c>
      <c r="B347" t="s">
        <v>1389</v>
      </c>
      <c r="C347" t="s">
        <v>356</v>
      </c>
    </row>
    <row r="348" spans="1:3" x14ac:dyDescent="0.2">
      <c r="A348">
        <v>1813230110</v>
      </c>
      <c r="B348" t="s">
        <v>1390</v>
      </c>
      <c r="C348" t="s">
        <v>355</v>
      </c>
    </row>
    <row r="349" spans="1:3" x14ac:dyDescent="0.2">
      <c r="A349">
        <v>1813230431</v>
      </c>
      <c r="B349" t="s">
        <v>1391</v>
      </c>
      <c r="C349" t="s">
        <v>356</v>
      </c>
    </row>
    <row r="350" spans="1:3" x14ac:dyDescent="0.2">
      <c r="A350">
        <v>1813240110</v>
      </c>
      <c r="B350" t="s">
        <v>1393</v>
      </c>
      <c r="C350" t="s">
        <v>355</v>
      </c>
    </row>
    <row r="351" spans="1:3" x14ac:dyDescent="0.2">
      <c r="A351">
        <v>1813250110</v>
      </c>
      <c r="B351" t="s">
        <v>1514</v>
      </c>
      <c r="C351" t="s">
        <v>355</v>
      </c>
    </row>
    <row r="352" spans="1:3" x14ac:dyDescent="0.2">
      <c r="A352">
        <v>1813251110</v>
      </c>
      <c r="B352" t="s">
        <v>1394</v>
      </c>
      <c r="C352" t="s">
        <v>355</v>
      </c>
    </row>
    <row r="353" spans="1:3" x14ac:dyDescent="0.2">
      <c r="A353">
        <v>1813300110</v>
      </c>
      <c r="B353" t="s">
        <v>1395</v>
      </c>
      <c r="C353" t="s">
        <v>355</v>
      </c>
    </row>
    <row r="354" spans="1:3" x14ac:dyDescent="0.2">
      <c r="A354">
        <v>1813300431</v>
      </c>
      <c r="B354" t="s">
        <v>1396</v>
      </c>
      <c r="C354" t="s">
        <v>356</v>
      </c>
    </row>
    <row r="355" spans="1:3" x14ac:dyDescent="0.2">
      <c r="A355">
        <v>1813300780</v>
      </c>
      <c r="B355" t="s">
        <v>1309</v>
      </c>
      <c r="C355" t="s">
        <v>356</v>
      </c>
    </row>
    <row r="356" spans="1:3" x14ac:dyDescent="0.2">
      <c r="A356">
        <v>1813300870</v>
      </c>
      <c r="B356" t="s">
        <v>1013</v>
      </c>
      <c r="C356">
        <v>0</v>
      </c>
    </row>
    <row r="357" spans="1:3" x14ac:dyDescent="0.2">
      <c r="A357">
        <v>1813303760</v>
      </c>
      <c r="B357" t="s">
        <v>1953</v>
      </c>
      <c r="C357" t="s">
        <v>356</v>
      </c>
    </row>
    <row r="358" spans="1:3" x14ac:dyDescent="0.2">
      <c r="A358">
        <v>1813403760</v>
      </c>
      <c r="B358" t="s">
        <v>1637</v>
      </c>
      <c r="C358" t="s">
        <v>356</v>
      </c>
    </row>
    <row r="359" spans="1:3" x14ac:dyDescent="0.2">
      <c r="A359">
        <v>1813800110</v>
      </c>
      <c r="B359" t="s">
        <v>1397</v>
      </c>
      <c r="C359" t="s">
        <v>355</v>
      </c>
    </row>
    <row r="360" spans="1:3" x14ac:dyDescent="0.2">
      <c r="A360">
        <v>1813810110</v>
      </c>
      <c r="B360" t="s">
        <v>1398</v>
      </c>
      <c r="C360" t="s">
        <v>355</v>
      </c>
    </row>
    <row r="361" spans="1:3" x14ac:dyDescent="0.2">
      <c r="A361">
        <v>1814000110</v>
      </c>
      <c r="B361" t="s">
        <v>1399</v>
      </c>
      <c r="C361" t="s">
        <v>355</v>
      </c>
    </row>
    <row r="362" spans="1:3" x14ac:dyDescent="0.2">
      <c r="A362">
        <v>1814000320</v>
      </c>
      <c r="B362" t="s">
        <v>1954</v>
      </c>
      <c r="C362" t="s">
        <v>355</v>
      </c>
    </row>
    <row r="363" spans="1:3" x14ac:dyDescent="0.2">
      <c r="A363">
        <v>1814000431</v>
      </c>
      <c r="B363" t="s">
        <v>1400</v>
      </c>
      <c r="C363" t="s">
        <v>356</v>
      </c>
    </row>
    <row r="364" spans="1:3" x14ac:dyDescent="0.2">
      <c r="A364">
        <v>1814000750</v>
      </c>
      <c r="B364" t="s">
        <v>1401</v>
      </c>
      <c r="C364" t="s">
        <v>356</v>
      </c>
    </row>
    <row r="365" spans="1:3" x14ac:dyDescent="0.2">
      <c r="A365">
        <v>1814000780</v>
      </c>
      <c r="B365" t="s">
        <v>1402</v>
      </c>
      <c r="C365" t="s">
        <v>356</v>
      </c>
    </row>
    <row r="366" spans="1:3" x14ac:dyDescent="0.2">
      <c r="A366">
        <v>1814000870</v>
      </c>
      <c r="B366" t="s">
        <v>1403</v>
      </c>
      <c r="C366" t="s">
        <v>356</v>
      </c>
    </row>
    <row r="367" spans="1:3" x14ac:dyDescent="0.2">
      <c r="A367">
        <v>1815200110</v>
      </c>
      <c r="B367" t="s">
        <v>1404</v>
      </c>
      <c r="C367" t="s">
        <v>355</v>
      </c>
    </row>
    <row r="368" spans="1:3" x14ac:dyDescent="0.2">
      <c r="A368">
        <v>1815200320</v>
      </c>
      <c r="B368" t="s">
        <v>1313</v>
      </c>
      <c r="C368" t="s">
        <v>355</v>
      </c>
    </row>
    <row r="369" spans="1:3" x14ac:dyDescent="0.2">
      <c r="A369">
        <v>1815200434</v>
      </c>
      <c r="B369" t="s">
        <v>1405</v>
      </c>
      <c r="C369" t="s">
        <v>356</v>
      </c>
    </row>
    <row r="370" spans="1:3" x14ac:dyDescent="0.2">
      <c r="A370">
        <v>1815200750</v>
      </c>
      <c r="B370" t="s">
        <v>1406</v>
      </c>
      <c r="C370" t="s">
        <v>356</v>
      </c>
    </row>
    <row r="371" spans="1:3" x14ac:dyDescent="0.2">
      <c r="A371">
        <v>1815200751</v>
      </c>
      <c r="B371" t="s">
        <v>1955</v>
      </c>
      <c r="C371" t="s">
        <v>356</v>
      </c>
    </row>
    <row r="372" spans="1:3" x14ac:dyDescent="0.2">
      <c r="A372">
        <v>1815200760</v>
      </c>
      <c r="B372" t="s">
        <v>1407</v>
      </c>
      <c r="C372" t="s">
        <v>356</v>
      </c>
    </row>
    <row r="373" spans="1:3" x14ac:dyDescent="0.2">
      <c r="A373">
        <v>1815200780</v>
      </c>
      <c r="B373" t="s">
        <v>1408</v>
      </c>
      <c r="C373" t="s">
        <v>356</v>
      </c>
    </row>
    <row r="374" spans="1:3" x14ac:dyDescent="0.2">
      <c r="A374">
        <v>1815201110</v>
      </c>
      <c r="B374" t="s">
        <v>1638</v>
      </c>
      <c r="C374" t="s">
        <v>355</v>
      </c>
    </row>
    <row r="375" spans="1:3" x14ac:dyDescent="0.2">
      <c r="A375">
        <v>1815201750</v>
      </c>
      <c r="B375" t="s">
        <v>1501</v>
      </c>
      <c r="C375" t="s">
        <v>356</v>
      </c>
    </row>
    <row r="376" spans="1:3" x14ac:dyDescent="0.2">
      <c r="A376">
        <v>1815202750</v>
      </c>
      <c r="B376" t="s">
        <v>1241</v>
      </c>
      <c r="C376" t="s">
        <v>356</v>
      </c>
    </row>
    <row r="377" spans="1:3" x14ac:dyDescent="0.2">
      <c r="A377">
        <v>1815203780</v>
      </c>
      <c r="B377" t="s">
        <v>1212</v>
      </c>
      <c r="C377" t="s">
        <v>356</v>
      </c>
    </row>
    <row r="378" spans="1:3" x14ac:dyDescent="0.2">
      <c r="A378">
        <v>1815210780</v>
      </c>
      <c r="B378" t="s">
        <v>1956</v>
      </c>
      <c r="C378" t="s">
        <v>356</v>
      </c>
    </row>
    <row r="379" spans="1:3" x14ac:dyDescent="0.2">
      <c r="A379">
        <v>1815220110</v>
      </c>
      <c r="B379" t="s">
        <v>1957</v>
      </c>
      <c r="C379" t="s">
        <v>355</v>
      </c>
    </row>
    <row r="380" spans="1:3" x14ac:dyDescent="0.2">
      <c r="A380">
        <v>1815220420</v>
      </c>
      <c r="B380" t="s">
        <v>1602</v>
      </c>
      <c r="C380" t="s">
        <v>356</v>
      </c>
    </row>
    <row r="381" spans="1:3" x14ac:dyDescent="0.2">
      <c r="A381">
        <v>1815700760</v>
      </c>
      <c r="B381" t="s">
        <v>1409</v>
      </c>
      <c r="C381" t="s">
        <v>356</v>
      </c>
    </row>
    <row r="382" spans="1:3" x14ac:dyDescent="0.2">
      <c r="A382">
        <v>1817300110</v>
      </c>
      <c r="B382" t="s">
        <v>1410</v>
      </c>
      <c r="C382" t="s">
        <v>355</v>
      </c>
    </row>
    <row r="383" spans="1:3" x14ac:dyDescent="0.2">
      <c r="A383">
        <v>1817301750</v>
      </c>
      <c r="B383" t="s">
        <v>1411</v>
      </c>
      <c r="C383" t="s">
        <v>356</v>
      </c>
    </row>
    <row r="384" spans="1:3" x14ac:dyDescent="0.2">
      <c r="A384">
        <v>1817500441</v>
      </c>
      <c r="B384" t="s">
        <v>1412</v>
      </c>
      <c r="C384" t="s">
        <v>356</v>
      </c>
    </row>
    <row r="385" spans="1:3" x14ac:dyDescent="0.2">
      <c r="A385">
        <v>1817600110</v>
      </c>
      <c r="B385" t="s">
        <v>1234</v>
      </c>
      <c r="C385" t="s">
        <v>355</v>
      </c>
    </row>
    <row r="386" spans="1:3" x14ac:dyDescent="0.2">
      <c r="A386">
        <v>1817600431</v>
      </c>
      <c r="B386" t="s">
        <v>1314</v>
      </c>
      <c r="C386" t="s">
        <v>356</v>
      </c>
    </row>
    <row r="387" spans="1:3" x14ac:dyDescent="0.2">
      <c r="A387">
        <v>1817600750</v>
      </c>
      <c r="B387" t="s">
        <v>1233</v>
      </c>
      <c r="C387" t="s">
        <v>356</v>
      </c>
    </row>
    <row r="388" spans="1:3" x14ac:dyDescent="0.2">
      <c r="A388">
        <v>1817600780</v>
      </c>
      <c r="B388" t="s">
        <v>1413</v>
      </c>
      <c r="C388" t="s">
        <v>356</v>
      </c>
    </row>
    <row r="389" spans="1:3" x14ac:dyDescent="0.2">
      <c r="A389">
        <v>1817601750</v>
      </c>
      <c r="B389" t="s">
        <v>1232</v>
      </c>
      <c r="C389" t="s">
        <v>356</v>
      </c>
    </row>
    <row r="390" spans="1:3" x14ac:dyDescent="0.2">
      <c r="A390">
        <v>1817602110</v>
      </c>
      <c r="B390" t="s">
        <v>1414</v>
      </c>
      <c r="C390" t="s">
        <v>355</v>
      </c>
    </row>
    <row r="391" spans="1:3" x14ac:dyDescent="0.2">
      <c r="A391">
        <v>1817610110</v>
      </c>
      <c r="B391" t="s">
        <v>1415</v>
      </c>
      <c r="C391" t="s">
        <v>355</v>
      </c>
    </row>
    <row r="392" spans="1:3" x14ac:dyDescent="0.2">
      <c r="A392">
        <v>1817710870</v>
      </c>
      <c r="B392" t="s">
        <v>1639</v>
      </c>
      <c r="C392" t="s">
        <v>356</v>
      </c>
    </row>
    <row r="393" spans="1:3" x14ac:dyDescent="0.2">
      <c r="A393">
        <v>1817720110</v>
      </c>
      <c r="B393" t="s">
        <v>1515</v>
      </c>
      <c r="C393" t="s">
        <v>355</v>
      </c>
    </row>
    <row r="394" spans="1:3" x14ac:dyDescent="0.2">
      <c r="A394">
        <v>1817720720</v>
      </c>
      <c r="B394" t="s">
        <v>1516</v>
      </c>
      <c r="C394" t="s">
        <v>356</v>
      </c>
    </row>
    <row r="395" spans="1:3" x14ac:dyDescent="0.2">
      <c r="A395">
        <v>1817800110</v>
      </c>
      <c r="B395" t="s">
        <v>1416</v>
      </c>
      <c r="C395" t="s">
        <v>355</v>
      </c>
    </row>
    <row r="396" spans="1:3" x14ac:dyDescent="0.2">
      <c r="A396">
        <v>1817800710</v>
      </c>
      <c r="B396" t="s">
        <v>1237</v>
      </c>
      <c r="C396" t="s">
        <v>356</v>
      </c>
    </row>
    <row r="397" spans="1:3" x14ac:dyDescent="0.2">
      <c r="A397">
        <v>1817801750</v>
      </c>
      <c r="B397" t="s">
        <v>1640</v>
      </c>
      <c r="C397" t="s">
        <v>356</v>
      </c>
    </row>
    <row r="398" spans="1:3" x14ac:dyDescent="0.2">
      <c r="A398">
        <v>1817900110</v>
      </c>
      <c r="B398" t="s">
        <v>1417</v>
      </c>
      <c r="C398" t="s">
        <v>355</v>
      </c>
    </row>
    <row r="399" spans="1:3" x14ac:dyDescent="0.2">
      <c r="A399">
        <v>1817900320</v>
      </c>
      <c r="B399" t="s">
        <v>1418</v>
      </c>
      <c r="C399" t="s">
        <v>355</v>
      </c>
    </row>
    <row r="400" spans="1:3" x14ac:dyDescent="0.2">
      <c r="A400">
        <v>1817905110</v>
      </c>
      <c r="B400" t="s">
        <v>1419</v>
      </c>
      <c r="C400" t="s">
        <v>355</v>
      </c>
    </row>
    <row r="401" spans="1:3" x14ac:dyDescent="0.2">
      <c r="A401">
        <v>1817910110</v>
      </c>
      <c r="B401" t="s">
        <v>1420</v>
      </c>
      <c r="C401" t="s">
        <v>355</v>
      </c>
    </row>
    <row r="402" spans="1:3" x14ac:dyDescent="0.2">
      <c r="A402">
        <v>1817910810</v>
      </c>
      <c r="B402" t="s">
        <v>1421</v>
      </c>
      <c r="C402" t="s">
        <v>356</v>
      </c>
    </row>
    <row r="403" spans="1:3" x14ac:dyDescent="0.2">
      <c r="A403">
        <v>1817911110</v>
      </c>
      <c r="B403" t="s">
        <v>1422</v>
      </c>
      <c r="C403" t="s">
        <v>355</v>
      </c>
    </row>
    <row r="404" spans="1:3" x14ac:dyDescent="0.2">
      <c r="A404">
        <v>1817911750</v>
      </c>
      <c r="B404" t="s">
        <v>1423</v>
      </c>
      <c r="C404" t="s">
        <v>356</v>
      </c>
    </row>
    <row r="405" spans="1:3" x14ac:dyDescent="0.2">
      <c r="A405">
        <v>1817912750</v>
      </c>
      <c r="B405" t="s">
        <v>1958</v>
      </c>
      <c r="C405" t="s">
        <v>356</v>
      </c>
    </row>
    <row r="406" spans="1:3" x14ac:dyDescent="0.2">
      <c r="A406">
        <v>1817913110</v>
      </c>
      <c r="B406" t="s">
        <v>1424</v>
      </c>
      <c r="C406" t="s">
        <v>355</v>
      </c>
    </row>
    <row r="407" spans="1:3" x14ac:dyDescent="0.2">
      <c r="A407">
        <v>1817913750</v>
      </c>
      <c r="B407" t="s">
        <v>1425</v>
      </c>
      <c r="C407" t="s">
        <v>356</v>
      </c>
    </row>
    <row r="408" spans="1:3" x14ac:dyDescent="0.2">
      <c r="A408">
        <v>1817914750</v>
      </c>
      <c r="B408" t="s">
        <v>1426</v>
      </c>
      <c r="C408" t="s">
        <v>356</v>
      </c>
    </row>
    <row r="409" spans="1:3" x14ac:dyDescent="0.2">
      <c r="A409">
        <v>1817915750</v>
      </c>
      <c r="B409" t="s">
        <v>1959</v>
      </c>
      <c r="C409" t="s">
        <v>356</v>
      </c>
    </row>
    <row r="410" spans="1:3" x14ac:dyDescent="0.2">
      <c r="A410">
        <v>1817916110</v>
      </c>
      <c r="B410" t="s">
        <v>1427</v>
      </c>
      <c r="C410" t="s">
        <v>355</v>
      </c>
    </row>
    <row r="411" spans="1:3" x14ac:dyDescent="0.2">
      <c r="A411">
        <v>1817917110</v>
      </c>
      <c r="B411" t="s">
        <v>1428</v>
      </c>
      <c r="C411" t="s">
        <v>355</v>
      </c>
    </row>
    <row r="412" spans="1:3" x14ac:dyDescent="0.2">
      <c r="A412">
        <v>1817919110</v>
      </c>
      <c r="B412" t="s">
        <v>1242</v>
      </c>
      <c r="C412" t="s">
        <v>355</v>
      </c>
    </row>
    <row r="413" spans="1:3" x14ac:dyDescent="0.2">
      <c r="A413">
        <v>1823000110</v>
      </c>
      <c r="B413" t="s">
        <v>1960</v>
      </c>
      <c r="C413" t="s">
        <v>352</v>
      </c>
    </row>
    <row r="414" spans="1:3" x14ac:dyDescent="0.2">
      <c r="A414">
        <v>1824000110</v>
      </c>
      <c r="B414" t="s">
        <v>1429</v>
      </c>
      <c r="C414" t="s">
        <v>352</v>
      </c>
    </row>
    <row r="415" spans="1:3" x14ac:dyDescent="0.2">
      <c r="A415">
        <v>1824000431</v>
      </c>
      <c r="B415" t="s">
        <v>1430</v>
      </c>
      <c r="C415" t="s">
        <v>353</v>
      </c>
    </row>
    <row r="416" spans="1:3" x14ac:dyDescent="0.2">
      <c r="A416">
        <v>1824000432</v>
      </c>
      <c r="B416" t="s">
        <v>1431</v>
      </c>
      <c r="C416" t="s">
        <v>353</v>
      </c>
    </row>
    <row r="417" spans="1:3" x14ac:dyDescent="0.2">
      <c r="A417">
        <v>1824000750</v>
      </c>
      <c r="B417" t="s">
        <v>1432</v>
      </c>
      <c r="C417" t="s">
        <v>353</v>
      </c>
    </row>
    <row r="418" spans="1:3" x14ac:dyDescent="0.2">
      <c r="A418">
        <v>1824020870</v>
      </c>
      <c r="B418" t="s">
        <v>1433</v>
      </c>
      <c r="C418" t="s">
        <v>353</v>
      </c>
    </row>
    <row r="419" spans="1:3" x14ac:dyDescent="0.2">
      <c r="A419">
        <v>1824030110</v>
      </c>
      <c r="B419" t="s">
        <v>1434</v>
      </c>
      <c r="C419" t="s">
        <v>352</v>
      </c>
    </row>
    <row r="420" spans="1:3" x14ac:dyDescent="0.2">
      <c r="A420">
        <v>1824050870</v>
      </c>
      <c r="B420" t="s">
        <v>1232</v>
      </c>
      <c r="C420" t="s">
        <v>353</v>
      </c>
    </row>
    <row r="421" spans="1:3" x14ac:dyDescent="0.2">
      <c r="A421">
        <v>1828100110</v>
      </c>
      <c r="B421" t="s">
        <v>1435</v>
      </c>
      <c r="C421" t="s">
        <v>352</v>
      </c>
    </row>
    <row r="422" spans="1:3" x14ac:dyDescent="0.2">
      <c r="A422">
        <v>1828100320</v>
      </c>
      <c r="B422" t="s">
        <v>1638</v>
      </c>
      <c r="C422" t="s">
        <v>352</v>
      </c>
    </row>
    <row r="423" spans="1:3" x14ac:dyDescent="0.2">
      <c r="A423">
        <v>1828300110</v>
      </c>
      <c r="B423" t="s">
        <v>1437</v>
      </c>
      <c r="C423" t="s">
        <v>352</v>
      </c>
    </row>
    <row r="424" spans="1:3" x14ac:dyDescent="0.2">
      <c r="A424">
        <v>1828300760</v>
      </c>
      <c r="B424" t="s">
        <v>1961</v>
      </c>
      <c r="C424" t="s">
        <v>353</v>
      </c>
    </row>
    <row r="425" spans="1:3" x14ac:dyDescent="0.2">
      <c r="A425">
        <v>1828400750</v>
      </c>
      <c r="B425" t="s">
        <v>1543</v>
      </c>
      <c r="C425" t="s">
        <v>353</v>
      </c>
    </row>
    <row r="426" spans="1:3" x14ac:dyDescent="0.2">
      <c r="A426">
        <v>1828400780</v>
      </c>
      <c r="B426" t="s">
        <v>1962</v>
      </c>
      <c r="C426" t="s">
        <v>356</v>
      </c>
    </row>
    <row r="427" spans="1:3" x14ac:dyDescent="0.2">
      <c r="A427">
        <v>1829000431</v>
      </c>
      <c r="B427" t="s">
        <v>1438</v>
      </c>
      <c r="C427" t="s">
        <v>353</v>
      </c>
    </row>
    <row r="428" spans="1:3" x14ac:dyDescent="0.2">
      <c r="A428">
        <v>1829100110</v>
      </c>
      <c r="B428" t="s">
        <v>1439</v>
      </c>
      <c r="C428" t="s">
        <v>352</v>
      </c>
    </row>
    <row r="429" spans="1:3" x14ac:dyDescent="0.2">
      <c r="A429">
        <v>1829200431</v>
      </c>
      <c r="B429" t="s">
        <v>1440</v>
      </c>
      <c r="C429" t="s">
        <v>353</v>
      </c>
    </row>
    <row r="430" spans="1:3" x14ac:dyDescent="0.2">
      <c r="A430">
        <v>1829200432</v>
      </c>
      <c r="B430" t="s">
        <v>1441</v>
      </c>
      <c r="C430" t="s">
        <v>353</v>
      </c>
    </row>
    <row r="431" spans="1:3" x14ac:dyDescent="0.2">
      <c r="A431">
        <v>1829200740</v>
      </c>
      <c r="B431" t="s">
        <v>1379</v>
      </c>
      <c r="C431" t="s">
        <v>353</v>
      </c>
    </row>
    <row r="432" spans="1:3" x14ac:dyDescent="0.2">
      <c r="A432">
        <v>1829200750</v>
      </c>
      <c r="B432" t="s">
        <v>1442</v>
      </c>
      <c r="C432" t="s">
        <v>353</v>
      </c>
    </row>
    <row r="433" spans="1:3" x14ac:dyDescent="0.2">
      <c r="A433">
        <v>1829200780</v>
      </c>
      <c r="B433" t="s">
        <v>1963</v>
      </c>
      <c r="C433" t="s">
        <v>353</v>
      </c>
    </row>
    <row r="434" spans="1:3" x14ac:dyDescent="0.2">
      <c r="A434">
        <v>1829200781</v>
      </c>
      <c r="B434" t="s">
        <v>1443</v>
      </c>
      <c r="C434" t="s">
        <v>353</v>
      </c>
    </row>
    <row r="435" spans="1:3" x14ac:dyDescent="0.2">
      <c r="A435">
        <v>1829201780</v>
      </c>
      <c r="B435" t="s">
        <v>1444</v>
      </c>
      <c r="C435" t="s">
        <v>353</v>
      </c>
    </row>
    <row r="436" spans="1:3" x14ac:dyDescent="0.2">
      <c r="A436">
        <v>1829201781</v>
      </c>
      <c r="B436" t="s">
        <v>1445</v>
      </c>
      <c r="C436" t="s">
        <v>353</v>
      </c>
    </row>
    <row r="437" spans="1:3" x14ac:dyDescent="0.2">
      <c r="A437">
        <v>1829202780</v>
      </c>
      <c r="B437" t="s">
        <v>1446</v>
      </c>
      <c r="C437" t="s">
        <v>353</v>
      </c>
    </row>
    <row r="438" spans="1:3" x14ac:dyDescent="0.2">
      <c r="A438">
        <v>1829210110</v>
      </c>
      <c r="B438" t="s">
        <v>1447</v>
      </c>
      <c r="C438" t="s">
        <v>352</v>
      </c>
    </row>
    <row r="439" spans="1:3" x14ac:dyDescent="0.2">
      <c r="A439">
        <v>1829300750</v>
      </c>
      <c r="B439" t="s">
        <v>1448</v>
      </c>
      <c r="C439" t="s">
        <v>353</v>
      </c>
    </row>
    <row r="440" spans="1:3" x14ac:dyDescent="0.2">
      <c r="A440">
        <v>1832300110</v>
      </c>
      <c r="B440" t="s">
        <v>1964</v>
      </c>
      <c r="C440" t="s">
        <v>352</v>
      </c>
    </row>
    <row r="441" spans="1:3" x14ac:dyDescent="0.2">
      <c r="A441">
        <v>1832400110</v>
      </c>
      <c r="B441" t="s">
        <v>1449</v>
      </c>
      <c r="C441" t="s">
        <v>352</v>
      </c>
    </row>
    <row r="442" spans="1:3" x14ac:dyDescent="0.2">
      <c r="A442">
        <v>1832400431</v>
      </c>
      <c r="B442" t="s">
        <v>1450</v>
      </c>
      <c r="C442" t="s">
        <v>353</v>
      </c>
    </row>
    <row r="443" spans="1:3" x14ac:dyDescent="0.2">
      <c r="A443">
        <v>1832400432</v>
      </c>
      <c r="B443" t="s">
        <v>1451</v>
      </c>
      <c r="C443" t="s">
        <v>353</v>
      </c>
    </row>
    <row r="444" spans="1:3" x14ac:dyDescent="0.2">
      <c r="A444">
        <v>1832400750</v>
      </c>
      <c r="B444" t="s">
        <v>201</v>
      </c>
      <c r="C444" t="s">
        <v>353</v>
      </c>
    </row>
    <row r="445" spans="1:3" x14ac:dyDescent="0.2">
      <c r="A445">
        <v>1832410750</v>
      </c>
      <c r="B445" t="s">
        <v>1965</v>
      </c>
      <c r="C445">
        <v>0</v>
      </c>
    </row>
    <row r="446" spans="1:3" x14ac:dyDescent="0.2">
      <c r="A446">
        <v>1841000431</v>
      </c>
      <c r="B446" t="s">
        <v>1452</v>
      </c>
      <c r="C446" t="s">
        <v>359</v>
      </c>
    </row>
    <row r="447" spans="1:3" x14ac:dyDescent="0.2">
      <c r="A447">
        <v>1841000780</v>
      </c>
      <c r="B447" t="s">
        <v>1309</v>
      </c>
      <c r="C447" t="s">
        <v>359</v>
      </c>
    </row>
    <row r="448" spans="1:3" x14ac:dyDescent="0.2">
      <c r="A448">
        <v>1841001110</v>
      </c>
      <c r="B448" t="s">
        <v>1453</v>
      </c>
      <c r="C448" t="s">
        <v>358</v>
      </c>
    </row>
    <row r="449" spans="1:3" x14ac:dyDescent="0.2">
      <c r="A449">
        <v>1841001320</v>
      </c>
      <c r="B449" t="s">
        <v>1313</v>
      </c>
      <c r="C449" t="s">
        <v>358</v>
      </c>
    </row>
    <row r="450" spans="1:3" x14ac:dyDescent="0.2">
      <c r="A450">
        <v>1841003431</v>
      </c>
      <c r="B450" t="s">
        <v>1314</v>
      </c>
      <c r="C450" t="s">
        <v>359</v>
      </c>
    </row>
    <row r="451" spans="1:3" x14ac:dyDescent="0.2">
      <c r="A451">
        <v>1841003560</v>
      </c>
      <c r="B451" t="s">
        <v>1454</v>
      </c>
      <c r="C451" t="s">
        <v>359</v>
      </c>
    </row>
    <row r="452" spans="1:3" x14ac:dyDescent="0.2">
      <c r="A452">
        <v>1841003780</v>
      </c>
      <c r="B452" t="s">
        <v>1309</v>
      </c>
      <c r="C452" t="s">
        <v>359</v>
      </c>
    </row>
    <row r="453" spans="1:3" x14ac:dyDescent="0.2">
      <c r="A453">
        <v>1841100110</v>
      </c>
      <c r="B453" t="s">
        <v>1291</v>
      </c>
      <c r="C453" t="s">
        <v>358</v>
      </c>
    </row>
    <row r="454" spans="1:3" x14ac:dyDescent="0.2">
      <c r="A454">
        <v>1842101840</v>
      </c>
      <c r="B454" t="s">
        <v>1257</v>
      </c>
      <c r="C454" t="s">
        <v>359</v>
      </c>
    </row>
    <row r="455" spans="1:3" x14ac:dyDescent="0.2">
      <c r="A455">
        <v>1842102840</v>
      </c>
      <c r="B455" t="s">
        <v>1258</v>
      </c>
      <c r="C455" t="s">
        <v>359</v>
      </c>
    </row>
    <row r="456" spans="1:3" x14ac:dyDescent="0.2">
      <c r="A456">
        <v>1842200110</v>
      </c>
      <c r="B456" t="s">
        <v>1455</v>
      </c>
      <c r="C456" t="s">
        <v>358</v>
      </c>
    </row>
    <row r="457" spans="1:3" x14ac:dyDescent="0.2">
      <c r="A457">
        <v>1842202750</v>
      </c>
      <c r="B457" t="s">
        <v>1456</v>
      </c>
      <c r="C457" t="s">
        <v>359</v>
      </c>
    </row>
    <row r="458" spans="1:3" x14ac:dyDescent="0.2">
      <c r="A458">
        <v>1842202780</v>
      </c>
      <c r="B458" t="s">
        <v>1517</v>
      </c>
      <c r="C458" t="s">
        <v>359</v>
      </c>
    </row>
    <row r="459" spans="1:3" x14ac:dyDescent="0.2">
      <c r="A459">
        <v>1842202840</v>
      </c>
      <c r="B459" t="s">
        <v>1124</v>
      </c>
      <c r="C459" t="s">
        <v>359</v>
      </c>
    </row>
    <row r="460" spans="1:3" x14ac:dyDescent="0.2">
      <c r="A460">
        <v>1842206930</v>
      </c>
      <c r="B460" t="s">
        <v>1611</v>
      </c>
      <c r="C460" t="s">
        <v>359</v>
      </c>
    </row>
    <row r="461" spans="1:3" x14ac:dyDescent="0.2">
      <c r="A461">
        <v>1842208840</v>
      </c>
      <c r="B461" t="s">
        <v>1260</v>
      </c>
      <c r="C461" t="s">
        <v>359</v>
      </c>
    </row>
    <row r="462" spans="1:3" x14ac:dyDescent="0.2">
      <c r="A462">
        <v>1842401840</v>
      </c>
      <c r="B462" t="s">
        <v>1262</v>
      </c>
      <c r="C462" t="s">
        <v>359</v>
      </c>
    </row>
    <row r="463" spans="1:3" x14ac:dyDescent="0.2">
      <c r="A463">
        <v>1842402840</v>
      </c>
      <c r="B463" t="s">
        <v>1125</v>
      </c>
      <c r="C463" t="s">
        <v>359</v>
      </c>
    </row>
    <row r="464" spans="1:3" x14ac:dyDescent="0.2">
      <c r="A464">
        <v>1842405840</v>
      </c>
      <c r="B464" t="s">
        <v>1264</v>
      </c>
      <c r="C464" t="s">
        <v>359</v>
      </c>
    </row>
    <row r="465" spans="1:3" x14ac:dyDescent="0.2">
      <c r="A465">
        <v>1843501840</v>
      </c>
      <c r="B465" t="s">
        <v>1457</v>
      </c>
      <c r="C465" t="s">
        <v>359</v>
      </c>
    </row>
    <row r="466" spans="1:3" x14ac:dyDescent="0.2">
      <c r="A466">
        <v>1843502840</v>
      </c>
      <c r="B466" t="s">
        <v>1458</v>
      </c>
      <c r="C466" t="s">
        <v>359</v>
      </c>
    </row>
    <row r="467" spans="1:3" x14ac:dyDescent="0.2">
      <c r="A467">
        <v>1843503840</v>
      </c>
      <c r="B467" t="s">
        <v>1267</v>
      </c>
      <c r="C467" t="s">
        <v>359</v>
      </c>
    </row>
    <row r="468" spans="1:3" x14ac:dyDescent="0.2">
      <c r="A468">
        <v>1843505840</v>
      </c>
      <c r="B468" t="s">
        <v>1268</v>
      </c>
      <c r="C468" t="s">
        <v>359</v>
      </c>
    </row>
    <row r="469" spans="1:3" x14ac:dyDescent="0.2">
      <c r="A469">
        <v>1843801840</v>
      </c>
      <c r="B469" t="s">
        <v>1128</v>
      </c>
      <c r="C469" t="s">
        <v>359</v>
      </c>
    </row>
    <row r="470" spans="1:3" x14ac:dyDescent="0.2">
      <c r="A470">
        <v>1843901840</v>
      </c>
      <c r="B470" t="s">
        <v>1129</v>
      </c>
      <c r="C470" t="s">
        <v>359</v>
      </c>
    </row>
    <row r="471" spans="1:3" x14ac:dyDescent="0.2">
      <c r="A471">
        <v>1843902840</v>
      </c>
      <c r="B471" t="s">
        <v>1269</v>
      </c>
      <c r="C471" t="s">
        <v>359</v>
      </c>
    </row>
    <row r="472" spans="1:3" x14ac:dyDescent="0.2">
      <c r="A472">
        <v>1843904840</v>
      </c>
      <c r="B472" t="s">
        <v>1943</v>
      </c>
      <c r="C472" t="s">
        <v>359</v>
      </c>
    </row>
    <row r="473" spans="1:3" x14ac:dyDescent="0.2">
      <c r="A473">
        <v>1844300840</v>
      </c>
      <c r="B473" t="s">
        <v>1270</v>
      </c>
      <c r="C473" t="s">
        <v>359</v>
      </c>
    </row>
    <row r="474" spans="1:3" x14ac:dyDescent="0.2">
      <c r="A474">
        <v>1844401110</v>
      </c>
      <c r="B474" t="s">
        <v>1459</v>
      </c>
      <c r="C474" t="s">
        <v>358</v>
      </c>
    </row>
    <row r="475" spans="1:3" x14ac:dyDescent="0.2">
      <c r="A475">
        <v>1844401431</v>
      </c>
      <c r="B475" t="s">
        <v>1460</v>
      </c>
      <c r="C475" t="s">
        <v>359</v>
      </c>
    </row>
    <row r="476" spans="1:3" x14ac:dyDescent="0.2">
      <c r="A476">
        <v>1844401710</v>
      </c>
      <c r="B476" t="s">
        <v>1518</v>
      </c>
      <c r="C476" t="s">
        <v>359</v>
      </c>
    </row>
    <row r="477" spans="1:3" x14ac:dyDescent="0.2">
      <c r="A477">
        <v>1844401720</v>
      </c>
      <c r="B477" t="s">
        <v>1461</v>
      </c>
      <c r="C477" t="s">
        <v>359</v>
      </c>
    </row>
    <row r="478" spans="1:3" x14ac:dyDescent="0.2">
      <c r="A478">
        <v>1844401750</v>
      </c>
      <c r="B478" t="s">
        <v>1462</v>
      </c>
      <c r="C478" t="s">
        <v>359</v>
      </c>
    </row>
    <row r="479" spans="1:3" x14ac:dyDescent="0.2">
      <c r="A479">
        <v>1844402840</v>
      </c>
      <c r="B479" t="s">
        <v>1271</v>
      </c>
      <c r="C479" t="s">
        <v>359</v>
      </c>
    </row>
    <row r="480" spans="1:3" x14ac:dyDescent="0.2">
      <c r="A480">
        <v>1845001840</v>
      </c>
      <c r="B480" t="s">
        <v>1476</v>
      </c>
      <c r="C480" t="s">
        <v>359</v>
      </c>
    </row>
    <row r="481" spans="1:3" x14ac:dyDescent="0.2">
      <c r="A481">
        <v>1845101840</v>
      </c>
      <c r="B481" t="s">
        <v>1273</v>
      </c>
      <c r="C481" t="s">
        <v>359</v>
      </c>
    </row>
    <row r="482" spans="1:3" x14ac:dyDescent="0.2">
      <c r="A482">
        <v>1845102840</v>
      </c>
      <c r="B482" t="s">
        <v>1274</v>
      </c>
      <c r="C482" t="s">
        <v>359</v>
      </c>
    </row>
    <row r="483" spans="1:3" x14ac:dyDescent="0.2">
      <c r="A483">
        <v>1845200110</v>
      </c>
      <c r="B483" t="s">
        <v>1641</v>
      </c>
      <c r="C483" t="s">
        <v>358</v>
      </c>
    </row>
    <row r="484" spans="1:3" x14ac:dyDescent="0.2">
      <c r="A484">
        <v>1845200511</v>
      </c>
      <c r="B484" t="s">
        <v>1463</v>
      </c>
      <c r="C484" t="s">
        <v>359</v>
      </c>
    </row>
    <row r="485" spans="1:3" x14ac:dyDescent="0.2">
      <c r="A485">
        <v>1845200780</v>
      </c>
      <c r="B485" t="s">
        <v>1966</v>
      </c>
      <c r="C485" t="s">
        <v>359</v>
      </c>
    </row>
    <row r="486" spans="1:3" x14ac:dyDescent="0.2">
      <c r="A486">
        <v>1845201750</v>
      </c>
      <c r="B486" t="s">
        <v>1464</v>
      </c>
      <c r="C486" t="s">
        <v>359</v>
      </c>
    </row>
    <row r="487" spans="1:3" x14ac:dyDescent="0.2">
      <c r="A487">
        <v>1845201840</v>
      </c>
      <c r="B487" t="s">
        <v>1275</v>
      </c>
      <c r="C487" t="s">
        <v>359</v>
      </c>
    </row>
    <row r="488" spans="1:3" x14ac:dyDescent="0.2">
      <c r="A488">
        <v>1845202840</v>
      </c>
      <c r="B488" t="s">
        <v>1276</v>
      </c>
      <c r="C488" t="s">
        <v>359</v>
      </c>
    </row>
    <row r="489" spans="1:3" x14ac:dyDescent="0.2">
      <c r="A489">
        <v>1845204840</v>
      </c>
      <c r="B489" t="s">
        <v>1137</v>
      </c>
      <c r="C489" t="s">
        <v>359</v>
      </c>
    </row>
    <row r="490" spans="1:3" x14ac:dyDescent="0.2">
      <c r="A490">
        <v>1845301840</v>
      </c>
      <c r="B490" t="s">
        <v>1277</v>
      </c>
      <c r="C490" t="s">
        <v>359</v>
      </c>
    </row>
    <row r="491" spans="1:3" x14ac:dyDescent="0.2">
      <c r="A491">
        <v>1845302840</v>
      </c>
      <c r="B491" t="s">
        <v>1278</v>
      </c>
      <c r="C491" t="s">
        <v>359</v>
      </c>
    </row>
    <row r="492" spans="1:3" x14ac:dyDescent="0.2">
      <c r="A492">
        <v>1845304840</v>
      </c>
      <c r="B492" t="s">
        <v>1139</v>
      </c>
      <c r="C492" t="s">
        <v>359</v>
      </c>
    </row>
    <row r="493" spans="1:3" x14ac:dyDescent="0.2">
      <c r="A493">
        <v>1845401840</v>
      </c>
      <c r="B493" t="s">
        <v>1612</v>
      </c>
      <c r="C493" t="s">
        <v>359</v>
      </c>
    </row>
    <row r="494" spans="1:3" x14ac:dyDescent="0.2">
      <c r="A494">
        <v>1846302840</v>
      </c>
      <c r="B494" t="s">
        <v>1466</v>
      </c>
      <c r="C494" t="s">
        <v>359</v>
      </c>
    </row>
    <row r="495" spans="1:3" x14ac:dyDescent="0.2">
      <c r="A495">
        <v>1846401840</v>
      </c>
      <c r="B495" t="s">
        <v>1467</v>
      </c>
      <c r="C495" t="s">
        <v>359</v>
      </c>
    </row>
    <row r="496" spans="1:3" x14ac:dyDescent="0.2">
      <c r="A496">
        <v>1846601840</v>
      </c>
      <c r="B496" t="s">
        <v>1140</v>
      </c>
      <c r="C496" t="s">
        <v>359</v>
      </c>
    </row>
    <row r="497" spans="1:3" x14ac:dyDescent="0.2">
      <c r="A497">
        <v>1846603840</v>
      </c>
      <c r="B497" t="s">
        <v>1281</v>
      </c>
      <c r="C497" t="s">
        <v>359</v>
      </c>
    </row>
    <row r="498" spans="1:3" x14ac:dyDescent="0.2">
      <c r="A498">
        <v>1846604840</v>
      </c>
      <c r="B498" t="s">
        <v>1967</v>
      </c>
      <c r="C498" t="s">
        <v>359</v>
      </c>
    </row>
    <row r="499" spans="1:3" x14ac:dyDescent="0.2">
      <c r="A499">
        <v>1846605840</v>
      </c>
      <c r="B499" t="s">
        <v>1968</v>
      </c>
      <c r="C499" t="s">
        <v>359</v>
      </c>
    </row>
    <row r="500" spans="1:3" x14ac:dyDescent="0.2">
      <c r="A500">
        <v>1846701840</v>
      </c>
      <c r="B500" t="s">
        <v>1468</v>
      </c>
      <c r="C500" t="s">
        <v>359</v>
      </c>
    </row>
    <row r="501" spans="1:3" x14ac:dyDescent="0.2">
      <c r="A501">
        <v>1846702840</v>
      </c>
      <c r="B501" t="s">
        <v>1510</v>
      </c>
      <c r="C501" t="s">
        <v>359</v>
      </c>
    </row>
    <row r="502" spans="1:3" x14ac:dyDescent="0.2">
      <c r="A502">
        <v>1846703840</v>
      </c>
      <c r="B502" t="s">
        <v>1142</v>
      </c>
      <c r="C502" t="s">
        <v>359</v>
      </c>
    </row>
    <row r="503" spans="1:3" x14ac:dyDescent="0.2">
      <c r="A503">
        <v>1846704840</v>
      </c>
      <c r="B503" t="s">
        <v>1143</v>
      </c>
      <c r="C503" t="s">
        <v>359</v>
      </c>
    </row>
    <row r="504" spans="1:3" x14ac:dyDescent="0.2">
      <c r="A504">
        <v>1846705840</v>
      </c>
      <c r="B504" t="s">
        <v>1144</v>
      </c>
      <c r="C504" t="s">
        <v>359</v>
      </c>
    </row>
    <row r="505" spans="1:3" x14ac:dyDescent="0.2">
      <c r="A505">
        <v>1846712840</v>
      </c>
      <c r="B505" t="s">
        <v>1941</v>
      </c>
      <c r="C505" t="s">
        <v>359</v>
      </c>
    </row>
    <row r="506" spans="1:3" x14ac:dyDescent="0.2">
      <c r="A506">
        <v>1846801840</v>
      </c>
      <c r="B506" t="s">
        <v>1282</v>
      </c>
      <c r="C506" t="s">
        <v>359</v>
      </c>
    </row>
    <row r="507" spans="1:3" x14ac:dyDescent="0.2">
      <c r="A507">
        <v>1846901840</v>
      </c>
      <c r="B507" t="s">
        <v>1642</v>
      </c>
      <c r="C507" t="s">
        <v>359</v>
      </c>
    </row>
    <row r="508" spans="1:3" x14ac:dyDescent="0.2">
      <c r="A508">
        <v>1847101780</v>
      </c>
      <c r="B508" t="s">
        <v>1469</v>
      </c>
      <c r="C508" t="s">
        <v>359</v>
      </c>
    </row>
    <row r="509" spans="1:3" x14ac:dyDescent="0.2">
      <c r="A509">
        <v>1847102750</v>
      </c>
      <c r="B509" t="s">
        <v>1470</v>
      </c>
      <c r="C509" t="s">
        <v>359</v>
      </c>
    </row>
    <row r="510" spans="1:3" x14ac:dyDescent="0.2">
      <c r="A510">
        <v>1847103840</v>
      </c>
      <c r="B510" t="s">
        <v>1285</v>
      </c>
      <c r="C510" t="s">
        <v>359</v>
      </c>
    </row>
    <row r="511" spans="1:3" x14ac:dyDescent="0.2">
      <c r="A511">
        <v>1847104840</v>
      </c>
      <c r="B511" t="s">
        <v>1257</v>
      </c>
      <c r="C511" t="s">
        <v>359</v>
      </c>
    </row>
    <row r="512" spans="1:3" x14ac:dyDescent="0.2">
      <c r="A512">
        <v>1847105840</v>
      </c>
      <c r="B512" t="s">
        <v>1471</v>
      </c>
      <c r="C512" t="s">
        <v>359</v>
      </c>
    </row>
    <row r="513" spans="1:3" x14ac:dyDescent="0.2">
      <c r="A513">
        <v>1847201840</v>
      </c>
      <c r="B513" t="s">
        <v>1286</v>
      </c>
      <c r="C513" t="s">
        <v>359</v>
      </c>
    </row>
    <row r="514" spans="1:3" x14ac:dyDescent="0.2">
      <c r="A514">
        <v>1847202840</v>
      </c>
      <c r="B514" t="s">
        <v>1472</v>
      </c>
      <c r="C514" t="s">
        <v>359</v>
      </c>
    </row>
    <row r="515" spans="1:3" x14ac:dyDescent="0.2">
      <c r="A515">
        <v>1847220840</v>
      </c>
      <c r="B515" t="s">
        <v>1288</v>
      </c>
      <c r="C515" t="s">
        <v>359</v>
      </c>
    </row>
    <row r="516" spans="1:3" x14ac:dyDescent="0.2">
      <c r="A516">
        <v>1847301840</v>
      </c>
      <c r="B516" t="s">
        <v>1474</v>
      </c>
      <c r="C516" t="s">
        <v>359</v>
      </c>
    </row>
    <row r="517" spans="1:3" x14ac:dyDescent="0.2">
      <c r="A517">
        <v>1847302840</v>
      </c>
      <c r="B517" t="s">
        <v>1643</v>
      </c>
      <c r="C517" t="s">
        <v>359</v>
      </c>
    </row>
    <row r="518" spans="1:3" x14ac:dyDescent="0.2">
      <c r="A518">
        <v>1847305840</v>
      </c>
      <c r="B518" t="s">
        <v>1151</v>
      </c>
      <c r="C518" t="s">
        <v>359</v>
      </c>
    </row>
    <row r="519" spans="1:3" x14ac:dyDescent="0.2">
      <c r="A519">
        <v>1847400840</v>
      </c>
      <c r="B519" t="s">
        <v>1475</v>
      </c>
      <c r="C519" t="s">
        <v>359</v>
      </c>
    </row>
    <row r="520" spans="1:3" x14ac:dyDescent="0.2">
      <c r="A520">
        <v>1848000840</v>
      </c>
      <c r="B520" t="s">
        <v>1644</v>
      </c>
      <c r="C520" t="s">
        <v>359</v>
      </c>
    </row>
    <row r="521" spans="1:3" x14ac:dyDescent="0.2">
      <c r="A521">
        <v>1853000431</v>
      </c>
      <c r="B521" t="s">
        <v>1477</v>
      </c>
      <c r="C521" t="s">
        <v>353</v>
      </c>
    </row>
    <row r="522" spans="1:3" x14ac:dyDescent="0.2">
      <c r="A522">
        <v>1853000432</v>
      </c>
      <c r="B522" t="s">
        <v>1478</v>
      </c>
      <c r="C522" t="s">
        <v>353</v>
      </c>
    </row>
    <row r="523" spans="1:3" x14ac:dyDescent="0.2">
      <c r="A523">
        <v>1879000830</v>
      </c>
      <c r="B523" t="s">
        <v>1479</v>
      </c>
      <c r="C523" t="s">
        <v>353</v>
      </c>
    </row>
    <row r="524" spans="1:3" x14ac:dyDescent="0.2">
      <c r="A524">
        <v>1938000420</v>
      </c>
      <c r="B524" t="s">
        <v>1480</v>
      </c>
      <c r="C524" t="s">
        <v>353</v>
      </c>
    </row>
    <row r="525" spans="1:3" x14ac:dyDescent="0.2">
      <c r="A525">
        <v>1938000432</v>
      </c>
      <c r="B525" t="s">
        <v>1481</v>
      </c>
      <c r="C525">
        <v>0</v>
      </c>
    </row>
    <row r="526" spans="1:3" x14ac:dyDescent="0.2">
      <c r="A526">
        <v>1938000560</v>
      </c>
      <c r="B526" t="s">
        <v>1482</v>
      </c>
      <c r="C526" t="s">
        <v>353</v>
      </c>
    </row>
    <row r="527" spans="1:3" x14ac:dyDescent="0.2">
      <c r="A527">
        <v>1938000750</v>
      </c>
      <c r="B527" t="s">
        <v>1331</v>
      </c>
      <c r="C527" t="s">
        <v>353</v>
      </c>
    </row>
    <row r="528" spans="1:3" x14ac:dyDescent="0.2">
      <c r="A528">
        <v>1938000780</v>
      </c>
      <c r="B528" t="s">
        <v>1483</v>
      </c>
      <c r="C528" t="s">
        <v>353</v>
      </c>
    </row>
    <row r="529" spans="1:3" x14ac:dyDescent="0.2">
      <c r="A529">
        <v>1938000930</v>
      </c>
      <c r="B529" t="s">
        <v>1969</v>
      </c>
      <c r="C529" t="s">
        <v>353</v>
      </c>
    </row>
    <row r="530" spans="1:3" x14ac:dyDescent="0.2">
      <c r="A530">
        <v>1972000691</v>
      </c>
      <c r="B530" t="s">
        <v>1484</v>
      </c>
      <c r="C530" t="s">
        <v>361</v>
      </c>
    </row>
    <row r="531" spans="1:3" x14ac:dyDescent="0.2">
      <c r="A531">
        <v>1972000692</v>
      </c>
      <c r="B531" t="s">
        <v>1485</v>
      </c>
      <c r="C531" t="s">
        <v>361</v>
      </c>
    </row>
    <row r="532" spans="1:3" x14ac:dyDescent="0.2">
      <c r="A532">
        <v>1972000693</v>
      </c>
      <c r="B532" t="s">
        <v>1486</v>
      </c>
      <c r="C532" t="s">
        <v>361</v>
      </c>
    </row>
    <row r="533" spans="1:3" x14ac:dyDescent="0.2">
      <c r="A533">
        <v>1972000750</v>
      </c>
      <c r="B533" t="s">
        <v>1487</v>
      </c>
      <c r="C533" t="s">
        <v>353</v>
      </c>
    </row>
    <row r="534" spans="1:3" x14ac:dyDescent="0.2">
      <c r="A534">
        <v>1972000771</v>
      </c>
      <c r="B534" t="s">
        <v>1488</v>
      </c>
      <c r="C534" t="s">
        <v>353</v>
      </c>
    </row>
    <row r="535" spans="1:3" x14ac:dyDescent="0.2">
      <c r="A535">
        <v>1993000780</v>
      </c>
      <c r="B535" t="s">
        <v>1489</v>
      </c>
      <c r="C535" t="s">
        <v>365</v>
      </c>
    </row>
    <row r="536" spans="1:3" x14ac:dyDescent="0.2">
      <c r="A536">
        <v>1995000860</v>
      </c>
      <c r="B536" t="s">
        <v>1490</v>
      </c>
      <c r="C536" t="s">
        <v>346</v>
      </c>
    </row>
    <row r="537" spans="1:3" x14ac:dyDescent="0.2">
      <c r="A537">
        <v>1999000110</v>
      </c>
      <c r="B537" t="s">
        <v>1491</v>
      </c>
      <c r="C537" t="s">
        <v>1645</v>
      </c>
    </row>
    <row r="538" spans="1:3" x14ac:dyDescent="0.2">
      <c r="A538">
        <v>1999000310</v>
      </c>
      <c r="B538" t="s">
        <v>1492</v>
      </c>
      <c r="C538" t="s">
        <v>1645</v>
      </c>
    </row>
    <row r="539" spans="1:3" x14ac:dyDescent="0.2">
      <c r="A539">
        <v>1999100980</v>
      </c>
      <c r="B539" t="s">
        <v>1646</v>
      </c>
      <c r="C539" t="s">
        <v>367</v>
      </c>
    </row>
    <row r="540" spans="1:3" x14ac:dyDescent="0.2">
      <c r="A540">
        <v>1999900990</v>
      </c>
      <c r="B540" t="s">
        <v>1493</v>
      </c>
      <c r="C540" t="s">
        <v>369</v>
      </c>
    </row>
    <row r="541" spans="1:3" x14ac:dyDescent="0.2">
      <c r="C541" t="s">
        <v>1544</v>
      </c>
    </row>
    <row r="542" spans="1:3" x14ac:dyDescent="0.2">
      <c r="C542" t="s">
        <v>817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BCA8-6C95-4BB3-8E30-A8501D81E3B0}">
  <dimension ref="A1:G128"/>
  <sheetViews>
    <sheetView showGridLines="0" rightToLeft="1" view="pageLayout" topLeftCell="A100" zoomScaleNormal="100" workbookViewId="0">
      <selection activeCell="A131" sqref="A131"/>
    </sheetView>
  </sheetViews>
  <sheetFormatPr defaultRowHeight="14.25" x14ac:dyDescent="0.2"/>
  <cols>
    <col min="1" max="1" width="36.125" bestFit="1" customWidth="1"/>
    <col min="2" max="2" width="4.375" customWidth="1"/>
    <col min="4" max="4" width="2.5" customWidth="1"/>
    <col min="6" max="6" width="2.875" customWidth="1"/>
  </cols>
  <sheetData>
    <row r="1" spans="1:7" ht="23.25" x14ac:dyDescent="0.35">
      <c r="A1" s="172" t="s">
        <v>1675</v>
      </c>
      <c r="B1" s="172"/>
      <c r="C1" s="172"/>
      <c r="D1" s="172"/>
      <c r="E1" s="172"/>
      <c r="F1" s="172"/>
      <c r="G1" s="172"/>
    </row>
    <row r="3" spans="1:7" ht="18.75" x14ac:dyDescent="0.2">
      <c r="A3" s="33"/>
      <c r="B3" s="32"/>
      <c r="C3" s="33"/>
      <c r="D3" s="31"/>
      <c r="E3" s="33"/>
      <c r="F3" s="31"/>
      <c r="G3" s="33"/>
    </row>
    <row r="4" spans="1:7" ht="15.75" x14ac:dyDescent="0.25">
      <c r="A4" s="4"/>
    </row>
    <row r="5" spans="1:7" ht="18.75" x14ac:dyDescent="0.25">
      <c r="A5" s="5"/>
      <c r="C5" s="34"/>
      <c r="E5" s="34"/>
      <c r="G5" s="34"/>
    </row>
    <row r="6" spans="1:7" ht="18.75" x14ac:dyDescent="0.25">
      <c r="A6" s="5"/>
      <c r="C6" s="34"/>
      <c r="E6" s="34"/>
      <c r="G6" s="34"/>
    </row>
    <row r="7" spans="1:7" ht="18.75" x14ac:dyDescent="0.25">
      <c r="A7" s="5"/>
      <c r="C7" s="34"/>
      <c r="E7" s="34"/>
      <c r="G7" s="34"/>
    </row>
    <row r="8" spans="1:7" ht="18.75" x14ac:dyDescent="0.25">
      <c r="A8" s="7"/>
      <c r="C8" s="35"/>
      <c r="E8" s="35"/>
      <c r="G8" s="35"/>
    </row>
    <row r="9" spans="1:7" ht="15.75" x14ac:dyDescent="0.25">
      <c r="A9" s="4"/>
      <c r="C9" s="2"/>
      <c r="E9" s="2"/>
      <c r="G9" s="2"/>
    </row>
    <row r="10" spans="1:7" ht="18.75" x14ac:dyDescent="0.25">
      <c r="A10" s="5"/>
      <c r="C10" s="34"/>
      <c r="E10" s="34"/>
      <c r="G10" s="34"/>
    </row>
    <row r="11" spans="1:7" ht="18.75" x14ac:dyDescent="0.25">
      <c r="A11" s="5"/>
      <c r="C11" s="34"/>
      <c r="E11" s="34"/>
      <c r="G11" s="34"/>
    </row>
    <row r="12" spans="1:7" ht="18.75" x14ac:dyDescent="0.25">
      <c r="A12" s="5"/>
      <c r="C12" s="34"/>
      <c r="E12" s="34"/>
      <c r="G12" s="34"/>
    </row>
    <row r="13" spans="1:7" ht="18.75" x14ac:dyDescent="0.25">
      <c r="A13" s="5"/>
      <c r="C13" s="34"/>
      <c r="E13" s="34"/>
      <c r="G13" s="34"/>
    </row>
    <row r="14" spans="1:7" ht="18.75" x14ac:dyDescent="0.25">
      <c r="A14" s="5"/>
      <c r="C14" s="34"/>
      <c r="E14" s="34"/>
      <c r="G14" s="34"/>
    </row>
    <row r="15" spans="1:7" ht="18.75" x14ac:dyDescent="0.25">
      <c r="A15" s="7"/>
      <c r="C15" s="35"/>
      <c r="E15" s="35"/>
      <c r="G15" s="35"/>
    </row>
    <row r="16" spans="1:7" ht="15.75" x14ac:dyDescent="0.25">
      <c r="A16" s="4"/>
      <c r="C16" s="2"/>
      <c r="E16" s="2"/>
      <c r="G16" s="2"/>
    </row>
    <row r="17" spans="1:7" ht="18.75" x14ac:dyDescent="0.25">
      <c r="A17" s="5"/>
      <c r="C17" s="34"/>
      <c r="E17" s="34"/>
      <c r="G17" s="34"/>
    </row>
    <row r="18" spans="1:7" ht="18.75" x14ac:dyDescent="0.25">
      <c r="A18" s="5"/>
      <c r="C18" s="34"/>
      <c r="E18" s="34"/>
      <c r="G18" s="34"/>
    </row>
    <row r="19" spans="1:7" ht="18.75" x14ac:dyDescent="0.25">
      <c r="A19" s="5"/>
      <c r="C19" s="34"/>
      <c r="E19" s="34"/>
      <c r="G19" s="34"/>
    </row>
    <row r="20" spans="1:7" ht="18.75" x14ac:dyDescent="0.25">
      <c r="A20" s="5"/>
      <c r="C20" s="34"/>
      <c r="E20" s="34"/>
      <c r="G20" s="34"/>
    </row>
    <row r="21" spans="1:7" ht="18.75" x14ac:dyDescent="0.25">
      <c r="A21" s="5"/>
      <c r="C21" s="34"/>
      <c r="E21" s="34"/>
      <c r="G21" s="34"/>
    </row>
    <row r="22" spans="1:7" ht="18.75" x14ac:dyDescent="0.25">
      <c r="A22" s="7"/>
      <c r="C22" s="35"/>
      <c r="E22" s="35"/>
      <c r="G22" s="35"/>
    </row>
    <row r="23" spans="1:7" ht="23.25" x14ac:dyDescent="0.35">
      <c r="A23" s="38" t="s">
        <v>1688</v>
      </c>
      <c r="B23" s="38"/>
      <c r="C23" s="38"/>
      <c r="D23" s="38"/>
      <c r="E23" s="38"/>
      <c r="F23" s="38"/>
      <c r="G23" s="38"/>
    </row>
    <row r="24" spans="1:7" ht="18.75" x14ac:dyDescent="0.25">
      <c r="A24" s="5"/>
      <c r="C24" s="34"/>
      <c r="E24" s="34"/>
      <c r="G24" s="34"/>
    </row>
    <row r="25" spans="1:7" ht="18.75" x14ac:dyDescent="0.25">
      <c r="A25" s="5"/>
      <c r="C25" s="34"/>
      <c r="E25" s="34"/>
      <c r="G25" s="34"/>
    </row>
    <row r="26" spans="1:7" ht="18.75" x14ac:dyDescent="0.25">
      <c r="A26" s="7"/>
      <c r="C26" s="35"/>
      <c r="E26" s="35"/>
      <c r="G26" s="35"/>
    </row>
    <row r="27" spans="1:7" ht="15.75" x14ac:dyDescent="0.25">
      <c r="A27" s="4"/>
      <c r="C27" s="2"/>
      <c r="E27" s="2"/>
      <c r="G27" s="2"/>
    </row>
    <row r="28" spans="1:7" ht="18.75" x14ac:dyDescent="0.25">
      <c r="A28" s="5"/>
      <c r="C28" s="34"/>
      <c r="E28" s="34"/>
      <c r="G28" s="34"/>
    </row>
    <row r="29" spans="1:7" ht="18.75" x14ac:dyDescent="0.25">
      <c r="A29" s="5"/>
      <c r="C29" s="34"/>
      <c r="E29" s="34"/>
      <c r="G29" s="34"/>
    </row>
    <row r="30" spans="1:7" ht="18.75" x14ac:dyDescent="0.25">
      <c r="A30" s="7"/>
      <c r="C30" s="35"/>
      <c r="E30" s="35"/>
      <c r="G30" s="35"/>
    </row>
    <row r="31" spans="1:7" ht="18.75" x14ac:dyDescent="0.25">
      <c r="A31" s="7"/>
      <c r="C31" s="35"/>
      <c r="E31" s="35"/>
      <c r="G31" s="35"/>
    </row>
    <row r="33" spans="1:7" ht="27.75" x14ac:dyDescent="0.4">
      <c r="A33" s="173"/>
      <c r="B33" s="173"/>
      <c r="C33" s="173"/>
      <c r="D33" s="173"/>
      <c r="E33" s="173"/>
      <c r="F33" s="173"/>
      <c r="G33" s="173"/>
    </row>
    <row r="34" spans="1:7" ht="15.75" x14ac:dyDescent="0.25">
      <c r="A34" s="3"/>
      <c r="C34" s="10"/>
      <c r="D34" s="10"/>
      <c r="E34" s="10"/>
      <c r="F34" s="10"/>
      <c r="G34" s="10"/>
    </row>
    <row r="35" spans="1:7" ht="18.75" x14ac:dyDescent="0.3">
      <c r="A35" s="36"/>
      <c r="C35" s="33"/>
      <c r="D35" s="31"/>
      <c r="E35" s="33"/>
      <c r="F35" s="31"/>
      <c r="G35" s="33"/>
    </row>
    <row r="36" spans="1:7" ht="15.75" x14ac:dyDescent="0.25">
      <c r="A36" s="4"/>
      <c r="C36" s="10"/>
      <c r="E36" s="10"/>
      <c r="G36" s="10"/>
    </row>
    <row r="37" spans="1:7" ht="18.75" x14ac:dyDescent="0.25">
      <c r="A37" s="5"/>
      <c r="C37" s="34"/>
      <c r="E37" s="34"/>
      <c r="G37" s="34"/>
    </row>
    <row r="38" spans="1:7" ht="18.75" x14ac:dyDescent="0.25">
      <c r="A38" s="5"/>
      <c r="C38" s="34"/>
      <c r="E38" s="34"/>
      <c r="G38" s="34"/>
    </row>
    <row r="39" spans="1:7" ht="18.75" x14ac:dyDescent="0.25">
      <c r="A39" s="5"/>
      <c r="C39" s="34"/>
      <c r="E39" s="34"/>
      <c r="G39" s="34"/>
    </row>
    <row r="40" spans="1:7" ht="23.25" x14ac:dyDescent="0.35">
      <c r="A40" s="172" t="s">
        <v>1677</v>
      </c>
      <c r="B40" s="172"/>
      <c r="C40" s="172"/>
      <c r="D40" s="172"/>
      <c r="E40" s="172"/>
      <c r="F40" s="172"/>
      <c r="G40" s="172"/>
    </row>
    <row r="41" spans="1:7" ht="18.75" x14ac:dyDescent="0.25">
      <c r="A41" s="7"/>
      <c r="C41" s="35"/>
      <c r="E41" s="35"/>
      <c r="G41" s="35"/>
    </row>
    <row r="42" spans="1:7" ht="18.75" x14ac:dyDescent="0.25">
      <c r="A42" s="4"/>
      <c r="C42" s="34"/>
      <c r="E42" s="34"/>
      <c r="G42" s="34"/>
    </row>
    <row r="43" spans="1:7" ht="18.75" x14ac:dyDescent="0.25">
      <c r="A43" s="5"/>
      <c r="C43" s="34"/>
      <c r="E43" s="34"/>
      <c r="G43" s="34"/>
    </row>
    <row r="44" spans="1:7" ht="18.75" x14ac:dyDescent="0.25">
      <c r="A44" s="5"/>
      <c r="C44" s="34"/>
      <c r="E44" s="34"/>
      <c r="G44" s="34"/>
    </row>
    <row r="45" spans="1:7" ht="18.75" x14ac:dyDescent="0.25">
      <c r="A45" s="5"/>
      <c r="C45" s="34"/>
      <c r="E45" s="34"/>
      <c r="G45" s="34"/>
    </row>
    <row r="46" spans="1:7" ht="18.75" x14ac:dyDescent="0.25">
      <c r="A46" s="5"/>
      <c r="C46" s="34"/>
      <c r="E46" s="34"/>
      <c r="G46" s="34"/>
    </row>
    <row r="47" spans="1:7" ht="18.75" x14ac:dyDescent="0.25">
      <c r="A47" s="5"/>
      <c r="C47" s="34"/>
      <c r="E47" s="34"/>
      <c r="G47" s="34"/>
    </row>
    <row r="48" spans="1:7" ht="18.75" x14ac:dyDescent="0.25">
      <c r="A48" s="5"/>
      <c r="C48" s="34"/>
      <c r="E48" s="34"/>
      <c r="G48" s="34"/>
    </row>
    <row r="49" spans="1:7" ht="18.75" x14ac:dyDescent="0.25">
      <c r="A49" s="7"/>
      <c r="C49" s="35"/>
      <c r="E49" s="35"/>
      <c r="G49" s="35"/>
    </row>
    <row r="50" spans="1:7" ht="18.75" x14ac:dyDescent="0.25">
      <c r="A50" s="4"/>
      <c r="C50" s="34"/>
      <c r="E50" s="34"/>
      <c r="G50" s="34"/>
    </row>
    <row r="51" spans="1:7" ht="18.75" x14ac:dyDescent="0.25">
      <c r="A51" s="5"/>
      <c r="C51" s="34"/>
      <c r="E51" s="34"/>
      <c r="G51" s="34"/>
    </row>
    <row r="52" spans="1:7" ht="18.75" x14ac:dyDescent="0.25">
      <c r="A52" s="5"/>
      <c r="C52" s="34"/>
      <c r="E52" s="34"/>
      <c r="G52" s="34"/>
    </row>
    <row r="53" spans="1:7" ht="18.75" x14ac:dyDescent="0.25">
      <c r="A53" s="5"/>
      <c r="C53" s="34"/>
      <c r="E53" s="34"/>
      <c r="G53" s="34"/>
    </row>
    <row r="54" spans="1:7" ht="18.75" x14ac:dyDescent="0.25">
      <c r="A54" s="5"/>
      <c r="C54" s="34"/>
      <c r="E54" s="34"/>
      <c r="G54" s="34"/>
    </row>
    <row r="55" spans="1:7" ht="18.75" x14ac:dyDescent="0.25">
      <c r="A55" s="5"/>
      <c r="C55" s="34"/>
      <c r="E55" s="34"/>
      <c r="G55" s="34"/>
    </row>
    <row r="56" spans="1:7" ht="18.75" x14ac:dyDescent="0.25">
      <c r="A56" s="7"/>
      <c r="C56" s="35"/>
      <c r="E56" s="35"/>
      <c r="G56" s="35"/>
    </row>
    <row r="57" spans="1:7" ht="18.75" x14ac:dyDescent="0.25">
      <c r="A57" s="4"/>
      <c r="C57" s="34"/>
      <c r="E57" s="34"/>
      <c r="G57" s="34"/>
    </row>
    <row r="58" spans="1:7" ht="18.75" x14ac:dyDescent="0.25">
      <c r="A58" s="5"/>
      <c r="C58" s="34"/>
      <c r="E58" s="34"/>
      <c r="G58" s="34"/>
    </row>
    <row r="59" spans="1:7" ht="23.25" x14ac:dyDescent="0.35">
      <c r="A59" s="172" t="s">
        <v>1689</v>
      </c>
      <c r="B59" s="172"/>
      <c r="C59" s="172"/>
      <c r="D59" s="172"/>
      <c r="E59" s="172"/>
      <c r="F59" s="172"/>
      <c r="G59" s="172"/>
    </row>
    <row r="60" spans="1:7" ht="18.75" x14ac:dyDescent="0.25">
      <c r="A60" s="7"/>
      <c r="C60" s="35"/>
      <c r="E60" s="35"/>
      <c r="G60" s="35"/>
    </row>
    <row r="61" spans="1:7" ht="18.75" x14ac:dyDescent="0.25">
      <c r="A61" s="7"/>
      <c r="C61" s="35"/>
      <c r="E61" s="35"/>
      <c r="G61" s="35"/>
    </row>
    <row r="62" spans="1:7" ht="18.75" x14ac:dyDescent="0.2">
      <c r="A62" s="14"/>
      <c r="C62" s="37"/>
      <c r="E62" s="37"/>
      <c r="G62" s="37"/>
    </row>
    <row r="86" spans="1:7" ht="23.25" x14ac:dyDescent="0.35">
      <c r="A86" s="172" t="s">
        <v>1681</v>
      </c>
      <c r="B86" s="172"/>
      <c r="C86" s="172"/>
      <c r="D86" s="172"/>
      <c r="E86" s="172"/>
      <c r="F86" s="172"/>
      <c r="G86" s="172"/>
    </row>
    <row r="107" spans="1:7" ht="23.25" x14ac:dyDescent="0.35">
      <c r="A107" s="172" t="s">
        <v>1687</v>
      </c>
      <c r="B107" s="172"/>
      <c r="C107" s="172"/>
      <c r="D107" s="172"/>
      <c r="E107" s="172"/>
      <c r="F107" s="172"/>
      <c r="G107" s="172"/>
    </row>
    <row r="128" spans="1:7" ht="23.25" x14ac:dyDescent="0.35">
      <c r="A128" s="172"/>
      <c r="B128" s="172"/>
      <c r="C128" s="172"/>
      <c r="D128" s="172"/>
      <c r="E128" s="172"/>
      <c r="F128" s="172"/>
      <c r="G128" s="172"/>
    </row>
  </sheetData>
  <mergeCells count="7">
    <mergeCell ref="A86:G86"/>
    <mergeCell ref="A107:G107"/>
    <mergeCell ref="A128:G128"/>
    <mergeCell ref="A1:G1"/>
    <mergeCell ref="A33:G33"/>
    <mergeCell ref="A40:G40"/>
    <mergeCell ref="A59:G59"/>
  </mergeCells>
  <conditionalFormatting sqref="A3 C3 E3 G3 A35 E35 G35">
    <cfRule type="expression" dxfId="3" priority="2">
      <formula>#REF!="110"</formula>
    </cfRule>
  </conditionalFormatting>
  <conditionalFormatting sqref="C35">
    <cfRule type="expression" dxfId="2" priority="1">
      <formula>#REF!="110"</formula>
    </cfRule>
  </conditionalFormatting>
  <pageMargins left="0.70866141732283472" right="0.70866141732283472" top="1.1417322834645669" bottom="0.74803149606299213" header="0.31496062992125984" footer="0.31496062992125984"/>
  <pageSetup paperSize="9" scale="95" orientation="portrait" r:id="rId1"/>
  <headerFooter>
    <oddHeader>&amp;C&amp;"David,מודגש"&amp;14&amp;Uמועצה מקומית ג'סר אלזרקא
תקציב 2025</oddHeader>
    <oddFooter>&amp;C&amp;P</oddFooter>
  </headerFooter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5CD8-00DC-41D1-ACF5-F3060D832759}">
  <dimension ref="A1:N1011"/>
  <sheetViews>
    <sheetView showGridLines="0" rightToLeft="1" zoomScale="90" zoomScaleNormal="90" workbookViewId="0">
      <pane ySplit="1" topLeftCell="A74" activePane="bottomLeft" state="frozen"/>
      <selection activeCell="I1" sqref="I1"/>
      <selection pane="bottomLeft" activeCell="L23" sqref="L23"/>
    </sheetView>
  </sheetViews>
  <sheetFormatPr defaultColWidth="9.25" defaultRowHeight="23.25" outlineLevelRow="2" x14ac:dyDescent="0.35"/>
  <cols>
    <col min="1" max="1" width="16" style="41" bestFit="1" customWidth="1"/>
    <col min="2" max="2" width="32.875" style="41" bestFit="1" customWidth="1"/>
    <col min="3" max="3" width="21.75" style="41" bestFit="1" customWidth="1"/>
    <col min="4" max="4" width="16" style="41" bestFit="1" customWidth="1"/>
    <col min="5" max="5" width="11.5" style="41" bestFit="1" customWidth="1"/>
    <col min="6" max="6" width="9.875" style="41" bestFit="1" customWidth="1"/>
    <col min="7" max="7" width="15.5" style="49" bestFit="1" customWidth="1"/>
    <col min="8" max="8" width="20.75" style="46" customWidth="1"/>
    <col min="9" max="9" width="21.125" style="46" customWidth="1"/>
    <col min="10" max="10" width="24.25" style="46" bestFit="1" customWidth="1"/>
    <col min="11" max="11" width="15.75" style="46" bestFit="1" customWidth="1"/>
    <col min="12" max="12" width="19" style="46" bestFit="1" customWidth="1"/>
    <col min="13" max="13" width="17.125" style="46" bestFit="1" customWidth="1"/>
    <col min="14" max="16384" width="9.25" style="41"/>
  </cols>
  <sheetData>
    <row r="1" spans="1:13" ht="69.75" x14ac:dyDescent="0.35">
      <c r="A1" s="59" t="s">
        <v>1974</v>
      </c>
      <c r="B1" s="59" t="s">
        <v>1975</v>
      </c>
      <c r="C1" s="59" t="s">
        <v>630</v>
      </c>
      <c r="D1" s="59" t="s">
        <v>629</v>
      </c>
      <c r="E1" s="59" t="s">
        <v>628</v>
      </c>
      <c r="F1" s="59" t="s">
        <v>627</v>
      </c>
      <c r="G1" s="72" t="s">
        <v>1976</v>
      </c>
      <c r="H1" s="60" t="s">
        <v>1977</v>
      </c>
      <c r="I1" s="60" t="s">
        <v>1979</v>
      </c>
      <c r="J1" s="60" t="s">
        <v>1980</v>
      </c>
      <c r="K1" s="60" t="s">
        <v>1981</v>
      </c>
      <c r="L1" s="60" t="s">
        <v>1926</v>
      </c>
      <c r="M1" s="60" t="s">
        <v>1931</v>
      </c>
    </row>
    <row r="2" spans="1:13" outlineLevel="2" x14ac:dyDescent="0.35">
      <c r="A2" s="42">
        <v>1611100110</v>
      </c>
      <c r="B2" s="42" t="str">
        <f>VLOOKUP(A2,'תקציב מפורט 2025'!A:O,2,FALSE)</f>
        <v>נבחרים-שכר</v>
      </c>
      <c r="C2" s="42">
        <v>29115169</v>
      </c>
      <c r="D2" s="42" t="s">
        <v>434</v>
      </c>
      <c r="E2" s="42" t="s">
        <v>605</v>
      </c>
      <c r="F2" s="42">
        <v>611100</v>
      </c>
      <c r="G2" s="48">
        <v>1100</v>
      </c>
      <c r="H2" s="45">
        <v>1001977.8</v>
      </c>
      <c r="I2" s="45">
        <f>SUMIFS('שכר 11.2024'!N:N,'שכר 11.2024'!C:C,C:C,'שכר 11.2024'!F:F,F:F)</f>
        <v>74201.97</v>
      </c>
      <c r="J2" s="45">
        <f>H2+I2</f>
        <v>1076179.77</v>
      </c>
      <c r="K2" s="61">
        <f>3.5/100+1</f>
        <v>1.0349999999999999</v>
      </c>
      <c r="L2" s="45">
        <f>J2*K2</f>
        <v>1113846.06195</v>
      </c>
      <c r="M2" s="45">
        <f>G2/1100</f>
        <v>1</v>
      </c>
    </row>
    <row r="3" spans="1:13" outlineLevel="2" x14ac:dyDescent="0.35">
      <c r="A3" s="42">
        <v>1611100110</v>
      </c>
      <c r="B3" s="42" t="str">
        <f>VLOOKUP(A3,'תקציב מפורט 2025'!A:O,2,FALSE)</f>
        <v>נבחרים-שכר</v>
      </c>
      <c r="C3" s="42">
        <v>58993437</v>
      </c>
      <c r="D3" s="42" t="s">
        <v>442</v>
      </c>
      <c r="E3" s="42" t="s">
        <v>1800</v>
      </c>
      <c r="F3" s="42">
        <v>611100</v>
      </c>
      <c r="G3" s="48">
        <v>261.2</v>
      </c>
      <c r="H3" s="45">
        <v>211452.47</v>
      </c>
      <c r="I3" s="45">
        <f>SUMIFS('שכר 11.2024'!N:N,'שכר 11.2024'!C:C,C:C,'שכר 11.2024'!F:F,F:F)</f>
        <v>0</v>
      </c>
      <c r="J3" s="45">
        <f t="shared" ref="J3:J87" si="0">H3+I3</f>
        <v>211452.47</v>
      </c>
      <c r="K3" s="61">
        <f t="shared" ref="K3:K87" si="1">3.5/100+1</f>
        <v>1.0349999999999999</v>
      </c>
      <c r="L3" s="45">
        <f t="shared" ref="L3:L87" si="2">J3*K3</f>
        <v>218853.30644999997</v>
      </c>
      <c r="M3" s="45">
        <f t="shared" ref="M3:M87" si="3">G3/1100</f>
        <v>0.23745454545454545</v>
      </c>
    </row>
    <row r="4" spans="1:13" outlineLevel="1" x14ac:dyDescent="0.35">
      <c r="A4" s="62" t="s">
        <v>1982</v>
      </c>
      <c r="B4" s="63"/>
      <c r="C4" s="63"/>
      <c r="D4" s="63"/>
      <c r="E4" s="63"/>
      <c r="F4" s="63"/>
      <c r="G4" s="73">
        <f>SUBTOTAL(9,G2:G3)</f>
        <v>1361.2</v>
      </c>
      <c r="H4" s="64">
        <f>SUBTOTAL(9,H2:H3)</f>
        <v>1213430.27</v>
      </c>
      <c r="I4" s="64">
        <f>SUBTOTAL(9,I2:I3)</f>
        <v>74201.97</v>
      </c>
      <c r="J4" s="64">
        <f>SUBTOTAL(9,J2:J3)</f>
        <v>1287632.24</v>
      </c>
      <c r="K4" s="65"/>
      <c r="L4" s="64">
        <f>SUBTOTAL(9,L2:L3)</f>
        <v>1332699.3684</v>
      </c>
      <c r="M4" s="64">
        <f>SUBTOTAL(9,M2:M3)</f>
        <v>1.2374545454545454</v>
      </c>
    </row>
    <row r="5" spans="1:13" outlineLevel="2" x14ac:dyDescent="0.35">
      <c r="A5" s="42">
        <v>1611110110</v>
      </c>
      <c r="B5" s="42" t="str">
        <f>VLOOKUP(A5,'תקציב מפורט 2025'!A:O,2,FALSE)</f>
        <v>לשכת ר"ה מועצה שכר</v>
      </c>
      <c r="C5" s="42">
        <v>27511112</v>
      </c>
      <c r="D5" s="42" t="s">
        <v>434</v>
      </c>
      <c r="E5" s="42" t="s">
        <v>604</v>
      </c>
      <c r="F5" s="42">
        <v>611110</v>
      </c>
      <c r="G5" s="48">
        <v>1100</v>
      </c>
      <c r="H5" s="45">
        <v>226069.43</v>
      </c>
      <c r="I5" s="45">
        <f>SUMIFS('שכר 11.2024'!N:N,'שכר 11.2024'!C:C,C:C,'שכר 11.2024'!F:F,F:F)</f>
        <v>18767.73</v>
      </c>
      <c r="J5" s="45">
        <f t="shared" si="0"/>
        <v>244837.16</v>
      </c>
      <c r="K5" s="61">
        <f t="shared" si="1"/>
        <v>1.0349999999999999</v>
      </c>
      <c r="L5" s="45">
        <f t="shared" si="2"/>
        <v>253406.46059999999</v>
      </c>
      <c r="M5" s="45">
        <f t="shared" si="3"/>
        <v>1</v>
      </c>
    </row>
    <row r="6" spans="1:13" outlineLevel="2" x14ac:dyDescent="0.35">
      <c r="A6" s="42">
        <v>1611110110</v>
      </c>
      <c r="B6" s="42" t="str">
        <f>VLOOKUP(A6,'תקציב מפורט 2025'!A:O,2,FALSE)</f>
        <v>לשכת ר"ה מועצה שכר</v>
      </c>
      <c r="C6" s="42">
        <v>207885575</v>
      </c>
      <c r="D6" s="42" t="s">
        <v>434</v>
      </c>
      <c r="E6" s="42" t="s">
        <v>1801</v>
      </c>
      <c r="F6" s="42">
        <v>611110</v>
      </c>
      <c r="G6" s="48">
        <v>638.70000000000005</v>
      </c>
      <c r="H6" s="45">
        <v>91762.64</v>
      </c>
      <c r="I6" s="45">
        <f>SUMIFS('שכר 11.2024'!N:N,'שכר 11.2024'!C:C,C:C,'שכר 11.2024'!F:F,F:F)</f>
        <v>15716.46</v>
      </c>
      <c r="J6" s="45">
        <f t="shared" si="0"/>
        <v>107479.1</v>
      </c>
      <c r="K6" s="61">
        <f t="shared" si="1"/>
        <v>1.0349999999999999</v>
      </c>
      <c r="L6" s="45">
        <f t="shared" si="2"/>
        <v>111240.8685</v>
      </c>
      <c r="M6" s="45">
        <f t="shared" si="3"/>
        <v>0.58063636363636373</v>
      </c>
    </row>
    <row r="7" spans="1:13" outlineLevel="2" x14ac:dyDescent="0.35">
      <c r="A7" s="42">
        <v>1611110110</v>
      </c>
      <c r="B7" s="42" t="str">
        <f>VLOOKUP(A7,'תקציב מפורט 2025'!A:O,2,FALSE)</f>
        <v>לשכת ר"ה מועצה שכר</v>
      </c>
      <c r="C7" s="42">
        <v>305034985</v>
      </c>
      <c r="D7" s="42" t="s">
        <v>434</v>
      </c>
      <c r="E7" s="42" t="s">
        <v>909</v>
      </c>
      <c r="F7" s="42">
        <v>611110</v>
      </c>
      <c r="G7" s="48">
        <v>204.9</v>
      </c>
      <c r="H7" s="45">
        <v>34696.449999999997</v>
      </c>
      <c r="I7" s="45">
        <f>SUMIFS('שכר 11.2024'!N:N,'שכר 11.2024'!C:C,C:C,'שכר 11.2024'!F:F,F:F)</f>
        <v>0</v>
      </c>
      <c r="J7" s="45">
        <f t="shared" si="0"/>
        <v>34696.449999999997</v>
      </c>
      <c r="K7" s="61">
        <f t="shared" si="1"/>
        <v>1.0349999999999999</v>
      </c>
      <c r="L7" s="45">
        <f t="shared" si="2"/>
        <v>35910.825749999996</v>
      </c>
      <c r="M7" s="45">
        <f t="shared" si="3"/>
        <v>0.18627272727272728</v>
      </c>
    </row>
    <row r="8" spans="1:13" outlineLevel="1" x14ac:dyDescent="0.35">
      <c r="A8" s="63" t="s">
        <v>1983</v>
      </c>
      <c r="B8" s="63"/>
      <c r="C8" s="63"/>
      <c r="D8" s="63"/>
      <c r="E8" s="63"/>
      <c r="F8" s="63"/>
      <c r="G8" s="73">
        <f>SUBTOTAL(9,G5:G7)</f>
        <v>1943.6000000000001</v>
      </c>
      <c r="H8" s="64">
        <f>SUBTOTAL(9,H5:H7)</f>
        <v>352528.52</v>
      </c>
      <c r="I8" s="64">
        <f>SUBTOTAL(9,I5:I7)</f>
        <v>34484.19</v>
      </c>
      <c r="J8" s="64">
        <f>SUBTOTAL(9,J5:J7)</f>
        <v>387012.71</v>
      </c>
      <c r="K8" s="65"/>
      <c r="L8" s="64">
        <f>SUBTOTAL(9,L5:L7)</f>
        <v>400558.15484999999</v>
      </c>
      <c r="M8" s="64">
        <f>SUBTOTAL(9,M5:M7)</f>
        <v>1.7669090909090912</v>
      </c>
    </row>
    <row r="9" spans="1:13" outlineLevel="2" x14ac:dyDescent="0.35">
      <c r="A9" s="42">
        <v>1613000110</v>
      </c>
      <c r="B9" s="42" t="str">
        <f>VLOOKUP(A9,'תקציב מפורט 2025'!A:O,2,FALSE)</f>
        <v>מנכ"ל ומזכירות</v>
      </c>
      <c r="C9" s="42">
        <v>24787087</v>
      </c>
      <c r="D9" s="42" t="s">
        <v>434</v>
      </c>
      <c r="E9" s="42" t="s">
        <v>1802</v>
      </c>
      <c r="F9" s="42">
        <v>613000</v>
      </c>
      <c r="G9" s="48">
        <v>300</v>
      </c>
      <c r="H9" s="45">
        <v>33041.69</v>
      </c>
      <c r="I9" s="45">
        <f>SUMIFS('שכר 11.2024'!N:N,'שכר 11.2024'!C:C,C:C,'שכר 11.2024'!F:F,F:F)</f>
        <v>12208.21</v>
      </c>
      <c r="J9" s="45">
        <f t="shared" si="0"/>
        <v>45249.9</v>
      </c>
      <c r="K9" s="61">
        <f t="shared" si="1"/>
        <v>1.0349999999999999</v>
      </c>
      <c r="L9" s="45">
        <f t="shared" si="2"/>
        <v>46833.646499999995</v>
      </c>
      <c r="M9" s="45">
        <f t="shared" si="3"/>
        <v>0.27272727272727271</v>
      </c>
    </row>
    <row r="10" spans="1:13" outlineLevel="2" x14ac:dyDescent="0.35">
      <c r="A10" s="42">
        <v>1613000110</v>
      </c>
      <c r="B10" s="42" t="str">
        <f>VLOOKUP(A10,'תקציב מפורט 2025'!A:O,2,FALSE)</f>
        <v>מנכ"ל ומזכירות</v>
      </c>
      <c r="C10" s="42">
        <v>40466914</v>
      </c>
      <c r="D10" s="42" t="s">
        <v>574</v>
      </c>
      <c r="E10" s="42" t="s">
        <v>603</v>
      </c>
      <c r="F10" s="42">
        <v>613000</v>
      </c>
      <c r="G10" s="48">
        <v>1100</v>
      </c>
      <c r="H10" s="45">
        <v>158773.73000000001</v>
      </c>
      <c r="I10" s="45">
        <f>SUMIFS('שכר 11.2024'!N:N,'שכר 11.2024'!C:C,C:C,'שכר 11.2024'!F:F,F:F)</f>
        <v>15885.27</v>
      </c>
      <c r="J10" s="45">
        <f t="shared" si="0"/>
        <v>174659</v>
      </c>
      <c r="K10" s="61">
        <f t="shared" si="1"/>
        <v>1.0349999999999999</v>
      </c>
      <c r="L10" s="45">
        <f t="shared" si="2"/>
        <v>180772.06499999997</v>
      </c>
      <c r="M10" s="45">
        <f t="shared" si="3"/>
        <v>1</v>
      </c>
    </row>
    <row r="11" spans="1:13" outlineLevel="2" x14ac:dyDescent="0.35">
      <c r="A11" s="42">
        <v>1613000110</v>
      </c>
      <c r="B11" s="42" t="str">
        <f>VLOOKUP(A11,'תקציב מפורט 2025'!A:O,2,FALSE)</f>
        <v>מנכ"ל ומזכירות</v>
      </c>
      <c r="C11" s="42">
        <v>300651882</v>
      </c>
      <c r="D11" s="42" t="s">
        <v>1803</v>
      </c>
      <c r="E11" s="42" t="s">
        <v>1804</v>
      </c>
      <c r="F11" s="42">
        <v>613000</v>
      </c>
      <c r="G11" s="48">
        <v>600</v>
      </c>
      <c r="H11" s="45">
        <v>312159.34000000003</v>
      </c>
      <c r="I11" s="45">
        <f>SUMIFS('שכר 11.2024'!N:N,'שכר 11.2024'!C:C,C:C,'שכר 11.2024'!F:F,F:F)</f>
        <v>49634.75</v>
      </c>
      <c r="J11" s="45">
        <f t="shared" si="0"/>
        <v>361794.09</v>
      </c>
      <c r="K11" s="61">
        <f t="shared" si="1"/>
        <v>1.0349999999999999</v>
      </c>
      <c r="L11" s="45">
        <f t="shared" si="2"/>
        <v>374456.88315000001</v>
      </c>
      <c r="M11" s="45">
        <f t="shared" si="3"/>
        <v>0.54545454545454541</v>
      </c>
    </row>
    <row r="12" spans="1:13" outlineLevel="1" x14ac:dyDescent="0.35">
      <c r="A12" s="63" t="s">
        <v>1984</v>
      </c>
      <c r="B12" s="63"/>
      <c r="C12" s="63"/>
      <c r="D12" s="63"/>
      <c r="E12" s="63"/>
      <c r="F12" s="63"/>
      <c r="G12" s="73">
        <f>SUBTOTAL(9,G9:G11)</f>
        <v>2000</v>
      </c>
      <c r="H12" s="64">
        <f>SUBTOTAL(9,H9:H11)</f>
        <v>503974.76</v>
      </c>
      <c r="I12" s="64">
        <f>SUBTOTAL(9,I9:I11)</f>
        <v>77728.23</v>
      </c>
      <c r="J12" s="64">
        <f>SUBTOTAL(9,J9:J11)</f>
        <v>581702.99</v>
      </c>
      <c r="K12" s="65"/>
      <c r="L12" s="64">
        <f>SUBTOTAL(9,L9:L11)</f>
        <v>602062.59464999998</v>
      </c>
      <c r="M12" s="64">
        <f>SUBTOTAL(9,M9:M11)</f>
        <v>1.8181818181818181</v>
      </c>
    </row>
    <row r="13" spans="1:13" outlineLevel="2" x14ac:dyDescent="0.35">
      <c r="A13" s="42">
        <v>1615000110</v>
      </c>
      <c r="B13" s="42" t="str">
        <f>VLOOKUP(A13,'תקציב מפורט 2025'!A:O,2,FALSE)</f>
        <v>מבקר פנים-שכר</v>
      </c>
      <c r="C13" s="42">
        <v>33426610</v>
      </c>
      <c r="D13" s="42" t="s">
        <v>434</v>
      </c>
      <c r="E13" s="42" t="s">
        <v>461</v>
      </c>
      <c r="F13" s="42">
        <v>615000</v>
      </c>
      <c r="G13" s="48">
        <v>1100</v>
      </c>
      <c r="H13" s="45">
        <v>498116.23</v>
      </c>
      <c r="I13" s="45">
        <f>SUMIFS('שכר 11.2024'!N:N,'שכר 11.2024'!C:C,C:C,'שכר 11.2024'!F:F,F:F)</f>
        <v>42527.25</v>
      </c>
      <c r="J13" s="45">
        <f t="shared" si="0"/>
        <v>540643.48</v>
      </c>
      <c r="K13" s="61">
        <f t="shared" si="1"/>
        <v>1.0349999999999999</v>
      </c>
      <c r="L13" s="45">
        <f t="shared" si="2"/>
        <v>559566.00179999997</v>
      </c>
      <c r="M13" s="45">
        <f t="shared" si="3"/>
        <v>1</v>
      </c>
    </row>
    <row r="14" spans="1:13" outlineLevel="1" x14ac:dyDescent="0.35">
      <c r="A14" s="63" t="s">
        <v>1985</v>
      </c>
      <c r="B14" s="63"/>
      <c r="C14" s="63"/>
      <c r="D14" s="63"/>
      <c r="E14" s="63"/>
      <c r="F14" s="63"/>
      <c r="G14" s="73">
        <f>SUBTOTAL(9,G13:G13)</f>
        <v>1100</v>
      </c>
      <c r="H14" s="64">
        <f>SUBTOTAL(9,H13:H13)</f>
        <v>498116.23</v>
      </c>
      <c r="I14" s="64">
        <f>SUBTOTAL(9,I13:I13)</f>
        <v>42527.25</v>
      </c>
      <c r="J14" s="64">
        <f>SUBTOTAL(9,J13:J13)</f>
        <v>540643.48</v>
      </c>
      <c r="K14" s="65"/>
      <c r="L14" s="64">
        <f>SUBTOTAL(9,L13:L13)</f>
        <v>559566.00179999997</v>
      </c>
      <c r="M14" s="64">
        <f>SUBTOTAL(9,M13:M13)</f>
        <v>1</v>
      </c>
    </row>
    <row r="15" spans="1:13" outlineLevel="2" x14ac:dyDescent="0.35">
      <c r="A15" s="42">
        <v>1615101110</v>
      </c>
      <c r="B15" s="42" t="str">
        <f>VLOOKUP(A15,'תקציב מפורט 2025'!A:O,2,FALSE)</f>
        <v>ממצה משאבים</v>
      </c>
      <c r="C15" s="42">
        <v>205673072</v>
      </c>
      <c r="D15" s="42" t="s">
        <v>434</v>
      </c>
      <c r="E15" s="42" t="s">
        <v>1805</v>
      </c>
      <c r="F15" s="42">
        <v>615101</v>
      </c>
      <c r="G15" s="48">
        <v>200</v>
      </c>
      <c r="H15" s="45">
        <v>27718.26</v>
      </c>
      <c r="I15" s="45">
        <f>SUMIFS('שכר 11.2024'!N:N,'שכר 11.2024'!C:C,C:C,'שכר 11.2024'!F:F,F:F)</f>
        <v>0</v>
      </c>
      <c r="J15" s="45">
        <f t="shared" si="0"/>
        <v>27718.26</v>
      </c>
      <c r="K15" s="61">
        <f t="shared" si="1"/>
        <v>1.0349999999999999</v>
      </c>
      <c r="L15" s="45">
        <f t="shared" si="2"/>
        <v>28688.399099999995</v>
      </c>
      <c r="M15" s="45">
        <f t="shared" si="3"/>
        <v>0.18181818181818182</v>
      </c>
    </row>
    <row r="16" spans="1:13" outlineLevel="2" x14ac:dyDescent="0.35">
      <c r="A16" s="42">
        <v>1615101110</v>
      </c>
      <c r="B16" s="42" t="str">
        <f>VLOOKUP(A16,'תקציב מפורט 2025'!A:O,2,FALSE)</f>
        <v>ממצה משאבים</v>
      </c>
      <c r="C16" s="42">
        <v>212142673</v>
      </c>
      <c r="D16" s="42" t="s">
        <v>905</v>
      </c>
      <c r="E16" s="42" t="s">
        <v>1712</v>
      </c>
      <c r="F16" s="42">
        <v>615101</v>
      </c>
      <c r="G16" s="48">
        <v>900</v>
      </c>
      <c r="H16" s="45">
        <v>131831.88</v>
      </c>
      <c r="I16" s="45">
        <f>SUMIFS('שכר 11.2024'!N:N,'שכר 11.2024'!C:C,C:C,'שכר 11.2024'!F:F,F:F)</f>
        <v>0</v>
      </c>
      <c r="J16" s="45">
        <f t="shared" si="0"/>
        <v>131831.88</v>
      </c>
      <c r="K16" s="61">
        <f t="shared" si="1"/>
        <v>1.0349999999999999</v>
      </c>
      <c r="L16" s="45">
        <f t="shared" si="2"/>
        <v>136445.9958</v>
      </c>
      <c r="M16" s="45">
        <f t="shared" si="3"/>
        <v>0.81818181818181823</v>
      </c>
    </row>
    <row r="17" spans="1:13" outlineLevel="1" x14ac:dyDescent="0.35">
      <c r="A17" s="63" t="s">
        <v>1986</v>
      </c>
      <c r="B17" s="63"/>
      <c r="C17" s="63"/>
      <c r="D17" s="63"/>
      <c r="E17" s="63"/>
      <c r="F17" s="63"/>
      <c r="G17" s="73">
        <f>SUBTOTAL(9,G15:G16)</f>
        <v>1100</v>
      </c>
      <c r="H17" s="64">
        <f>SUBTOTAL(9,H15:H16)</f>
        <v>159550.14000000001</v>
      </c>
      <c r="I17" s="64">
        <f>SUBTOTAL(9,I15:I16)</f>
        <v>0</v>
      </c>
      <c r="J17" s="64">
        <f>SUBTOTAL(9,J15:J16)</f>
        <v>159550.14000000001</v>
      </c>
      <c r="K17" s="65"/>
      <c r="L17" s="64">
        <f>SUBTOTAL(9,L15:L16)</f>
        <v>165134.39490000001</v>
      </c>
      <c r="M17" s="64">
        <f>SUBTOTAL(9,M15:M16)</f>
        <v>1</v>
      </c>
    </row>
    <row r="18" spans="1:13" outlineLevel="2" x14ac:dyDescent="0.35">
      <c r="A18" s="42">
        <v>1621200110</v>
      </c>
      <c r="B18" s="42" t="str">
        <f>VLOOKUP(A18,'תקציב מפורט 2025'!A:O,2,FALSE)</f>
        <v>מינהל רכש ואספקה</v>
      </c>
      <c r="C18" s="42">
        <v>33933342</v>
      </c>
      <c r="D18" s="42" t="s">
        <v>434</v>
      </c>
      <c r="E18" s="42" t="s">
        <v>525</v>
      </c>
      <c r="F18" s="42">
        <v>621200</v>
      </c>
      <c r="G18" s="48">
        <v>1100</v>
      </c>
      <c r="H18" s="45">
        <v>152155.91</v>
      </c>
      <c r="I18" s="45">
        <f>SUMIFS('שכר 11.2024'!N:N,'שכר 11.2024'!C:C,C:C,'שכר 11.2024'!F:F,F:F)</f>
        <v>12293.47</v>
      </c>
      <c r="J18" s="45">
        <f t="shared" si="0"/>
        <v>164449.38</v>
      </c>
      <c r="K18" s="61">
        <f t="shared" si="1"/>
        <v>1.0349999999999999</v>
      </c>
      <c r="L18" s="45">
        <f t="shared" si="2"/>
        <v>170205.10829999999</v>
      </c>
      <c r="M18" s="45">
        <f t="shared" si="3"/>
        <v>1</v>
      </c>
    </row>
    <row r="19" spans="1:13" outlineLevel="1" x14ac:dyDescent="0.35">
      <c r="A19" s="63" t="s">
        <v>1987</v>
      </c>
      <c r="B19" s="63"/>
      <c r="C19" s="63"/>
      <c r="D19" s="63"/>
      <c r="E19" s="63"/>
      <c r="F19" s="63"/>
      <c r="G19" s="73">
        <f>SUBTOTAL(9,G18:G18)</f>
        <v>1100</v>
      </c>
      <c r="H19" s="64">
        <f>SUBTOTAL(9,H18:H18)</f>
        <v>152155.91</v>
      </c>
      <c r="I19" s="64">
        <f>SUBTOTAL(9,I18:I18)</f>
        <v>12293.47</v>
      </c>
      <c r="J19" s="64">
        <f>SUBTOTAL(9,J18:J18)</f>
        <v>164449.38</v>
      </c>
      <c r="K19" s="65"/>
      <c r="L19" s="64">
        <f>SUBTOTAL(9,L18:L18)</f>
        <v>170205.10829999999</v>
      </c>
      <c r="M19" s="64">
        <f>SUBTOTAL(9,M18:M18)</f>
        <v>1</v>
      </c>
    </row>
    <row r="20" spans="1:13" outlineLevel="2" x14ac:dyDescent="0.35">
      <c r="A20" s="42">
        <v>1621300110</v>
      </c>
      <c r="B20" s="42" t="str">
        <f>VLOOKUP(A20,'תקציב מפורט 2025'!A:O,2,FALSE)</f>
        <v>גזברות והנה"ח שכר</v>
      </c>
      <c r="C20" s="42">
        <v>300975026</v>
      </c>
      <c r="D20" s="42" t="s">
        <v>1806</v>
      </c>
      <c r="E20" s="42" t="s">
        <v>901</v>
      </c>
      <c r="F20" s="42">
        <v>621300</v>
      </c>
      <c r="G20" s="48">
        <v>1100</v>
      </c>
      <c r="H20" s="45">
        <v>306089.82</v>
      </c>
      <c r="I20" s="45">
        <f>SUMIFS('שכר 11.2024'!N:N,'שכר 11.2024'!C:C,C:C,'שכר 11.2024'!F:F,F:F)</f>
        <v>25491.37</v>
      </c>
      <c r="J20" s="45">
        <f t="shared" si="0"/>
        <v>331581.19</v>
      </c>
      <c r="K20" s="61">
        <f t="shared" si="1"/>
        <v>1.0349999999999999</v>
      </c>
      <c r="L20" s="45">
        <f t="shared" si="2"/>
        <v>343186.53164999996</v>
      </c>
      <c r="M20" s="45">
        <f t="shared" si="3"/>
        <v>1</v>
      </c>
    </row>
    <row r="21" spans="1:13" outlineLevel="2" x14ac:dyDescent="0.35">
      <c r="A21" s="42">
        <v>1621300110</v>
      </c>
      <c r="B21" s="42" t="str">
        <f>VLOOKUP(A21,'תקציב מפורט 2025'!A:O,2,FALSE)</f>
        <v>גזברות והנה"ח שכר</v>
      </c>
      <c r="C21" s="42">
        <v>301107157</v>
      </c>
      <c r="D21" s="42" t="s">
        <v>526</v>
      </c>
      <c r="E21" s="42" t="s">
        <v>902</v>
      </c>
      <c r="F21" s="42">
        <v>621300</v>
      </c>
      <c r="G21" s="48">
        <v>1100</v>
      </c>
      <c r="H21" s="45">
        <v>519864.51</v>
      </c>
      <c r="I21" s="45">
        <f>SUMIFS('שכר 11.2024'!N:N,'שכר 11.2024'!C:C,C:C,'שכר 11.2024'!F:F,F:F)</f>
        <v>43847.07</v>
      </c>
      <c r="J21" s="45">
        <f t="shared" si="0"/>
        <v>563711.57999999996</v>
      </c>
      <c r="K21" s="61">
        <f t="shared" si="1"/>
        <v>1.0349999999999999</v>
      </c>
      <c r="L21" s="45">
        <f t="shared" si="2"/>
        <v>583441.48529999994</v>
      </c>
      <c r="M21" s="45">
        <f t="shared" si="3"/>
        <v>1</v>
      </c>
    </row>
    <row r="22" spans="1:13" outlineLevel="1" x14ac:dyDescent="0.35">
      <c r="A22" s="63" t="s">
        <v>1988</v>
      </c>
      <c r="B22" s="63"/>
      <c r="C22" s="63"/>
      <c r="D22" s="63"/>
      <c r="E22" s="63"/>
      <c r="F22" s="63"/>
      <c r="G22" s="73">
        <f>SUBTOTAL(9,G20:G21)</f>
        <v>2200</v>
      </c>
      <c r="H22" s="64">
        <f>SUBTOTAL(9,H20:H21)</f>
        <v>825954.33000000007</v>
      </c>
      <c r="I22" s="64">
        <f>SUBTOTAL(9,I20:I21)</f>
        <v>69338.44</v>
      </c>
      <c r="J22" s="64">
        <f>SUBTOTAL(9,J20:J21)</f>
        <v>895292.77</v>
      </c>
      <c r="K22" s="65"/>
      <c r="L22" s="64">
        <f>SUBTOTAL(9,L20:L21)</f>
        <v>926628.01694999984</v>
      </c>
      <c r="M22" s="64">
        <f>SUBTOTAL(9,M20:M21)</f>
        <v>2</v>
      </c>
    </row>
    <row r="23" spans="1:13" outlineLevel="2" x14ac:dyDescent="0.35">
      <c r="A23" s="66">
        <v>1623000110</v>
      </c>
      <c r="B23" s="66" t="str">
        <f>VLOOKUP(A23,'תקציב מפורט 2025'!A:O,2,FALSE)</f>
        <v>גבייה-משכורת</v>
      </c>
      <c r="C23" s="66">
        <v>39502091</v>
      </c>
      <c r="D23" s="66" t="s">
        <v>540</v>
      </c>
      <c r="E23" s="66" t="s">
        <v>536</v>
      </c>
      <c r="F23" s="66">
        <v>623000</v>
      </c>
      <c r="G23" s="74">
        <v>400</v>
      </c>
      <c r="H23" s="67">
        <v>40309.22</v>
      </c>
      <c r="I23" s="67">
        <f>SUMIFS('שכר 11.2024'!N:N,'שכר 11.2024'!C:C,C:C,'שכר 11.2024'!F:F,F:F)</f>
        <v>11342.81</v>
      </c>
      <c r="J23" s="67">
        <f t="shared" si="0"/>
        <v>51652.03</v>
      </c>
      <c r="K23" s="68">
        <f t="shared" si="1"/>
        <v>1.0349999999999999</v>
      </c>
      <c r="L23" s="67">
        <f>I23*13</f>
        <v>147456.53</v>
      </c>
      <c r="M23" s="67">
        <v>1</v>
      </c>
    </row>
    <row r="24" spans="1:13" outlineLevel="2" x14ac:dyDescent="0.35">
      <c r="A24" s="42">
        <v>1623000110</v>
      </c>
      <c r="B24" s="42" t="str">
        <f>VLOOKUP(A24,'תקציב מפורט 2025'!A:O,2,FALSE)</f>
        <v>גבייה-משכורת</v>
      </c>
      <c r="C24" s="42">
        <v>54822622</v>
      </c>
      <c r="D24" s="42" t="s">
        <v>602</v>
      </c>
      <c r="E24" s="42" t="s">
        <v>467</v>
      </c>
      <c r="F24" s="42">
        <v>623000</v>
      </c>
      <c r="G24" s="48">
        <v>600</v>
      </c>
      <c r="H24" s="45">
        <v>224051.02</v>
      </c>
      <c r="I24" s="45">
        <f>SUMIFS('שכר 11.2024'!N:N,'שכר 11.2024'!C:C,C:C,'שכר 11.2024'!F:F,F:F)</f>
        <v>0</v>
      </c>
      <c r="J24" s="45">
        <f t="shared" si="0"/>
        <v>224051.02</v>
      </c>
      <c r="K24" s="61">
        <f t="shared" si="1"/>
        <v>1.0349999999999999</v>
      </c>
      <c r="L24" s="45">
        <f t="shared" si="2"/>
        <v>231892.80569999997</v>
      </c>
      <c r="M24" s="45">
        <f t="shared" si="3"/>
        <v>0.54545454545454541</v>
      </c>
    </row>
    <row r="25" spans="1:13" outlineLevel="2" x14ac:dyDescent="0.35">
      <c r="A25" s="42">
        <v>1623000110</v>
      </c>
      <c r="B25" s="42" t="str">
        <f>VLOOKUP(A25,'תקציב מפורט 2025'!A:O,2,FALSE)</f>
        <v>גבייה-משכורת</v>
      </c>
      <c r="C25" s="42">
        <v>61244869</v>
      </c>
      <c r="D25" s="42" t="s">
        <v>1807</v>
      </c>
      <c r="E25" s="42" t="s">
        <v>1808</v>
      </c>
      <c r="F25" s="42">
        <v>623000</v>
      </c>
      <c r="G25" s="48">
        <v>1100</v>
      </c>
      <c r="H25" s="45">
        <v>152170.46</v>
      </c>
      <c r="I25" s="45">
        <f>SUMIFS('שכר 11.2024'!N:N,'שכר 11.2024'!C:C,C:C,'שכר 11.2024'!F:F,F:F)</f>
        <v>14396.55</v>
      </c>
      <c r="J25" s="45">
        <f t="shared" si="0"/>
        <v>166567.00999999998</v>
      </c>
      <c r="K25" s="61">
        <f t="shared" si="1"/>
        <v>1.0349999999999999</v>
      </c>
      <c r="L25" s="45">
        <f t="shared" si="2"/>
        <v>172396.85534999997</v>
      </c>
      <c r="M25" s="45">
        <f t="shared" si="3"/>
        <v>1</v>
      </c>
    </row>
    <row r="26" spans="1:13" outlineLevel="2" x14ac:dyDescent="0.35">
      <c r="A26" s="42">
        <v>1623000110</v>
      </c>
      <c r="B26" s="42" t="str">
        <f>VLOOKUP(A26,'תקציב מפורט 2025'!A:O,2,FALSE)</f>
        <v>גבייה-משכורת</v>
      </c>
      <c r="C26" s="42">
        <v>206716888</v>
      </c>
      <c r="D26" s="42" t="s">
        <v>434</v>
      </c>
      <c r="E26" s="42" t="s">
        <v>1809</v>
      </c>
      <c r="F26" s="42">
        <v>623000</v>
      </c>
      <c r="G26" s="48">
        <v>825</v>
      </c>
      <c r="H26" s="45">
        <v>98448.48</v>
      </c>
      <c r="I26" s="45">
        <f>SUMIFS('שכר 11.2024'!N:N,'שכר 11.2024'!C:C,C:C,'שכר 11.2024'!F:F,F:F)</f>
        <v>10616.09</v>
      </c>
      <c r="J26" s="45">
        <f t="shared" si="0"/>
        <v>109064.56999999999</v>
      </c>
      <c r="K26" s="61">
        <f t="shared" si="1"/>
        <v>1.0349999999999999</v>
      </c>
      <c r="L26" s="45">
        <f t="shared" si="2"/>
        <v>112881.82994999998</v>
      </c>
      <c r="M26" s="45">
        <f t="shared" si="3"/>
        <v>0.75</v>
      </c>
    </row>
    <row r="27" spans="1:13" outlineLevel="1" x14ac:dyDescent="0.35">
      <c r="A27" s="63" t="s">
        <v>1989</v>
      </c>
      <c r="B27" s="63"/>
      <c r="C27" s="63"/>
      <c r="D27" s="63"/>
      <c r="E27" s="63"/>
      <c r="F27" s="63"/>
      <c r="G27" s="73">
        <f>SUBTOTAL(9,G23:G26)</f>
        <v>2925</v>
      </c>
      <c r="H27" s="64">
        <f>SUBTOTAL(9,H23:H26)</f>
        <v>514979.17999999993</v>
      </c>
      <c r="I27" s="64">
        <f>SUBTOTAL(9,I23:I26)</f>
        <v>36355.449999999997</v>
      </c>
      <c r="J27" s="64">
        <f>SUBTOTAL(9,J23:J26)</f>
        <v>551334.62999999989</v>
      </c>
      <c r="K27" s="65"/>
      <c r="L27" s="64">
        <f>SUBTOTAL(9,L23:L26)</f>
        <v>664628.02099999995</v>
      </c>
      <c r="M27" s="64">
        <f>SUBTOTAL(9,M23:M26)</f>
        <v>3.2954545454545454</v>
      </c>
    </row>
    <row r="28" spans="1:13" outlineLevel="2" x14ac:dyDescent="0.35">
      <c r="A28" s="66">
        <v>1624000110</v>
      </c>
      <c r="B28" s="66" t="str">
        <f>VLOOKUP(A28,'תקציב מפורט 2025'!A:O,2,FALSE)</f>
        <v>משכורת רישוי עסקים</v>
      </c>
      <c r="C28" s="66">
        <v>300724713</v>
      </c>
      <c r="D28" s="66" t="s">
        <v>442</v>
      </c>
      <c r="E28" s="66" t="s">
        <v>440</v>
      </c>
      <c r="F28" s="66">
        <v>624000</v>
      </c>
      <c r="G28" s="74">
        <v>400</v>
      </c>
      <c r="H28" s="67">
        <v>75660.47</v>
      </c>
      <c r="I28" s="67">
        <f>SUMIFS('שכר 11.2024'!N:N,'שכר 11.2024'!C:C,C:C,'שכר 11.2024'!F:F,F:F)</f>
        <v>18756.36</v>
      </c>
      <c r="J28" s="67">
        <f t="shared" si="0"/>
        <v>94416.83</v>
      </c>
      <c r="K28" s="68">
        <f t="shared" si="1"/>
        <v>1.0349999999999999</v>
      </c>
      <c r="L28" s="67">
        <f>I28*13</f>
        <v>243832.68</v>
      </c>
      <c r="M28" s="67">
        <v>1</v>
      </c>
    </row>
    <row r="29" spans="1:13" outlineLevel="1" x14ac:dyDescent="0.35">
      <c r="A29" s="63" t="s">
        <v>1990</v>
      </c>
      <c r="B29" s="63"/>
      <c r="C29" s="63"/>
      <c r="D29" s="63"/>
      <c r="E29" s="63"/>
      <c r="F29" s="63"/>
      <c r="G29" s="73">
        <f>SUBTOTAL(9,G28:G28)</f>
        <v>400</v>
      </c>
      <c r="H29" s="64">
        <f>SUBTOTAL(9,H28:H28)</f>
        <v>75660.47</v>
      </c>
      <c r="I29" s="64">
        <f>SUBTOTAL(9,I28:I28)</f>
        <v>18756.36</v>
      </c>
      <c r="J29" s="64">
        <f>SUBTOTAL(9,J28:J28)</f>
        <v>94416.83</v>
      </c>
      <c r="K29" s="65"/>
      <c r="L29" s="64">
        <f>SUBTOTAL(9,L28:L28)</f>
        <v>243832.68</v>
      </c>
      <c r="M29" s="64">
        <f>SUBTOTAL(9,M28:M28)</f>
        <v>1</v>
      </c>
    </row>
    <row r="30" spans="1:13" outlineLevel="2" x14ac:dyDescent="0.35">
      <c r="A30" s="42">
        <v>1711000110</v>
      </c>
      <c r="B30" s="42" t="str">
        <f>VLOOKUP(A30,'תקציב מפורט 2025'!A:O,2,FALSE)</f>
        <v>משכורת-מנהל תברואה</v>
      </c>
      <c r="C30" s="42">
        <v>24990954</v>
      </c>
      <c r="D30" s="42" t="s">
        <v>1810</v>
      </c>
      <c r="E30" s="42" t="s">
        <v>1811</v>
      </c>
      <c r="F30" s="42">
        <v>711000</v>
      </c>
      <c r="G30" s="48">
        <v>825</v>
      </c>
      <c r="H30" s="45">
        <v>139397.53</v>
      </c>
      <c r="I30" s="45">
        <f>SUMIFS('שכר 11.2024'!N:N,'שכר 11.2024'!C:C,C:C,'שכר 11.2024'!F:F,F:F)</f>
        <v>12152.59</v>
      </c>
      <c r="J30" s="45">
        <f t="shared" si="0"/>
        <v>151550.12</v>
      </c>
      <c r="K30" s="61">
        <f t="shared" si="1"/>
        <v>1.0349999999999999</v>
      </c>
      <c r="L30" s="45">
        <f t="shared" si="2"/>
        <v>156854.37419999999</v>
      </c>
      <c r="M30" s="45">
        <f t="shared" si="3"/>
        <v>0.75</v>
      </c>
    </row>
    <row r="31" spans="1:13" outlineLevel="2" x14ac:dyDescent="0.35">
      <c r="A31" s="42">
        <v>1711000110</v>
      </c>
      <c r="B31" s="42" t="str">
        <f>VLOOKUP(A31,'תקציב מפורט 2025'!A:O,2,FALSE)</f>
        <v>משכורת-מנהל תברואה</v>
      </c>
      <c r="C31" s="42">
        <v>43489194</v>
      </c>
      <c r="D31" s="42" t="s">
        <v>434</v>
      </c>
      <c r="E31" s="42" t="s">
        <v>1812</v>
      </c>
      <c r="F31" s="42">
        <v>711000</v>
      </c>
      <c r="G31" s="48">
        <v>0</v>
      </c>
      <c r="H31" s="45">
        <v>40422.93</v>
      </c>
      <c r="I31" s="45">
        <f>SUMIFS('שכר 11.2024'!N:N,'שכר 11.2024'!C:C,C:C,'שכר 11.2024'!F:F,F:F)</f>
        <v>9682.74</v>
      </c>
      <c r="J31" s="45">
        <f t="shared" si="0"/>
        <v>50105.67</v>
      </c>
      <c r="K31" s="61">
        <f t="shared" si="1"/>
        <v>1.0349999999999999</v>
      </c>
      <c r="L31" s="45">
        <f t="shared" si="2"/>
        <v>51859.368449999994</v>
      </c>
      <c r="M31" s="45">
        <f t="shared" si="3"/>
        <v>0</v>
      </c>
    </row>
    <row r="32" spans="1:13" outlineLevel="1" x14ac:dyDescent="0.35">
      <c r="A32" s="63" t="s">
        <v>1991</v>
      </c>
      <c r="B32" s="63"/>
      <c r="C32" s="63"/>
      <c r="D32" s="63"/>
      <c r="E32" s="63"/>
      <c r="F32" s="63"/>
      <c r="G32" s="73">
        <f>SUBTOTAL(9,G30:G31)</f>
        <v>825</v>
      </c>
      <c r="H32" s="64">
        <f>SUBTOTAL(9,H30:H31)</f>
        <v>179820.46</v>
      </c>
      <c r="I32" s="64">
        <f>SUBTOTAL(9,I30:I31)</f>
        <v>21835.33</v>
      </c>
      <c r="J32" s="64">
        <f>SUBTOTAL(9,J30:J31)</f>
        <v>201655.78999999998</v>
      </c>
      <c r="K32" s="65"/>
      <c r="L32" s="64">
        <f>SUBTOTAL(9,L30:L31)</f>
        <v>208713.74264999997</v>
      </c>
      <c r="M32" s="64">
        <f>SUBTOTAL(9,M30:M31)</f>
        <v>0.75</v>
      </c>
    </row>
    <row r="33" spans="1:14" outlineLevel="2" x14ac:dyDescent="0.35">
      <c r="A33" s="42">
        <v>1713000110</v>
      </c>
      <c r="B33" s="42" t="e">
        <f>VLOOKUP(A33,'תקציב מפורט 2025'!A:O,2,FALSE)</f>
        <v>#N/A</v>
      </c>
      <c r="C33" s="42">
        <v>43489194</v>
      </c>
      <c r="D33" s="42" t="s">
        <v>434</v>
      </c>
      <c r="E33" s="42" t="s">
        <v>1812</v>
      </c>
      <c r="F33" s="42">
        <v>713000</v>
      </c>
      <c r="G33" s="48">
        <v>700</v>
      </c>
      <c r="H33" s="45">
        <v>72033.62</v>
      </c>
      <c r="I33" s="45">
        <f>SUMIFS('שכר 11.2024'!N:N,'שכר 11.2024'!C:C,C:C,'שכר 11.2024'!F:F,F:F)</f>
        <v>9643.3799999999992</v>
      </c>
      <c r="J33" s="45">
        <f t="shared" si="0"/>
        <v>81677</v>
      </c>
      <c r="K33" s="61">
        <f t="shared" si="1"/>
        <v>1.0349999999999999</v>
      </c>
      <c r="L33" s="45">
        <f t="shared" si="2"/>
        <v>84535.694999999992</v>
      </c>
      <c r="M33" s="45">
        <f t="shared" si="3"/>
        <v>0.63636363636363635</v>
      </c>
    </row>
    <row r="34" spans="1:14" outlineLevel="1" x14ac:dyDescent="0.35">
      <c r="A34" s="63" t="s">
        <v>1992</v>
      </c>
      <c r="B34" s="63"/>
      <c r="C34" s="63"/>
      <c r="D34" s="63"/>
      <c r="E34" s="63"/>
      <c r="F34" s="63"/>
      <c r="G34" s="73">
        <f>SUBTOTAL(9,G33:G33)</f>
        <v>700</v>
      </c>
      <c r="H34" s="64">
        <f>SUBTOTAL(9,H33:H33)</f>
        <v>72033.62</v>
      </c>
      <c r="I34" s="64">
        <f>SUBTOTAL(9,I33:I33)</f>
        <v>9643.3799999999992</v>
      </c>
      <c r="J34" s="64">
        <f>SUBTOTAL(9,J33:J33)</f>
        <v>81677</v>
      </c>
      <c r="K34" s="65"/>
      <c r="L34" s="64">
        <f>SUBTOTAL(9,L33:L33)</f>
        <v>84535.694999999992</v>
      </c>
      <c r="M34" s="64">
        <f>SUBTOTAL(9,M33:M33)</f>
        <v>0.63636363636363635</v>
      </c>
    </row>
    <row r="35" spans="1:14" outlineLevel="2" x14ac:dyDescent="0.35">
      <c r="A35" s="42">
        <v>1722000110</v>
      </c>
      <c r="B35" s="42" t="str">
        <f>VLOOKUP(A35,'תקציב מפורט 2025'!A:O,2,FALSE)</f>
        <v>קב"ט-משכורת</v>
      </c>
      <c r="C35" s="42">
        <v>59476143</v>
      </c>
      <c r="D35" s="42" t="s">
        <v>442</v>
      </c>
      <c r="E35" s="42" t="s">
        <v>443</v>
      </c>
      <c r="F35" s="42">
        <v>722000</v>
      </c>
      <c r="G35" s="48">
        <v>1100</v>
      </c>
      <c r="H35" s="45">
        <v>259722.95</v>
      </c>
      <c r="I35" s="45">
        <f>SUMIFS('שכר 11.2024'!N:N,'שכר 11.2024'!C:C,C:C,'שכר 11.2024'!F:F,F:F)</f>
        <v>21134.57</v>
      </c>
      <c r="J35" s="45">
        <f t="shared" si="0"/>
        <v>280857.52</v>
      </c>
      <c r="K35" s="61">
        <f t="shared" si="1"/>
        <v>1.0349999999999999</v>
      </c>
      <c r="L35" s="45">
        <f t="shared" si="2"/>
        <v>290687.53320000001</v>
      </c>
      <c r="M35" s="45">
        <f t="shared" si="3"/>
        <v>1</v>
      </c>
    </row>
    <row r="36" spans="1:14" outlineLevel="1" x14ac:dyDescent="0.35">
      <c r="A36" s="63" t="s">
        <v>1993</v>
      </c>
      <c r="B36" s="63"/>
      <c r="C36" s="63"/>
      <c r="D36" s="63"/>
      <c r="E36" s="63"/>
      <c r="F36" s="63"/>
      <c r="G36" s="73">
        <f>SUBTOTAL(9,G35:G35)</f>
        <v>1100</v>
      </c>
      <c r="H36" s="64">
        <f>SUBTOTAL(9,H35:H35)</f>
        <v>259722.95</v>
      </c>
      <c r="I36" s="64">
        <f>SUBTOTAL(9,I35:I35)</f>
        <v>21134.57</v>
      </c>
      <c r="J36" s="64">
        <f>SUBTOTAL(9,J35:J35)</f>
        <v>280857.52</v>
      </c>
      <c r="K36" s="65"/>
      <c r="L36" s="64">
        <f>SUBTOTAL(9,L35:L35)</f>
        <v>290687.53320000001</v>
      </c>
      <c r="M36" s="64">
        <f>SUBTOTAL(9,M35:M35)</f>
        <v>1</v>
      </c>
    </row>
    <row r="37" spans="1:14" outlineLevel="2" x14ac:dyDescent="0.35">
      <c r="A37" s="42">
        <v>1722002110</v>
      </c>
      <c r="B37" s="42" t="str">
        <f>VLOOKUP(A37,'תקציב מפורט 2025'!A:O,2,FALSE)</f>
        <v>שמירה משכורת</v>
      </c>
      <c r="C37" s="42">
        <v>28252229</v>
      </c>
      <c r="D37" s="42" t="s">
        <v>1813</v>
      </c>
      <c r="E37" s="42" t="s">
        <v>443</v>
      </c>
      <c r="F37" s="42">
        <v>722002</v>
      </c>
      <c r="G37" s="48">
        <v>1100</v>
      </c>
      <c r="H37" s="45">
        <v>133700.01</v>
      </c>
      <c r="I37" s="45">
        <f>SUMIFS('שכר 11.2024'!N:N,'שכר 11.2024'!C:C,C:C,'שכר 11.2024'!F:F,F:F)</f>
        <v>12661.68</v>
      </c>
      <c r="J37" s="45">
        <f t="shared" si="0"/>
        <v>146361.69</v>
      </c>
      <c r="K37" s="61">
        <f t="shared" si="1"/>
        <v>1.0349999999999999</v>
      </c>
      <c r="L37" s="45">
        <f t="shared" si="2"/>
        <v>151484.34914999999</v>
      </c>
      <c r="M37" s="45">
        <f t="shared" si="3"/>
        <v>1</v>
      </c>
    </row>
    <row r="38" spans="1:14" outlineLevel="2" x14ac:dyDescent="0.35">
      <c r="A38" s="42">
        <v>1722002110</v>
      </c>
      <c r="B38" s="42" t="str">
        <f>VLOOKUP(A38,'תקציב מפורט 2025'!A:O,2,FALSE)</f>
        <v>שמירה משכורת</v>
      </c>
      <c r="C38" s="42">
        <v>56976152</v>
      </c>
      <c r="D38" s="42" t="s">
        <v>490</v>
      </c>
      <c r="E38" s="42" t="s">
        <v>1814</v>
      </c>
      <c r="F38" s="42">
        <v>722002</v>
      </c>
      <c r="G38" s="48">
        <v>445.1</v>
      </c>
      <c r="H38" s="45">
        <v>42293.64</v>
      </c>
      <c r="I38" s="45">
        <f>SUMIFS('שכר 11.2024'!N:N,'שכר 11.2024'!C:C,C:C,'שכר 11.2024'!F:F,F:F)</f>
        <v>0</v>
      </c>
      <c r="J38" s="45">
        <f t="shared" si="0"/>
        <v>42293.64</v>
      </c>
      <c r="K38" s="61">
        <f t="shared" si="1"/>
        <v>1.0349999999999999</v>
      </c>
      <c r="L38" s="45">
        <f t="shared" si="2"/>
        <v>43773.917399999998</v>
      </c>
      <c r="M38" s="45">
        <f t="shared" si="3"/>
        <v>0.40463636363636368</v>
      </c>
    </row>
    <row r="39" spans="1:14" outlineLevel="2" x14ac:dyDescent="0.35">
      <c r="A39" s="42">
        <v>1722002110</v>
      </c>
      <c r="B39" s="42" t="str">
        <f>VLOOKUP(A39,'תקציב מפורט 2025'!A:O,2,FALSE)</f>
        <v>שמירה משכורת</v>
      </c>
      <c r="C39" s="42">
        <v>208262337</v>
      </c>
      <c r="D39" s="42" t="s">
        <v>538</v>
      </c>
      <c r="E39" s="42" t="s">
        <v>1815</v>
      </c>
      <c r="F39" s="42">
        <v>722002</v>
      </c>
      <c r="G39" s="48">
        <v>580</v>
      </c>
      <c r="H39" s="45">
        <v>68971.789999999994</v>
      </c>
      <c r="I39" s="45">
        <f>SUMIFS('שכר 11.2024'!N:N,'שכר 11.2024'!C:C,C:C,'שכר 11.2024'!F:F,F:F)</f>
        <v>14209.24</v>
      </c>
      <c r="J39" s="45">
        <f t="shared" si="0"/>
        <v>83181.03</v>
      </c>
      <c r="K39" s="61">
        <f t="shared" si="1"/>
        <v>1.0349999999999999</v>
      </c>
      <c r="L39" s="45">
        <f t="shared" si="2"/>
        <v>86092.366049999997</v>
      </c>
      <c r="M39" s="45">
        <f t="shared" si="3"/>
        <v>0.52727272727272723</v>
      </c>
    </row>
    <row r="40" spans="1:14" outlineLevel="2" x14ac:dyDescent="0.35">
      <c r="A40" s="42">
        <v>1722002110</v>
      </c>
      <c r="B40" s="42" t="str">
        <f>VLOOKUP(A40,'תקציב מפורט 2025'!A:O,2,FALSE)</f>
        <v>שמירה משכורת</v>
      </c>
      <c r="C40" s="42">
        <v>212009658</v>
      </c>
      <c r="D40" s="42" t="s">
        <v>885</v>
      </c>
      <c r="E40" s="42" t="s">
        <v>1816</v>
      </c>
      <c r="F40" s="42">
        <v>722002</v>
      </c>
      <c r="G40" s="48">
        <v>441.8</v>
      </c>
      <c r="H40" s="45">
        <v>31298.31</v>
      </c>
      <c r="I40" s="45">
        <f>SUMIFS('שכר 11.2024'!N:N,'שכר 11.2024'!C:C,C:C,'שכר 11.2024'!F:F,F:F)</f>
        <v>0</v>
      </c>
      <c r="J40" s="45">
        <f t="shared" si="0"/>
        <v>31298.31</v>
      </c>
      <c r="K40" s="61">
        <f t="shared" si="1"/>
        <v>1.0349999999999999</v>
      </c>
      <c r="L40" s="45">
        <f t="shared" si="2"/>
        <v>32393.75085</v>
      </c>
      <c r="M40" s="45">
        <f t="shared" si="3"/>
        <v>0.40163636363636362</v>
      </c>
    </row>
    <row r="41" spans="1:14" outlineLevel="1" x14ac:dyDescent="0.35">
      <c r="A41" s="63" t="s">
        <v>1994</v>
      </c>
      <c r="B41" s="63"/>
      <c r="C41" s="63"/>
      <c r="D41" s="63"/>
      <c r="E41" s="63"/>
      <c r="F41" s="63"/>
      <c r="G41" s="73">
        <f>SUBTOTAL(9,G37:G40)</f>
        <v>2566.9</v>
      </c>
      <c r="H41" s="64">
        <f>SUBTOTAL(9,H37:H40)</f>
        <v>276263.75</v>
      </c>
      <c r="I41" s="64">
        <f>SUBTOTAL(9,I37:I40)</f>
        <v>26870.92</v>
      </c>
      <c r="J41" s="64">
        <f>SUBTOTAL(9,J37:J40)</f>
        <v>303134.67</v>
      </c>
      <c r="K41" s="65"/>
      <c r="L41" s="64">
        <f>SUBTOTAL(9,L37:L40)</f>
        <v>313744.38345000002</v>
      </c>
      <c r="M41" s="64">
        <f>SUBTOTAL(9,M37:M40)</f>
        <v>2.3335454545454546</v>
      </c>
    </row>
    <row r="42" spans="1:14" outlineLevel="2" x14ac:dyDescent="0.35">
      <c r="A42" s="42">
        <v>1723100110</v>
      </c>
      <c r="B42" s="42" t="str">
        <f>VLOOKUP(A42,'תקציב מפורט 2025'!A:O,2,FALSE)</f>
        <v>כח אדם אחזקת מקלטים</v>
      </c>
      <c r="C42" s="42">
        <v>33802596</v>
      </c>
      <c r="D42" s="42" t="s">
        <v>442</v>
      </c>
      <c r="E42" s="42" t="s">
        <v>1817</v>
      </c>
      <c r="F42" s="42">
        <v>723100</v>
      </c>
      <c r="G42" s="48">
        <v>1100</v>
      </c>
      <c r="H42" s="45">
        <v>124685.38</v>
      </c>
      <c r="I42" s="45">
        <f>SUMIFS('שכר 11.2024'!N:N,'שכר 11.2024'!C:C,C:C,'שכר 11.2024'!F:F,F:F)</f>
        <v>13006.9</v>
      </c>
      <c r="J42" s="45">
        <f t="shared" si="0"/>
        <v>137692.28</v>
      </c>
      <c r="K42" s="61">
        <f t="shared" si="1"/>
        <v>1.0349999999999999</v>
      </c>
      <c r="L42" s="45">
        <f t="shared" si="2"/>
        <v>142511.5098</v>
      </c>
      <c r="M42" s="45">
        <f t="shared" si="3"/>
        <v>1</v>
      </c>
    </row>
    <row r="43" spans="1:14" outlineLevel="1" x14ac:dyDescent="0.35">
      <c r="A43" s="63" t="s">
        <v>1995</v>
      </c>
      <c r="B43" s="63"/>
      <c r="C43" s="63"/>
      <c r="D43" s="63"/>
      <c r="E43" s="63"/>
      <c r="F43" s="63"/>
      <c r="G43" s="73">
        <f>SUBTOTAL(9,G42:G42)</f>
        <v>1100</v>
      </c>
      <c r="H43" s="64">
        <f>SUBTOTAL(9,H42:H42)</f>
        <v>124685.38</v>
      </c>
      <c r="I43" s="64">
        <f>SUBTOTAL(9,I42:I42)</f>
        <v>13006.9</v>
      </c>
      <c r="J43" s="64">
        <f>SUBTOTAL(9,J42:J42)</f>
        <v>137692.28</v>
      </c>
      <c r="K43" s="65"/>
      <c r="L43" s="64">
        <f>SUBTOTAL(9,L42:L42)</f>
        <v>142511.5098</v>
      </c>
      <c r="M43" s="64">
        <f>SUBTOTAL(9,M42:M42)</f>
        <v>1</v>
      </c>
    </row>
    <row r="44" spans="1:14" outlineLevel="2" x14ac:dyDescent="0.35">
      <c r="A44" s="42">
        <v>1725000110</v>
      </c>
      <c r="B44" s="42" t="str">
        <f>VLOOKUP(A44,'תקציב מפורט 2025'!A:O,2,FALSE)</f>
        <v>עיר ללא אלימות</v>
      </c>
      <c r="C44" s="42">
        <v>41703950</v>
      </c>
      <c r="D44" s="42" t="s">
        <v>434</v>
      </c>
      <c r="E44" s="42" t="s">
        <v>903</v>
      </c>
      <c r="F44" s="42">
        <v>725000</v>
      </c>
      <c r="G44" s="48">
        <v>935</v>
      </c>
      <c r="H44" s="45">
        <v>122609.06</v>
      </c>
      <c r="I44" s="45">
        <f>SUMIFS('שכר 11.2024'!N:N,'שכר 11.2024'!C:C,C:C,'שכר 11.2024'!F:F,F:F)</f>
        <v>12798.66</v>
      </c>
      <c r="J44" s="45">
        <f t="shared" si="0"/>
        <v>135407.72</v>
      </c>
      <c r="K44" s="61">
        <f t="shared" si="1"/>
        <v>1.0349999999999999</v>
      </c>
      <c r="L44" s="45">
        <f t="shared" si="2"/>
        <v>140146.9902</v>
      </c>
      <c r="M44" s="45">
        <f t="shared" si="3"/>
        <v>0.85</v>
      </c>
    </row>
    <row r="45" spans="1:14" outlineLevel="2" x14ac:dyDescent="0.35">
      <c r="A45" s="42">
        <v>1725000110</v>
      </c>
      <c r="B45" s="42" t="str">
        <f>VLOOKUP(A45,'תקציב מפורט 2025'!A:O,2,FALSE)</f>
        <v>עיר ללא אלימות</v>
      </c>
      <c r="C45" s="42">
        <v>207888785</v>
      </c>
      <c r="D45" s="42" t="s">
        <v>490</v>
      </c>
      <c r="E45" s="42" t="s">
        <v>874</v>
      </c>
      <c r="F45" s="42">
        <v>725000</v>
      </c>
      <c r="G45" s="48">
        <v>878</v>
      </c>
      <c r="H45" s="45">
        <v>73619.509999999995</v>
      </c>
      <c r="I45" s="45">
        <f>SUMIFS('שכר 11.2024'!N:N,'שכר 11.2024'!C:C,C:C,'שכר 11.2024'!F:F,F:F)</f>
        <v>4769.62</v>
      </c>
      <c r="J45" s="45">
        <f t="shared" si="0"/>
        <v>78389.12999999999</v>
      </c>
      <c r="K45" s="61">
        <f t="shared" si="1"/>
        <v>1.0349999999999999</v>
      </c>
      <c r="L45" s="45">
        <f t="shared" si="2"/>
        <v>81132.749549999979</v>
      </c>
      <c r="M45" s="45">
        <f t="shared" si="3"/>
        <v>0.79818181818181821</v>
      </c>
    </row>
    <row r="46" spans="1:14" outlineLevel="2" x14ac:dyDescent="0.35">
      <c r="A46" s="66">
        <v>1725000110</v>
      </c>
      <c r="B46" s="66" t="str">
        <f>VLOOKUP(A46,'תקציב מפורט 2025'!A:O,2,FALSE)</f>
        <v>עיר ללא אלימות</v>
      </c>
      <c r="C46" s="66">
        <v>300724713</v>
      </c>
      <c r="D46" s="66" t="s">
        <v>442</v>
      </c>
      <c r="E46" s="66" t="s">
        <v>440</v>
      </c>
      <c r="F46" s="66">
        <v>725000</v>
      </c>
      <c r="G46" s="74">
        <v>700</v>
      </c>
      <c r="H46" s="67">
        <v>147461.35999999999</v>
      </c>
      <c r="I46" s="67">
        <f>SUMIFS('שכר 11.2024'!N:N,'שכר 11.2024'!C:C,C:C,'שכר 11.2024'!F:F,F:F)</f>
        <v>580.96</v>
      </c>
      <c r="J46" s="67">
        <f t="shared" si="0"/>
        <v>148042.31999999998</v>
      </c>
      <c r="K46" s="68">
        <f t="shared" si="1"/>
        <v>1.0349999999999999</v>
      </c>
      <c r="L46" s="67">
        <f t="shared" si="2"/>
        <v>153223.80119999996</v>
      </c>
      <c r="M46" s="67">
        <f t="shared" si="3"/>
        <v>0.63636363636363635</v>
      </c>
      <c r="N46" s="41" t="s">
        <v>2051</v>
      </c>
    </row>
    <row r="47" spans="1:14" outlineLevel="2" x14ac:dyDescent="0.35">
      <c r="A47" s="42">
        <v>1725000110</v>
      </c>
      <c r="B47" s="42" t="str">
        <f>VLOOKUP(A47,'תקציב מפורט 2025'!A:O,2,FALSE)</f>
        <v>עיר ללא אלימות</v>
      </c>
      <c r="C47" s="42">
        <v>300828118</v>
      </c>
      <c r="D47" s="42" t="s">
        <v>434</v>
      </c>
      <c r="E47" s="42" t="s">
        <v>904</v>
      </c>
      <c r="F47" s="42">
        <v>725000</v>
      </c>
      <c r="G47" s="48">
        <v>935</v>
      </c>
      <c r="H47" s="45">
        <v>81997.259999999995</v>
      </c>
      <c r="I47" s="45">
        <f>SUMIFS('שכר 11.2024'!N:N,'שכר 11.2024'!C:C,C:C,'שכר 11.2024'!F:F,F:F)</f>
        <v>7765.33</v>
      </c>
      <c r="J47" s="45">
        <f t="shared" si="0"/>
        <v>89762.59</v>
      </c>
      <c r="K47" s="61">
        <f t="shared" si="1"/>
        <v>1.0349999999999999</v>
      </c>
      <c r="L47" s="45">
        <f t="shared" si="2"/>
        <v>92904.280649999986</v>
      </c>
      <c r="M47" s="45">
        <f t="shared" si="3"/>
        <v>0.85</v>
      </c>
    </row>
    <row r="48" spans="1:14" outlineLevel="2" x14ac:dyDescent="0.35">
      <c r="A48" s="42">
        <v>1725000110</v>
      </c>
      <c r="B48" s="42" t="str">
        <f>VLOOKUP(A48,'תקציב מפורט 2025'!A:O,2,FALSE)</f>
        <v>עיר ללא אלימות</v>
      </c>
      <c r="C48" s="42">
        <v>308081504</v>
      </c>
      <c r="D48" s="42" t="s">
        <v>434</v>
      </c>
      <c r="E48" s="42" t="s">
        <v>443</v>
      </c>
      <c r="F48" s="42">
        <v>725000</v>
      </c>
      <c r="G48" s="48">
        <v>508</v>
      </c>
      <c r="H48" s="45">
        <v>62887.32</v>
      </c>
      <c r="I48" s="45">
        <f>SUMIFS('שכר 11.2024'!N:N,'שכר 11.2024'!C:C,C:C,'שכר 11.2024'!F:F,F:F)</f>
        <v>6291.01</v>
      </c>
      <c r="J48" s="45">
        <f t="shared" si="0"/>
        <v>69178.33</v>
      </c>
      <c r="K48" s="61">
        <f t="shared" si="1"/>
        <v>1.0349999999999999</v>
      </c>
      <c r="L48" s="45">
        <f t="shared" si="2"/>
        <v>71599.571549999993</v>
      </c>
      <c r="M48" s="45">
        <f t="shared" si="3"/>
        <v>0.46181818181818179</v>
      </c>
    </row>
    <row r="49" spans="1:13" outlineLevel="1" x14ac:dyDescent="0.35">
      <c r="A49" s="63" t="s">
        <v>1996</v>
      </c>
      <c r="B49" s="63"/>
      <c r="C49" s="63"/>
      <c r="D49" s="63"/>
      <c r="E49" s="63"/>
      <c r="F49" s="63"/>
      <c r="G49" s="73">
        <f>SUBTOTAL(9,G44:G48)</f>
        <v>3956</v>
      </c>
      <c r="H49" s="64">
        <f>SUBTOTAL(9,H44:H48)</f>
        <v>488574.51</v>
      </c>
      <c r="I49" s="64">
        <f>SUBTOTAL(9,I44:I48)</f>
        <v>32205.58</v>
      </c>
      <c r="J49" s="64">
        <f>SUBTOTAL(9,J44:J48)</f>
        <v>520780.08999999991</v>
      </c>
      <c r="K49" s="65"/>
      <c r="L49" s="64">
        <f>SUBTOTAL(9,L44:L48)</f>
        <v>539007.3931499999</v>
      </c>
      <c r="M49" s="64">
        <f>SUBTOTAL(9,M44:M48)</f>
        <v>3.5963636363636367</v>
      </c>
    </row>
    <row r="50" spans="1:13" outlineLevel="2" x14ac:dyDescent="0.35">
      <c r="A50" s="42">
        <v>1725004110</v>
      </c>
      <c r="B50" s="42" t="str">
        <f>VLOOKUP(A50,'תקציב מפורט 2025'!A:O,2,FALSE)</f>
        <v>עו"סית משטרה</v>
      </c>
      <c r="C50" s="42">
        <v>313590135</v>
      </c>
      <c r="D50" s="42" t="s">
        <v>1818</v>
      </c>
      <c r="E50" s="42" t="s">
        <v>1819</v>
      </c>
      <c r="F50" s="42">
        <v>725004</v>
      </c>
      <c r="G50" s="48">
        <v>832.1</v>
      </c>
      <c r="H50" s="45">
        <v>143221.10999999999</v>
      </c>
      <c r="I50" s="45">
        <f>SUMIFS('שכר 11.2024'!N:N,'שכר 11.2024'!C:C,C:C,'שכר 11.2024'!F:F,F:F)</f>
        <v>2296.2600000000002</v>
      </c>
      <c r="J50" s="45">
        <f t="shared" si="0"/>
        <v>145517.37</v>
      </c>
      <c r="K50" s="61">
        <f t="shared" si="1"/>
        <v>1.0349999999999999</v>
      </c>
      <c r="L50" s="45">
        <f t="shared" si="2"/>
        <v>150610.47794999997</v>
      </c>
      <c r="M50" s="45">
        <f t="shared" si="3"/>
        <v>0.75645454545454549</v>
      </c>
    </row>
    <row r="51" spans="1:13" outlineLevel="1" x14ac:dyDescent="0.35">
      <c r="A51" s="63" t="s">
        <v>1997</v>
      </c>
      <c r="B51" s="63"/>
      <c r="C51" s="63"/>
      <c r="D51" s="63"/>
      <c r="E51" s="63"/>
      <c r="F51" s="63"/>
      <c r="G51" s="73">
        <f>SUBTOTAL(9,G50:G50)</f>
        <v>832.1</v>
      </c>
      <c r="H51" s="64">
        <f>SUBTOTAL(9,H50:H50)</f>
        <v>143221.10999999999</v>
      </c>
      <c r="I51" s="64">
        <f>SUBTOTAL(9,I50:I50)</f>
        <v>2296.2600000000002</v>
      </c>
      <c r="J51" s="64">
        <f>SUBTOTAL(9,J50:J50)</f>
        <v>145517.37</v>
      </c>
      <c r="K51" s="65"/>
      <c r="L51" s="64">
        <f>SUBTOTAL(9,L50:L50)</f>
        <v>150610.47794999997</v>
      </c>
      <c r="M51" s="64">
        <f>SUBTOTAL(9,M50:M50)</f>
        <v>0.75645454545454549</v>
      </c>
    </row>
    <row r="52" spans="1:13" outlineLevel="2" x14ac:dyDescent="0.35">
      <c r="A52" s="42">
        <v>1731000110</v>
      </c>
      <c r="B52" s="42" t="str">
        <f>VLOOKUP(A52,'תקציב מפורט 2025'!A:O,2,FALSE)</f>
        <v>מהנדס-משכורת</v>
      </c>
      <c r="C52" s="42">
        <v>24990954</v>
      </c>
      <c r="D52" s="42" t="s">
        <v>1810</v>
      </c>
      <c r="E52" s="42" t="s">
        <v>1811</v>
      </c>
      <c r="F52" s="42">
        <v>731000</v>
      </c>
      <c r="G52" s="48">
        <v>0</v>
      </c>
      <c r="H52" s="45">
        <v>5195.79</v>
      </c>
      <c r="I52" s="45">
        <f>SUMIFS('שכר 11.2024'!N:N,'שכר 11.2024'!C:C,C:C,'שכר 11.2024'!F:F,F:F)</f>
        <v>0</v>
      </c>
      <c r="J52" s="45">
        <f t="shared" si="0"/>
        <v>5195.79</v>
      </c>
      <c r="K52" s="61">
        <f t="shared" si="1"/>
        <v>1.0349999999999999</v>
      </c>
      <c r="L52" s="45">
        <f t="shared" si="2"/>
        <v>5377.6426499999998</v>
      </c>
      <c r="M52" s="45">
        <f t="shared" si="3"/>
        <v>0</v>
      </c>
    </row>
    <row r="53" spans="1:13" outlineLevel="2" x14ac:dyDescent="0.35">
      <c r="A53" s="42">
        <v>1731000110</v>
      </c>
      <c r="B53" s="42" t="str">
        <f>VLOOKUP(A53,'תקציב מפורט 2025'!A:O,2,FALSE)</f>
        <v>מהנדס-משכורת</v>
      </c>
      <c r="C53" s="42">
        <v>28172401</v>
      </c>
      <c r="D53" s="42" t="s">
        <v>1820</v>
      </c>
      <c r="E53" s="42" t="s">
        <v>539</v>
      </c>
      <c r="F53" s="42">
        <v>731000</v>
      </c>
      <c r="G53" s="48">
        <v>0</v>
      </c>
      <c r="H53" s="45">
        <v>7612.35</v>
      </c>
      <c r="I53" s="45">
        <f>SUMIFS('שכר 11.2024'!N:N,'שכר 11.2024'!C:C,C:C,'שכר 11.2024'!F:F,F:F)</f>
        <v>0</v>
      </c>
      <c r="J53" s="45">
        <f t="shared" si="0"/>
        <v>7612.35</v>
      </c>
      <c r="K53" s="61">
        <f t="shared" si="1"/>
        <v>1.0349999999999999</v>
      </c>
      <c r="L53" s="45">
        <f t="shared" si="2"/>
        <v>7878.7822500000002</v>
      </c>
      <c r="M53" s="45">
        <f t="shared" si="3"/>
        <v>0</v>
      </c>
    </row>
    <row r="54" spans="1:13" outlineLevel="2" x14ac:dyDescent="0.35">
      <c r="A54" s="42">
        <v>1731000110</v>
      </c>
      <c r="B54" s="42" t="str">
        <f>VLOOKUP(A54,'תקציב מפורט 2025'!A:O,2,FALSE)</f>
        <v>מהנדס-משכורת</v>
      </c>
      <c r="C54" s="42">
        <v>57268989</v>
      </c>
      <c r="D54" s="42" t="s">
        <v>1821</v>
      </c>
      <c r="E54" s="42" t="s">
        <v>1822</v>
      </c>
      <c r="F54" s="42">
        <v>731000</v>
      </c>
      <c r="G54" s="48">
        <v>1100</v>
      </c>
      <c r="H54" s="45">
        <v>489008.51</v>
      </c>
      <c r="I54" s="45">
        <f>SUMIFS('שכר 11.2024'!N:N,'שכר 11.2024'!C:C,C:C,'שכר 11.2024'!F:F,F:F)</f>
        <v>42709.53</v>
      </c>
      <c r="J54" s="45">
        <f t="shared" si="0"/>
        <v>531718.04</v>
      </c>
      <c r="K54" s="61">
        <f t="shared" si="1"/>
        <v>1.0349999999999999</v>
      </c>
      <c r="L54" s="45">
        <f t="shared" si="2"/>
        <v>550328.17139999999</v>
      </c>
      <c r="M54" s="45">
        <f t="shared" si="3"/>
        <v>1</v>
      </c>
    </row>
    <row r="55" spans="1:13" outlineLevel="2" x14ac:dyDescent="0.35">
      <c r="A55" s="42">
        <v>1731000110</v>
      </c>
      <c r="B55" s="42" t="str">
        <f>VLOOKUP(A55,'תקציב מפורט 2025'!A:O,2,FALSE)</f>
        <v>מהנדס-משכורת</v>
      </c>
      <c r="C55" s="42">
        <v>318977840</v>
      </c>
      <c r="D55" s="42" t="s">
        <v>434</v>
      </c>
      <c r="E55" s="42" t="s">
        <v>898</v>
      </c>
      <c r="F55" s="42">
        <v>731000</v>
      </c>
      <c r="G55" s="48">
        <v>858</v>
      </c>
      <c r="H55" s="45">
        <v>79275.28</v>
      </c>
      <c r="I55" s="45">
        <f>SUMIFS('שכר 11.2024'!N:N,'שכר 11.2024'!C:C,C:C,'שכר 11.2024'!F:F,F:F)</f>
        <v>11746.34</v>
      </c>
      <c r="J55" s="45">
        <f t="shared" si="0"/>
        <v>91021.62</v>
      </c>
      <c r="K55" s="61">
        <f t="shared" si="1"/>
        <v>1.0349999999999999</v>
      </c>
      <c r="L55" s="45">
        <f t="shared" si="2"/>
        <v>94207.376699999993</v>
      </c>
      <c r="M55" s="45">
        <f t="shared" si="3"/>
        <v>0.78</v>
      </c>
    </row>
    <row r="56" spans="1:13" outlineLevel="1" x14ac:dyDescent="0.35">
      <c r="A56" s="63" t="s">
        <v>1998</v>
      </c>
      <c r="B56" s="63"/>
      <c r="C56" s="63"/>
      <c r="D56" s="63"/>
      <c r="E56" s="63"/>
      <c r="F56" s="63"/>
      <c r="G56" s="73">
        <f>SUBTOTAL(9,G52:G55)</f>
        <v>1958</v>
      </c>
      <c r="H56" s="64">
        <f>SUBTOTAL(9,H52:H55)</f>
        <v>581091.93000000005</v>
      </c>
      <c r="I56" s="64">
        <f>SUBTOTAL(9,I52:I55)</f>
        <v>54455.869999999995</v>
      </c>
      <c r="J56" s="64">
        <f>SUBTOTAL(9,J52:J55)</f>
        <v>635547.80000000005</v>
      </c>
      <c r="K56" s="65"/>
      <c r="L56" s="64">
        <f>SUBTOTAL(9,L52:L55)</f>
        <v>657791.973</v>
      </c>
      <c r="M56" s="64">
        <f>SUBTOTAL(9,M52:M55)</f>
        <v>1.78</v>
      </c>
    </row>
    <row r="57" spans="1:13" outlineLevel="2" x14ac:dyDescent="0.35">
      <c r="A57" s="42">
        <v>1741000110</v>
      </c>
      <c r="B57" s="42" t="str">
        <f>VLOOKUP(A57,'תקציב מפורט 2025'!A:O,2,FALSE)</f>
        <v>נכסים ציבוריים-משכורת</v>
      </c>
      <c r="C57" s="42">
        <v>29214590</v>
      </c>
      <c r="D57" s="42" t="s">
        <v>601</v>
      </c>
      <c r="E57" s="42" t="s">
        <v>443</v>
      </c>
      <c r="F57" s="42">
        <v>741000</v>
      </c>
      <c r="G57" s="48">
        <v>1100</v>
      </c>
      <c r="H57" s="45">
        <v>147799.23000000001</v>
      </c>
      <c r="I57" s="45">
        <f>SUMIFS('שכר 11.2024'!N:N,'שכר 11.2024'!C:C,C:C,'שכר 11.2024'!F:F,F:F)</f>
        <v>12489.81</v>
      </c>
      <c r="J57" s="45">
        <f t="shared" si="0"/>
        <v>160289.04</v>
      </c>
      <c r="K57" s="61">
        <f t="shared" si="1"/>
        <v>1.0349999999999999</v>
      </c>
      <c r="L57" s="45">
        <f t="shared" si="2"/>
        <v>165899.15640000001</v>
      </c>
      <c r="M57" s="45">
        <f t="shared" si="3"/>
        <v>1</v>
      </c>
    </row>
    <row r="58" spans="1:13" outlineLevel="2" x14ac:dyDescent="0.35">
      <c r="A58" s="42">
        <v>1741000110</v>
      </c>
      <c r="B58" s="42" t="str">
        <f>VLOOKUP(A58,'תקציב מפורט 2025'!A:O,2,FALSE)</f>
        <v>נכסים ציבוריים-משכורת</v>
      </c>
      <c r="C58" s="42">
        <v>43489194</v>
      </c>
      <c r="D58" s="42" t="s">
        <v>434</v>
      </c>
      <c r="E58" s="42" t="s">
        <v>1812</v>
      </c>
      <c r="F58" s="42">
        <v>741000</v>
      </c>
      <c r="G58" s="48">
        <v>400</v>
      </c>
      <c r="H58" s="45">
        <v>63320.88</v>
      </c>
      <c r="I58" s="45">
        <f>SUMIFS('שכר 11.2024'!N:N,'שכר 11.2024'!C:C,C:C,'שכר 11.2024'!F:F,F:F)</f>
        <v>913.6</v>
      </c>
      <c r="J58" s="45">
        <f t="shared" si="0"/>
        <v>64234.479999999996</v>
      </c>
      <c r="K58" s="61">
        <f t="shared" si="1"/>
        <v>1.0349999999999999</v>
      </c>
      <c r="L58" s="45">
        <f t="shared" si="2"/>
        <v>66482.686799999996</v>
      </c>
      <c r="M58" s="45">
        <f t="shared" si="3"/>
        <v>0.36363636363636365</v>
      </c>
    </row>
    <row r="59" spans="1:13" outlineLevel="1" x14ac:dyDescent="0.35">
      <c r="A59" s="63" t="s">
        <v>1999</v>
      </c>
      <c r="B59" s="63"/>
      <c r="C59" s="63"/>
      <c r="D59" s="63"/>
      <c r="E59" s="63"/>
      <c r="F59" s="63"/>
      <c r="G59" s="73">
        <f>SUBTOTAL(9,G57:G58)</f>
        <v>1500</v>
      </c>
      <c r="H59" s="64">
        <f>SUBTOTAL(9,H57:H58)</f>
        <v>211120.11000000002</v>
      </c>
      <c r="I59" s="64">
        <f>SUBTOTAL(9,I57:I58)</f>
        <v>13403.41</v>
      </c>
      <c r="J59" s="64">
        <f>SUBTOTAL(9,J57:J58)</f>
        <v>224523.52000000002</v>
      </c>
      <c r="K59" s="65"/>
      <c r="L59" s="64">
        <f>SUBTOTAL(9,L57:L58)</f>
        <v>232381.8432</v>
      </c>
      <c r="M59" s="64">
        <f>SUBTOTAL(9,M57:M58)</f>
        <v>1.3636363636363638</v>
      </c>
    </row>
    <row r="60" spans="1:13" outlineLevel="2" x14ac:dyDescent="0.35">
      <c r="A60" s="42">
        <v>1742200110</v>
      </c>
      <c r="B60" s="42" t="str">
        <f>VLOOKUP(A60,'תקציב מפורט 2025'!A:O,2,FALSE)</f>
        <v>אח.כבישים פנימיים-שכר</v>
      </c>
      <c r="C60" s="42">
        <v>36665248</v>
      </c>
      <c r="D60" s="42" t="s">
        <v>448</v>
      </c>
      <c r="E60" s="42" t="s">
        <v>850</v>
      </c>
      <c r="F60" s="42">
        <v>742200</v>
      </c>
      <c r="G60" s="48">
        <v>400</v>
      </c>
      <c r="H60" s="45">
        <v>38332.74</v>
      </c>
      <c r="I60" s="45">
        <f>SUMIFS('שכר 11.2024'!N:N,'שכר 11.2024'!C:C,C:C,'שכר 11.2024'!F:F,F:F)</f>
        <v>0</v>
      </c>
      <c r="J60" s="45">
        <f t="shared" si="0"/>
        <v>38332.74</v>
      </c>
      <c r="K60" s="61">
        <f t="shared" si="1"/>
        <v>1.0349999999999999</v>
      </c>
      <c r="L60" s="45">
        <f t="shared" si="2"/>
        <v>39674.385899999994</v>
      </c>
      <c r="M60" s="45">
        <f t="shared" si="3"/>
        <v>0.36363636363636365</v>
      </c>
    </row>
    <row r="61" spans="1:13" outlineLevel="1" x14ac:dyDescent="0.35">
      <c r="A61" s="63" t="s">
        <v>2000</v>
      </c>
      <c r="B61" s="63"/>
      <c r="C61" s="63"/>
      <c r="D61" s="63"/>
      <c r="E61" s="63"/>
      <c r="F61" s="63"/>
      <c r="G61" s="73">
        <f>SUBTOTAL(9,G60:G60)</f>
        <v>400</v>
      </c>
      <c r="H61" s="64">
        <f>SUBTOTAL(9,H60:H60)</f>
        <v>38332.74</v>
      </c>
      <c r="I61" s="64">
        <f>SUBTOTAL(9,I60:I60)</f>
        <v>0</v>
      </c>
      <c r="J61" s="64">
        <f>SUBTOTAL(9,J60:J60)</f>
        <v>38332.74</v>
      </c>
      <c r="K61" s="65"/>
      <c r="L61" s="64">
        <f>SUBTOTAL(9,L60:L60)</f>
        <v>39674.385899999994</v>
      </c>
      <c r="M61" s="64">
        <f>SUBTOTAL(9,M60:M60)</f>
        <v>0.36363636363636365</v>
      </c>
    </row>
    <row r="62" spans="1:13" outlineLevel="2" x14ac:dyDescent="0.35">
      <c r="A62" s="42">
        <v>1747200110</v>
      </c>
      <c r="B62" s="42" t="str">
        <f>VLOOKUP(A62,'תקציב מפורט 2025'!A:O,2,FALSE)</f>
        <v>חוף רחצה-משכורת</v>
      </c>
      <c r="C62" s="42">
        <v>26444315</v>
      </c>
      <c r="D62" s="42" t="s">
        <v>448</v>
      </c>
      <c r="E62" s="42" t="s">
        <v>469</v>
      </c>
      <c r="F62" s="42">
        <v>747200</v>
      </c>
      <c r="G62" s="48">
        <v>1227.4000000000001</v>
      </c>
      <c r="H62" s="45">
        <v>88348.12</v>
      </c>
      <c r="I62" s="45">
        <f>SUMIFS('שכר 11.2024'!N:N,'שכר 11.2024'!C:C,C:C,'שכר 11.2024'!F:F,F:F)</f>
        <v>7367.18</v>
      </c>
      <c r="J62" s="45">
        <f t="shared" si="0"/>
        <v>95715.299999999988</v>
      </c>
      <c r="K62" s="61">
        <f t="shared" si="1"/>
        <v>1.0349999999999999</v>
      </c>
      <c r="L62" s="45">
        <f t="shared" si="2"/>
        <v>99065.335499999986</v>
      </c>
      <c r="M62" s="45">
        <f t="shared" si="3"/>
        <v>1.1158181818181818</v>
      </c>
    </row>
    <row r="63" spans="1:13" outlineLevel="2" x14ac:dyDescent="0.35">
      <c r="A63" s="42">
        <v>1747200110</v>
      </c>
      <c r="B63" s="42" t="str">
        <f>VLOOKUP(A63,'תקציב מפורט 2025'!A:O,2,FALSE)</f>
        <v>חוף רחצה-משכורת</v>
      </c>
      <c r="C63" s="42">
        <v>27509249</v>
      </c>
      <c r="D63" s="42" t="s">
        <v>490</v>
      </c>
      <c r="E63" s="42" t="s">
        <v>600</v>
      </c>
      <c r="F63" s="42">
        <v>747200</v>
      </c>
      <c r="G63" s="48">
        <v>0</v>
      </c>
      <c r="H63" s="45">
        <v>4235.55</v>
      </c>
      <c r="I63" s="45">
        <f>SUMIFS('שכר 11.2024'!N:N,'שכר 11.2024'!C:C,C:C,'שכר 11.2024'!F:F,F:F)</f>
        <v>0</v>
      </c>
      <c r="J63" s="45">
        <f t="shared" si="0"/>
        <v>4235.55</v>
      </c>
      <c r="K63" s="61">
        <f t="shared" si="1"/>
        <v>1.0349999999999999</v>
      </c>
      <c r="L63" s="45">
        <f t="shared" si="2"/>
        <v>4383.7942499999999</v>
      </c>
      <c r="M63" s="45">
        <f t="shared" si="3"/>
        <v>0</v>
      </c>
    </row>
    <row r="64" spans="1:13" outlineLevel="2" x14ac:dyDescent="0.35">
      <c r="A64" s="42">
        <v>1747200110</v>
      </c>
      <c r="B64" s="42" t="str">
        <f>VLOOKUP(A64,'תקציב מפורט 2025'!A:O,2,FALSE)</f>
        <v>חוף רחצה-משכורת</v>
      </c>
      <c r="C64" s="42">
        <v>33397050</v>
      </c>
      <c r="D64" s="42" t="s">
        <v>490</v>
      </c>
      <c r="E64" s="42" t="s">
        <v>573</v>
      </c>
      <c r="F64" s="42">
        <v>747200</v>
      </c>
      <c r="G64" s="48">
        <v>754.8</v>
      </c>
      <c r="H64" s="45">
        <v>144898.01999999999</v>
      </c>
      <c r="I64" s="45">
        <f>SUMIFS('שכר 11.2024'!N:N,'שכר 11.2024'!C:C,C:C,'שכר 11.2024'!F:F,F:F)</f>
        <v>10569.43</v>
      </c>
      <c r="J64" s="45">
        <f t="shared" si="0"/>
        <v>155467.44999999998</v>
      </c>
      <c r="K64" s="61">
        <f t="shared" si="1"/>
        <v>1.0349999999999999</v>
      </c>
      <c r="L64" s="45">
        <f t="shared" si="2"/>
        <v>160908.81074999998</v>
      </c>
      <c r="M64" s="45">
        <f t="shared" si="3"/>
        <v>0.68618181818181812</v>
      </c>
    </row>
    <row r="65" spans="1:13" outlineLevel="2" x14ac:dyDescent="0.35">
      <c r="A65" s="42">
        <v>1747200110</v>
      </c>
      <c r="B65" s="42" t="str">
        <f>VLOOKUP(A65,'תקציב מפורט 2025'!A:O,2,FALSE)</f>
        <v>חוף רחצה-משכורת</v>
      </c>
      <c r="C65" s="42">
        <v>59407874</v>
      </c>
      <c r="D65" s="42" t="s">
        <v>599</v>
      </c>
      <c r="E65" s="42" t="s">
        <v>443</v>
      </c>
      <c r="F65" s="42">
        <v>747200</v>
      </c>
      <c r="G65" s="48">
        <v>754.8</v>
      </c>
      <c r="H65" s="45">
        <v>177597.34</v>
      </c>
      <c r="I65" s="45">
        <f>SUMIFS('שכר 11.2024'!N:N,'שכר 11.2024'!C:C,C:C,'שכר 11.2024'!F:F,F:F)</f>
        <v>4186.2</v>
      </c>
      <c r="J65" s="45">
        <f t="shared" si="0"/>
        <v>181783.54</v>
      </c>
      <c r="K65" s="61">
        <f t="shared" si="1"/>
        <v>1.0349999999999999</v>
      </c>
      <c r="L65" s="45">
        <f t="shared" si="2"/>
        <v>188145.9639</v>
      </c>
      <c r="M65" s="45">
        <f t="shared" si="3"/>
        <v>0.68618181818181812</v>
      </c>
    </row>
    <row r="66" spans="1:13" outlineLevel="2" x14ac:dyDescent="0.35">
      <c r="A66" s="42">
        <v>1747200110</v>
      </c>
      <c r="B66" s="42" t="str">
        <f>VLOOKUP(A66,'תקציב מפורט 2025'!A:O,2,FALSE)</f>
        <v>חוף רחצה-משכורת</v>
      </c>
      <c r="C66" s="42">
        <v>314638966</v>
      </c>
      <c r="D66" s="42" t="s">
        <v>434</v>
      </c>
      <c r="E66" s="42" t="s">
        <v>1823</v>
      </c>
      <c r="F66" s="42">
        <v>747200</v>
      </c>
      <c r="G66" s="48">
        <v>604.1</v>
      </c>
      <c r="H66" s="45">
        <v>53022.89</v>
      </c>
      <c r="I66" s="45">
        <f>SUMIFS('שכר 11.2024'!N:N,'שכר 11.2024'!C:C,C:C,'שכר 11.2024'!F:F,F:F)</f>
        <v>0</v>
      </c>
      <c r="J66" s="45">
        <f t="shared" si="0"/>
        <v>53022.89</v>
      </c>
      <c r="K66" s="61">
        <f t="shared" si="1"/>
        <v>1.0349999999999999</v>
      </c>
      <c r="L66" s="45">
        <f t="shared" si="2"/>
        <v>54878.691149999999</v>
      </c>
      <c r="M66" s="45">
        <f t="shared" si="3"/>
        <v>0.54918181818181822</v>
      </c>
    </row>
    <row r="67" spans="1:13" outlineLevel="1" x14ac:dyDescent="0.35">
      <c r="A67" s="63" t="s">
        <v>2001</v>
      </c>
      <c r="B67" s="63"/>
      <c r="C67" s="63"/>
      <c r="D67" s="63"/>
      <c r="E67" s="63"/>
      <c r="F67" s="63"/>
      <c r="G67" s="73">
        <f>SUBTOTAL(9,G62:G66)</f>
        <v>3341.1</v>
      </c>
      <c r="H67" s="64">
        <f>SUBTOTAL(9,H62:H66)</f>
        <v>468101.92000000004</v>
      </c>
      <c r="I67" s="64">
        <f>SUBTOTAL(9,I62:I66)</f>
        <v>22122.81</v>
      </c>
      <c r="J67" s="64">
        <f>SUBTOTAL(9,J62:J66)</f>
        <v>490224.73</v>
      </c>
      <c r="K67" s="65"/>
      <c r="L67" s="64">
        <f>SUBTOTAL(9,L62:L66)</f>
        <v>507382.59554999997</v>
      </c>
      <c r="M67" s="64">
        <f>SUBTOTAL(9,M62:M66)</f>
        <v>3.0373636363636365</v>
      </c>
    </row>
    <row r="68" spans="1:13" outlineLevel="2" x14ac:dyDescent="0.35">
      <c r="A68" s="42">
        <v>1811000110</v>
      </c>
      <c r="B68" s="42" t="str">
        <f>VLOOKUP(A68,'תקציב מפורט 2025'!A:O,2,FALSE)</f>
        <v>מנהל חינוך-משכורת</v>
      </c>
      <c r="C68" s="42">
        <v>55848675</v>
      </c>
      <c r="D68" s="42" t="s">
        <v>434</v>
      </c>
      <c r="E68" s="42" t="s">
        <v>503</v>
      </c>
      <c r="F68" s="42">
        <v>811000</v>
      </c>
      <c r="G68" s="48">
        <v>1100</v>
      </c>
      <c r="H68" s="45">
        <v>363363.79</v>
      </c>
      <c r="I68" s="45">
        <f>SUMIFS('שכר 11.2024'!N:N,'שכר 11.2024'!C:C,C:C,'שכר 11.2024'!F:F,F:F)</f>
        <v>29462.39</v>
      </c>
      <c r="J68" s="45">
        <f t="shared" si="0"/>
        <v>392826.18</v>
      </c>
      <c r="K68" s="61">
        <f t="shared" si="1"/>
        <v>1.0349999999999999</v>
      </c>
      <c r="L68" s="45">
        <f t="shared" si="2"/>
        <v>406575.09629999998</v>
      </c>
      <c r="M68" s="45">
        <f t="shared" si="3"/>
        <v>1</v>
      </c>
    </row>
    <row r="69" spans="1:13" outlineLevel="2" x14ac:dyDescent="0.35">
      <c r="A69" s="42">
        <v>1811000110</v>
      </c>
      <c r="B69" s="42" t="str">
        <f>VLOOKUP(A69,'תקציב מפורט 2025'!A:O,2,FALSE)</f>
        <v>מנהל חינוך-משכורת</v>
      </c>
      <c r="C69" s="42">
        <v>23128382</v>
      </c>
      <c r="D69" s="42" t="s">
        <v>1824</v>
      </c>
      <c r="E69" s="42" t="s">
        <v>598</v>
      </c>
      <c r="F69" s="42">
        <v>811100</v>
      </c>
      <c r="G69" s="48">
        <v>1100</v>
      </c>
      <c r="H69" s="45">
        <v>377609.14</v>
      </c>
      <c r="I69" s="45">
        <f>SUMIFS('שכר 11.2024'!N:N,'שכר 11.2024'!C:C,C:C,'שכר 11.2024'!F:F,F:F)</f>
        <v>29963.54</v>
      </c>
      <c r="J69" s="45">
        <f t="shared" si="0"/>
        <v>407572.68</v>
      </c>
      <c r="K69" s="61">
        <f t="shared" si="1"/>
        <v>1.0349999999999999</v>
      </c>
      <c r="L69" s="45">
        <f t="shared" si="2"/>
        <v>421837.72379999998</v>
      </c>
      <c r="M69" s="45">
        <f t="shared" si="3"/>
        <v>1</v>
      </c>
    </row>
    <row r="70" spans="1:13" outlineLevel="2" x14ac:dyDescent="0.35">
      <c r="A70" s="42">
        <v>1811000110</v>
      </c>
      <c r="B70" s="42" t="str">
        <f>VLOOKUP(A70,'תקציב מפורט 2025'!A:O,2,FALSE)</f>
        <v>מנהל חינוך-משכורת</v>
      </c>
      <c r="C70" s="42">
        <v>305302903</v>
      </c>
      <c r="D70" s="42" t="s">
        <v>434</v>
      </c>
      <c r="E70" s="42" t="s">
        <v>897</v>
      </c>
      <c r="F70" s="42">
        <v>811100</v>
      </c>
      <c r="G70" s="48">
        <v>1100</v>
      </c>
      <c r="H70" s="45">
        <v>189950.41</v>
      </c>
      <c r="I70" s="45">
        <f>SUMIFS('שכר 11.2024'!N:N,'שכר 11.2024'!C:C,C:C,'שכר 11.2024'!F:F,F:F)</f>
        <v>17159.04</v>
      </c>
      <c r="J70" s="45">
        <f t="shared" si="0"/>
        <v>207109.45</v>
      </c>
      <c r="K70" s="61">
        <f t="shared" si="1"/>
        <v>1.0349999999999999</v>
      </c>
      <c r="L70" s="45">
        <f t="shared" si="2"/>
        <v>214358.28075000001</v>
      </c>
      <c r="M70" s="45">
        <f t="shared" si="3"/>
        <v>1</v>
      </c>
    </row>
    <row r="71" spans="1:13" outlineLevel="1" x14ac:dyDescent="0.35">
      <c r="A71" s="63" t="s">
        <v>2002</v>
      </c>
      <c r="B71" s="63"/>
      <c r="C71" s="63"/>
      <c r="D71" s="63"/>
      <c r="E71" s="63"/>
      <c r="F71" s="63"/>
      <c r="G71" s="73">
        <f>SUBTOTAL(9,G68:G70)</f>
        <v>3300</v>
      </c>
      <c r="H71" s="64">
        <f>SUBTOTAL(9,H68:H70)</f>
        <v>930923.34</v>
      </c>
      <c r="I71" s="64">
        <f>SUBTOTAL(9,I68:I70)</f>
        <v>76584.97</v>
      </c>
      <c r="J71" s="64">
        <f>SUBTOTAL(9,J68:J70)</f>
        <v>1007508.31</v>
      </c>
      <c r="K71" s="65"/>
      <c r="L71" s="64">
        <f>SUBTOTAL(9,L68:L70)</f>
        <v>1042771.1008499999</v>
      </c>
      <c r="M71" s="64">
        <f>SUBTOTAL(9,M68:M70)</f>
        <v>3</v>
      </c>
    </row>
    <row r="72" spans="1:13" outlineLevel="2" x14ac:dyDescent="0.35">
      <c r="A72" s="42">
        <v>1812200110</v>
      </c>
      <c r="B72" s="42" t="str">
        <f>VLOOKUP(A72,'תקציב מפורט 2025'!A:O,2,FALSE)</f>
        <v>גני"י חובה-משכורת</v>
      </c>
      <c r="C72" s="42">
        <v>25908609</v>
      </c>
      <c r="D72" s="42" t="s">
        <v>434</v>
      </c>
      <c r="E72" s="42" t="s">
        <v>544</v>
      </c>
      <c r="F72" s="42">
        <v>812200</v>
      </c>
      <c r="G72" s="48">
        <v>1100</v>
      </c>
      <c r="H72" s="45">
        <v>167318.71</v>
      </c>
      <c r="I72" s="45">
        <f>SUMIFS('שכר 11.2024'!N:N,'שכר 11.2024'!C:C,C:C,'שכר 11.2024'!F:F,F:F)</f>
        <v>13786.48</v>
      </c>
      <c r="J72" s="45">
        <f t="shared" si="0"/>
        <v>181105.19</v>
      </c>
      <c r="K72" s="61">
        <f t="shared" si="1"/>
        <v>1.0349999999999999</v>
      </c>
      <c r="L72" s="45">
        <f t="shared" si="2"/>
        <v>187443.87164999999</v>
      </c>
      <c r="M72" s="45">
        <f t="shared" si="3"/>
        <v>1</v>
      </c>
    </row>
    <row r="73" spans="1:13" outlineLevel="2" x14ac:dyDescent="0.35">
      <c r="A73" s="42">
        <v>1812200110</v>
      </c>
      <c r="B73" s="42" t="str">
        <f>VLOOKUP(A73,'תקציב מפורט 2025'!A:O,2,FALSE)</f>
        <v>גני"י חובה-משכורת</v>
      </c>
      <c r="C73" s="42">
        <v>26183228</v>
      </c>
      <c r="D73" s="42" t="s">
        <v>434</v>
      </c>
      <c r="E73" s="42" t="s">
        <v>597</v>
      </c>
      <c r="F73" s="42">
        <v>812200</v>
      </c>
      <c r="G73" s="48">
        <v>1100</v>
      </c>
      <c r="H73" s="45">
        <v>156106.44</v>
      </c>
      <c r="I73" s="45">
        <f>SUMIFS('שכר 11.2024'!N:N,'שכר 11.2024'!C:C,C:C,'שכר 11.2024'!F:F,F:F)</f>
        <v>13263.2</v>
      </c>
      <c r="J73" s="45">
        <f t="shared" si="0"/>
        <v>169369.64</v>
      </c>
      <c r="K73" s="61">
        <f t="shared" si="1"/>
        <v>1.0349999999999999</v>
      </c>
      <c r="L73" s="45">
        <f t="shared" si="2"/>
        <v>175297.57740000001</v>
      </c>
      <c r="M73" s="45">
        <f t="shared" si="3"/>
        <v>1</v>
      </c>
    </row>
    <row r="74" spans="1:13" outlineLevel="2" x14ac:dyDescent="0.35">
      <c r="A74" s="42">
        <v>1812200110</v>
      </c>
      <c r="B74" s="42" t="str">
        <f>VLOOKUP(A74,'תקציב מפורט 2025'!A:O,2,FALSE)</f>
        <v>גני"י חובה-משכורת</v>
      </c>
      <c r="C74" s="42">
        <v>26195446</v>
      </c>
      <c r="D74" s="42" t="s">
        <v>538</v>
      </c>
      <c r="E74" s="42" t="s">
        <v>820</v>
      </c>
      <c r="F74" s="42">
        <v>812200</v>
      </c>
      <c r="G74" s="48">
        <v>593.4</v>
      </c>
      <c r="H74" s="45">
        <v>46039.62</v>
      </c>
      <c r="I74" s="45">
        <f>SUMIFS('שכר 11.2024'!N:N,'שכר 11.2024'!C:C,C:C,'שכר 11.2024'!F:F,F:F)</f>
        <v>5067.84</v>
      </c>
      <c r="J74" s="45">
        <f t="shared" si="0"/>
        <v>51107.460000000006</v>
      </c>
      <c r="K74" s="61">
        <f t="shared" si="1"/>
        <v>1.0349999999999999</v>
      </c>
      <c r="L74" s="45">
        <f t="shared" si="2"/>
        <v>52896.221100000002</v>
      </c>
      <c r="M74" s="45">
        <f t="shared" si="3"/>
        <v>0.53945454545454541</v>
      </c>
    </row>
    <row r="75" spans="1:13" outlineLevel="2" x14ac:dyDescent="0.35">
      <c r="A75" s="42">
        <v>1812200110</v>
      </c>
      <c r="B75" s="42" t="str">
        <f>VLOOKUP(A75,'תקציב מפורט 2025'!A:O,2,FALSE)</f>
        <v>גני"י חובה-משכורת</v>
      </c>
      <c r="C75" s="42">
        <v>26274464</v>
      </c>
      <c r="D75" s="42" t="s">
        <v>515</v>
      </c>
      <c r="E75" s="42" t="s">
        <v>822</v>
      </c>
      <c r="F75" s="42">
        <v>812200</v>
      </c>
      <c r="G75" s="48">
        <v>573.5</v>
      </c>
      <c r="H75" s="45">
        <v>44427.7</v>
      </c>
      <c r="I75" s="45">
        <f>SUMIFS('שכר 11.2024'!N:N,'שכר 11.2024'!C:C,C:C,'שכר 11.2024'!F:F,F:F)</f>
        <v>5810.85</v>
      </c>
      <c r="J75" s="45">
        <f t="shared" si="0"/>
        <v>50238.549999999996</v>
      </c>
      <c r="K75" s="61">
        <f t="shared" si="1"/>
        <v>1.0349999999999999</v>
      </c>
      <c r="L75" s="45">
        <f t="shared" si="2"/>
        <v>51996.899249999995</v>
      </c>
      <c r="M75" s="45">
        <f t="shared" si="3"/>
        <v>0.52136363636363636</v>
      </c>
    </row>
    <row r="76" spans="1:13" outlineLevel="2" x14ac:dyDescent="0.35">
      <c r="A76" s="42">
        <v>1812200110</v>
      </c>
      <c r="B76" s="42" t="str">
        <f>VLOOKUP(A76,'תקציב מפורט 2025'!A:O,2,FALSE)</f>
        <v>גני"י חובה-משכורת</v>
      </c>
      <c r="C76" s="42">
        <v>27505072</v>
      </c>
      <c r="D76" s="42" t="s">
        <v>935</v>
      </c>
      <c r="E76" s="42" t="s">
        <v>578</v>
      </c>
      <c r="F76" s="42">
        <v>812200</v>
      </c>
      <c r="G76" s="48">
        <v>1100</v>
      </c>
      <c r="H76" s="45">
        <v>148565.95000000001</v>
      </c>
      <c r="I76" s="45">
        <f>SUMIFS('שכר 11.2024'!N:N,'שכר 11.2024'!C:C,C:C,'שכר 11.2024'!F:F,F:F)</f>
        <v>12651.99</v>
      </c>
      <c r="J76" s="45">
        <f t="shared" si="0"/>
        <v>161217.94</v>
      </c>
      <c r="K76" s="61">
        <f t="shared" si="1"/>
        <v>1.0349999999999999</v>
      </c>
      <c r="L76" s="45">
        <f t="shared" si="2"/>
        <v>166860.56789999999</v>
      </c>
      <c r="M76" s="45">
        <f t="shared" si="3"/>
        <v>1</v>
      </c>
    </row>
    <row r="77" spans="1:13" outlineLevel="2" x14ac:dyDescent="0.35">
      <c r="A77" s="42">
        <v>1812200110</v>
      </c>
      <c r="B77" s="42" t="str">
        <f>VLOOKUP(A77,'תקציב מפורט 2025'!A:O,2,FALSE)</f>
        <v>גני"י חובה-משכורת</v>
      </c>
      <c r="C77" s="42">
        <v>27595636</v>
      </c>
      <c r="D77" s="42" t="s">
        <v>506</v>
      </c>
      <c r="E77" s="42" t="s">
        <v>569</v>
      </c>
      <c r="F77" s="42">
        <v>812200</v>
      </c>
      <c r="G77" s="48">
        <v>300</v>
      </c>
      <c r="H77" s="45">
        <v>33889.019999999997</v>
      </c>
      <c r="I77" s="45">
        <f>SUMIFS('שכר 11.2024'!N:N,'שכר 11.2024'!C:C,C:C,'שכר 11.2024'!F:F,F:F)</f>
        <v>11337.46</v>
      </c>
      <c r="J77" s="45">
        <f t="shared" si="0"/>
        <v>45226.479999999996</v>
      </c>
      <c r="K77" s="61">
        <f t="shared" si="1"/>
        <v>1.0349999999999999</v>
      </c>
      <c r="L77" s="45">
        <f t="shared" si="2"/>
        <v>46809.40679999999</v>
      </c>
      <c r="M77" s="45">
        <f t="shared" si="3"/>
        <v>0.27272727272727271</v>
      </c>
    </row>
    <row r="78" spans="1:13" outlineLevel="2" x14ac:dyDescent="0.35">
      <c r="A78" s="42">
        <v>1812200110</v>
      </c>
      <c r="B78" s="42" t="str">
        <f>VLOOKUP(A78,'תקציב מפורט 2025'!A:O,2,FALSE)</f>
        <v>גני"י חובה-משכורת</v>
      </c>
      <c r="C78" s="42">
        <v>29868148</v>
      </c>
      <c r="D78" s="42" t="s">
        <v>448</v>
      </c>
      <c r="E78" s="42" t="s">
        <v>473</v>
      </c>
      <c r="F78" s="42">
        <v>812200</v>
      </c>
      <c r="G78" s="48">
        <v>1100</v>
      </c>
      <c r="H78" s="45">
        <v>136458.10999999999</v>
      </c>
      <c r="I78" s="45">
        <f>SUMIFS('שכר 11.2024'!N:N,'שכר 11.2024'!C:C,C:C,'שכר 11.2024'!F:F,F:F)</f>
        <v>12002.01</v>
      </c>
      <c r="J78" s="45">
        <f t="shared" si="0"/>
        <v>148460.12</v>
      </c>
      <c r="K78" s="61">
        <f t="shared" si="1"/>
        <v>1.0349999999999999</v>
      </c>
      <c r="L78" s="45">
        <f t="shared" si="2"/>
        <v>153656.2242</v>
      </c>
      <c r="M78" s="45">
        <f t="shared" si="3"/>
        <v>1</v>
      </c>
    </row>
    <row r="79" spans="1:13" outlineLevel="2" x14ac:dyDescent="0.35">
      <c r="A79" s="42">
        <v>1812200110</v>
      </c>
      <c r="B79" s="42" t="str">
        <f>VLOOKUP(A79,'תקציב מפורט 2025'!A:O,2,FALSE)</f>
        <v>גני"י חובה-משכורת</v>
      </c>
      <c r="C79" s="42">
        <v>33105438</v>
      </c>
      <c r="D79" s="42" t="s">
        <v>596</v>
      </c>
      <c r="E79" s="42" t="s">
        <v>534</v>
      </c>
      <c r="F79" s="42">
        <v>812200</v>
      </c>
      <c r="G79" s="48">
        <v>1100</v>
      </c>
      <c r="H79" s="45">
        <v>163749.69</v>
      </c>
      <c r="I79" s="45">
        <f>SUMIFS('שכר 11.2024'!N:N,'שכר 11.2024'!C:C,C:C,'שכר 11.2024'!F:F,F:F)</f>
        <v>12843.38</v>
      </c>
      <c r="J79" s="45">
        <f t="shared" si="0"/>
        <v>176593.07</v>
      </c>
      <c r="K79" s="61">
        <f t="shared" si="1"/>
        <v>1.0349999999999999</v>
      </c>
      <c r="L79" s="45">
        <f t="shared" si="2"/>
        <v>182773.82744999998</v>
      </c>
      <c r="M79" s="45">
        <f t="shared" si="3"/>
        <v>1</v>
      </c>
    </row>
    <row r="80" spans="1:13" outlineLevel="2" x14ac:dyDescent="0.35">
      <c r="A80" s="42">
        <v>1812200110</v>
      </c>
      <c r="B80" s="42" t="str">
        <f>VLOOKUP(A80,'תקציב מפורט 2025'!A:O,2,FALSE)</f>
        <v>גני"י חובה-משכורת</v>
      </c>
      <c r="C80" s="42">
        <v>33426065</v>
      </c>
      <c r="D80" s="42" t="s">
        <v>486</v>
      </c>
      <c r="E80" s="42" t="s">
        <v>582</v>
      </c>
      <c r="F80" s="42">
        <v>812200</v>
      </c>
      <c r="G80" s="48">
        <v>1100</v>
      </c>
      <c r="H80" s="45">
        <v>149555.99</v>
      </c>
      <c r="I80" s="45">
        <f>SUMIFS('שכר 11.2024'!N:N,'שכר 11.2024'!C:C,C:C,'שכר 11.2024'!F:F,F:F)</f>
        <v>13174.04</v>
      </c>
      <c r="J80" s="45">
        <f t="shared" si="0"/>
        <v>162730.03</v>
      </c>
      <c r="K80" s="61">
        <f t="shared" si="1"/>
        <v>1.0349999999999999</v>
      </c>
      <c r="L80" s="45">
        <f t="shared" si="2"/>
        <v>168425.58104999998</v>
      </c>
      <c r="M80" s="45">
        <f t="shared" si="3"/>
        <v>1</v>
      </c>
    </row>
    <row r="81" spans="1:13" outlineLevel="2" x14ac:dyDescent="0.35">
      <c r="A81" s="42">
        <v>1812200110</v>
      </c>
      <c r="B81" s="42" t="str">
        <f>VLOOKUP(A81,'תקציב מפורט 2025'!A:O,2,FALSE)</f>
        <v>גני"י חובה-משכורת</v>
      </c>
      <c r="C81" s="42">
        <v>33428020</v>
      </c>
      <c r="D81" s="42" t="s">
        <v>595</v>
      </c>
      <c r="E81" s="42" t="s">
        <v>436</v>
      </c>
      <c r="F81" s="42">
        <v>812200</v>
      </c>
      <c r="G81" s="48">
        <v>1100</v>
      </c>
      <c r="H81" s="45">
        <v>167370.44</v>
      </c>
      <c r="I81" s="45">
        <f>SUMIFS('שכר 11.2024'!N:N,'שכר 11.2024'!C:C,C:C,'שכר 11.2024'!F:F,F:F)</f>
        <v>14012.8</v>
      </c>
      <c r="J81" s="45">
        <f t="shared" si="0"/>
        <v>181383.24</v>
      </c>
      <c r="K81" s="61">
        <f t="shared" si="1"/>
        <v>1.0349999999999999</v>
      </c>
      <c r="L81" s="45">
        <f t="shared" si="2"/>
        <v>187731.65339999998</v>
      </c>
      <c r="M81" s="45">
        <f t="shared" si="3"/>
        <v>1</v>
      </c>
    </row>
    <row r="82" spans="1:13" outlineLevel="2" x14ac:dyDescent="0.35">
      <c r="A82" s="42">
        <v>1812200110</v>
      </c>
      <c r="B82" s="42" t="str">
        <f>VLOOKUP(A82,'תקציב מפורט 2025'!A:O,2,FALSE)</f>
        <v>גני"י חובה-משכורת</v>
      </c>
      <c r="C82" s="42">
        <v>34576298</v>
      </c>
      <c r="D82" s="42" t="s">
        <v>823</v>
      </c>
      <c r="E82" s="42" t="s">
        <v>550</v>
      </c>
      <c r="F82" s="42">
        <v>812200</v>
      </c>
      <c r="G82" s="48">
        <v>1100</v>
      </c>
      <c r="H82" s="45">
        <v>162678.39000000001</v>
      </c>
      <c r="I82" s="45">
        <f>SUMIFS('שכר 11.2024'!N:N,'שכר 11.2024'!C:C,C:C,'שכר 11.2024'!F:F,F:F)</f>
        <v>13097.22</v>
      </c>
      <c r="J82" s="45">
        <f t="shared" si="0"/>
        <v>175775.61000000002</v>
      </c>
      <c r="K82" s="61">
        <f t="shared" si="1"/>
        <v>1.0349999999999999</v>
      </c>
      <c r="L82" s="45">
        <f t="shared" si="2"/>
        <v>181927.75635000001</v>
      </c>
      <c r="M82" s="45">
        <f t="shared" si="3"/>
        <v>1</v>
      </c>
    </row>
    <row r="83" spans="1:13" outlineLevel="2" x14ac:dyDescent="0.35">
      <c r="A83" s="42">
        <v>1812200110</v>
      </c>
      <c r="B83" s="42" t="str">
        <f>VLOOKUP(A83,'תקציב מפורט 2025'!A:O,2,FALSE)</f>
        <v>גני"י חובה-משכורת</v>
      </c>
      <c r="C83" s="42">
        <v>37412665</v>
      </c>
      <c r="D83" s="42" t="s">
        <v>434</v>
      </c>
      <c r="E83" s="42" t="s">
        <v>582</v>
      </c>
      <c r="F83" s="42">
        <v>812200</v>
      </c>
      <c r="G83" s="48">
        <v>1100</v>
      </c>
      <c r="H83" s="45">
        <v>140543.67000000001</v>
      </c>
      <c r="I83" s="45">
        <f>SUMIFS('שכר 11.2024'!N:N,'שכר 11.2024'!C:C,C:C,'שכר 11.2024'!F:F,F:F)</f>
        <v>12578.3</v>
      </c>
      <c r="J83" s="45">
        <f t="shared" si="0"/>
        <v>153121.97</v>
      </c>
      <c r="K83" s="61">
        <f t="shared" si="1"/>
        <v>1.0349999999999999</v>
      </c>
      <c r="L83" s="45">
        <f t="shared" si="2"/>
        <v>158481.23895</v>
      </c>
      <c r="M83" s="45">
        <f t="shared" si="3"/>
        <v>1</v>
      </c>
    </row>
    <row r="84" spans="1:13" outlineLevel="2" x14ac:dyDescent="0.35">
      <c r="A84" s="42">
        <v>1812200110</v>
      </c>
      <c r="B84" s="42" t="str">
        <f>VLOOKUP(A84,'תקציב מפורט 2025'!A:O,2,FALSE)</f>
        <v>גני"י חובה-משכורת</v>
      </c>
      <c r="C84" s="42">
        <v>43492578</v>
      </c>
      <c r="D84" s="42" t="s">
        <v>585</v>
      </c>
      <c r="E84" s="42" t="s">
        <v>449</v>
      </c>
      <c r="F84" s="42">
        <v>812200</v>
      </c>
      <c r="G84" s="48">
        <v>880</v>
      </c>
      <c r="H84" s="45">
        <v>125754.03</v>
      </c>
      <c r="I84" s="45">
        <f>SUMIFS('שכר 11.2024'!N:N,'שכר 11.2024'!C:C,C:C,'שכר 11.2024'!F:F,F:F)</f>
        <v>11207.31</v>
      </c>
      <c r="J84" s="45">
        <f t="shared" si="0"/>
        <v>136961.34</v>
      </c>
      <c r="K84" s="61">
        <f t="shared" si="1"/>
        <v>1.0349999999999999</v>
      </c>
      <c r="L84" s="45">
        <f t="shared" si="2"/>
        <v>141754.98689999999</v>
      </c>
      <c r="M84" s="45">
        <f t="shared" si="3"/>
        <v>0.8</v>
      </c>
    </row>
    <row r="85" spans="1:13" outlineLevel="2" x14ac:dyDescent="0.35">
      <c r="A85" s="42">
        <v>1812200110</v>
      </c>
      <c r="B85" s="42" t="str">
        <f>VLOOKUP(A85,'תקציב מפורט 2025'!A:O,2,FALSE)</f>
        <v>גני"י חובה-משכורת</v>
      </c>
      <c r="C85" s="42">
        <v>49827686</v>
      </c>
      <c r="D85" s="42" t="s">
        <v>448</v>
      </c>
      <c r="E85" s="42" t="s">
        <v>594</v>
      </c>
      <c r="F85" s="42">
        <v>812200</v>
      </c>
      <c r="G85" s="48">
        <v>1100</v>
      </c>
      <c r="H85" s="45">
        <v>144081.54</v>
      </c>
      <c r="I85" s="45">
        <f>SUMIFS('שכר 11.2024'!N:N,'שכר 11.2024'!C:C,C:C,'שכר 11.2024'!F:F,F:F)</f>
        <v>12382.2</v>
      </c>
      <c r="J85" s="45">
        <f t="shared" si="0"/>
        <v>156463.74000000002</v>
      </c>
      <c r="K85" s="61">
        <f t="shared" si="1"/>
        <v>1.0349999999999999</v>
      </c>
      <c r="L85" s="45">
        <f t="shared" si="2"/>
        <v>161939.97090000001</v>
      </c>
      <c r="M85" s="45">
        <f t="shared" si="3"/>
        <v>1</v>
      </c>
    </row>
    <row r="86" spans="1:13" outlineLevel="2" x14ac:dyDescent="0.35">
      <c r="A86" s="42">
        <v>1812200110</v>
      </c>
      <c r="B86" s="42" t="str">
        <f>VLOOKUP(A86,'תקציב מפורט 2025'!A:O,2,FALSE)</f>
        <v>גני"י חובה-משכורת</v>
      </c>
      <c r="C86" s="42">
        <v>56859697</v>
      </c>
      <c r="D86" s="42" t="s">
        <v>442</v>
      </c>
      <c r="E86" s="42" t="s">
        <v>529</v>
      </c>
      <c r="F86" s="42">
        <v>812200</v>
      </c>
      <c r="G86" s="48">
        <v>700</v>
      </c>
      <c r="H86" s="45">
        <v>205664.92</v>
      </c>
      <c r="I86" s="45">
        <f>SUMIFS('שכר 11.2024'!N:N,'שכר 11.2024'!C:C,C:C,'שכר 11.2024'!F:F,F:F)</f>
        <v>0</v>
      </c>
      <c r="J86" s="45">
        <f t="shared" si="0"/>
        <v>205664.92</v>
      </c>
      <c r="K86" s="61">
        <f t="shared" si="1"/>
        <v>1.0349999999999999</v>
      </c>
      <c r="L86" s="45">
        <f t="shared" si="2"/>
        <v>212863.19219999999</v>
      </c>
      <c r="M86" s="45">
        <f t="shared" si="3"/>
        <v>0.63636363636363635</v>
      </c>
    </row>
    <row r="87" spans="1:13" outlineLevel="2" x14ac:dyDescent="0.35">
      <c r="A87" s="42">
        <v>1812200110</v>
      </c>
      <c r="B87" s="42" t="str">
        <f>VLOOKUP(A87,'תקציב מפורט 2025'!A:O,2,FALSE)</f>
        <v>גני"י חובה-משכורת</v>
      </c>
      <c r="C87" s="42">
        <v>61262648</v>
      </c>
      <c r="D87" s="42" t="s">
        <v>434</v>
      </c>
      <c r="E87" s="42" t="s">
        <v>1695</v>
      </c>
      <c r="F87" s="42">
        <v>812200</v>
      </c>
      <c r="G87" s="48">
        <v>0</v>
      </c>
      <c r="H87" s="45">
        <v>1733.12</v>
      </c>
      <c r="I87" s="45">
        <f>SUMIFS('שכר 11.2024'!N:N,'שכר 11.2024'!C:C,C:C,'שכר 11.2024'!F:F,F:F)</f>
        <v>0</v>
      </c>
      <c r="J87" s="45">
        <f t="shared" si="0"/>
        <v>1733.12</v>
      </c>
      <c r="K87" s="61">
        <f t="shared" si="1"/>
        <v>1.0349999999999999</v>
      </c>
      <c r="L87" s="45">
        <f t="shared" si="2"/>
        <v>1793.7791999999997</v>
      </c>
      <c r="M87" s="45">
        <f t="shared" si="3"/>
        <v>0</v>
      </c>
    </row>
    <row r="88" spans="1:13" outlineLevel="2" x14ac:dyDescent="0.35">
      <c r="A88" s="42">
        <v>1812200110</v>
      </c>
      <c r="B88" s="42" t="str">
        <f>VLOOKUP(A88,'תקציב מפורט 2025'!A:O,2,FALSE)</f>
        <v>גני"י חובה-משכורת</v>
      </c>
      <c r="C88" s="42">
        <v>61267373</v>
      </c>
      <c r="D88" s="42" t="s">
        <v>545</v>
      </c>
      <c r="E88" s="42" t="s">
        <v>824</v>
      </c>
      <c r="F88" s="42">
        <v>812200</v>
      </c>
      <c r="G88" s="48">
        <v>1100</v>
      </c>
      <c r="H88" s="45">
        <v>125464.03</v>
      </c>
      <c r="I88" s="45">
        <f>SUMIFS('שכר 11.2024'!N:N,'שכר 11.2024'!C:C,C:C,'שכר 11.2024'!F:F,F:F)</f>
        <v>11062.03</v>
      </c>
      <c r="J88" s="45">
        <f t="shared" ref="J88:J152" si="4">H88+I88</f>
        <v>136526.06</v>
      </c>
      <c r="K88" s="61">
        <f t="shared" ref="K88:K152" si="5">3.5/100+1</f>
        <v>1.0349999999999999</v>
      </c>
      <c r="L88" s="45">
        <f t="shared" ref="L88:L152" si="6">J88*K88</f>
        <v>141304.47209999998</v>
      </c>
      <c r="M88" s="45">
        <f t="shared" ref="M88:M152" si="7">G88/1100</f>
        <v>1</v>
      </c>
    </row>
    <row r="89" spans="1:13" outlineLevel="2" x14ac:dyDescent="0.35">
      <c r="A89" s="42">
        <v>1812200110</v>
      </c>
      <c r="B89" s="42" t="str">
        <f>VLOOKUP(A89,'תקציב מפורט 2025'!A:O,2,FALSE)</f>
        <v>גני"י חובה-משכורת</v>
      </c>
      <c r="C89" s="42">
        <v>204189153</v>
      </c>
      <c r="D89" s="42" t="s">
        <v>538</v>
      </c>
      <c r="E89" s="42" t="s">
        <v>1696</v>
      </c>
      <c r="F89" s="42">
        <v>812200</v>
      </c>
      <c r="G89" s="48">
        <v>376.9</v>
      </c>
      <c r="H89" s="45">
        <v>34209.870000000003</v>
      </c>
      <c r="I89" s="45">
        <f>SUMIFS('שכר 11.2024'!N:N,'שכר 11.2024'!C:C,C:C,'שכר 11.2024'!F:F,F:F)</f>
        <v>0</v>
      </c>
      <c r="J89" s="45">
        <f t="shared" si="4"/>
        <v>34209.870000000003</v>
      </c>
      <c r="K89" s="61">
        <f t="shared" si="5"/>
        <v>1.0349999999999999</v>
      </c>
      <c r="L89" s="45">
        <f t="shared" si="6"/>
        <v>35407.215450000003</v>
      </c>
      <c r="M89" s="45">
        <f t="shared" si="7"/>
        <v>0.34263636363636363</v>
      </c>
    </row>
    <row r="90" spans="1:13" outlineLevel="2" x14ac:dyDescent="0.35">
      <c r="A90" s="42">
        <v>1812200110</v>
      </c>
      <c r="B90" s="42" t="str">
        <f>VLOOKUP(A90,'תקציב מפורט 2025'!A:O,2,FALSE)</f>
        <v>גני"י חובה-משכורת</v>
      </c>
      <c r="C90" s="42">
        <v>204195515</v>
      </c>
      <c r="D90" s="42" t="s">
        <v>446</v>
      </c>
      <c r="E90" s="42" t="s">
        <v>1697</v>
      </c>
      <c r="F90" s="42">
        <v>812200</v>
      </c>
      <c r="G90" s="48">
        <v>428.3</v>
      </c>
      <c r="H90" s="45">
        <v>38445.83</v>
      </c>
      <c r="I90" s="45">
        <f>SUMIFS('שכר 11.2024'!N:N,'שכר 11.2024'!C:C,C:C,'שכר 11.2024'!F:F,F:F)</f>
        <v>3364.86</v>
      </c>
      <c r="J90" s="45">
        <f t="shared" si="4"/>
        <v>41810.69</v>
      </c>
      <c r="K90" s="61">
        <f t="shared" si="5"/>
        <v>1.0349999999999999</v>
      </c>
      <c r="L90" s="45">
        <f t="shared" si="6"/>
        <v>43274.064149999998</v>
      </c>
      <c r="M90" s="45">
        <f t="shared" si="7"/>
        <v>0.38936363636363636</v>
      </c>
    </row>
    <row r="91" spans="1:13" outlineLevel="2" x14ac:dyDescent="0.35">
      <c r="A91" s="42">
        <v>1812200110</v>
      </c>
      <c r="B91" s="42" t="str">
        <f>VLOOKUP(A91,'תקציב מפורט 2025'!A:O,2,FALSE)</f>
        <v>גני"י חובה-משכורת</v>
      </c>
      <c r="C91" s="42">
        <v>204297253</v>
      </c>
      <c r="D91" s="42" t="s">
        <v>434</v>
      </c>
      <c r="E91" s="42" t="s">
        <v>825</v>
      </c>
      <c r="F91" s="42">
        <v>812200</v>
      </c>
      <c r="G91" s="48">
        <v>1100</v>
      </c>
      <c r="H91" s="45">
        <v>128394.64</v>
      </c>
      <c r="I91" s="45">
        <f>SUMIFS('שכר 11.2024'!N:N,'שכר 11.2024'!C:C,C:C,'שכר 11.2024'!F:F,F:F)</f>
        <v>11112.01</v>
      </c>
      <c r="J91" s="45">
        <f t="shared" si="4"/>
        <v>139506.65</v>
      </c>
      <c r="K91" s="61">
        <f t="shared" si="5"/>
        <v>1.0349999999999999</v>
      </c>
      <c r="L91" s="45">
        <f t="shared" si="6"/>
        <v>144389.38274999999</v>
      </c>
      <c r="M91" s="45">
        <f t="shared" si="7"/>
        <v>1</v>
      </c>
    </row>
    <row r="92" spans="1:13" outlineLevel="2" x14ac:dyDescent="0.35">
      <c r="A92" s="42">
        <v>1812200110</v>
      </c>
      <c r="B92" s="42" t="str">
        <f>VLOOKUP(A92,'תקציב מפורט 2025'!A:O,2,FALSE)</f>
        <v>גני"י חובה-משכורת</v>
      </c>
      <c r="C92" s="42">
        <v>205760101</v>
      </c>
      <c r="D92" s="42" t="s">
        <v>434</v>
      </c>
      <c r="E92" s="42" t="s">
        <v>479</v>
      </c>
      <c r="F92" s="42">
        <v>812200</v>
      </c>
      <c r="G92" s="48">
        <v>1100</v>
      </c>
      <c r="H92" s="45">
        <v>128796.87</v>
      </c>
      <c r="I92" s="45">
        <f>SUMIFS('שכר 11.2024'!N:N,'שכר 11.2024'!C:C,C:C,'שכר 11.2024'!F:F,F:F)</f>
        <v>11171.75</v>
      </c>
      <c r="J92" s="45">
        <f t="shared" si="4"/>
        <v>139968.62</v>
      </c>
      <c r="K92" s="61">
        <f t="shared" si="5"/>
        <v>1.0349999999999999</v>
      </c>
      <c r="L92" s="45">
        <f t="shared" si="6"/>
        <v>144867.52169999998</v>
      </c>
      <c r="M92" s="45">
        <f t="shared" si="7"/>
        <v>1</v>
      </c>
    </row>
    <row r="93" spans="1:13" outlineLevel="2" x14ac:dyDescent="0.35">
      <c r="A93" s="42">
        <v>1812200110</v>
      </c>
      <c r="B93" s="42" t="str">
        <f>VLOOKUP(A93,'תקציב מפורט 2025'!A:O,2,FALSE)</f>
        <v>גני"י חובה-משכורת</v>
      </c>
      <c r="C93" s="42">
        <v>205766645</v>
      </c>
      <c r="D93" s="42" t="s">
        <v>442</v>
      </c>
      <c r="E93" s="42" t="s">
        <v>470</v>
      </c>
      <c r="F93" s="42">
        <v>812200</v>
      </c>
      <c r="G93" s="48">
        <v>525.79999999999995</v>
      </c>
      <c r="H93" s="45">
        <v>41880.07</v>
      </c>
      <c r="I93" s="45">
        <f>SUMIFS('שכר 11.2024'!N:N,'שכר 11.2024'!C:C,C:C,'שכר 11.2024'!F:F,F:F)</f>
        <v>3537.4</v>
      </c>
      <c r="J93" s="45">
        <f t="shared" si="4"/>
        <v>45417.47</v>
      </c>
      <c r="K93" s="61">
        <f t="shared" si="5"/>
        <v>1.0349999999999999</v>
      </c>
      <c r="L93" s="45">
        <f t="shared" si="6"/>
        <v>47007.081449999998</v>
      </c>
      <c r="M93" s="45">
        <f t="shared" si="7"/>
        <v>0.47799999999999998</v>
      </c>
    </row>
    <row r="94" spans="1:13" outlineLevel="2" x14ac:dyDescent="0.35">
      <c r="A94" s="42">
        <v>1812200110</v>
      </c>
      <c r="B94" s="42" t="str">
        <f>VLOOKUP(A94,'תקציב מפורט 2025'!A:O,2,FALSE)</f>
        <v>גני"י חובה-משכורת</v>
      </c>
      <c r="C94" s="42">
        <v>205766751</v>
      </c>
      <c r="D94" s="42" t="s">
        <v>442</v>
      </c>
      <c r="E94" s="42" t="s">
        <v>1698</v>
      </c>
      <c r="F94" s="42">
        <v>812200</v>
      </c>
      <c r="G94" s="48">
        <v>154.30000000000001</v>
      </c>
      <c r="H94" s="45">
        <v>547.88</v>
      </c>
      <c r="I94" s="45">
        <f>SUMIFS('שכר 11.2024'!N:N,'שכר 11.2024'!C:C,C:C,'שכר 11.2024'!F:F,F:F)</f>
        <v>0</v>
      </c>
      <c r="J94" s="45">
        <f t="shared" si="4"/>
        <v>547.88</v>
      </c>
      <c r="K94" s="61">
        <f t="shared" si="5"/>
        <v>1.0349999999999999</v>
      </c>
      <c r="L94" s="45">
        <f t="shared" si="6"/>
        <v>567.05579999999998</v>
      </c>
      <c r="M94" s="45">
        <f t="shared" si="7"/>
        <v>0.14027272727272727</v>
      </c>
    </row>
    <row r="95" spans="1:13" outlineLevel="2" x14ac:dyDescent="0.35">
      <c r="A95" s="42">
        <v>1812200110</v>
      </c>
      <c r="B95" s="42" t="str">
        <f>VLOOKUP(A95,'תקציב מפורט 2025'!A:O,2,FALSE)</f>
        <v>גני"י חובה-משכורת</v>
      </c>
      <c r="C95" s="42">
        <v>207627142</v>
      </c>
      <c r="D95" s="42" t="s">
        <v>434</v>
      </c>
      <c r="E95" s="42" t="s">
        <v>1699</v>
      </c>
      <c r="F95" s="42">
        <v>812200</v>
      </c>
      <c r="G95" s="48">
        <v>650.1</v>
      </c>
      <c r="H95" s="45">
        <v>53774.95</v>
      </c>
      <c r="I95" s="45">
        <f>SUMIFS('שכר 11.2024'!N:N,'שכר 11.2024'!C:C,C:C,'שכר 11.2024'!F:F,F:F)</f>
        <v>4895.28</v>
      </c>
      <c r="J95" s="45">
        <f t="shared" si="4"/>
        <v>58670.229999999996</v>
      </c>
      <c r="K95" s="61">
        <f t="shared" si="5"/>
        <v>1.0349999999999999</v>
      </c>
      <c r="L95" s="45">
        <f t="shared" si="6"/>
        <v>60723.68804999999</v>
      </c>
      <c r="M95" s="45">
        <f t="shared" si="7"/>
        <v>0.59099999999999997</v>
      </c>
    </row>
    <row r="96" spans="1:13" outlineLevel="2" x14ac:dyDescent="0.35">
      <c r="A96" s="42">
        <v>1812200110</v>
      </c>
      <c r="B96" s="42" t="str">
        <f>VLOOKUP(A96,'תקציב מפורט 2025'!A:O,2,FALSE)</f>
        <v>גני"י חובה-משכורת</v>
      </c>
      <c r="C96" s="42">
        <v>208219360</v>
      </c>
      <c r="D96" s="42" t="s">
        <v>434</v>
      </c>
      <c r="E96" s="42" t="s">
        <v>1700</v>
      </c>
      <c r="F96" s="42">
        <v>812200</v>
      </c>
      <c r="G96" s="48">
        <v>474.3</v>
      </c>
      <c r="H96" s="45">
        <v>42023.17</v>
      </c>
      <c r="I96" s="45">
        <f>SUMIFS('שכר 11.2024'!N:N,'שכר 11.2024'!C:C,C:C,'שכר 11.2024'!F:F,F:F)</f>
        <v>3420.92</v>
      </c>
      <c r="J96" s="45">
        <f t="shared" si="4"/>
        <v>45444.09</v>
      </c>
      <c r="K96" s="61">
        <f t="shared" si="5"/>
        <v>1.0349999999999999</v>
      </c>
      <c r="L96" s="45">
        <f t="shared" si="6"/>
        <v>47034.633149999994</v>
      </c>
      <c r="M96" s="45">
        <f t="shared" si="7"/>
        <v>0.43118181818181817</v>
      </c>
    </row>
    <row r="97" spans="1:13" outlineLevel="2" x14ac:dyDescent="0.35">
      <c r="A97" s="42">
        <v>1812200110</v>
      </c>
      <c r="B97" s="42" t="str">
        <f>VLOOKUP(A97,'תקציב מפורט 2025'!A:O,2,FALSE)</f>
        <v>גני"י חובה-משכורת</v>
      </c>
      <c r="C97" s="42">
        <v>301477782</v>
      </c>
      <c r="D97" s="42" t="s">
        <v>439</v>
      </c>
      <c r="E97" s="42" t="s">
        <v>828</v>
      </c>
      <c r="F97" s="42">
        <v>812200</v>
      </c>
      <c r="G97" s="48">
        <v>315</v>
      </c>
      <c r="H97" s="45">
        <v>28408.03</v>
      </c>
      <c r="I97" s="45">
        <f>SUMIFS('שכר 11.2024'!N:N,'שכר 11.2024'!C:C,C:C,'שכר 11.2024'!F:F,F:F)</f>
        <v>2807.36</v>
      </c>
      <c r="J97" s="45">
        <f t="shared" si="4"/>
        <v>31215.39</v>
      </c>
      <c r="K97" s="61">
        <f t="shared" si="5"/>
        <v>1.0349999999999999</v>
      </c>
      <c r="L97" s="45">
        <f t="shared" si="6"/>
        <v>32307.928649999998</v>
      </c>
      <c r="M97" s="45">
        <f t="shared" si="7"/>
        <v>0.28636363636363638</v>
      </c>
    </row>
    <row r="98" spans="1:13" outlineLevel="2" x14ac:dyDescent="0.35">
      <c r="A98" s="42">
        <v>1812200110</v>
      </c>
      <c r="B98" s="42" t="str">
        <f>VLOOKUP(A98,'תקציב מפורט 2025'!A:O,2,FALSE)</f>
        <v>גני"י חובה-משכורת</v>
      </c>
      <c r="C98" s="42">
        <v>316458348</v>
      </c>
      <c r="D98" s="42" t="s">
        <v>434</v>
      </c>
      <c r="E98" s="42" t="s">
        <v>830</v>
      </c>
      <c r="F98" s="42">
        <v>812200</v>
      </c>
      <c r="G98" s="48">
        <v>1100</v>
      </c>
      <c r="H98" s="45">
        <v>136468.94</v>
      </c>
      <c r="I98" s="45">
        <f>SUMIFS('שכר 11.2024'!N:N,'שכר 11.2024'!C:C,C:C,'שכר 11.2024'!F:F,F:F)</f>
        <v>12085.49</v>
      </c>
      <c r="J98" s="45">
        <f t="shared" si="4"/>
        <v>148554.43</v>
      </c>
      <c r="K98" s="61">
        <f t="shared" si="5"/>
        <v>1.0349999999999999</v>
      </c>
      <c r="L98" s="45">
        <f t="shared" si="6"/>
        <v>153753.83504999999</v>
      </c>
      <c r="M98" s="45">
        <f t="shared" si="7"/>
        <v>1</v>
      </c>
    </row>
    <row r="99" spans="1:13" outlineLevel="1" x14ac:dyDescent="0.35">
      <c r="A99" s="63" t="s">
        <v>2003</v>
      </c>
      <c r="B99" s="63"/>
      <c r="C99" s="63"/>
      <c r="D99" s="63"/>
      <c r="E99" s="63"/>
      <c r="F99" s="63"/>
      <c r="G99" s="73">
        <f>SUBTOTAL(9,G72:G98)</f>
        <v>21371.599999999995</v>
      </c>
      <c r="H99" s="64">
        <f>SUBTOTAL(9,H72:H98)</f>
        <v>2752351.62</v>
      </c>
      <c r="I99" s="64">
        <f>SUBTOTAL(9,I72:I98)</f>
        <v>226672.18</v>
      </c>
      <c r="J99" s="64">
        <f>SUBTOTAL(9,J72:J98)</f>
        <v>2979023.8000000007</v>
      </c>
      <c r="K99" s="65"/>
      <c r="L99" s="64">
        <f>SUBTOTAL(9,L72:L98)</f>
        <v>3083289.6329999999</v>
      </c>
      <c r="M99" s="64">
        <f>SUBTOTAL(9,M72:M98)</f>
        <v>19.428727272727279</v>
      </c>
    </row>
    <row r="100" spans="1:13" outlineLevel="2" x14ac:dyDescent="0.35">
      <c r="A100" s="42">
        <v>1812300110</v>
      </c>
      <c r="B100" s="42" t="str">
        <f>VLOOKUP(A100,'תקציב מפורט 2025'!A:O,2,FALSE)</f>
        <v>גנים ט.חובה-משכורת</v>
      </c>
      <c r="C100" s="42">
        <v>23279664</v>
      </c>
      <c r="D100" s="42" t="s">
        <v>434</v>
      </c>
      <c r="E100" s="42" t="s">
        <v>593</v>
      </c>
      <c r="F100" s="42">
        <v>812300</v>
      </c>
      <c r="G100" s="48">
        <v>1100</v>
      </c>
      <c r="H100" s="45">
        <v>164278.26999999999</v>
      </c>
      <c r="I100" s="45">
        <f>SUMIFS('שכר 11.2024'!N:N,'שכר 11.2024'!C:C,C:C,'שכר 11.2024'!F:F,F:F)</f>
        <v>13689.12</v>
      </c>
      <c r="J100" s="45">
        <f t="shared" si="4"/>
        <v>177967.38999999998</v>
      </c>
      <c r="K100" s="61">
        <f t="shared" si="5"/>
        <v>1.0349999999999999</v>
      </c>
      <c r="L100" s="45">
        <f t="shared" si="6"/>
        <v>184196.24864999996</v>
      </c>
      <c r="M100" s="45">
        <f t="shared" si="7"/>
        <v>1</v>
      </c>
    </row>
    <row r="101" spans="1:13" outlineLevel="2" x14ac:dyDescent="0.35">
      <c r="A101" s="42">
        <v>1812300110</v>
      </c>
      <c r="B101" s="42" t="str">
        <f>VLOOKUP(A101,'תקציב מפורט 2025'!A:O,2,FALSE)</f>
        <v>גנים ט.חובה-משכורת</v>
      </c>
      <c r="C101" s="42">
        <v>26167502</v>
      </c>
      <c r="D101" s="42" t="s">
        <v>442</v>
      </c>
      <c r="E101" s="42" t="s">
        <v>558</v>
      </c>
      <c r="F101" s="42">
        <v>812300</v>
      </c>
      <c r="G101" s="48">
        <v>1100</v>
      </c>
      <c r="H101" s="45">
        <v>135785.51</v>
      </c>
      <c r="I101" s="45">
        <f>SUMIFS('שכר 11.2024'!N:N,'שכר 11.2024'!C:C,C:C,'שכר 11.2024'!F:F,F:F)</f>
        <v>11581.51</v>
      </c>
      <c r="J101" s="45">
        <f t="shared" si="4"/>
        <v>147367.02000000002</v>
      </c>
      <c r="K101" s="61">
        <f t="shared" si="5"/>
        <v>1.0349999999999999</v>
      </c>
      <c r="L101" s="45">
        <f t="shared" si="6"/>
        <v>152524.86569999999</v>
      </c>
      <c r="M101" s="45">
        <f t="shared" si="7"/>
        <v>1</v>
      </c>
    </row>
    <row r="102" spans="1:13" outlineLevel="2" x14ac:dyDescent="0.35">
      <c r="A102" s="42">
        <v>1812300110</v>
      </c>
      <c r="B102" s="42" t="str">
        <f>VLOOKUP(A102,'תקציב מפורט 2025'!A:O,2,FALSE)</f>
        <v>גנים ט.חובה-משכורת</v>
      </c>
      <c r="C102" s="42">
        <v>26258533</v>
      </c>
      <c r="D102" s="42" t="s">
        <v>448</v>
      </c>
      <c r="E102" s="42" t="s">
        <v>473</v>
      </c>
      <c r="F102" s="42">
        <v>812300</v>
      </c>
      <c r="G102" s="48">
        <v>1100</v>
      </c>
      <c r="H102" s="45">
        <v>141869.14000000001</v>
      </c>
      <c r="I102" s="45">
        <f>SUMIFS('שכר 11.2024'!N:N,'שכר 11.2024'!C:C,C:C,'שכר 11.2024'!F:F,F:F)</f>
        <v>12515.02</v>
      </c>
      <c r="J102" s="45">
        <f t="shared" si="4"/>
        <v>154384.16</v>
      </c>
      <c r="K102" s="61">
        <f t="shared" si="5"/>
        <v>1.0349999999999999</v>
      </c>
      <c r="L102" s="45">
        <f t="shared" si="6"/>
        <v>159787.60559999998</v>
      </c>
      <c r="M102" s="45">
        <f t="shared" si="7"/>
        <v>1</v>
      </c>
    </row>
    <row r="103" spans="1:13" outlineLevel="2" x14ac:dyDescent="0.35">
      <c r="A103" s="42">
        <v>1812300110</v>
      </c>
      <c r="B103" s="42" t="str">
        <f>VLOOKUP(A103,'תקציב מפורט 2025'!A:O,2,FALSE)</f>
        <v>גנים ט.חובה-משכורת</v>
      </c>
      <c r="C103" s="42">
        <v>26273045</v>
      </c>
      <c r="D103" s="42" t="s">
        <v>442</v>
      </c>
      <c r="E103" s="42" t="s">
        <v>592</v>
      </c>
      <c r="F103" s="42">
        <v>812300</v>
      </c>
      <c r="G103" s="48">
        <v>1100</v>
      </c>
      <c r="H103" s="45">
        <v>180254.76</v>
      </c>
      <c r="I103" s="45">
        <f>SUMIFS('שכר 11.2024'!N:N,'שכר 11.2024'!C:C,C:C,'שכר 11.2024'!F:F,F:F)</f>
        <v>14682.91</v>
      </c>
      <c r="J103" s="45">
        <f t="shared" si="4"/>
        <v>194937.67</v>
      </c>
      <c r="K103" s="61">
        <f t="shared" si="5"/>
        <v>1.0349999999999999</v>
      </c>
      <c r="L103" s="45">
        <f t="shared" si="6"/>
        <v>201760.48845</v>
      </c>
      <c r="M103" s="45">
        <f t="shared" si="7"/>
        <v>1</v>
      </c>
    </row>
    <row r="104" spans="1:13" outlineLevel="2" x14ac:dyDescent="0.35">
      <c r="A104" s="42">
        <v>1812300110</v>
      </c>
      <c r="B104" s="42" t="str">
        <f>VLOOKUP(A104,'תקציב מפורט 2025'!A:O,2,FALSE)</f>
        <v>גנים ט.חובה-משכורת</v>
      </c>
      <c r="C104" s="42">
        <v>26276014</v>
      </c>
      <c r="D104" s="42" t="s">
        <v>442</v>
      </c>
      <c r="E104" s="42" t="s">
        <v>832</v>
      </c>
      <c r="F104" s="42">
        <v>812300</v>
      </c>
      <c r="G104" s="48">
        <v>1100</v>
      </c>
      <c r="H104" s="45">
        <v>166556.92000000001</v>
      </c>
      <c r="I104" s="45">
        <f>SUMIFS('שכר 11.2024'!N:N,'שכר 11.2024'!C:C,C:C,'שכר 11.2024'!F:F,F:F)</f>
        <v>13506.21</v>
      </c>
      <c r="J104" s="45">
        <f t="shared" si="4"/>
        <v>180063.13</v>
      </c>
      <c r="K104" s="61">
        <f t="shared" si="5"/>
        <v>1.0349999999999999</v>
      </c>
      <c r="L104" s="45">
        <f t="shared" si="6"/>
        <v>186365.33955</v>
      </c>
      <c r="M104" s="45">
        <f t="shared" si="7"/>
        <v>1</v>
      </c>
    </row>
    <row r="105" spans="1:13" outlineLevel="2" x14ac:dyDescent="0.35">
      <c r="A105" s="42">
        <v>1812300110</v>
      </c>
      <c r="B105" s="42" t="str">
        <f>VLOOKUP(A105,'תקציב מפורט 2025'!A:O,2,FALSE)</f>
        <v>גנים ט.חובה-משכורת</v>
      </c>
      <c r="C105" s="42">
        <v>26278861</v>
      </c>
      <c r="D105" s="42" t="s">
        <v>434</v>
      </c>
      <c r="E105" s="42" t="s">
        <v>590</v>
      </c>
      <c r="F105" s="42">
        <v>812300</v>
      </c>
      <c r="G105" s="48">
        <v>1100</v>
      </c>
      <c r="H105" s="45">
        <v>164745.68</v>
      </c>
      <c r="I105" s="45">
        <f>SUMIFS('שכר 11.2024'!N:N,'שכר 11.2024'!C:C,C:C,'שכר 11.2024'!F:F,F:F)</f>
        <v>13309.09</v>
      </c>
      <c r="J105" s="45">
        <f t="shared" si="4"/>
        <v>178054.77</v>
      </c>
      <c r="K105" s="61">
        <f t="shared" si="5"/>
        <v>1.0349999999999999</v>
      </c>
      <c r="L105" s="45">
        <f t="shared" si="6"/>
        <v>184286.68694999997</v>
      </c>
      <c r="M105" s="45">
        <f t="shared" si="7"/>
        <v>1</v>
      </c>
    </row>
    <row r="106" spans="1:13" outlineLevel="2" x14ac:dyDescent="0.35">
      <c r="A106" s="42">
        <v>1812300110</v>
      </c>
      <c r="B106" s="42" t="str">
        <f>VLOOKUP(A106,'תקציב מפורט 2025'!A:O,2,FALSE)</f>
        <v>גנים ט.חובה-משכורת</v>
      </c>
      <c r="C106" s="42">
        <v>26356477</v>
      </c>
      <c r="D106" s="42" t="s">
        <v>448</v>
      </c>
      <c r="E106" s="42" t="s">
        <v>1701</v>
      </c>
      <c r="F106" s="42">
        <v>812300</v>
      </c>
      <c r="G106" s="48">
        <v>0</v>
      </c>
      <c r="H106" s="45">
        <v>1929.31</v>
      </c>
      <c r="I106" s="45">
        <f>SUMIFS('שכר 11.2024'!N:N,'שכר 11.2024'!C:C,C:C,'שכר 11.2024'!F:F,F:F)</f>
        <v>165.04</v>
      </c>
      <c r="J106" s="45">
        <f t="shared" si="4"/>
        <v>2094.35</v>
      </c>
      <c r="K106" s="61">
        <f t="shared" si="5"/>
        <v>1.0349999999999999</v>
      </c>
      <c r="L106" s="45">
        <f t="shared" si="6"/>
        <v>2167.6522499999996</v>
      </c>
      <c r="M106" s="45">
        <f t="shared" si="7"/>
        <v>0</v>
      </c>
    </row>
    <row r="107" spans="1:13" outlineLevel="2" x14ac:dyDescent="0.35">
      <c r="A107" s="42">
        <v>1812300110</v>
      </c>
      <c r="B107" s="42" t="str">
        <f>VLOOKUP(A107,'תקציב מפורט 2025'!A:O,2,FALSE)</f>
        <v>גנים ט.חובה-משכורת</v>
      </c>
      <c r="C107" s="42">
        <v>27505072</v>
      </c>
      <c r="D107" s="42" t="s">
        <v>935</v>
      </c>
      <c r="E107" s="42" t="s">
        <v>578</v>
      </c>
      <c r="F107" s="42">
        <v>812300</v>
      </c>
      <c r="G107" s="48">
        <v>0</v>
      </c>
      <c r="H107" s="45">
        <v>2510.2800000000002</v>
      </c>
      <c r="I107" s="45">
        <f>SUMIFS('שכר 11.2024'!N:N,'שכר 11.2024'!C:C,C:C,'שכר 11.2024'!F:F,F:F)</f>
        <v>129.47999999999999</v>
      </c>
      <c r="J107" s="45">
        <f t="shared" si="4"/>
        <v>2639.76</v>
      </c>
      <c r="K107" s="61">
        <f t="shared" si="5"/>
        <v>1.0349999999999999</v>
      </c>
      <c r="L107" s="45">
        <f t="shared" si="6"/>
        <v>2732.1516000000001</v>
      </c>
      <c r="M107" s="45">
        <f t="shared" si="7"/>
        <v>0</v>
      </c>
    </row>
    <row r="108" spans="1:13" outlineLevel="2" x14ac:dyDescent="0.35">
      <c r="A108" s="42">
        <v>1812300110</v>
      </c>
      <c r="B108" s="42" t="str">
        <f>VLOOKUP(A108,'תקציב מפורט 2025'!A:O,2,FALSE)</f>
        <v>גנים ט.חובה-משכורת</v>
      </c>
      <c r="C108" s="42">
        <v>27668151</v>
      </c>
      <c r="D108" s="42" t="s">
        <v>1702</v>
      </c>
      <c r="E108" s="42" t="s">
        <v>1703</v>
      </c>
      <c r="F108" s="42">
        <v>812300</v>
      </c>
      <c r="G108" s="48">
        <v>0</v>
      </c>
      <c r="H108" s="45">
        <v>70827.37</v>
      </c>
      <c r="I108" s="45">
        <f>SUMIFS('שכר 11.2024'!N:N,'שכר 11.2024'!C:C,C:C,'שכר 11.2024'!F:F,F:F)</f>
        <v>0</v>
      </c>
      <c r="J108" s="45">
        <f t="shared" si="4"/>
        <v>70827.37</v>
      </c>
      <c r="K108" s="61">
        <f t="shared" si="5"/>
        <v>1.0349999999999999</v>
      </c>
      <c r="L108" s="45">
        <f t="shared" si="6"/>
        <v>73306.327949999992</v>
      </c>
      <c r="M108" s="45">
        <f t="shared" si="7"/>
        <v>0</v>
      </c>
    </row>
    <row r="109" spans="1:13" outlineLevel="2" x14ac:dyDescent="0.35">
      <c r="A109" s="42">
        <v>1812300110</v>
      </c>
      <c r="B109" s="42" t="str">
        <f>VLOOKUP(A109,'תקציב מפורט 2025'!A:O,2,FALSE)</f>
        <v>גנים ט.חובה-משכורת</v>
      </c>
      <c r="C109" s="42">
        <v>27673730</v>
      </c>
      <c r="D109" s="42" t="s">
        <v>434</v>
      </c>
      <c r="E109" s="42" t="s">
        <v>559</v>
      </c>
      <c r="F109" s="42">
        <v>812300</v>
      </c>
      <c r="G109" s="48">
        <v>1100</v>
      </c>
      <c r="H109" s="45">
        <v>150761.95000000001</v>
      </c>
      <c r="I109" s="45">
        <f>SUMIFS('שכר 11.2024'!N:N,'שכר 11.2024'!C:C,C:C,'שכר 11.2024'!F:F,F:F)</f>
        <v>13027.56</v>
      </c>
      <c r="J109" s="45">
        <f t="shared" si="4"/>
        <v>163789.51</v>
      </c>
      <c r="K109" s="61">
        <f t="shared" si="5"/>
        <v>1.0349999999999999</v>
      </c>
      <c r="L109" s="45">
        <f t="shared" si="6"/>
        <v>169522.14285</v>
      </c>
      <c r="M109" s="45">
        <f t="shared" si="7"/>
        <v>1</v>
      </c>
    </row>
    <row r="110" spans="1:13" outlineLevel="2" x14ac:dyDescent="0.35">
      <c r="A110" s="42">
        <v>1812300110</v>
      </c>
      <c r="B110" s="42" t="str">
        <f>VLOOKUP(A110,'תקציב מפורט 2025'!A:O,2,FALSE)</f>
        <v>גנים ט.חובה-משכורת</v>
      </c>
      <c r="C110" s="42">
        <v>29843679</v>
      </c>
      <c r="D110" s="42" t="s">
        <v>448</v>
      </c>
      <c r="E110" s="42" t="s">
        <v>834</v>
      </c>
      <c r="F110" s="42">
        <v>812300</v>
      </c>
      <c r="G110" s="48">
        <v>1100</v>
      </c>
      <c r="H110" s="45">
        <v>145950.03</v>
      </c>
      <c r="I110" s="45">
        <f>SUMIFS('שכר 11.2024'!N:N,'שכר 11.2024'!C:C,C:C,'שכר 11.2024'!F:F,F:F)</f>
        <v>12395.82</v>
      </c>
      <c r="J110" s="45">
        <f t="shared" si="4"/>
        <v>158345.85</v>
      </c>
      <c r="K110" s="61">
        <f t="shared" si="5"/>
        <v>1.0349999999999999</v>
      </c>
      <c r="L110" s="45">
        <f t="shared" si="6"/>
        <v>163887.95475</v>
      </c>
      <c r="M110" s="45">
        <f t="shared" si="7"/>
        <v>1</v>
      </c>
    </row>
    <row r="111" spans="1:13" outlineLevel="2" x14ac:dyDescent="0.35">
      <c r="A111" s="42">
        <v>1812300110</v>
      </c>
      <c r="B111" s="42" t="str">
        <f>VLOOKUP(A111,'תקציב מפורט 2025'!A:O,2,FALSE)</f>
        <v>גנים ט.חובה-משכורת</v>
      </c>
      <c r="C111" s="42">
        <v>31452022</v>
      </c>
      <c r="D111" s="42" t="s">
        <v>538</v>
      </c>
      <c r="E111" s="42" t="s">
        <v>937</v>
      </c>
      <c r="F111" s="42">
        <v>812300</v>
      </c>
      <c r="G111" s="48">
        <v>1100</v>
      </c>
      <c r="H111" s="45">
        <v>136241.56</v>
      </c>
      <c r="I111" s="45">
        <f>SUMIFS('שכר 11.2024'!N:N,'שכר 11.2024'!C:C,C:C,'שכר 11.2024'!F:F,F:F)</f>
        <v>12032.43</v>
      </c>
      <c r="J111" s="45">
        <f t="shared" si="4"/>
        <v>148273.99</v>
      </c>
      <c r="K111" s="61">
        <f t="shared" si="5"/>
        <v>1.0349999999999999</v>
      </c>
      <c r="L111" s="45">
        <f t="shared" si="6"/>
        <v>153463.57964999997</v>
      </c>
      <c r="M111" s="45">
        <f t="shared" si="7"/>
        <v>1</v>
      </c>
    </row>
    <row r="112" spans="1:13" outlineLevel="2" x14ac:dyDescent="0.35">
      <c r="A112" s="42">
        <v>1812300110</v>
      </c>
      <c r="B112" s="42" t="str">
        <f>VLOOKUP(A112,'תקציב מפורט 2025'!A:O,2,FALSE)</f>
        <v>גנים ט.חובה-משכורת</v>
      </c>
      <c r="C112" s="42">
        <v>31455660</v>
      </c>
      <c r="D112" s="42" t="s">
        <v>434</v>
      </c>
      <c r="E112" s="42" t="s">
        <v>589</v>
      </c>
      <c r="F112" s="42">
        <v>812300</v>
      </c>
      <c r="G112" s="48">
        <v>1100</v>
      </c>
      <c r="H112" s="45">
        <v>168308.93</v>
      </c>
      <c r="I112" s="45">
        <f>SUMIFS('שכר 11.2024'!N:N,'שכר 11.2024'!C:C,C:C,'שכר 11.2024'!F:F,F:F)</f>
        <v>13994.03</v>
      </c>
      <c r="J112" s="45">
        <f t="shared" si="4"/>
        <v>182302.96</v>
      </c>
      <c r="K112" s="61">
        <f t="shared" si="5"/>
        <v>1.0349999999999999</v>
      </c>
      <c r="L112" s="45">
        <f t="shared" si="6"/>
        <v>188683.56359999996</v>
      </c>
      <c r="M112" s="45">
        <f t="shared" si="7"/>
        <v>1</v>
      </c>
    </row>
    <row r="113" spans="1:13" outlineLevel="2" x14ac:dyDescent="0.35">
      <c r="A113" s="42">
        <v>1812300110</v>
      </c>
      <c r="B113" s="42" t="str">
        <f>VLOOKUP(A113,'תקציב מפורט 2025'!A:O,2,FALSE)</f>
        <v>גנים ט.חובה-משכורת</v>
      </c>
      <c r="C113" s="42">
        <v>31594468</v>
      </c>
      <c r="D113" s="42" t="s">
        <v>434</v>
      </c>
      <c r="E113" s="42" t="s">
        <v>588</v>
      </c>
      <c r="F113" s="42">
        <v>812300</v>
      </c>
      <c r="G113" s="48">
        <v>1100</v>
      </c>
      <c r="H113" s="45">
        <v>176475.71</v>
      </c>
      <c r="I113" s="45">
        <f>SUMIFS('שכר 11.2024'!N:N,'שכר 11.2024'!C:C,C:C,'שכר 11.2024'!F:F,F:F)</f>
        <v>14803.65</v>
      </c>
      <c r="J113" s="45">
        <f t="shared" si="4"/>
        <v>191279.35999999999</v>
      </c>
      <c r="K113" s="61">
        <f t="shared" si="5"/>
        <v>1.0349999999999999</v>
      </c>
      <c r="L113" s="45">
        <f t="shared" si="6"/>
        <v>197974.13759999996</v>
      </c>
      <c r="M113" s="45">
        <f t="shared" si="7"/>
        <v>1</v>
      </c>
    </row>
    <row r="114" spans="1:13" outlineLevel="2" x14ac:dyDescent="0.35">
      <c r="A114" s="42">
        <v>1812300110</v>
      </c>
      <c r="B114" s="42" t="str">
        <f>VLOOKUP(A114,'תקציב מפורט 2025'!A:O,2,FALSE)</f>
        <v>גנים ט.חובה-משכורת</v>
      </c>
      <c r="C114" s="42">
        <v>32521395</v>
      </c>
      <c r="D114" s="42" t="s">
        <v>954</v>
      </c>
      <c r="E114" s="42" t="s">
        <v>581</v>
      </c>
      <c r="F114" s="42">
        <v>812300</v>
      </c>
      <c r="G114" s="48">
        <v>1100</v>
      </c>
      <c r="H114" s="45">
        <v>104251.77</v>
      </c>
      <c r="I114" s="45">
        <f>SUMIFS('שכר 11.2024'!N:N,'שכר 11.2024'!C:C,C:C,'שכר 11.2024'!F:F,F:F)</f>
        <v>11404.34</v>
      </c>
      <c r="J114" s="45">
        <f t="shared" si="4"/>
        <v>115656.11</v>
      </c>
      <c r="K114" s="61">
        <f t="shared" si="5"/>
        <v>1.0349999999999999</v>
      </c>
      <c r="L114" s="45">
        <f t="shared" si="6"/>
        <v>119704.07384999999</v>
      </c>
      <c r="M114" s="45">
        <f t="shared" si="7"/>
        <v>1</v>
      </c>
    </row>
    <row r="115" spans="1:13" outlineLevel="2" x14ac:dyDescent="0.35">
      <c r="A115" s="42">
        <v>1812300110</v>
      </c>
      <c r="B115" s="42" t="str">
        <f>VLOOKUP(A115,'תקציב מפורט 2025'!A:O,2,FALSE)</f>
        <v>גנים ט.חובה-משכורת</v>
      </c>
      <c r="C115" s="42">
        <v>32523425</v>
      </c>
      <c r="D115" s="42" t="s">
        <v>486</v>
      </c>
      <c r="E115" s="42" t="s">
        <v>578</v>
      </c>
      <c r="F115" s="42">
        <v>812300</v>
      </c>
      <c r="G115" s="48">
        <v>1100</v>
      </c>
      <c r="H115" s="45">
        <v>140654.25</v>
      </c>
      <c r="I115" s="45">
        <f>SUMIFS('שכר 11.2024'!N:N,'שכר 11.2024'!C:C,C:C,'שכר 11.2024'!F:F,F:F)</f>
        <v>12034.7</v>
      </c>
      <c r="J115" s="45">
        <f t="shared" si="4"/>
        <v>152688.95000000001</v>
      </c>
      <c r="K115" s="61">
        <f t="shared" si="5"/>
        <v>1.0349999999999999</v>
      </c>
      <c r="L115" s="45">
        <f t="shared" si="6"/>
        <v>158033.06325000001</v>
      </c>
      <c r="M115" s="45">
        <f t="shared" si="7"/>
        <v>1</v>
      </c>
    </row>
    <row r="116" spans="1:13" outlineLevel="2" x14ac:dyDescent="0.35">
      <c r="A116" s="42">
        <v>1812300110</v>
      </c>
      <c r="B116" s="42" t="str">
        <f>VLOOKUP(A116,'תקציב מפורט 2025'!A:O,2,FALSE)</f>
        <v>גנים ט.חובה-משכורת</v>
      </c>
      <c r="C116" s="42">
        <v>33107285</v>
      </c>
      <c r="D116" s="42" t="s">
        <v>434</v>
      </c>
      <c r="E116" s="42" t="s">
        <v>938</v>
      </c>
      <c r="F116" s="42">
        <v>812300</v>
      </c>
      <c r="G116" s="48">
        <v>1100</v>
      </c>
      <c r="H116" s="45">
        <v>146312.49</v>
      </c>
      <c r="I116" s="45">
        <f>SUMIFS('שכר 11.2024'!N:N,'שכר 11.2024'!C:C,C:C,'שכר 11.2024'!F:F,F:F)</f>
        <v>12068.35</v>
      </c>
      <c r="J116" s="45">
        <f t="shared" si="4"/>
        <v>158380.84</v>
      </c>
      <c r="K116" s="61">
        <f t="shared" si="5"/>
        <v>1.0349999999999999</v>
      </c>
      <c r="L116" s="45">
        <f t="shared" si="6"/>
        <v>163924.16939999998</v>
      </c>
      <c r="M116" s="45">
        <f t="shared" si="7"/>
        <v>1</v>
      </c>
    </row>
    <row r="117" spans="1:13" outlineLevel="2" x14ac:dyDescent="0.35">
      <c r="A117" s="42">
        <v>1812300110</v>
      </c>
      <c r="B117" s="42" t="str">
        <f>VLOOKUP(A117,'תקציב מפורט 2025'!A:O,2,FALSE)</f>
        <v>גנים ט.חובה-משכורת</v>
      </c>
      <c r="C117" s="42">
        <v>33426065</v>
      </c>
      <c r="D117" s="42" t="s">
        <v>486</v>
      </c>
      <c r="E117" s="42" t="s">
        <v>582</v>
      </c>
      <c r="F117" s="42">
        <v>812300</v>
      </c>
      <c r="G117" s="48">
        <v>0</v>
      </c>
      <c r="H117" s="45">
        <v>1537.59</v>
      </c>
      <c r="I117" s="45">
        <f>SUMIFS('שכר 11.2024'!N:N,'שכר 11.2024'!C:C,C:C,'שכר 11.2024'!F:F,F:F)</f>
        <v>157.62</v>
      </c>
      <c r="J117" s="45">
        <f t="shared" si="4"/>
        <v>1695.21</v>
      </c>
      <c r="K117" s="61">
        <f t="shared" si="5"/>
        <v>1.0349999999999999</v>
      </c>
      <c r="L117" s="45">
        <f t="shared" si="6"/>
        <v>1754.5423499999999</v>
      </c>
      <c r="M117" s="45">
        <f t="shared" si="7"/>
        <v>0</v>
      </c>
    </row>
    <row r="118" spans="1:13" outlineLevel="2" x14ac:dyDescent="0.35">
      <c r="A118" s="42">
        <v>1812300110</v>
      </c>
      <c r="B118" s="42" t="str">
        <f>VLOOKUP(A118,'תקציב מפורט 2025'!A:O,2,FALSE)</f>
        <v>גנים ט.חובה-משכורת</v>
      </c>
      <c r="C118" s="42">
        <v>33444837</v>
      </c>
      <c r="D118" s="42" t="s">
        <v>434</v>
      </c>
      <c r="E118" s="42" t="s">
        <v>587</v>
      </c>
      <c r="F118" s="42">
        <v>812300</v>
      </c>
      <c r="G118" s="48">
        <v>1100</v>
      </c>
      <c r="H118" s="45">
        <v>167967.94</v>
      </c>
      <c r="I118" s="45">
        <f>SUMIFS('שכר 11.2024'!N:N,'שכר 11.2024'!C:C,C:C,'שכר 11.2024'!F:F,F:F)</f>
        <v>13870.7</v>
      </c>
      <c r="J118" s="45">
        <f t="shared" si="4"/>
        <v>181838.64</v>
      </c>
      <c r="K118" s="61">
        <f t="shared" si="5"/>
        <v>1.0349999999999999</v>
      </c>
      <c r="L118" s="45">
        <f t="shared" si="6"/>
        <v>188202.99239999999</v>
      </c>
      <c r="M118" s="45">
        <f t="shared" si="7"/>
        <v>1</v>
      </c>
    </row>
    <row r="119" spans="1:13" outlineLevel="2" x14ac:dyDescent="0.35">
      <c r="A119" s="42">
        <v>1812300110</v>
      </c>
      <c r="B119" s="42" t="str">
        <f>VLOOKUP(A119,'תקציב מפורט 2025'!A:O,2,FALSE)</f>
        <v>גנים ט.חובה-משכורת</v>
      </c>
      <c r="C119" s="42">
        <v>33800699</v>
      </c>
      <c r="D119" s="42" t="s">
        <v>448</v>
      </c>
      <c r="E119" s="42" t="s">
        <v>580</v>
      </c>
      <c r="F119" s="42">
        <v>812300</v>
      </c>
      <c r="G119" s="48">
        <v>1100</v>
      </c>
      <c r="H119" s="45">
        <v>126645.26</v>
      </c>
      <c r="I119" s="45">
        <f>SUMIFS('שכר 11.2024'!N:N,'שכר 11.2024'!C:C,C:C,'שכר 11.2024'!F:F,F:F)</f>
        <v>10853.23</v>
      </c>
      <c r="J119" s="45">
        <f t="shared" si="4"/>
        <v>137498.49</v>
      </c>
      <c r="K119" s="61">
        <f t="shared" si="5"/>
        <v>1.0349999999999999</v>
      </c>
      <c r="L119" s="45">
        <f t="shared" si="6"/>
        <v>142310.93714999998</v>
      </c>
      <c r="M119" s="45">
        <f t="shared" si="7"/>
        <v>1</v>
      </c>
    </row>
    <row r="120" spans="1:13" outlineLevel="2" x14ac:dyDescent="0.35">
      <c r="A120" s="42">
        <v>1812300110</v>
      </c>
      <c r="B120" s="42" t="str">
        <f>VLOOKUP(A120,'תקציב מפורט 2025'!A:O,2,FALSE)</f>
        <v>גנים ט.חובה-משכורת</v>
      </c>
      <c r="C120" s="42">
        <v>34555235</v>
      </c>
      <c r="D120" s="42" t="s">
        <v>434</v>
      </c>
      <c r="E120" s="42" t="s">
        <v>1704</v>
      </c>
      <c r="F120" s="42">
        <v>812300</v>
      </c>
      <c r="G120" s="48">
        <v>1100</v>
      </c>
      <c r="H120" s="45">
        <v>116264.96000000001</v>
      </c>
      <c r="I120" s="45">
        <f>SUMIFS('שכר 11.2024'!N:N,'שכר 11.2024'!C:C,C:C,'שכר 11.2024'!F:F,F:F)</f>
        <v>9978.2099999999991</v>
      </c>
      <c r="J120" s="45">
        <f t="shared" si="4"/>
        <v>126243.17000000001</v>
      </c>
      <c r="K120" s="61">
        <f t="shared" si="5"/>
        <v>1.0349999999999999</v>
      </c>
      <c r="L120" s="45">
        <f t="shared" si="6"/>
        <v>130661.68095000001</v>
      </c>
      <c r="M120" s="45">
        <f t="shared" si="7"/>
        <v>1</v>
      </c>
    </row>
    <row r="121" spans="1:13" outlineLevel="2" x14ac:dyDescent="0.35">
      <c r="A121" s="42">
        <v>1812300110</v>
      </c>
      <c r="B121" s="42" t="str">
        <f>VLOOKUP(A121,'תקציב מפורט 2025'!A:O,2,FALSE)</f>
        <v>גנים ט.חובה-משכורת</v>
      </c>
      <c r="C121" s="42">
        <v>34576298</v>
      </c>
      <c r="D121" s="42" t="s">
        <v>823</v>
      </c>
      <c r="E121" s="42" t="s">
        <v>550</v>
      </c>
      <c r="F121" s="42">
        <v>812300</v>
      </c>
      <c r="G121" s="48">
        <v>0</v>
      </c>
      <c r="H121" s="45">
        <v>1587.97</v>
      </c>
      <c r="I121" s="45">
        <f>SUMIFS('שכר 11.2024'!N:N,'שכר 11.2024'!C:C,C:C,'שכר 11.2024'!F:F,F:F)</f>
        <v>142.07</v>
      </c>
      <c r="J121" s="45">
        <f t="shared" si="4"/>
        <v>1730.04</v>
      </c>
      <c r="K121" s="61">
        <f t="shared" si="5"/>
        <v>1.0349999999999999</v>
      </c>
      <c r="L121" s="45">
        <f t="shared" si="6"/>
        <v>1790.5913999999998</v>
      </c>
      <c r="M121" s="45">
        <f t="shared" si="7"/>
        <v>0</v>
      </c>
    </row>
    <row r="122" spans="1:13" outlineLevel="2" x14ac:dyDescent="0.35">
      <c r="A122" s="42">
        <v>1812300110</v>
      </c>
      <c r="B122" s="42" t="str">
        <f>VLOOKUP(A122,'תקציב מפורט 2025'!A:O,2,FALSE)</f>
        <v>גנים ט.חובה-משכורת</v>
      </c>
      <c r="C122" s="42">
        <v>36391092</v>
      </c>
      <c r="D122" s="42" t="s">
        <v>442</v>
      </c>
      <c r="E122" s="42" t="s">
        <v>586</v>
      </c>
      <c r="F122" s="42">
        <v>812300</v>
      </c>
      <c r="G122" s="48">
        <v>1100</v>
      </c>
      <c r="H122" s="45">
        <v>162985.28</v>
      </c>
      <c r="I122" s="45">
        <f>SUMIFS('שכר 11.2024'!N:N,'שכר 11.2024'!C:C,C:C,'שכר 11.2024'!F:F,F:F)</f>
        <v>18894.599999999999</v>
      </c>
      <c r="J122" s="45">
        <f t="shared" si="4"/>
        <v>181879.88</v>
      </c>
      <c r="K122" s="61">
        <f t="shared" si="5"/>
        <v>1.0349999999999999</v>
      </c>
      <c r="L122" s="45">
        <f t="shared" si="6"/>
        <v>188245.6758</v>
      </c>
      <c r="M122" s="45">
        <f t="shared" si="7"/>
        <v>1</v>
      </c>
    </row>
    <row r="123" spans="1:13" outlineLevel="2" x14ac:dyDescent="0.35">
      <c r="A123" s="42">
        <v>1812300110</v>
      </c>
      <c r="B123" s="42" t="str">
        <f>VLOOKUP(A123,'תקציב מפורט 2025'!A:O,2,FALSE)</f>
        <v>גנים ט.חובה-משכורת</v>
      </c>
      <c r="C123" s="42">
        <v>36391993</v>
      </c>
      <c r="D123" s="42" t="s">
        <v>835</v>
      </c>
      <c r="E123" s="42" t="s">
        <v>836</v>
      </c>
      <c r="F123" s="42">
        <v>812300</v>
      </c>
      <c r="G123" s="48">
        <v>1100</v>
      </c>
      <c r="H123" s="45">
        <v>135743.04000000001</v>
      </c>
      <c r="I123" s="45">
        <f>SUMIFS('שכר 11.2024'!N:N,'שכר 11.2024'!C:C,C:C,'שכר 11.2024'!F:F,F:F)</f>
        <v>21574.12</v>
      </c>
      <c r="J123" s="45">
        <f t="shared" si="4"/>
        <v>157317.16</v>
      </c>
      <c r="K123" s="61">
        <f t="shared" si="5"/>
        <v>1.0349999999999999</v>
      </c>
      <c r="L123" s="45">
        <f t="shared" si="6"/>
        <v>162823.26059999998</v>
      </c>
      <c r="M123" s="45">
        <f t="shared" si="7"/>
        <v>1</v>
      </c>
    </row>
    <row r="124" spans="1:13" outlineLevel="2" x14ac:dyDescent="0.35">
      <c r="A124" s="42">
        <v>1812300110</v>
      </c>
      <c r="B124" s="42" t="str">
        <f>VLOOKUP(A124,'תקציב מפורט 2025'!A:O,2,FALSE)</f>
        <v>גנים ט.חובה-משכורת</v>
      </c>
      <c r="C124" s="42">
        <v>36482339</v>
      </c>
      <c r="D124" s="42" t="s">
        <v>942</v>
      </c>
      <c r="E124" s="42" t="s">
        <v>485</v>
      </c>
      <c r="F124" s="42">
        <v>812300</v>
      </c>
      <c r="G124" s="48">
        <v>1100</v>
      </c>
      <c r="H124" s="45">
        <v>137435.60999999999</v>
      </c>
      <c r="I124" s="45">
        <f>SUMIFS('שכר 11.2024'!N:N,'שכר 11.2024'!C:C,C:C,'שכר 11.2024'!F:F,F:F)</f>
        <v>11728.68</v>
      </c>
      <c r="J124" s="45">
        <f t="shared" si="4"/>
        <v>149164.28999999998</v>
      </c>
      <c r="K124" s="61">
        <f t="shared" si="5"/>
        <v>1.0349999999999999</v>
      </c>
      <c r="L124" s="45">
        <f t="shared" si="6"/>
        <v>154385.04014999996</v>
      </c>
      <c r="M124" s="45">
        <f t="shared" si="7"/>
        <v>1</v>
      </c>
    </row>
    <row r="125" spans="1:13" outlineLevel="2" x14ac:dyDescent="0.35">
      <c r="A125" s="42">
        <v>1812300110</v>
      </c>
      <c r="B125" s="42" t="str">
        <f>VLOOKUP(A125,'תקציב מפורט 2025'!A:O,2,FALSE)</f>
        <v>גנים ט.חובה-משכורת</v>
      </c>
      <c r="C125" s="42">
        <v>38003646</v>
      </c>
      <c r="D125" s="42" t="s">
        <v>434</v>
      </c>
      <c r="E125" s="42" t="s">
        <v>575</v>
      </c>
      <c r="F125" s="42">
        <v>812300</v>
      </c>
      <c r="G125" s="48">
        <v>1100</v>
      </c>
      <c r="H125" s="45">
        <v>138532.59</v>
      </c>
      <c r="I125" s="45">
        <f>SUMIFS('שכר 11.2024'!N:N,'שכר 11.2024'!C:C,C:C,'שכר 11.2024'!F:F,F:F)</f>
        <v>12002.47</v>
      </c>
      <c r="J125" s="45">
        <f t="shared" si="4"/>
        <v>150535.06</v>
      </c>
      <c r="K125" s="61">
        <f t="shared" si="5"/>
        <v>1.0349999999999999</v>
      </c>
      <c r="L125" s="45">
        <f t="shared" si="6"/>
        <v>155803.78709999999</v>
      </c>
      <c r="M125" s="45">
        <f t="shared" si="7"/>
        <v>1</v>
      </c>
    </row>
    <row r="126" spans="1:13" outlineLevel="2" x14ac:dyDescent="0.35">
      <c r="A126" s="42">
        <v>1812300110</v>
      </c>
      <c r="B126" s="42" t="str">
        <f>VLOOKUP(A126,'תקציב מפורט 2025'!A:O,2,FALSE)</f>
        <v>גנים ט.חובה-משכורת</v>
      </c>
      <c r="C126" s="42">
        <v>39129390</v>
      </c>
      <c r="D126" s="42" t="s">
        <v>484</v>
      </c>
      <c r="E126" s="42" t="s">
        <v>438</v>
      </c>
      <c r="F126" s="42">
        <v>812300</v>
      </c>
      <c r="G126" s="48">
        <v>1100</v>
      </c>
      <c r="H126" s="45">
        <v>138478</v>
      </c>
      <c r="I126" s="45">
        <f>SUMIFS('שכר 11.2024'!N:N,'שכר 11.2024'!C:C,C:C,'שכר 11.2024'!F:F,F:F)</f>
        <v>11756.22</v>
      </c>
      <c r="J126" s="45">
        <f t="shared" si="4"/>
        <v>150234.22</v>
      </c>
      <c r="K126" s="61">
        <f t="shared" si="5"/>
        <v>1.0349999999999999</v>
      </c>
      <c r="L126" s="45">
        <f t="shared" si="6"/>
        <v>155492.41769999999</v>
      </c>
      <c r="M126" s="45">
        <f t="shared" si="7"/>
        <v>1</v>
      </c>
    </row>
    <row r="127" spans="1:13" outlineLevel="2" x14ac:dyDescent="0.35">
      <c r="A127" s="42">
        <v>1812300110</v>
      </c>
      <c r="B127" s="42" t="str">
        <f>VLOOKUP(A127,'תקציב מפורט 2025'!A:O,2,FALSE)</f>
        <v>גנים ט.חובה-משכורת</v>
      </c>
      <c r="C127" s="42">
        <v>40466393</v>
      </c>
      <c r="D127" s="42" t="s">
        <v>434</v>
      </c>
      <c r="E127" s="42" t="s">
        <v>544</v>
      </c>
      <c r="F127" s="42">
        <v>812300</v>
      </c>
      <c r="G127" s="48">
        <v>1100</v>
      </c>
      <c r="H127" s="45">
        <v>134862.03</v>
      </c>
      <c r="I127" s="45">
        <f>SUMIFS('שכר 11.2024'!N:N,'שכר 11.2024'!C:C,C:C,'שכר 11.2024'!F:F,F:F)</f>
        <v>11538.78</v>
      </c>
      <c r="J127" s="45">
        <f t="shared" si="4"/>
        <v>146400.81</v>
      </c>
      <c r="K127" s="61">
        <f t="shared" si="5"/>
        <v>1.0349999999999999</v>
      </c>
      <c r="L127" s="45">
        <f t="shared" si="6"/>
        <v>151524.83834999998</v>
      </c>
      <c r="M127" s="45">
        <f t="shared" si="7"/>
        <v>1</v>
      </c>
    </row>
    <row r="128" spans="1:13" outlineLevel="2" x14ac:dyDescent="0.35">
      <c r="A128" s="42">
        <v>1812300110</v>
      </c>
      <c r="B128" s="42" t="str">
        <f>VLOOKUP(A128,'תקציב מפורט 2025'!A:O,2,FALSE)</f>
        <v>גנים ט.חובה-משכורת</v>
      </c>
      <c r="C128" s="42">
        <v>40810657</v>
      </c>
      <c r="D128" s="42" t="s">
        <v>837</v>
      </c>
      <c r="E128" s="42" t="s">
        <v>838</v>
      </c>
      <c r="F128" s="42">
        <v>812300</v>
      </c>
      <c r="G128" s="48">
        <v>1100</v>
      </c>
      <c r="H128" s="45">
        <v>128728.08</v>
      </c>
      <c r="I128" s="45">
        <f>SUMIFS('שכר 11.2024'!N:N,'שכר 11.2024'!C:C,C:C,'שכר 11.2024'!F:F,F:F)</f>
        <v>11409.14</v>
      </c>
      <c r="J128" s="45">
        <f t="shared" si="4"/>
        <v>140137.22</v>
      </c>
      <c r="K128" s="61">
        <f t="shared" si="5"/>
        <v>1.0349999999999999</v>
      </c>
      <c r="L128" s="45">
        <f t="shared" si="6"/>
        <v>145042.0227</v>
      </c>
      <c r="M128" s="45">
        <f t="shared" si="7"/>
        <v>1</v>
      </c>
    </row>
    <row r="129" spans="1:13" outlineLevel="2" x14ac:dyDescent="0.35">
      <c r="A129" s="42">
        <v>1812300110</v>
      </c>
      <c r="B129" s="42" t="str">
        <f>VLOOKUP(A129,'תקציב מפורט 2025'!A:O,2,FALSE)</f>
        <v>גנים ט.חובה-משכורת</v>
      </c>
      <c r="C129" s="42">
        <v>43469964</v>
      </c>
      <c r="D129" s="42" t="s">
        <v>448</v>
      </c>
      <c r="E129" s="42" t="s">
        <v>483</v>
      </c>
      <c r="F129" s="42">
        <v>812300</v>
      </c>
      <c r="G129" s="48">
        <v>1100</v>
      </c>
      <c r="H129" s="45">
        <v>139677.57999999999</v>
      </c>
      <c r="I129" s="45">
        <f>SUMIFS('שכר 11.2024'!N:N,'שכר 11.2024'!C:C,C:C,'שכר 11.2024'!F:F,F:F)</f>
        <v>11639.16</v>
      </c>
      <c r="J129" s="45">
        <f t="shared" si="4"/>
        <v>151316.74</v>
      </c>
      <c r="K129" s="61">
        <f t="shared" si="5"/>
        <v>1.0349999999999999</v>
      </c>
      <c r="L129" s="45">
        <f t="shared" si="6"/>
        <v>156612.82589999997</v>
      </c>
      <c r="M129" s="45">
        <f t="shared" si="7"/>
        <v>1</v>
      </c>
    </row>
    <row r="130" spans="1:13" outlineLevel="2" x14ac:dyDescent="0.35">
      <c r="A130" s="42">
        <v>1812300110</v>
      </c>
      <c r="B130" s="42" t="str">
        <f>VLOOKUP(A130,'תקציב מפורט 2025'!A:O,2,FALSE)</f>
        <v>גנים ט.חובה-משכורת</v>
      </c>
      <c r="C130" s="42">
        <v>43492578</v>
      </c>
      <c r="D130" s="42" t="s">
        <v>585</v>
      </c>
      <c r="E130" s="42" t="s">
        <v>449</v>
      </c>
      <c r="F130" s="42">
        <v>812300</v>
      </c>
      <c r="G130" s="48">
        <v>0</v>
      </c>
      <c r="H130" s="45">
        <v>-1182.3800000000001</v>
      </c>
      <c r="I130" s="45">
        <f>SUMIFS('שכר 11.2024'!N:N,'שכר 11.2024'!C:C,C:C,'שכר 11.2024'!F:F,F:F)</f>
        <v>-419.53</v>
      </c>
      <c r="J130" s="45">
        <f t="shared" si="4"/>
        <v>-1601.91</v>
      </c>
      <c r="K130" s="61">
        <f t="shared" si="5"/>
        <v>1.0349999999999999</v>
      </c>
      <c r="L130" s="45">
        <f t="shared" si="6"/>
        <v>-1657.97685</v>
      </c>
      <c r="M130" s="45">
        <f t="shared" si="7"/>
        <v>0</v>
      </c>
    </row>
    <row r="131" spans="1:13" outlineLevel="2" x14ac:dyDescent="0.35">
      <c r="A131" s="42">
        <v>1812300110</v>
      </c>
      <c r="B131" s="42" t="str">
        <f>VLOOKUP(A131,'תקציב מפורט 2025'!A:O,2,FALSE)</f>
        <v>גנים ט.חובה-משכורת</v>
      </c>
      <c r="C131" s="42">
        <v>61297214</v>
      </c>
      <c r="D131" s="42" t="s">
        <v>464</v>
      </c>
      <c r="E131" s="42" t="s">
        <v>1705</v>
      </c>
      <c r="F131" s="42">
        <v>812300</v>
      </c>
      <c r="G131" s="48">
        <v>1100</v>
      </c>
      <c r="H131" s="45">
        <v>123707.19</v>
      </c>
      <c r="I131" s="45">
        <f>SUMIFS('שכר 11.2024'!N:N,'שכר 11.2024'!C:C,C:C,'שכר 11.2024'!F:F,F:F)</f>
        <v>10276.719999999999</v>
      </c>
      <c r="J131" s="45">
        <f t="shared" si="4"/>
        <v>133983.91</v>
      </c>
      <c r="K131" s="61">
        <f t="shared" si="5"/>
        <v>1.0349999999999999</v>
      </c>
      <c r="L131" s="45">
        <f t="shared" si="6"/>
        <v>138673.34685</v>
      </c>
      <c r="M131" s="45">
        <f t="shared" si="7"/>
        <v>1</v>
      </c>
    </row>
    <row r="132" spans="1:13" outlineLevel="2" x14ac:dyDescent="0.35">
      <c r="A132" s="42">
        <v>1812300110</v>
      </c>
      <c r="B132" s="42" t="str">
        <f>VLOOKUP(A132,'תקציב מפורט 2025'!A:O,2,FALSE)</f>
        <v>גנים ט.חובה-משכורת</v>
      </c>
      <c r="C132" s="42">
        <v>204196125</v>
      </c>
      <c r="D132" s="42" t="s">
        <v>434</v>
      </c>
      <c r="E132" s="42" t="s">
        <v>839</v>
      </c>
      <c r="F132" s="42">
        <v>812300</v>
      </c>
      <c r="G132" s="48">
        <v>0</v>
      </c>
      <c r="H132" s="45">
        <v>-851.69</v>
      </c>
      <c r="I132" s="45">
        <f>SUMIFS('שכר 11.2024'!N:N,'שכר 11.2024'!C:C,C:C,'שכר 11.2024'!F:F,F:F)</f>
        <v>0</v>
      </c>
      <c r="J132" s="45">
        <f t="shared" si="4"/>
        <v>-851.69</v>
      </c>
      <c r="K132" s="61">
        <f t="shared" si="5"/>
        <v>1.0349999999999999</v>
      </c>
      <c r="L132" s="45">
        <f t="shared" si="6"/>
        <v>-881.49914999999999</v>
      </c>
      <c r="M132" s="45">
        <f t="shared" si="7"/>
        <v>0</v>
      </c>
    </row>
    <row r="133" spans="1:13" outlineLevel="2" x14ac:dyDescent="0.35">
      <c r="A133" s="42">
        <v>1812300110</v>
      </c>
      <c r="B133" s="42" t="str">
        <f>VLOOKUP(A133,'תקציב מפורט 2025'!A:O,2,FALSE)</f>
        <v>גנים ט.חובה-משכורת</v>
      </c>
      <c r="C133" s="42">
        <v>205678154</v>
      </c>
      <c r="D133" s="42" t="s">
        <v>434</v>
      </c>
      <c r="E133" s="42" t="s">
        <v>1706</v>
      </c>
      <c r="F133" s="42">
        <v>812300</v>
      </c>
      <c r="G133" s="48">
        <v>1100</v>
      </c>
      <c r="H133" s="45">
        <v>128634.49</v>
      </c>
      <c r="I133" s="45">
        <f>SUMIFS('שכר 11.2024'!N:N,'שכר 11.2024'!C:C,C:C,'שכר 11.2024'!F:F,F:F)</f>
        <v>11708.82</v>
      </c>
      <c r="J133" s="45">
        <f t="shared" si="4"/>
        <v>140343.31</v>
      </c>
      <c r="K133" s="61">
        <f t="shared" si="5"/>
        <v>1.0349999999999999</v>
      </c>
      <c r="L133" s="45">
        <f t="shared" si="6"/>
        <v>145255.32584999999</v>
      </c>
      <c r="M133" s="45">
        <f t="shared" si="7"/>
        <v>1</v>
      </c>
    </row>
    <row r="134" spans="1:13" outlineLevel="2" x14ac:dyDescent="0.35">
      <c r="A134" s="42">
        <v>1812300110</v>
      </c>
      <c r="B134" s="42" t="str">
        <f>VLOOKUP(A134,'תקציב מפורט 2025'!A:O,2,FALSE)</f>
        <v>גנים ט.חובה-משכורת</v>
      </c>
      <c r="C134" s="42">
        <v>205764020</v>
      </c>
      <c r="D134" s="42" t="s">
        <v>439</v>
      </c>
      <c r="E134" s="42" t="s">
        <v>584</v>
      </c>
      <c r="F134" s="42">
        <v>812300</v>
      </c>
      <c r="G134" s="48">
        <v>1100</v>
      </c>
      <c r="H134" s="45">
        <v>138112.94</v>
      </c>
      <c r="I134" s="45">
        <f>SUMIFS('שכר 11.2024'!N:N,'שכר 11.2024'!C:C,C:C,'שכר 11.2024'!F:F,F:F)</f>
        <v>12501.45</v>
      </c>
      <c r="J134" s="45">
        <f t="shared" si="4"/>
        <v>150614.39000000001</v>
      </c>
      <c r="K134" s="61">
        <f t="shared" si="5"/>
        <v>1.0349999999999999</v>
      </c>
      <c r="L134" s="45">
        <f t="shared" si="6"/>
        <v>155885.89365000001</v>
      </c>
      <c r="M134" s="45">
        <f t="shared" si="7"/>
        <v>1</v>
      </c>
    </row>
    <row r="135" spans="1:13" outlineLevel="2" x14ac:dyDescent="0.35">
      <c r="A135" s="42">
        <v>1812300110</v>
      </c>
      <c r="B135" s="42" t="str">
        <f>VLOOKUP(A135,'תקציב מפורט 2025'!A:O,2,FALSE)</f>
        <v>גנים ט.חובה-משכורת</v>
      </c>
      <c r="C135" s="42">
        <v>209546902</v>
      </c>
      <c r="D135" s="42" t="s">
        <v>434</v>
      </c>
      <c r="E135" s="42" t="s">
        <v>542</v>
      </c>
      <c r="F135" s="42">
        <v>812300</v>
      </c>
      <c r="G135" s="48">
        <v>1100</v>
      </c>
      <c r="H135" s="45">
        <v>128078.9</v>
      </c>
      <c r="I135" s="45">
        <f>SUMIFS('שכר 11.2024'!N:N,'שכר 11.2024'!C:C,C:C,'שכר 11.2024'!F:F,F:F)</f>
        <v>10128.52</v>
      </c>
      <c r="J135" s="45">
        <f t="shared" si="4"/>
        <v>138207.41999999998</v>
      </c>
      <c r="K135" s="61">
        <f t="shared" si="5"/>
        <v>1.0349999999999999</v>
      </c>
      <c r="L135" s="45">
        <f t="shared" si="6"/>
        <v>143044.67969999998</v>
      </c>
      <c r="M135" s="45">
        <f t="shared" si="7"/>
        <v>1</v>
      </c>
    </row>
    <row r="136" spans="1:13" outlineLevel="2" x14ac:dyDescent="0.35">
      <c r="A136" s="42">
        <v>1812300110</v>
      </c>
      <c r="B136" s="42" t="str">
        <f>VLOOKUP(A136,'תקציב מפורט 2025'!A:O,2,FALSE)</f>
        <v>גנים ט.חובה-משכורת</v>
      </c>
      <c r="C136" s="42">
        <v>301915906</v>
      </c>
      <c r="D136" s="42" t="s">
        <v>837</v>
      </c>
      <c r="E136" s="42" t="s">
        <v>477</v>
      </c>
      <c r="F136" s="42">
        <v>812300</v>
      </c>
      <c r="G136" s="48">
        <v>663.5</v>
      </c>
      <c r="H136" s="45">
        <v>54137.06</v>
      </c>
      <c r="I136" s="45">
        <f>SUMIFS('שכר 11.2024'!N:N,'שכר 11.2024'!C:C,C:C,'שכר 11.2024'!F:F,F:F)</f>
        <v>5279.21</v>
      </c>
      <c r="J136" s="45">
        <f t="shared" si="4"/>
        <v>59416.27</v>
      </c>
      <c r="K136" s="61">
        <f t="shared" si="5"/>
        <v>1.0349999999999999</v>
      </c>
      <c r="L136" s="45">
        <f t="shared" si="6"/>
        <v>61495.839449999992</v>
      </c>
      <c r="M136" s="45">
        <f t="shared" si="7"/>
        <v>0.60318181818181815</v>
      </c>
    </row>
    <row r="137" spans="1:13" outlineLevel="2" x14ac:dyDescent="0.35">
      <c r="A137" s="42">
        <v>1812300110</v>
      </c>
      <c r="B137" s="42" t="str">
        <f>VLOOKUP(A137,'תקציב מפורט 2025'!A:O,2,FALSE)</f>
        <v>גנים ט.חובה-משכורת</v>
      </c>
      <c r="C137" s="42">
        <v>305255341</v>
      </c>
      <c r="D137" s="42" t="s">
        <v>486</v>
      </c>
      <c r="E137" s="42" t="s">
        <v>841</v>
      </c>
      <c r="F137" s="42">
        <v>812300</v>
      </c>
      <c r="G137" s="48">
        <v>1100</v>
      </c>
      <c r="H137" s="45">
        <v>135752.21</v>
      </c>
      <c r="I137" s="45">
        <f>SUMIFS('שכר 11.2024'!N:N,'שכר 11.2024'!C:C,C:C,'שכר 11.2024'!F:F,F:F)</f>
        <v>12034.45</v>
      </c>
      <c r="J137" s="45">
        <f t="shared" si="4"/>
        <v>147786.66</v>
      </c>
      <c r="K137" s="61">
        <f t="shared" si="5"/>
        <v>1.0349999999999999</v>
      </c>
      <c r="L137" s="45">
        <f t="shared" si="6"/>
        <v>152959.1931</v>
      </c>
      <c r="M137" s="45">
        <f t="shared" si="7"/>
        <v>1</v>
      </c>
    </row>
    <row r="138" spans="1:13" outlineLevel="2" x14ac:dyDescent="0.35">
      <c r="A138" s="42">
        <v>1812300110</v>
      </c>
      <c r="B138" s="42" t="str">
        <f>VLOOKUP(A138,'תקציב מפורט 2025'!A:O,2,FALSE)</f>
        <v>גנים ט.חובה-משכורת</v>
      </c>
      <c r="C138" s="42">
        <v>316170729</v>
      </c>
      <c r="D138" s="42" t="s">
        <v>434</v>
      </c>
      <c r="E138" s="42" t="s">
        <v>842</v>
      </c>
      <c r="F138" s="42">
        <v>812300</v>
      </c>
      <c r="G138" s="48">
        <v>1100</v>
      </c>
      <c r="H138" s="45">
        <v>139931.21</v>
      </c>
      <c r="I138" s="45">
        <f>SUMIFS('שכר 11.2024'!N:N,'שכר 11.2024'!C:C,C:C,'שכר 11.2024'!F:F,F:F)</f>
        <v>12101.32</v>
      </c>
      <c r="J138" s="45">
        <f t="shared" si="4"/>
        <v>152032.53</v>
      </c>
      <c r="K138" s="61">
        <f t="shared" si="5"/>
        <v>1.0349999999999999</v>
      </c>
      <c r="L138" s="45">
        <f t="shared" si="6"/>
        <v>157353.66854999997</v>
      </c>
      <c r="M138" s="45">
        <f t="shared" si="7"/>
        <v>1</v>
      </c>
    </row>
    <row r="139" spans="1:13" outlineLevel="2" x14ac:dyDescent="0.35">
      <c r="A139" s="42">
        <v>1812300110</v>
      </c>
      <c r="B139" s="42" t="str">
        <f>VLOOKUP(A139,'תקציב מפורט 2025'!A:O,2,FALSE)</f>
        <v>גנים ט.חובה-משכורת</v>
      </c>
      <c r="C139" s="42">
        <v>26356477</v>
      </c>
      <c r="D139" s="42" t="s">
        <v>448</v>
      </c>
      <c r="E139" s="42" t="s">
        <v>1701</v>
      </c>
      <c r="F139" s="42">
        <v>812310</v>
      </c>
      <c r="G139" s="48">
        <v>1100</v>
      </c>
      <c r="H139" s="45">
        <v>165663.65</v>
      </c>
      <c r="I139" s="45">
        <f>SUMIFS('שכר 11.2024'!N:N,'שכר 11.2024'!C:C,C:C,'שכר 11.2024'!F:F,F:F)</f>
        <v>13623.97</v>
      </c>
      <c r="J139" s="45">
        <f t="shared" si="4"/>
        <v>179287.62</v>
      </c>
      <c r="K139" s="61">
        <f t="shared" si="5"/>
        <v>1.0349999999999999</v>
      </c>
      <c r="L139" s="45">
        <f t="shared" si="6"/>
        <v>185562.68669999999</v>
      </c>
      <c r="M139" s="45">
        <f t="shared" si="7"/>
        <v>1</v>
      </c>
    </row>
    <row r="140" spans="1:13" outlineLevel="2" x14ac:dyDescent="0.35">
      <c r="A140" s="42">
        <v>1812300110</v>
      </c>
      <c r="B140" s="42" t="str">
        <f>VLOOKUP(A140,'תקציב מפורט 2025'!A:O,2,FALSE)</f>
        <v>גנים ט.חובה-משכורת</v>
      </c>
      <c r="C140" s="42">
        <v>26514349</v>
      </c>
      <c r="D140" s="42" t="s">
        <v>486</v>
      </c>
      <c r="E140" s="42" t="s">
        <v>913</v>
      </c>
      <c r="F140" s="42">
        <v>812310</v>
      </c>
      <c r="G140" s="48">
        <v>319.5</v>
      </c>
      <c r="H140" s="45">
        <v>22125.46</v>
      </c>
      <c r="I140" s="45">
        <f>SUMIFS('שכר 11.2024'!N:N,'שכר 11.2024'!C:C,C:C,'שכר 11.2024'!F:F,F:F)</f>
        <v>0</v>
      </c>
      <c r="J140" s="45">
        <f t="shared" si="4"/>
        <v>22125.46</v>
      </c>
      <c r="K140" s="61">
        <f t="shared" si="5"/>
        <v>1.0349999999999999</v>
      </c>
      <c r="L140" s="45">
        <f t="shared" si="6"/>
        <v>22899.851099999996</v>
      </c>
      <c r="M140" s="45">
        <f t="shared" si="7"/>
        <v>0.29045454545454547</v>
      </c>
    </row>
    <row r="141" spans="1:13" outlineLevel="2" x14ac:dyDescent="0.35">
      <c r="A141" s="42">
        <v>1812300110</v>
      </c>
      <c r="B141" s="42" t="str">
        <f>VLOOKUP(A141,'תקציב מפורט 2025'!A:O,2,FALSE)</f>
        <v>גנים ט.חובה-משכורת</v>
      </c>
      <c r="C141" s="42">
        <v>27668151</v>
      </c>
      <c r="D141" s="42" t="s">
        <v>1702</v>
      </c>
      <c r="E141" s="42" t="s">
        <v>1703</v>
      </c>
      <c r="F141" s="42">
        <v>812310</v>
      </c>
      <c r="G141" s="48">
        <v>100</v>
      </c>
      <c r="H141" s="45">
        <v>11105.58</v>
      </c>
      <c r="I141" s="45">
        <f>SUMIFS('שכר 11.2024'!N:N,'שכר 11.2024'!C:C,C:C,'שכר 11.2024'!F:F,F:F)</f>
        <v>0</v>
      </c>
      <c r="J141" s="45">
        <f t="shared" si="4"/>
        <v>11105.58</v>
      </c>
      <c r="K141" s="61">
        <f t="shared" si="5"/>
        <v>1.0349999999999999</v>
      </c>
      <c r="L141" s="45">
        <f t="shared" si="6"/>
        <v>11494.275299999999</v>
      </c>
      <c r="M141" s="45">
        <f t="shared" si="7"/>
        <v>9.0909090909090912E-2</v>
      </c>
    </row>
    <row r="142" spans="1:13" outlineLevel="2" x14ac:dyDescent="0.35">
      <c r="A142" s="42">
        <v>1812300110</v>
      </c>
      <c r="B142" s="42" t="str">
        <f>VLOOKUP(A142,'תקציב מפורט 2025'!A:O,2,FALSE)</f>
        <v>גנים ט.חובה-משכורת</v>
      </c>
      <c r="C142" s="42">
        <v>31595689</v>
      </c>
      <c r="D142" s="42" t="s">
        <v>434</v>
      </c>
      <c r="E142" s="42" t="s">
        <v>567</v>
      </c>
      <c r="F142" s="42">
        <v>812310</v>
      </c>
      <c r="G142" s="48">
        <v>1100</v>
      </c>
      <c r="H142" s="45">
        <v>156569.69</v>
      </c>
      <c r="I142" s="45">
        <f>SUMIFS('שכר 11.2024'!N:N,'שכר 11.2024'!C:C,C:C,'שכר 11.2024'!F:F,F:F)</f>
        <v>13081.27</v>
      </c>
      <c r="J142" s="45">
        <f t="shared" si="4"/>
        <v>169650.96</v>
      </c>
      <c r="K142" s="61">
        <f t="shared" si="5"/>
        <v>1.0349999999999999</v>
      </c>
      <c r="L142" s="45">
        <f t="shared" si="6"/>
        <v>175588.74359999999</v>
      </c>
      <c r="M142" s="45">
        <f t="shared" si="7"/>
        <v>1</v>
      </c>
    </row>
    <row r="143" spans="1:13" outlineLevel="2" x14ac:dyDescent="0.35">
      <c r="A143" s="42">
        <v>1812300110</v>
      </c>
      <c r="B143" s="42" t="str">
        <f>VLOOKUP(A143,'תקציב מפורט 2025'!A:O,2,FALSE)</f>
        <v>גנים ט.חובה-משכורת</v>
      </c>
      <c r="C143" s="42">
        <v>36248938</v>
      </c>
      <c r="D143" s="42" t="s">
        <v>434</v>
      </c>
      <c r="E143" s="42" t="s">
        <v>1707</v>
      </c>
      <c r="F143" s="42">
        <v>812310</v>
      </c>
      <c r="G143" s="48">
        <v>231.2</v>
      </c>
      <c r="H143" s="45">
        <v>15706.91</v>
      </c>
      <c r="I143" s="45">
        <f>SUMIFS('שכר 11.2024'!N:N,'שכר 11.2024'!C:C,C:C,'שכר 11.2024'!F:F,F:F)</f>
        <v>5172.71</v>
      </c>
      <c r="J143" s="45">
        <f t="shared" si="4"/>
        <v>20879.62</v>
      </c>
      <c r="K143" s="61">
        <f t="shared" si="5"/>
        <v>1.0349999999999999</v>
      </c>
      <c r="L143" s="45">
        <f t="shared" si="6"/>
        <v>21610.406699999996</v>
      </c>
      <c r="M143" s="45">
        <f t="shared" si="7"/>
        <v>0.21018181818181816</v>
      </c>
    </row>
    <row r="144" spans="1:13" outlineLevel="2" x14ac:dyDescent="0.35">
      <c r="A144" s="42">
        <v>1812300110</v>
      </c>
      <c r="B144" s="42" t="str">
        <f>VLOOKUP(A144,'תקציב מפורט 2025'!A:O,2,FALSE)</f>
        <v>גנים ט.חובה-משכורת</v>
      </c>
      <c r="C144" s="42">
        <v>40463697</v>
      </c>
      <c r="D144" s="42" t="s">
        <v>833</v>
      </c>
      <c r="E144" s="42" t="s">
        <v>843</v>
      </c>
      <c r="F144" s="42">
        <v>812310</v>
      </c>
      <c r="G144" s="48">
        <v>593.20000000000005</v>
      </c>
      <c r="H144" s="45">
        <v>49670.400000000001</v>
      </c>
      <c r="I144" s="45">
        <f>SUMIFS('שכר 11.2024'!N:N,'שכר 11.2024'!C:C,C:C,'שכר 11.2024'!F:F,F:F)</f>
        <v>5454.01</v>
      </c>
      <c r="J144" s="45">
        <f t="shared" si="4"/>
        <v>55124.41</v>
      </c>
      <c r="K144" s="61">
        <f t="shared" si="5"/>
        <v>1.0349999999999999</v>
      </c>
      <c r="L144" s="45">
        <f t="shared" si="6"/>
        <v>57053.764349999998</v>
      </c>
      <c r="M144" s="45">
        <f t="shared" si="7"/>
        <v>0.53927272727272735</v>
      </c>
    </row>
    <row r="145" spans="1:13" outlineLevel="2" x14ac:dyDescent="0.35">
      <c r="A145" s="42">
        <v>1812300110</v>
      </c>
      <c r="B145" s="42" t="str">
        <f>VLOOKUP(A145,'תקציב מפורט 2025'!A:O,2,FALSE)</f>
        <v>גנים ט.חובה-משכורת</v>
      </c>
      <c r="C145" s="42">
        <v>203914221</v>
      </c>
      <c r="D145" s="42" t="s">
        <v>506</v>
      </c>
      <c r="E145" s="42" t="s">
        <v>910</v>
      </c>
      <c r="F145" s="42">
        <v>812310</v>
      </c>
      <c r="G145" s="48">
        <v>0</v>
      </c>
      <c r="H145" s="45">
        <v>9030.4</v>
      </c>
      <c r="I145" s="45">
        <f>SUMIFS('שכר 11.2024'!N:N,'שכר 11.2024'!C:C,C:C,'שכר 11.2024'!F:F,F:F)</f>
        <v>2502.06</v>
      </c>
      <c r="J145" s="45">
        <f t="shared" si="4"/>
        <v>11532.46</v>
      </c>
      <c r="K145" s="61">
        <f t="shared" si="5"/>
        <v>1.0349999999999999</v>
      </c>
      <c r="L145" s="45">
        <f t="shared" si="6"/>
        <v>11936.096099999999</v>
      </c>
      <c r="M145" s="45">
        <f t="shared" si="7"/>
        <v>0</v>
      </c>
    </row>
    <row r="146" spans="1:13" outlineLevel="2" x14ac:dyDescent="0.35">
      <c r="A146" s="42">
        <v>1812300110</v>
      </c>
      <c r="B146" s="42" t="str">
        <f>VLOOKUP(A146,'תקציב מפורט 2025'!A:O,2,FALSE)</f>
        <v>גנים ט.חובה-משכורת</v>
      </c>
      <c r="C146" s="42">
        <v>204112544</v>
      </c>
      <c r="D146" s="42" t="s">
        <v>448</v>
      </c>
      <c r="E146" s="42" t="s">
        <v>449</v>
      </c>
      <c r="F146" s="42">
        <v>812310</v>
      </c>
      <c r="G146" s="48">
        <v>359.3</v>
      </c>
      <c r="H146" s="45">
        <v>25244.51</v>
      </c>
      <c r="I146" s="45">
        <f>SUMIFS('שכר 11.2024'!N:N,'שכר 11.2024'!C:C,C:C,'שכר 11.2024'!F:F,F:F)</f>
        <v>1661.31</v>
      </c>
      <c r="J146" s="45">
        <f t="shared" si="4"/>
        <v>26905.82</v>
      </c>
      <c r="K146" s="61">
        <f t="shared" si="5"/>
        <v>1.0349999999999999</v>
      </c>
      <c r="L146" s="45">
        <f t="shared" si="6"/>
        <v>27847.523699999998</v>
      </c>
      <c r="M146" s="45">
        <f t="shared" si="7"/>
        <v>0.32663636363636367</v>
      </c>
    </row>
    <row r="147" spans="1:13" outlineLevel="2" x14ac:dyDescent="0.35">
      <c r="A147" s="42">
        <v>1812300110</v>
      </c>
      <c r="B147" s="42" t="str">
        <f>VLOOKUP(A147,'תקציב מפורט 2025'!A:O,2,FALSE)</f>
        <v>גנים ט.חובה-משכורת</v>
      </c>
      <c r="C147" s="42">
        <v>205768278</v>
      </c>
      <c r="D147" s="42" t="s">
        <v>434</v>
      </c>
      <c r="E147" s="42" t="s">
        <v>1708</v>
      </c>
      <c r="F147" s="42">
        <v>812310</v>
      </c>
      <c r="G147" s="48">
        <v>0</v>
      </c>
      <c r="H147" s="45">
        <v>10289.26</v>
      </c>
      <c r="I147" s="45">
        <f>SUMIFS('שכר 11.2024'!N:N,'שכר 11.2024'!C:C,C:C,'שכר 11.2024'!F:F,F:F)</f>
        <v>0</v>
      </c>
      <c r="J147" s="45">
        <f t="shared" si="4"/>
        <v>10289.26</v>
      </c>
      <c r="K147" s="61">
        <f t="shared" si="5"/>
        <v>1.0349999999999999</v>
      </c>
      <c r="L147" s="45">
        <f t="shared" si="6"/>
        <v>10649.384099999999</v>
      </c>
      <c r="M147" s="45">
        <f t="shared" si="7"/>
        <v>0</v>
      </c>
    </row>
    <row r="148" spans="1:13" outlineLevel="2" x14ac:dyDescent="0.35">
      <c r="A148" s="42">
        <v>1812300110</v>
      </c>
      <c r="B148" s="42" t="str">
        <f>VLOOKUP(A148,'תקציב מפורט 2025'!A:O,2,FALSE)</f>
        <v>גנים ט.חובה-משכורת</v>
      </c>
      <c r="C148" s="42">
        <v>206356206</v>
      </c>
      <c r="D148" s="42" t="s">
        <v>1709</v>
      </c>
      <c r="E148" s="42" t="s">
        <v>1710</v>
      </c>
      <c r="F148" s="42">
        <v>812310</v>
      </c>
      <c r="G148" s="48">
        <v>64.2</v>
      </c>
      <c r="H148" s="45">
        <v>5304.89</v>
      </c>
      <c r="I148" s="45">
        <f>SUMIFS('שכר 11.2024'!N:N,'שכר 11.2024'!C:C,C:C,'שכר 11.2024'!F:F,F:F)</f>
        <v>1132.72</v>
      </c>
      <c r="J148" s="45">
        <f t="shared" si="4"/>
        <v>6437.6100000000006</v>
      </c>
      <c r="K148" s="61">
        <f t="shared" si="5"/>
        <v>1.0349999999999999</v>
      </c>
      <c r="L148" s="45">
        <f t="shared" si="6"/>
        <v>6662.9263499999997</v>
      </c>
      <c r="M148" s="45">
        <f t="shared" si="7"/>
        <v>5.8363636363636368E-2</v>
      </c>
    </row>
    <row r="149" spans="1:13" outlineLevel="2" x14ac:dyDescent="0.35">
      <c r="A149" s="42">
        <v>1812300110</v>
      </c>
      <c r="B149" s="42" t="str">
        <f>VLOOKUP(A149,'תקציב מפורט 2025'!A:O,2,FALSE)</f>
        <v>גנים ט.חובה-משכורת</v>
      </c>
      <c r="C149" s="42">
        <v>206601122</v>
      </c>
      <c r="D149" s="42" t="s">
        <v>434</v>
      </c>
      <c r="E149" s="42" t="s">
        <v>1711</v>
      </c>
      <c r="F149" s="42">
        <v>812310</v>
      </c>
      <c r="G149" s="48">
        <v>0</v>
      </c>
      <c r="H149" s="45">
        <v>10934.74</v>
      </c>
      <c r="I149" s="45">
        <f>SUMIFS('שכר 11.2024'!N:N,'שכר 11.2024'!C:C,C:C,'שכר 11.2024'!F:F,F:F)</f>
        <v>0</v>
      </c>
      <c r="J149" s="45">
        <f t="shared" si="4"/>
        <v>10934.74</v>
      </c>
      <c r="K149" s="61">
        <f t="shared" si="5"/>
        <v>1.0349999999999999</v>
      </c>
      <c r="L149" s="45">
        <f t="shared" si="6"/>
        <v>11317.455899999999</v>
      </c>
      <c r="M149" s="45">
        <f t="shared" si="7"/>
        <v>0</v>
      </c>
    </row>
    <row r="150" spans="1:13" outlineLevel="2" x14ac:dyDescent="0.35">
      <c r="A150" s="42">
        <v>1812300110</v>
      </c>
      <c r="B150" s="42" t="str">
        <f>VLOOKUP(A150,'תקציב מפורט 2025'!A:O,2,FALSE)</f>
        <v>גנים ט.חובה-משכורת</v>
      </c>
      <c r="C150" s="42">
        <v>206623084</v>
      </c>
      <c r="D150" s="42" t="s">
        <v>442</v>
      </c>
      <c r="E150" s="42" t="s">
        <v>1712</v>
      </c>
      <c r="F150" s="42">
        <v>812310</v>
      </c>
      <c r="G150" s="48">
        <v>350.1</v>
      </c>
      <c r="H150" s="45">
        <v>28836.18</v>
      </c>
      <c r="I150" s="45">
        <f>SUMIFS('שכר 11.2024'!N:N,'שכר 11.2024'!C:C,C:C,'שכר 11.2024'!F:F,F:F)</f>
        <v>0</v>
      </c>
      <c r="J150" s="45">
        <f t="shared" si="4"/>
        <v>28836.18</v>
      </c>
      <c r="K150" s="61">
        <f t="shared" si="5"/>
        <v>1.0349999999999999</v>
      </c>
      <c r="L150" s="45">
        <f t="shared" si="6"/>
        <v>29845.4463</v>
      </c>
      <c r="M150" s="45">
        <f t="shared" si="7"/>
        <v>0.31827272727272732</v>
      </c>
    </row>
    <row r="151" spans="1:13" outlineLevel="2" x14ac:dyDescent="0.35">
      <c r="A151" s="42">
        <v>1812300110</v>
      </c>
      <c r="B151" s="42" t="str">
        <f>VLOOKUP(A151,'תקציב מפורט 2025'!A:O,2,FALSE)</f>
        <v>גנים ט.חובה-משכורת</v>
      </c>
      <c r="C151" s="42">
        <v>206716870</v>
      </c>
      <c r="D151" s="42" t="s">
        <v>1709</v>
      </c>
      <c r="E151" s="42" t="s">
        <v>1713</v>
      </c>
      <c r="F151" s="42">
        <v>812310</v>
      </c>
      <c r="G151" s="48">
        <v>666.6</v>
      </c>
      <c r="H151" s="45">
        <v>42850.84</v>
      </c>
      <c r="I151" s="45">
        <f>SUMIFS('שכר 11.2024'!N:N,'שכר 11.2024'!C:C,C:C,'שכר 11.2024'!F:F,F:F)</f>
        <v>5050.6099999999997</v>
      </c>
      <c r="J151" s="45">
        <f t="shared" si="4"/>
        <v>47901.45</v>
      </c>
      <c r="K151" s="61">
        <f t="shared" si="5"/>
        <v>1.0349999999999999</v>
      </c>
      <c r="L151" s="45">
        <f t="shared" si="6"/>
        <v>49578.000749999992</v>
      </c>
      <c r="M151" s="45">
        <f t="shared" si="7"/>
        <v>0.60599999999999998</v>
      </c>
    </row>
    <row r="152" spans="1:13" outlineLevel="2" x14ac:dyDescent="0.35">
      <c r="A152" s="42">
        <v>1812300110</v>
      </c>
      <c r="B152" s="42" t="str">
        <f>VLOOKUP(A152,'תקציב מפורט 2025'!A:O,2,FALSE)</f>
        <v>גנים ט.חובה-משכורת</v>
      </c>
      <c r="C152" s="42">
        <v>208076216</v>
      </c>
      <c r="D152" s="42" t="s">
        <v>1714</v>
      </c>
      <c r="E152" s="42" t="s">
        <v>1715</v>
      </c>
      <c r="F152" s="42">
        <v>812310</v>
      </c>
      <c r="G152" s="48">
        <v>44.4</v>
      </c>
      <c r="H152" s="45">
        <v>2907.29</v>
      </c>
      <c r="I152" s="45">
        <f>SUMIFS('שכר 11.2024'!N:N,'שכר 11.2024'!C:C,C:C,'שכר 11.2024'!F:F,F:F)</f>
        <v>0</v>
      </c>
      <c r="J152" s="45">
        <f t="shared" si="4"/>
        <v>2907.29</v>
      </c>
      <c r="K152" s="61">
        <f t="shared" si="5"/>
        <v>1.0349999999999999</v>
      </c>
      <c r="L152" s="45">
        <f t="shared" si="6"/>
        <v>3009.0451499999999</v>
      </c>
      <c r="M152" s="45">
        <f t="shared" si="7"/>
        <v>4.0363636363636365E-2</v>
      </c>
    </row>
    <row r="153" spans="1:13" outlineLevel="2" x14ac:dyDescent="0.35">
      <c r="A153" s="42">
        <v>1812300110</v>
      </c>
      <c r="B153" s="42" t="str">
        <f>VLOOKUP(A153,'תקציב מפורט 2025'!A:O,2,FALSE)</f>
        <v>גנים ט.חובה-משכורת</v>
      </c>
      <c r="C153" s="42">
        <v>208123323</v>
      </c>
      <c r="D153" s="42" t="s">
        <v>442</v>
      </c>
      <c r="E153" s="42" t="s">
        <v>1716</v>
      </c>
      <c r="F153" s="42">
        <v>812310</v>
      </c>
      <c r="G153" s="48">
        <v>207.2</v>
      </c>
      <c r="H153" s="45">
        <v>15303.65</v>
      </c>
      <c r="I153" s="45">
        <f>SUMIFS('שכר 11.2024'!N:N,'שכר 11.2024'!C:C,C:C,'שכר 11.2024'!F:F,F:F)</f>
        <v>1472.52</v>
      </c>
      <c r="J153" s="45">
        <f t="shared" ref="J153:J216" si="8">H153+I153</f>
        <v>16776.169999999998</v>
      </c>
      <c r="K153" s="61">
        <f t="shared" ref="K153:K216" si="9">3.5/100+1</f>
        <v>1.0349999999999999</v>
      </c>
      <c r="L153" s="45">
        <f t="shared" ref="L153:L216" si="10">J153*K153</f>
        <v>17363.335949999997</v>
      </c>
      <c r="M153" s="45">
        <f t="shared" ref="M153:M216" si="11">G153/1100</f>
        <v>0.18836363636363634</v>
      </c>
    </row>
    <row r="154" spans="1:13" outlineLevel="2" x14ac:dyDescent="0.35">
      <c r="A154" s="42">
        <v>1812300110</v>
      </c>
      <c r="B154" s="42" t="str">
        <f>VLOOKUP(A154,'תקציב מפורט 2025'!A:O,2,FALSE)</f>
        <v>גנים ט.חובה-משכורת</v>
      </c>
      <c r="C154" s="42">
        <v>208518894</v>
      </c>
      <c r="D154" s="42" t="s">
        <v>434</v>
      </c>
      <c r="E154" s="42" t="s">
        <v>1717</v>
      </c>
      <c r="F154" s="42">
        <v>812310</v>
      </c>
      <c r="G154" s="48">
        <v>162.30000000000001</v>
      </c>
      <c r="H154" s="45">
        <v>10281.030000000001</v>
      </c>
      <c r="I154" s="45">
        <f>SUMIFS('שכר 11.2024'!N:N,'שכר 11.2024'!C:C,C:C,'שכר 11.2024'!F:F,F:F)</f>
        <v>0</v>
      </c>
      <c r="J154" s="45">
        <f t="shared" si="8"/>
        <v>10281.030000000001</v>
      </c>
      <c r="K154" s="61">
        <f t="shared" si="9"/>
        <v>1.0349999999999999</v>
      </c>
      <c r="L154" s="45">
        <f t="shared" si="10"/>
        <v>10640.866050000001</v>
      </c>
      <c r="M154" s="45">
        <f t="shared" si="11"/>
        <v>0.14754545454545456</v>
      </c>
    </row>
    <row r="155" spans="1:13" outlineLevel="2" x14ac:dyDescent="0.35">
      <c r="A155" s="42">
        <v>1812300110</v>
      </c>
      <c r="B155" s="42" t="str">
        <f>VLOOKUP(A155,'תקציב מפורט 2025'!A:O,2,FALSE)</f>
        <v>גנים ט.חובה-משכורת</v>
      </c>
      <c r="C155" s="42">
        <v>208590182</v>
      </c>
      <c r="D155" s="42" t="s">
        <v>434</v>
      </c>
      <c r="E155" s="42" t="s">
        <v>1718</v>
      </c>
      <c r="F155" s="42">
        <v>812310</v>
      </c>
      <c r="G155" s="48">
        <v>124.8</v>
      </c>
      <c r="H155" s="45">
        <v>13256.06</v>
      </c>
      <c r="I155" s="45">
        <f>SUMIFS('שכר 11.2024'!N:N,'שכר 11.2024'!C:C,C:C,'שכר 11.2024'!F:F,F:F)</f>
        <v>9251.6</v>
      </c>
      <c r="J155" s="45">
        <f t="shared" si="8"/>
        <v>22507.66</v>
      </c>
      <c r="K155" s="61">
        <f t="shared" si="9"/>
        <v>1.0349999999999999</v>
      </c>
      <c r="L155" s="45">
        <f t="shared" si="10"/>
        <v>23295.428099999997</v>
      </c>
      <c r="M155" s="45">
        <f t="shared" si="11"/>
        <v>0.11345454545454545</v>
      </c>
    </row>
    <row r="156" spans="1:13" outlineLevel="2" x14ac:dyDescent="0.35">
      <c r="A156" s="42">
        <v>1812300110</v>
      </c>
      <c r="B156" s="42" t="str">
        <f>VLOOKUP(A156,'תקציב מפורט 2025'!A:O,2,FALSE)</f>
        <v>גנים ט.חובה-משכורת</v>
      </c>
      <c r="C156" s="42">
        <v>208619817</v>
      </c>
      <c r="D156" s="42" t="s">
        <v>538</v>
      </c>
      <c r="E156" s="42" t="s">
        <v>842</v>
      </c>
      <c r="F156" s="42">
        <v>812310</v>
      </c>
      <c r="G156" s="48">
        <v>46.6</v>
      </c>
      <c r="H156" s="45">
        <v>3756.85</v>
      </c>
      <c r="I156" s="45">
        <f>SUMIFS('שכר 11.2024'!N:N,'שכר 11.2024'!C:C,C:C,'שכר 11.2024'!F:F,F:F)</f>
        <v>1057.2</v>
      </c>
      <c r="J156" s="45">
        <f t="shared" si="8"/>
        <v>4814.05</v>
      </c>
      <c r="K156" s="61">
        <f t="shared" si="9"/>
        <v>1.0349999999999999</v>
      </c>
      <c r="L156" s="45">
        <f t="shared" si="10"/>
        <v>4982.5417499999994</v>
      </c>
      <c r="M156" s="45">
        <f t="shared" si="11"/>
        <v>4.2363636363636367E-2</v>
      </c>
    </row>
    <row r="157" spans="1:13" outlineLevel="2" x14ac:dyDescent="0.35">
      <c r="A157" s="42">
        <v>1812300110</v>
      </c>
      <c r="B157" s="42" t="str">
        <f>VLOOKUP(A157,'תקציב מפורט 2025'!A:O,2,FALSE)</f>
        <v>גנים ט.חובה-משכורת</v>
      </c>
      <c r="C157" s="42">
        <v>213578396</v>
      </c>
      <c r="D157" s="42" t="s">
        <v>442</v>
      </c>
      <c r="E157" s="42" t="s">
        <v>1719</v>
      </c>
      <c r="F157" s="42">
        <v>812310</v>
      </c>
      <c r="G157" s="48">
        <v>100</v>
      </c>
      <c r="H157" s="45">
        <v>8023.38</v>
      </c>
      <c r="I157" s="45">
        <f>SUMIFS('שכר 11.2024'!N:N,'שכר 11.2024'!C:C,C:C,'שכר 11.2024'!F:F,F:F)</f>
        <v>3851.21</v>
      </c>
      <c r="J157" s="45">
        <f t="shared" si="8"/>
        <v>11874.59</v>
      </c>
      <c r="K157" s="61">
        <f t="shared" si="9"/>
        <v>1.0349999999999999</v>
      </c>
      <c r="L157" s="45">
        <f t="shared" si="10"/>
        <v>12290.200649999999</v>
      </c>
      <c r="M157" s="45">
        <f t="shared" si="11"/>
        <v>9.0909090909090912E-2</v>
      </c>
    </row>
    <row r="158" spans="1:13" outlineLevel="2" x14ac:dyDescent="0.35">
      <c r="A158" s="42">
        <v>1812300110</v>
      </c>
      <c r="B158" s="42" t="str">
        <f>VLOOKUP(A158,'תקציב מפורט 2025'!A:O,2,FALSE)</f>
        <v>גנים ט.חובה-משכורת</v>
      </c>
      <c r="C158" s="42">
        <v>214499949</v>
      </c>
      <c r="D158" s="42" t="s">
        <v>1720</v>
      </c>
      <c r="E158" s="42" t="s">
        <v>470</v>
      </c>
      <c r="F158" s="42">
        <v>812310</v>
      </c>
      <c r="G158" s="48">
        <v>0</v>
      </c>
      <c r="H158" s="45">
        <v>5648.24</v>
      </c>
      <c r="I158" s="45">
        <f>SUMIFS('שכר 11.2024'!N:N,'שכר 11.2024'!C:C,C:C,'שכר 11.2024'!F:F,F:F)</f>
        <v>566.38</v>
      </c>
      <c r="J158" s="45">
        <f t="shared" si="8"/>
        <v>6214.62</v>
      </c>
      <c r="K158" s="61">
        <f t="shared" si="9"/>
        <v>1.0349999999999999</v>
      </c>
      <c r="L158" s="45">
        <f t="shared" si="10"/>
        <v>6432.131699999999</v>
      </c>
      <c r="M158" s="45">
        <f t="shared" si="11"/>
        <v>0</v>
      </c>
    </row>
    <row r="159" spans="1:13" outlineLevel="2" x14ac:dyDescent="0.35">
      <c r="A159" s="42">
        <v>1812300110</v>
      </c>
      <c r="B159" s="42" t="str">
        <f>VLOOKUP(A159,'תקציב מפורט 2025'!A:O,2,FALSE)</f>
        <v>גנים ט.חובה-משכורת</v>
      </c>
      <c r="C159" s="42">
        <v>215385204</v>
      </c>
      <c r="D159" s="42" t="s">
        <v>434</v>
      </c>
      <c r="E159" s="42" t="s">
        <v>1721</v>
      </c>
      <c r="F159" s="42">
        <v>812310</v>
      </c>
      <c r="G159" s="48">
        <v>160.19999999999999</v>
      </c>
      <c r="H159" s="45">
        <v>11566.29</v>
      </c>
      <c r="I159" s="45">
        <f>SUMIFS('שכר 11.2024'!N:N,'שכר 11.2024'!C:C,C:C,'שכר 11.2024'!F:F,F:F)</f>
        <v>2873.3</v>
      </c>
      <c r="J159" s="45">
        <f t="shared" si="8"/>
        <v>14439.59</v>
      </c>
      <c r="K159" s="61">
        <f t="shared" si="9"/>
        <v>1.0349999999999999</v>
      </c>
      <c r="L159" s="45">
        <f t="shared" si="10"/>
        <v>14944.975649999998</v>
      </c>
      <c r="M159" s="45">
        <f t="shared" si="11"/>
        <v>0.14563636363636362</v>
      </c>
    </row>
    <row r="160" spans="1:13" outlineLevel="2" x14ac:dyDescent="0.35">
      <c r="A160" s="42">
        <v>1812300110</v>
      </c>
      <c r="B160" s="42" t="str">
        <f>VLOOKUP(A160,'תקציב מפורט 2025'!A:O,2,FALSE)</f>
        <v>גנים ט.חובה-משכורת</v>
      </c>
      <c r="C160" s="42">
        <v>300838935</v>
      </c>
      <c r="D160" s="42" t="s">
        <v>434</v>
      </c>
      <c r="E160" s="42" t="s">
        <v>1722</v>
      </c>
      <c r="F160" s="42">
        <v>812310</v>
      </c>
      <c r="G160" s="48">
        <v>323.8</v>
      </c>
      <c r="H160" s="45">
        <v>18597.61</v>
      </c>
      <c r="I160" s="45">
        <f>SUMIFS('שכר 11.2024'!N:N,'שכר 11.2024'!C:C,C:C,'שכר 11.2024'!F:F,F:F)</f>
        <v>2193.6799999999998</v>
      </c>
      <c r="J160" s="45">
        <f t="shared" si="8"/>
        <v>20791.29</v>
      </c>
      <c r="K160" s="61">
        <f t="shared" si="9"/>
        <v>1.0349999999999999</v>
      </c>
      <c r="L160" s="45">
        <f t="shared" si="10"/>
        <v>21518.98515</v>
      </c>
      <c r="M160" s="45">
        <f t="shared" si="11"/>
        <v>0.29436363636363638</v>
      </c>
    </row>
    <row r="161" spans="1:13" outlineLevel="2" x14ac:dyDescent="0.35">
      <c r="A161" s="42">
        <v>1812300110</v>
      </c>
      <c r="B161" s="42" t="str">
        <f>VLOOKUP(A161,'תקציב מפורט 2025'!A:O,2,FALSE)</f>
        <v>גנים ט.חובה-משכורת</v>
      </c>
      <c r="C161" s="42">
        <v>301407201</v>
      </c>
      <c r="D161" s="42" t="s">
        <v>434</v>
      </c>
      <c r="E161" s="42" t="s">
        <v>544</v>
      </c>
      <c r="F161" s="42">
        <v>812310</v>
      </c>
      <c r="G161" s="48">
        <v>0</v>
      </c>
      <c r="H161" s="45">
        <v>17467.689999999999</v>
      </c>
      <c r="I161" s="45">
        <f>SUMIFS('שכר 11.2024'!N:N,'שכר 11.2024'!C:C,C:C,'שכר 11.2024'!F:F,F:F)</f>
        <v>2718.5</v>
      </c>
      <c r="J161" s="45">
        <f t="shared" si="8"/>
        <v>20186.189999999999</v>
      </c>
      <c r="K161" s="61">
        <f t="shared" si="9"/>
        <v>1.0349999999999999</v>
      </c>
      <c r="L161" s="45">
        <f t="shared" si="10"/>
        <v>20892.706649999996</v>
      </c>
      <c r="M161" s="45">
        <f t="shared" si="11"/>
        <v>0</v>
      </c>
    </row>
    <row r="162" spans="1:13" outlineLevel="2" x14ac:dyDescent="0.35">
      <c r="A162" s="42">
        <v>1812300110</v>
      </c>
      <c r="B162" s="42" t="str">
        <f>VLOOKUP(A162,'תקציב מפורט 2025'!A:O,2,FALSE)</f>
        <v>גנים ט.חובה-משכורת</v>
      </c>
      <c r="C162" s="42">
        <v>301489860</v>
      </c>
      <c r="D162" s="42" t="s">
        <v>442</v>
      </c>
      <c r="E162" s="42" t="s">
        <v>482</v>
      </c>
      <c r="F162" s="42">
        <v>812310</v>
      </c>
      <c r="G162" s="48">
        <v>18.7</v>
      </c>
      <c r="H162" s="45">
        <v>1321.5</v>
      </c>
      <c r="I162" s="45">
        <f>SUMIFS('שכר 11.2024'!N:N,'שכר 11.2024'!C:C,C:C,'שכר 11.2024'!F:F,F:F)</f>
        <v>0</v>
      </c>
      <c r="J162" s="45">
        <f t="shared" si="8"/>
        <v>1321.5</v>
      </c>
      <c r="K162" s="61">
        <f t="shared" si="9"/>
        <v>1.0349999999999999</v>
      </c>
      <c r="L162" s="45">
        <f t="shared" si="10"/>
        <v>1367.7524999999998</v>
      </c>
      <c r="M162" s="45">
        <f t="shared" si="11"/>
        <v>1.6999999999999998E-2</v>
      </c>
    </row>
    <row r="163" spans="1:13" outlineLevel="2" x14ac:dyDescent="0.35">
      <c r="A163" s="42">
        <v>1812300110</v>
      </c>
      <c r="B163" s="42" t="str">
        <f>VLOOKUP(A163,'תקציב מפורט 2025'!A:O,2,FALSE)</f>
        <v>גנים ט.חובה-משכורת</v>
      </c>
      <c r="C163" s="42">
        <v>301756581</v>
      </c>
      <c r="D163" s="42" t="s">
        <v>1723</v>
      </c>
      <c r="E163" s="42" t="s">
        <v>473</v>
      </c>
      <c r="F163" s="42">
        <v>812310</v>
      </c>
      <c r="G163" s="48">
        <v>314.10000000000002</v>
      </c>
      <c r="H163" s="45">
        <v>21600.74</v>
      </c>
      <c r="I163" s="45">
        <f>SUMIFS('שכר 11.2024'!N:N,'שכר 11.2024'!C:C,C:C,'שכר 11.2024'!F:F,F:F)</f>
        <v>0</v>
      </c>
      <c r="J163" s="45">
        <f t="shared" si="8"/>
        <v>21600.74</v>
      </c>
      <c r="K163" s="61">
        <f t="shared" si="9"/>
        <v>1.0349999999999999</v>
      </c>
      <c r="L163" s="45">
        <f t="shared" si="10"/>
        <v>22356.765899999999</v>
      </c>
      <c r="M163" s="45">
        <f t="shared" si="11"/>
        <v>0.28554545454545455</v>
      </c>
    </row>
    <row r="164" spans="1:13" outlineLevel="2" x14ac:dyDescent="0.35">
      <c r="A164" s="42">
        <v>1812300110</v>
      </c>
      <c r="B164" s="42" t="str">
        <f>VLOOKUP(A164,'תקציב מפורט 2025'!A:O,2,FALSE)</f>
        <v>גנים ט.חובה-משכורת</v>
      </c>
      <c r="C164" s="42">
        <v>301757563</v>
      </c>
      <c r="D164" s="42" t="s">
        <v>434</v>
      </c>
      <c r="E164" s="42" t="s">
        <v>1724</v>
      </c>
      <c r="F164" s="42">
        <v>812310</v>
      </c>
      <c r="G164" s="48">
        <v>169.4</v>
      </c>
      <c r="H164" s="45">
        <v>11167.19</v>
      </c>
      <c r="I164" s="45">
        <f>SUMIFS('שכר 11.2024'!N:N,'שכר 11.2024'!C:C,C:C,'שכר 11.2024'!F:F,F:F)</f>
        <v>4530.84</v>
      </c>
      <c r="J164" s="45">
        <f t="shared" si="8"/>
        <v>15698.03</v>
      </c>
      <c r="K164" s="61">
        <f t="shared" si="9"/>
        <v>1.0349999999999999</v>
      </c>
      <c r="L164" s="45">
        <f t="shared" si="10"/>
        <v>16247.46105</v>
      </c>
      <c r="M164" s="45">
        <f t="shared" si="11"/>
        <v>0.154</v>
      </c>
    </row>
    <row r="165" spans="1:13" outlineLevel="2" x14ac:dyDescent="0.35">
      <c r="A165" s="42">
        <v>1812300110</v>
      </c>
      <c r="B165" s="42" t="str">
        <f>VLOOKUP(A165,'תקציב מפורט 2025'!A:O,2,FALSE)</f>
        <v>גנים ט.חובה-משכורת</v>
      </c>
      <c r="C165" s="42">
        <v>301916748</v>
      </c>
      <c r="D165" s="42" t="s">
        <v>490</v>
      </c>
      <c r="E165" s="42" t="s">
        <v>438</v>
      </c>
      <c r="F165" s="42">
        <v>812310</v>
      </c>
      <c r="G165" s="48">
        <v>362.4</v>
      </c>
      <c r="H165" s="45">
        <v>28090.99</v>
      </c>
      <c r="I165" s="45">
        <f>SUMIFS('שכר 11.2024'!N:N,'שכר 11.2024'!C:C,C:C,'שכר 11.2024'!F:F,F:F)</f>
        <v>4486.47</v>
      </c>
      <c r="J165" s="45">
        <f t="shared" si="8"/>
        <v>32577.460000000003</v>
      </c>
      <c r="K165" s="61">
        <f t="shared" si="9"/>
        <v>1.0349999999999999</v>
      </c>
      <c r="L165" s="45">
        <f t="shared" si="10"/>
        <v>33717.6711</v>
      </c>
      <c r="M165" s="45">
        <f t="shared" si="11"/>
        <v>0.32945454545454544</v>
      </c>
    </row>
    <row r="166" spans="1:13" outlineLevel="2" x14ac:dyDescent="0.35">
      <c r="A166" s="42">
        <v>1812300110</v>
      </c>
      <c r="B166" s="42" t="str">
        <f>VLOOKUP(A166,'תקציב מפורט 2025'!A:O,2,FALSE)</f>
        <v>גנים ט.חובה-משכורת</v>
      </c>
      <c r="C166" s="42">
        <v>305153173</v>
      </c>
      <c r="D166" s="42" t="s">
        <v>490</v>
      </c>
      <c r="E166" s="42" t="s">
        <v>1725</v>
      </c>
      <c r="F166" s="42">
        <v>812310</v>
      </c>
      <c r="G166" s="48">
        <v>307.39999999999998</v>
      </c>
      <c r="H166" s="45">
        <v>27479.93</v>
      </c>
      <c r="I166" s="45">
        <f>SUMIFS('שכר 11.2024'!N:N,'שכר 11.2024'!C:C,C:C,'שכר 11.2024'!F:F,F:F)</f>
        <v>1540.07</v>
      </c>
      <c r="J166" s="45">
        <f t="shared" si="8"/>
        <v>29020</v>
      </c>
      <c r="K166" s="61">
        <f t="shared" si="9"/>
        <v>1.0349999999999999</v>
      </c>
      <c r="L166" s="45">
        <f t="shared" si="10"/>
        <v>30035.699999999997</v>
      </c>
      <c r="M166" s="45">
        <f t="shared" si="11"/>
        <v>0.27945454545454546</v>
      </c>
    </row>
    <row r="167" spans="1:13" outlineLevel="2" x14ac:dyDescent="0.35">
      <c r="A167" s="42">
        <v>1812300110</v>
      </c>
      <c r="B167" s="42" t="str">
        <f>VLOOKUP(A167,'תקציב מפורט 2025'!A:O,2,FALSE)</f>
        <v>גנים ט.חובה-משכורת</v>
      </c>
      <c r="C167" s="42">
        <v>305254989</v>
      </c>
      <c r="D167" s="42" t="s">
        <v>448</v>
      </c>
      <c r="E167" s="42" t="s">
        <v>829</v>
      </c>
      <c r="F167" s="42">
        <v>812310</v>
      </c>
      <c r="G167" s="48">
        <v>684.6</v>
      </c>
      <c r="H167" s="45">
        <v>44041.56</v>
      </c>
      <c r="I167" s="45">
        <f>SUMIFS('שכר 11.2024'!N:N,'שכר 11.2024'!C:C,C:C,'שכר 11.2024'!F:F,F:F)</f>
        <v>4077.76</v>
      </c>
      <c r="J167" s="45">
        <f t="shared" si="8"/>
        <v>48119.32</v>
      </c>
      <c r="K167" s="61">
        <f t="shared" si="9"/>
        <v>1.0349999999999999</v>
      </c>
      <c r="L167" s="45">
        <f t="shared" si="10"/>
        <v>49803.496199999994</v>
      </c>
      <c r="M167" s="45">
        <f t="shared" si="11"/>
        <v>0.62236363636363634</v>
      </c>
    </row>
    <row r="168" spans="1:13" outlineLevel="2" x14ac:dyDescent="0.35">
      <c r="A168" s="42">
        <v>1812300110</v>
      </c>
      <c r="B168" s="42" t="str">
        <f>VLOOKUP(A168,'תקציב מפורט 2025'!A:O,2,FALSE)</f>
        <v>גנים ט.חובה-משכורת</v>
      </c>
      <c r="C168" s="42">
        <v>308351121</v>
      </c>
      <c r="D168" s="42" t="s">
        <v>442</v>
      </c>
      <c r="E168" s="42" t="s">
        <v>1726</v>
      </c>
      <c r="F168" s="42">
        <v>812310</v>
      </c>
      <c r="G168" s="48">
        <v>45.5</v>
      </c>
      <c r="H168" s="45">
        <v>7490.59</v>
      </c>
      <c r="I168" s="45">
        <f>SUMIFS('שכר 11.2024'!N:N,'שכר 11.2024'!C:C,C:C,'שכר 11.2024'!F:F,F:F)</f>
        <v>0</v>
      </c>
      <c r="J168" s="45">
        <f t="shared" si="8"/>
        <v>7490.59</v>
      </c>
      <c r="K168" s="61">
        <f t="shared" si="9"/>
        <v>1.0349999999999999</v>
      </c>
      <c r="L168" s="45">
        <f t="shared" si="10"/>
        <v>7752.7606499999993</v>
      </c>
      <c r="M168" s="45">
        <f t="shared" si="11"/>
        <v>4.1363636363636366E-2</v>
      </c>
    </row>
    <row r="169" spans="1:13" outlineLevel="2" x14ac:dyDescent="0.35">
      <c r="A169" s="42">
        <v>1812300110</v>
      </c>
      <c r="B169" s="42" t="str">
        <f>VLOOKUP(A169,'תקציב מפורט 2025'!A:O,2,FALSE)</f>
        <v>גנים ט.חובה-משכורת</v>
      </c>
      <c r="C169" s="42">
        <v>308351204</v>
      </c>
      <c r="D169" s="42" t="s">
        <v>442</v>
      </c>
      <c r="E169" s="42" t="s">
        <v>480</v>
      </c>
      <c r="F169" s="42">
        <v>812310</v>
      </c>
      <c r="G169" s="48">
        <v>0</v>
      </c>
      <c r="H169" s="45">
        <v>6281.66</v>
      </c>
      <c r="I169" s="45">
        <f>SUMIFS('שכר 11.2024'!N:N,'שכר 11.2024'!C:C,C:C,'שכר 11.2024'!F:F,F:F)</f>
        <v>0</v>
      </c>
      <c r="J169" s="45">
        <f t="shared" si="8"/>
        <v>6281.66</v>
      </c>
      <c r="K169" s="61">
        <f t="shared" si="9"/>
        <v>1.0349999999999999</v>
      </c>
      <c r="L169" s="45">
        <f t="shared" si="10"/>
        <v>6501.5180999999993</v>
      </c>
      <c r="M169" s="45">
        <f t="shared" si="11"/>
        <v>0</v>
      </c>
    </row>
    <row r="170" spans="1:13" outlineLevel="2" x14ac:dyDescent="0.35">
      <c r="A170" s="42">
        <v>1812300110</v>
      </c>
      <c r="B170" s="42" t="str">
        <f>VLOOKUP(A170,'תקציב מפורט 2025'!A:O,2,FALSE)</f>
        <v>גנים ט.חובה-משכורת</v>
      </c>
      <c r="C170" s="42">
        <v>312429194</v>
      </c>
      <c r="D170" s="42" t="s">
        <v>1727</v>
      </c>
      <c r="E170" s="42" t="s">
        <v>909</v>
      </c>
      <c r="F170" s="42">
        <v>812310</v>
      </c>
      <c r="G170" s="48">
        <v>0</v>
      </c>
      <c r="H170" s="45">
        <v>12147.88</v>
      </c>
      <c r="I170" s="45">
        <f>SUMIFS('שכר 11.2024'!N:N,'שכר 11.2024'!C:C,C:C,'שכר 11.2024'!F:F,F:F)</f>
        <v>0</v>
      </c>
      <c r="J170" s="45">
        <f t="shared" si="8"/>
        <v>12147.88</v>
      </c>
      <c r="K170" s="61">
        <f t="shared" si="9"/>
        <v>1.0349999999999999</v>
      </c>
      <c r="L170" s="45">
        <f t="shared" si="10"/>
        <v>12573.055799999998</v>
      </c>
      <c r="M170" s="45">
        <f t="shared" si="11"/>
        <v>0</v>
      </c>
    </row>
    <row r="171" spans="1:13" outlineLevel="2" x14ac:dyDescent="0.35">
      <c r="A171" s="42">
        <v>1812300110</v>
      </c>
      <c r="B171" s="42" t="str">
        <f>VLOOKUP(A171,'תקציב מפורט 2025'!A:O,2,FALSE)</f>
        <v>גנים ט.חובה-משכורת</v>
      </c>
      <c r="C171" s="42">
        <v>314642828</v>
      </c>
      <c r="D171" s="42" t="s">
        <v>434</v>
      </c>
      <c r="E171" s="42" t="s">
        <v>1728</v>
      </c>
      <c r="F171" s="42">
        <v>812310</v>
      </c>
      <c r="G171" s="48">
        <v>0</v>
      </c>
      <c r="H171" s="45">
        <v>6322.58</v>
      </c>
      <c r="I171" s="45">
        <f>SUMIFS('שכר 11.2024'!N:N,'שכר 11.2024'!C:C,C:C,'שכר 11.2024'!F:F,F:F)</f>
        <v>0</v>
      </c>
      <c r="J171" s="45">
        <f t="shared" si="8"/>
        <v>6322.58</v>
      </c>
      <c r="K171" s="61">
        <f t="shared" si="9"/>
        <v>1.0349999999999999</v>
      </c>
      <c r="L171" s="45">
        <f t="shared" si="10"/>
        <v>6543.8702999999996</v>
      </c>
      <c r="M171" s="45">
        <f t="shared" si="11"/>
        <v>0</v>
      </c>
    </row>
    <row r="172" spans="1:13" outlineLevel="2" x14ac:dyDescent="0.35">
      <c r="A172" s="42">
        <v>1812300110</v>
      </c>
      <c r="B172" s="42" t="str">
        <f>VLOOKUP(A172,'תקציב מפורט 2025'!A:O,2,FALSE)</f>
        <v>גנים ט.חובה-משכורת</v>
      </c>
      <c r="C172" s="42">
        <v>318701315</v>
      </c>
      <c r="D172" s="42" t="s">
        <v>574</v>
      </c>
      <c r="E172" s="42" t="s">
        <v>844</v>
      </c>
      <c r="F172" s="42">
        <v>812310</v>
      </c>
      <c r="G172" s="48">
        <v>170.7</v>
      </c>
      <c r="H172" s="45">
        <v>23922.39</v>
      </c>
      <c r="I172" s="45">
        <f>SUMIFS('שכר 11.2024'!N:N,'שכר 11.2024'!C:C,C:C,'שכר 11.2024'!F:F,F:F)</f>
        <v>4366.97</v>
      </c>
      <c r="J172" s="45">
        <f t="shared" si="8"/>
        <v>28289.360000000001</v>
      </c>
      <c r="K172" s="61">
        <f t="shared" si="9"/>
        <v>1.0349999999999999</v>
      </c>
      <c r="L172" s="45">
        <f t="shared" si="10"/>
        <v>29279.487599999997</v>
      </c>
      <c r="M172" s="45">
        <f t="shared" si="11"/>
        <v>0.15518181818181817</v>
      </c>
    </row>
    <row r="173" spans="1:13" outlineLevel="2" x14ac:dyDescent="0.35">
      <c r="A173" s="42">
        <v>1812300110</v>
      </c>
      <c r="B173" s="42" t="str">
        <f>VLOOKUP(A173,'תקציב מפורט 2025'!A:O,2,FALSE)</f>
        <v>גנים ט.חובה-משכורת</v>
      </c>
      <c r="C173" s="42">
        <v>318977071</v>
      </c>
      <c r="D173" s="42" t="s">
        <v>434</v>
      </c>
      <c r="E173" s="42" t="s">
        <v>1729</v>
      </c>
      <c r="F173" s="42">
        <v>812310</v>
      </c>
      <c r="G173" s="48">
        <v>407.5</v>
      </c>
      <c r="H173" s="45">
        <v>33467.919999999998</v>
      </c>
      <c r="I173" s="45">
        <f>SUMIFS('שכר 11.2024'!N:N,'שכר 11.2024'!C:C,C:C,'שכר 11.2024'!F:F,F:F)</f>
        <v>3398.13</v>
      </c>
      <c r="J173" s="45">
        <f t="shared" si="8"/>
        <v>36866.049999999996</v>
      </c>
      <c r="K173" s="61">
        <f t="shared" si="9"/>
        <v>1.0349999999999999</v>
      </c>
      <c r="L173" s="45">
        <f t="shared" si="10"/>
        <v>38156.361749999989</v>
      </c>
      <c r="M173" s="45">
        <f t="shared" si="11"/>
        <v>0.37045454545454548</v>
      </c>
    </row>
    <row r="174" spans="1:13" outlineLevel="2" x14ac:dyDescent="0.35">
      <c r="A174" s="42">
        <v>1812300110</v>
      </c>
      <c r="B174" s="42" t="str">
        <f>VLOOKUP(A174,'תקציב מפורט 2025'!A:O,2,FALSE)</f>
        <v>גנים ט.חובה-משכורת</v>
      </c>
      <c r="C174" s="42">
        <v>324881523</v>
      </c>
      <c r="D174" s="42" t="s">
        <v>434</v>
      </c>
      <c r="E174" s="42" t="s">
        <v>449</v>
      </c>
      <c r="F174" s="42">
        <v>812310</v>
      </c>
      <c r="G174" s="48">
        <v>533.1</v>
      </c>
      <c r="H174" s="45">
        <v>36742.11</v>
      </c>
      <c r="I174" s="45">
        <f>SUMIFS('שכר 11.2024'!N:N,'שכר 11.2024'!C:C,C:C,'שכר 11.2024'!F:F,F:F)</f>
        <v>3792.81</v>
      </c>
      <c r="J174" s="45">
        <f t="shared" si="8"/>
        <v>40534.92</v>
      </c>
      <c r="K174" s="61">
        <f t="shared" si="9"/>
        <v>1.0349999999999999</v>
      </c>
      <c r="L174" s="45">
        <f t="shared" si="10"/>
        <v>41953.642199999995</v>
      </c>
      <c r="M174" s="45">
        <f t="shared" si="11"/>
        <v>0.48463636363636364</v>
      </c>
    </row>
    <row r="175" spans="1:13" outlineLevel="2" x14ac:dyDescent="0.35">
      <c r="A175" s="42">
        <v>1812300110</v>
      </c>
      <c r="B175" s="42" t="str">
        <f>VLOOKUP(A175,'תקציב מפורט 2025'!A:O,2,FALSE)</f>
        <v>גנים ט.חובה-משכורת</v>
      </c>
      <c r="C175" s="42">
        <v>325044154</v>
      </c>
      <c r="D175" s="42" t="s">
        <v>434</v>
      </c>
      <c r="E175" s="42" t="s">
        <v>1730</v>
      </c>
      <c r="F175" s="42">
        <v>812310</v>
      </c>
      <c r="G175" s="48">
        <v>10.1</v>
      </c>
      <c r="H175" s="45">
        <v>792.9</v>
      </c>
      <c r="I175" s="45">
        <f>SUMIFS('שכר 11.2024'!N:N,'שכר 11.2024'!C:C,C:C,'שכר 11.2024'!F:F,F:F)</f>
        <v>0</v>
      </c>
      <c r="J175" s="45">
        <f t="shared" si="8"/>
        <v>792.9</v>
      </c>
      <c r="K175" s="61">
        <f t="shared" si="9"/>
        <v>1.0349999999999999</v>
      </c>
      <c r="L175" s="45">
        <f t="shared" si="10"/>
        <v>820.65149999999994</v>
      </c>
      <c r="M175" s="45">
        <f t="shared" si="11"/>
        <v>9.1818181818181816E-3</v>
      </c>
    </row>
    <row r="176" spans="1:13" outlineLevel="2" x14ac:dyDescent="0.35">
      <c r="A176" s="42">
        <v>1812300110</v>
      </c>
      <c r="B176" s="42" t="str">
        <f>VLOOKUP(A176,'תקציב מפורט 2025'!A:O,2,FALSE)</f>
        <v>גנים ט.חובה-משכורת</v>
      </c>
      <c r="C176" s="42">
        <v>328163282</v>
      </c>
      <c r="D176" s="42" t="s">
        <v>442</v>
      </c>
      <c r="E176" s="42" t="s">
        <v>1731</v>
      </c>
      <c r="F176" s="42">
        <v>812310</v>
      </c>
      <c r="G176" s="48">
        <v>0</v>
      </c>
      <c r="H176" s="45">
        <v>10061.74</v>
      </c>
      <c r="I176" s="45">
        <f>SUMIFS('שכר 11.2024'!N:N,'שכר 11.2024'!C:C,C:C,'שכר 11.2024'!F:F,F:F)</f>
        <v>0</v>
      </c>
      <c r="J176" s="45">
        <f t="shared" si="8"/>
        <v>10061.74</v>
      </c>
      <c r="K176" s="61">
        <f t="shared" si="9"/>
        <v>1.0349999999999999</v>
      </c>
      <c r="L176" s="45">
        <f t="shared" si="10"/>
        <v>10413.900899999999</v>
      </c>
      <c r="M176" s="45">
        <f t="shared" si="11"/>
        <v>0</v>
      </c>
    </row>
    <row r="177" spans="1:13" outlineLevel="2" x14ac:dyDescent="0.35">
      <c r="A177" s="42">
        <v>1812300110</v>
      </c>
      <c r="B177" s="42" t="str">
        <f>VLOOKUP(A177,'תקציב מפורט 2025'!A:O,2,FALSE)</f>
        <v>גנים ט.חובה-משכורת</v>
      </c>
      <c r="C177" s="42">
        <v>21563044</v>
      </c>
      <c r="D177" s="42" t="s">
        <v>439</v>
      </c>
      <c r="E177" s="42" t="s">
        <v>547</v>
      </c>
      <c r="F177" s="42">
        <v>812312</v>
      </c>
      <c r="G177" s="48">
        <v>0</v>
      </c>
      <c r="H177" s="45">
        <v>13221.45</v>
      </c>
      <c r="I177" s="45">
        <f>SUMIFS('שכר 11.2024'!N:N,'שכר 11.2024'!C:C,C:C,'שכר 11.2024'!F:F,F:F)</f>
        <v>1889.38</v>
      </c>
      <c r="J177" s="45">
        <f t="shared" si="8"/>
        <v>15110.830000000002</v>
      </c>
      <c r="K177" s="61">
        <f t="shared" si="9"/>
        <v>1.0349999999999999</v>
      </c>
      <c r="L177" s="45">
        <f t="shared" si="10"/>
        <v>15639.709050000001</v>
      </c>
      <c r="M177" s="45">
        <f t="shared" si="11"/>
        <v>0</v>
      </c>
    </row>
    <row r="178" spans="1:13" outlineLevel="2" x14ac:dyDescent="0.35">
      <c r="A178" s="42">
        <v>1812300110</v>
      </c>
      <c r="B178" s="42" t="str">
        <f>VLOOKUP(A178,'תקציב מפורט 2025'!A:O,2,FALSE)</f>
        <v>גנים ט.חובה-משכורת</v>
      </c>
      <c r="C178" s="42">
        <v>25908609</v>
      </c>
      <c r="D178" s="42" t="s">
        <v>434</v>
      </c>
      <c r="E178" s="42" t="s">
        <v>544</v>
      </c>
      <c r="F178" s="42">
        <v>812312</v>
      </c>
      <c r="G178" s="48">
        <v>0</v>
      </c>
      <c r="H178" s="45">
        <v>19325.150000000001</v>
      </c>
      <c r="I178" s="45">
        <f>SUMIFS('שכר 11.2024'!N:N,'שכר 11.2024'!C:C,C:C,'שכר 11.2024'!F:F,F:F)</f>
        <v>2119.13</v>
      </c>
      <c r="J178" s="45">
        <f t="shared" si="8"/>
        <v>21444.280000000002</v>
      </c>
      <c r="K178" s="61">
        <f t="shared" si="9"/>
        <v>1.0349999999999999</v>
      </c>
      <c r="L178" s="45">
        <f t="shared" si="10"/>
        <v>22194.8298</v>
      </c>
      <c r="M178" s="45">
        <f t="shared" si="11"/>
        <v>0</v>
      </c>
    </row>
    <row r="179" spans="1:13" outlineLevel="2" x14ac:dyDescent="0.35">
      <c r="A179" s="42">
        <v>1812300110</v>
      </c>
      <c r="B179" s="42" t="str">
        <f>VLOOKUP(A179,'תקציב מפורט 2025'!A:O,2,FALSE)</f>
        <v>גנים ט.חובה-משכורת</v>
      </c>
      <c r="C179" s="42">
        <v>26167502</v>
      </c>
      <c r="D179" s="42" t="s">
        <v>442</v>
      </c>
      <c r="E179" s="42" t="s">
        <v>558</v>
      </c>
      <c r="F179" s="42">
        <v>812312</v>
      </c>
      <c r="G179" s="48">
        <v>0</v>
      </c>
      <c r="H179" s="45">
        <v>12227.2</v>
      </c>
      <c r="I179" s="45">
        <f>SUMIFS('שכר 11.2024'!N:N,'שכר 11.2024'!C:C,C:C,'שכר 11.2024'!F:F,F:F)</f>
        <v>1301.08</v>
      </c>
      <c r="J179" s="45">
        <f t="shared" si="8"/>
        <v>13528.28</v>
      </c>
      <c r="K179" s="61">
        <f t="shared" si="9"/>
        <v>1.0349999999999999</v>
      </c>
      <c r="L179" s="45">
        <f t="shared" si="10"/>
        <v>14001.7698</v>
      </c>
      <c r="M179" s="45">
        <f t="shared" si="11"/>
        <v>0</v>
      </c>
    </row>
    <row r="180" spans="1:13" outlineLevel="2" x14ac:dyDescent="0.35">
      <c r="A180" s="42">
        <v>1812300110</v>
      </c>
      <c r="B180" s="42" t="str">
        <f>VLOOKUP(A180,'תקציב מפורט 2025'!A:O,2,FALSE)</f>
        <v>גנים ט.חובה-משכורת</v>
      </c>
      <c r="C180" s="42">
        <v>26183228</v>
      </c>
      <c r="D180" s="42" t="s">
        <v>434</v>
      </c>
      <c r="E180" s="42" t="s">
        <v>597</v>
      </c>
      <c r="F180" s="42">
        <v>812312</v>
      </c>
      <c r="G180" s="48">
        <v>0</v>
      </c>
      <c r="H180" s="45">
        <v>22296.03</v>
      </c>
      <c r="I180" s="45">
        <f>SUMIFS('שכר 11.2024'!N:N,'שכר 11.2024'!C:C,C:C,'שכר 11.2024'!F:F,F:F)</f>
        <v>2199.4299999999998</v>
      </c>
      <c r="J180" s="45">
        <f t="shared" si="8"/>
        <v>24495.46</v>
      </c>
      <c r="K180" s="61">
        <f t="shared" si="9"/>
        <v>1.0349999999999999</v>
      </c>
      <c r="L180" s="45">
        <f t="shared" si="10"/>
        <v>25352.801099999997</v>
      </c>
      <c r="M180" s="45">
        <f t="shared" si="11"/>
        <v>0</v>
      </c>
    </row>
    <row r="181" spans="1:13" outlineLevel="2" x14ac:dyDescent="0.35">
      <c r="A181" s="42">
        <v>1812300110</v>
      </c>
      <c r="B181" s="42" t="str">
        <f>VLOOKUP(A181,'תקציב מפורט 2025'!A:O,2,FALSE)</f>
        <v>גנים ט.חובה-משכורת</v>
      </c>
      <c r="C181" s="42">
        <v>26195446</v>
      </c>
      <c r="D181" s="42" t="s">
        <v>538</v>
      </c>
      <c r="E181" s="42" t="s">
        <v>820</v>
      </c>
      <c r="F181" s="42">
        <v>812312</v>
      </c>
      <c r="G181" s="48">
        <v>0</v>
      </c>
      <c r="H181" s="45">
        <v>8876.81</v>
      </c>
      <c r="I181" s="45">
        <f>SUMIFS('שכר 11.2024'!N:N,'שכר 11.2024'!C:C,C:C,'שכר 11.2024'!F:F,F:F)</f>
        <v>0</v>
      </c>
      <c r="J181" s="45">
        <f t="shared" si="8"/>
        <v>8876.81</v>
      </c>
      <c r="K181" s="61">
        <f t="shared" si="9"/>
        <v>1.0349999999999999</v>
      </c>
      <c r="L181" s="45">
        <f t="shared" si="10"/>
        <v>9187.498349999998</v>
      </c>
      <c r="M181" s="45">
        <f t="shared" si="11"/>
        <v>0</v>
      </c>
    </row>
    <row r="182" spans="1:13" outlineLevel="2" x14ac:dyDescent="0.35">
      <c r="A182" s="42">
        <v>1812300110</v>
      </c>
      <c r="B182" s="42" t="str">
        <f>VLOOKUP(A182,'תקציב מפורט 2025'!A:O,2,FALSE)</f>
        <v>גנים ט.חובה-משכורת</v>
      </c>
      <c r="C182" s="42">
        <v>26258533</v>
      </c>
      <c r="D182" s="42" t="s">
        <v>448</v>
      </c>
      <c r="E182" s="42" t="s">
        <v>473</v>
      </c>
      <c r="F182" s="42">
        <v>812312</v>
      </c>
      <c r="G182" s="48">
        <v>0</v>
      </c>
      <c r="H182" s="45">
        <v>12141.86</v>
      </c>
      <c r="I182" s="45">
        <f>SUMIFS('שכר 11.2024'!N:N,'שכר 11.2024'!C:C,C:C,'שכר 11.2024'!F:F,F:F)</f>
        <v>1353.71</v>
      </c>
      <c r="J182" s="45">
        <f t="shared" si="8"/>
        <v>13495.57</v>
      </c>
      <c r="K182" s="61">
        <f t="shared" si="9"/>
        <v>1.0349999999999999</v>
      </c>
      <c r="L182" s="45">
        <f t="shared" si="10"/>
        <v>13967.914949999998</v>
      </c>
      <c r="M182" s="45">
        <f t="shared" si="11"/>
        <v>0</v>
      </c>
    </row>
    <row r="183" spans="1:13" outlineLevel="2" x14ac:dyDescent="0.35">
      <c r="A183" s="42">
        <v>1812300110</v>
      </c>
      <c r="B183" s="42" t="str">
        <f>VLOOKUP(A183,'תקציב מפורט 2025'!A:O,2,FALSE)</f>
        <v>גנים ט.חובה-משכורת</v>
      </c>
      <c r="C183" s="42">
        <v>26274464</v>
      </c>
      <c r="D183" s="42" t="s">
        <v>515</v>
      </c>
      <c r="E183" s="42" t="s">
        <v>822</v>
      </c>
      <c r="F183" s="42">
        <v>812312</v>
      </c>
      <c r="G183" s="48">
        <v>0</v>
      </c>
      <c r="H183" s="45">
        <v>9632.6299999999992</v>
      </c>
      <c r="I183" s="45">
        <f>SUMIFS('שכר 11.2024'!N:N,'שכר 11.2024'!C:C,C:C,'שכר 11.2024'!F:F,F:F)</f>
        <v>0</v>
      </c>
      <c r="J183" s="45">
        <f t="shared" si="8"/>
        <v>9632.6299999999992</v>
      </c>
      <c r="K183" s="61">
        <f t="shared" si="9"/>
        <v>1.0349999999999999</v>
      </c>
      <c r="L183" s="45">
        <f t="shared" si="10"/>
        <v>9969.7720499999978</v>
      </c>
      <c r="M183" s="45">
        <f t="shared" si="11"/>
        <v>0</v>
      </c>
    </row>
    <row r="184" spans="1:13" outlineLevel="2" x14ac:dyDescent="0.35">
      <c r="A184" s="42">
        <v>1812300110</v>
      </c>
      <c r="B184" s="42" t="str">
        <f>VLOOKUP(A184,'תקציב מפורט 2025'!A:O,2,FALSE)</f>
        <v>גנים ט.חובה-משכורת</v>
      </c>
      <c r="C184" s="42">
        <v>26356477</v>
      </c>
      <c r="D184" s="42" t="s">
        <v>448</v>
      </c>
      <c r="E184" s="42" t="s">
        <v>1701</v>
      </c>
      <c r="F184" s="42">
        <v>812312</v>
      </c>
      <c r="G184" s="48">
        <v>0</v>
      </c>
      <c r="H184" s="45">
        <v>19810.87</v>
      </c>
      <c r="I184" s="45">
        <f>SUMIFS('שכר 11.2024'!N:N,'שכר 11.2024'!C:C,C:C,'שכר 11.2024'!F:F,F:F)</f>
        <v>2726.36</v>
      </c>
      <c r="J184" s="45">
        <f t="shared" si="8"/>
        <v>22537.23</v>
      </c>
      <c r="K184" s="61">
        <f t="shared" si="9"/>
        <v>1.0349999999999999</v>
      </c>
      <c r="L184" s="45">
        <f t="shared" si="10"/>
        <v>23326.033049999998</v>
      </c>
      <c r="M184" s="45">
        <f t="shared" si="11"/>
        <v>0</v>
      </c>
    </row>
    <row r="185" spans="1:13" outlineLevel="2" x14ac:dyDescent="0.35">
      <c r="A185" s="42">
        <v>1812300110</v>
      </c>
      <c r="B185" s="42" t="str">
        <f>VLOOKUP(A185,'תקציב מפורט 2025'!A:O,2,FALSE)</f>
        <v>גנים ט.חובה-משכורת</v>
      </c>
      <c r="C185" s="42">
        <v>27505072</v>
      </c>
      <c r="D185" s="42" t="s">
        <v>935</v>
      </c>
      <c r="E185" s="42" t="s">
        <v>578</v>
      </c>
      <c r="F185" s="42">
        <v>812312</v>
      </c>
      <c r="G185" s="48">
        <v>0</v>
      </c>
      <c r="H185" s="45">
        <v>11850.51</v>
      </c>
      <c r="I185" s="45">
        <f>SUMIFS('שכר 11.2024'!N:N,'שכר 11.2024'!C:C,C:C,'שכר 11.2024'!F:F,F:F)</f>
        <v>975.28</v>
      </c>
      <c r="J185" s="45">
        <f t="shared" si="8"/>
        <v>12825.79</v>
      </c>
      <c r="K185" s="61">
        <f t="shared" si="9"/>
        <v>1.0349999999999999</v>
      </c>
      <c r="L185" s="45">
        <f t="shared" si="10"/>
        <v>13274.692649999999</v>
      </c>
      <c r="M185" s="45">
        <f t="shared" si="11"/>
        <v>0</v>
      </c>
    </row>
    <row r="186" spans="1:13" outlineLevel="2" x14ac:dyDescent="0.35">
      <c r="A186" s="42">
        <v>1812300110</v>
      </c>
      <c r="B186" s="42" t="str">
        <f>VLOOKUP(A186,'תקציב מפורט 2025'!A:O,2,FALSE)</f>
        <v>גנים ט.חובה-משכורת</v>
      </c>
      <c r="C186" s="42">
        <v>27673730</v>
      </c>
      <c r="D186" s="42" t="s">
        <v>434</v>
      </c>
      <c r="E186" s="42" t="s">
        <v>559</v>
      </c>
      <c r="F186" s="42">
        <v>812312</v>
      </c>
      <c r="G186" s="48">
        <v>0</v>
      </c>
      <c r="H186" s="45">
        <v>8929.65</v>
      </c>
      <c r="I186" s="45">
        <f>SUMIFS('שכר 11.2024'!N:N,'שכר 11.2024'!C:C,C:C,'שכר 11.2024'!F:F,F:F)</f>
        <v>0</v>
      </c>
      <c r="J186" s="45">
        <f t="shared" si="8"/>
        <v>8929.65</v>
      </c>
      <c r="K186" s="61">
        <f t="shared" si="9"/>
        <v>1.0349999999999999</v>
      </c>
      <c r="L186" s="45">
        <f t="shared" si="10"/>
        <v>9242.1877499999991</v>
      </c>
      <c r="M186" s="45">
        <f t="shared" si="11"/>
        <v>0</v>
      </c>
    </row>
    <row r="187" spans="1:13" outlineLevel="2" x14ac:dyDescent="0.35">
      <c r="A187" s="42">
        <v>1812300110</v>
      </c>
      <c r="B187" s="42" t="str">
        <f>VLOOKUP(A187,'תקציב מפורט 2025'!A:O,2,FALSE)</f>
        <v>גנים ט.חובה-משכורת</v>
      </c>
      <c r="C187" s="42">
        <v>29790938</v>
      </c>
      <c r="D187" s="42" t="s">
        <v>434</v>
      </c>
      <c r="E187" s="42" t="s">
        <v>568</v>
      </c>
      <c r="F187" s="42">
        <v>812312</v>
      </c>
      <c r="G187" s="48">
        <v>0</v>
      </c>
      <c r="H187" s="45">
        <v>12103.58</v>
      </c>
      <c r="I187" s="45">
        <f>SUMIFS('שכר 11.2024'!N:N,'שכר 11.2024'!C:C,C:C,'שכר 11.2024'!F:F,F:F)</f>
        <v>0</v>
      </c>
      <c r="J187" s="45">
        <f t="shared" si="8"/>
        <v>12103.58</v>
      </c>
      <c r="K187" s="61">
        <f t="shared" si="9"/>
        <v>1.0349999999999999</v>
      </c>
      <c r="L187" s="45">
        <f t="shared" si="10"/>
        <v>12527.2053</v>
      </c>
      <c r="M187" s="45">
        <f t="shared" si="11"/>
        <v>0</v>
      </c>
    </row>
    <row r="188" spans="1:13" outlineLevel="2" x14ac:dyDescent="0.35">
      <c r="A188" s="42">
        <v>1812300110</v>
      </c>
      <c r="B188" s="42" t="str">
        <f>VLOOKUP(A188,'תקציב מפורט 2025'!A:O,2,FALSE)</f>
        <v>גנים ט.חובה-משכורת</v>
      </c>
      <c r="C188" s="42">
        <v>29843679</v>
      </c>
      <c r="D188" s="42" t="s">
        <v>448</v>
      </c>
      <c r="E188" s="42" t="s">
        <v>834</v>
      </c>
      <c r="F188" s="42">
        <v>812312</v>
      </c>
      <c r="G188" s="48">
        <v>0</v>
      </c>
      <c r="H188" s="45">
        <v>9505.99</v>
      </c>
      <c r="I188" s="45">
        <f>SUMIFS('שכר 11.2024'!N:N,'שכר 11.2024'!C:C,C:C,'שכר 11.2024'!F:F,F:F)</f>
        <v>1051.97</v>
      </c>
      <c r="J188" s="45">
        <f t="shared" si="8"/>
        <v>10557.96</v>
      </c>
      <c r="K188" s="61">
        <f t="shared" si="9"/>
        <v>1.0349999999999999</v>
      </c>
      <c r="L188" s="45">
        <f t="shared" si="10"/>
        <v>10927.488599999999</v>
      </c>
      <c r="M188" s="45">
        <f t="shared" si="11"/>
        <v>0</v>
      </c>
    </row>
    <row r="189" spans="1:13" outlineLevel="2" x14ac:dyDescent="0.35">
      <c r="A189" s="42">
        <v>1812300110</v>
      </c>
      <c r="B189" s="42" t="str">
        <f>VLOOKUP(A189,'תקציב מפורט 2025'!A:O,2,FALSE)</f>
        <v>גנים ט.חובה-משכורת</v>
      </c>
      <c r="C189" s="42">
        <v>29868148</v>
      </c>
      <c r="D189" s="42" t="s">
        <v>448</v>
      </c>
      <c r="E189" s="42" t="s">
        <v>473</v>
      </c>
      <c r="F189" s="42">
        <v>812312</v>
      </c>
      <c r="G189" s="48">
        <v>0</v>
      </c>
      <c r="H189" s="45">
        <v>9116.94</v>
      </c>
      <c r="I189" s="45">
        <f>SUMIFS('שכר 11.2024'!N:N,'שכר 11.2024'!C:C,C:C,'שכר 11.2024'!F:F,F:F)</f>
        <v>0</v>
      </c>
      <c r="J189" s="45">
        <f t="shared" si="8"/>
        <v>9116.94</v>
      </c>
      <c r="K189" s="61">
        <f t="shared" si="9"/>
        <v>1.0349999999999999</v>
      </c>
      <c r="L189" s="45">
        <f t="shared" si="10"/>
        <v>9436.0329000000002</v>
      </c>
      <c r="M189" s="45">
        <f t="shared" si="11"/>
        <v>0</v>
      </c>
    </row>
    <row r="190" spans="1:13" outlineLevel="2" x14ac:dyDescent="0.35">
      <c r="A190" s="42">
        <v>1812300110</v>
      </c>
      <c r="B190" s="42" t="str">
        <f>VLOOKUP(A190,'תקציב מפורט 2025'!A:O,2,FALSE)</f>
        <v>גנים ט.חובה-משכורת</v>
      </c>
      <c r="C190" s="42">
        <v>31452022</v>
      </c>
      <c r="D190" s="42" t="s">
        <v>538</v>
      </c>
      <c r="E190" s="42" t="s">
        <v>937</v>
      </c>
      <c r="F190" s="42">
        <v>812312</v>
      </c>
      <c r="G190" s="48">
        <v>0</v>
      </c>
      <c r="H190" s="45">
        <v>8042.59</v>
      </c>
      <c r="I190" s="45">
        <f>SUMIFS('שכר 11.2024'!N:N,'שכר 11.2024'!C:C,C:C,'שכר 11.2024'!F:F,F:F)</f>
        <v>1352.51</v>
      </c>
      <c r="J190" s="45">
        <f t="shared" si="8"/>
        <v>9395.1</v>
      </c>
      <c r="K190" s="61">
        <f t="shared" si="9"/>
        <v>1.0349999999999999</v>
      </c>
      <c r="L190" s="45">
        <f t="shared" si="10"/>
        <v>9723.9285</v>
      </c>
      <c r="M190" s="45">
        <f t="shared" si="11"/>
        <v>0</v>
      </c>
    </row>
    <row r="191" spans="1:13" outlineLevel="2" x14ac:dyDescent="0.35">
      <c r="A191" s="42">
        <v>1812300110</v>
      </c>
      <c r="B191" s="42" t="str">
        <f>VLOOKUP(A191,'תקציב מפורט 2025'!A:O,2,FALSE)</f>
        <v>גנים ט.חובה-משכורת</v>
      </c>
      <c r="C191" s="42">
        <v>31455660</v>
      </c>
      <c r="D191" s="42" t="s">
        <v>434</v>
      </c>
      <c r="E191" s="42" t="s">
        <v>589</v>
      </c>
      <c r="F191" s="42">
        <v>812312</v>
      </c>
      <c r="G191" s="48">
        <v>0</v>
      </c>
      <c r="H191" s="45">
        <v>16824.439999999999</v>
      </c>
      <c r="I191" s="45">
        <f>SUMIFS('שכר 11.2024'!N:N,'שכר 11.2024'!C:C,C:C,'שכר 11.2024'!F:F,F:F)</f>
        <v>0</v>
      </c>
      <c r="J191" s="45">
        <f t="shared" si="8"/>
        <v>16824.439999999999</v>
      </c>
      <c r="K191" s="61">
        <f t="shared" si="9"/>
        <v>1.0349999999999999</v>
      </c>
      <c r="L191" s="45">
        <f t="shared" si="10"/>
        <v>17413.295399999999</v>
      </c>
      <c r="M191" s="45">
        <f t="shared" si="11"/>
        <v>0</v>
      </c>
    </row>
    <row r="192" spans="1:13" outlineLevel="2" x14ac:dyDescent="0.35">
      <c r="A192" s="42">
        <v>1812300110</v>
      </c>
      <c r="B192" s="42" t="str">
        <f>VLOOKUP(A192,'תקציב מפורט 2025'!A:O,2,FALSE)</f>
        <v>גנים ט.חובה-משכורת</v>
      </c>
      <c r="C192" s="42">
        <v>31594468</v>
      </c>
      <c r="D192" s="42" t="s">
        <v>434</v>
      </c>
      <c r="E192" s="42" t="s">
        <v>588</v>
      </c>
      <c r="F192" s="42">
        <v>812312</v>
      </c>
      <c r="G192" s="48">
        <v>0</v>
      </c>
      <c r="H192" s="45">
        <v>10482.56</v>
      </c>
      <c r="I192" s="45">
        <f>SUMIFS('שכר 11.2024'!N:N,'שכר 11.2024'!C:C,C:C,'שכר 11.2024'!F:F,F:F)</f>
        <v>1458.21</v>
      </c>
      <c r="J192" s="45">
        <f t="shared" si="8"/>
        <v>11940.77</v>
      </c>
      <c r="K192" s="61">
        <f t="shared" si="9"/>
        <v>1.0349999999999999</v>
      </c>
      <c r="L192" s="45">
        <f t="shared" si="10"/>
        <v>12358.69695</v>
      </c>
      <c r="M192" s="45">
        <f t="shared" si="11"/>
        <v>0</v>
      </c>
    </row>
    <row r="193" spans="1:13" outlineLevel="2" x14ac:dyDescent="0.35">
      <c r="A193" s="42">
        <v>1812300110</v>
      </c>
      <c r="B193" s="42" t="str">
        <f>VLOOKUP(A193,'תקציב מפורט 2025'!A:O,2,FALSE)</f>
        <v>גנים ט.חובה-משכורת</v>
      </c>
      <c r="C193" s="42">
        <v>31595689</v>
      </c>
      <c r="D193" s="42" t="s">
        <v>434</v>
      </c>
      <c r="E193" s="42" t="s">
        <v>567</v>
      </c>
      <c r="F193" s="42">
        <v>812312</v>
      </c>
      <c r="G193" s="48">
        <v>0</v>
      </c>
      <c r="H193" s="45">
        <v>10891.86</v>
      </c>
      <c r="I193" s="45">
        <f>SUMIFS('שכר 11.2024'!N:N,'שכר 11.2024'!C:C,C:C,'שכר 11.2024'!F:F,F:F)</f>
        <v>1204.95</v>
      </c>
      <c r="J193" s="45">
        <f t="shared" si="8"/>
        <v>12096.810000000001</v>
      </c>
      <c r="K193" s="61">
        <f t="shared" si="9"/>
        <v>1.0349999999999999</v>
      </c>
      <c r="L193" s="45">
        <f t="shared" si="10"/>
        <v>12520.198350000001</v>
      </c>
      <c r="M193" s="45">
        <f t="shared" si="11"/>
        <v>0</v>
      </c>
    </row>
    <row r="194" spans="1:13" outlineLevel="2" x14ac:dyDescent="0.35">
      <c r="A194" s="42">
        <v>1812300110</v>
      </c>
      <c r="B194" s="42" t="str">
        <f>VLOOKUP(A194,'תקציב מפורט 2025'!A:O,2,FALSE)</f>
        <v>גנים ט.חובה-משכורת</v>
      </c>
      <c r="C194" s="42">
        <v>32521395</v>
      </c>
      <c r="D194" s="42" t="s">
        <v>954</v>
      </c>
      <c r="E194" s="42" t="s">
        <v>581</v>
      </c>
      <c r="F194" s="42">
        <v>812312</v>
      </c>
      <c r="G194" s="48">
        <v>0</v>
      </c>
      <c r="H194" s="45">
        <v>5276.1</v>
      </c>
      <c r="I194" s="45">
        <f>SUMIFS('שכר 11.2024'!N:N,'שכר 11.2024'!C:C,C:C,'שכר 11.2024'!F:F,F:F)</f>
        <v>1350.75</v>
      </c>
      <c r="J194" s="45">
        <f t="shared" si="8"/>
        <v>6626.85</v>
      </c>
      <c r="K194" s="61">
        <f t="shared" si="9"/>
        <v>1.0349999999999999</v>
      </c>
      <c r="L194" s="45">
        <f t="shared" si="10"/>
        <v>6858.7897499999999</v>
      </c>
      <c r="M194" s="45">
        <f t="shared" si="11"/>
        <v>0</v>
      </c>
    </row>
    <row r="195" spans="1:13" outlineLevel="2" x14ac:dyDescent="0.35">
      <c r="A195" s="42">
        <v>1812300110</v>
      </c>
      <c r="B195" s="42" t="str">
        <f>VLOOKUP(A195,'תקציב מפורט 2025'!A:O,2,FALSE)</f>
        <v>גנים ט.חובה-משכורת</v>
      </c>
      <c r="C195" s="42">
        <v>32523425</v>
      </c>
      <c r="D195" s="42" t="s">
        <v>486</v>
      </c>
      <c r="E195" s="42" t="s">
        <v>578</v>
      </c>
      <c r="F195" s="42">
        <v>812312</v>
      </c>
      <c r="G195" s="48">
        <v>0</v>
      </c>
      <c r="H195" s="45">
        <v>10063.81</v>
      </c>
      <c r="I195" s="45">
        <f>SUMIFS('שכר 11.2024'!N:N,'שכר 11.2024'!C:C,C:C,'שכר 11.2024'!F:F,F:F)</f>
        <v>850.84</v>
      </c>
      <c r="J195" s="45">
        <f t="shared" si="8"/>
        <v>10914.65</v>
      </c>
      <c r="K195" s="61">
        <f t="shared" si="9"/>
        <v>1.0349999999999999</v>
      </c>
      <c r="L195" s="45">
        <f t="shared" si="10"/>
        <v>11296.66275</v>
      </c>
      <c r="M195" s="45">
        <f t="shared" si="11"/>
        <v>0</v>
      </c>
    </row>
    <row r="196" spans="1:13" outlineLevel="2" x14ac:dyDescent="0.35">
      <c r="A196" s="42">
        <v>1812300110</v>
      </c>
      <c r="B196" s="42" t="str">
        <f>VLOOKUP(A196,'תקציב מפורט 2025'!A:O,2,FALSE)</f>
        <v>גנים ט.חובה-משכורת</v>
      </c>
      <c r="C196" s="42">
        <v>33426065</v>
      </c>
      <c r="D196" s="42" t="s">
        <v>486</v>
      </c>
      <c r="E196" s="42" t="s">
        <v>582</v>
      </c>
      <c r="F196" s="42">
        <v>812312</v>
      </c>
      <c r="G196" s="48">
        <v>0</v>
      </c>
      <c r="H196" s="45">
        <v>10281.65</v>
      </c>
      <c r="I196" s="45">
        <f>SUMIFS('שכר 11.2024'!N:N,'שכר 11.2024'!C:C,C:C,'שכר 11.2024'!F:F,F:F)</f>
        <v>1455.59</v>
      </c>
      <c r="J196" s="45">
        <f t="shared" si="8"/>
        <v>11737.24</v>
      </c>
      <c r="K196" s="61">
        <f t="shared" si="9"/>
        <v>1.0349999999999999</v>
      </c>
      <c r="L196" s="45">
        <f t="shared" si="10"/>
        <v>12148.043399999999</v>
      </c>
      <c r="M196" s="45">
        <f t="shared" si="11"/>
        <v>0</v>
      </c>
    </row>
    <row r="197" spans="1:13" outlineLevel="2" x14ac:dyDescent="0.35">
      <c r="A197" s="42">
        <v>1812300110</v>
      </c>
      <c r="B197" s="42" t="str">
        <f>VLOOKUP(A197,'תקציב מפורט 2025'!A:O,2,FALSE)</f>
        <v>גנים ט.חובה-משכורת</v>
      </c>
      <c r="C197" s="42">
        <v>33444837</v>
      </c>
      <c r="D197" s="42" t="s">
        <v>434</v>
      </c>
      <c r="E197" s="42" t="s">
        <v>587</v>
      </c>
      <c r="F197" s="42">
        <v>812312</v>
      </c>
      <c r="G197" s="48">
        <v>0</v>
      </c>
      <c r="H197" s="45">
        <v>19661.53</v>
      </c>
      <c r="I197" s="45">
        <f>SUMIFS('שכר 11.2024'!N:N,'שכר 11.2024'!C:C,C:C,'שכר 11.2024'!F:F,F:F)</f>
        <v>3100.82</v>
      </c>
      <c r="J197" s="45">
        <f t="shared" si="8"/>
        <v>22762.35</v>
      </c>
      <c r="K197" s="61">
        <f t="shared" si="9"/>
        <v>1.0349999999999999</v>
      </c>
      <c r="L197" s="45">
        <f t="shared" si="10"/>
        <v>23559.032249999997</v>
      </c>
      <c r="M197" s="45">
        <f t="shared" si="11"/>
        <v>0</v>
      </c>
    </row>
    <row r="198" spans="1:13" outlineLevel="2" x14ac:dyDescent="0.35">
      <c r="A198" s="42">
        <v>1812300110</v>
      </c>
      <c r="B198" s="42" t="str">
        <f>VLOOKUP(A198,'תקציב מפורט 2025'!A:O,2,FALSE)</f>
        <v>גנים ט.חובה-משכורת</v>
      </c>
      <c r="C198" s="42">
        <v>33800699</v>
      </c>
      <c r="D198" s="42" t="s">
        <v>448</v>
      </c>
      <c r="E198" s="42" t="s">
        <v>580</v>
      </c>
      <c r="F198" s="42">
        <v>812312</v>
      </c>
      <c r="G198" s="48">
        <v>0</v>
      </c>
      <c r="H198" s="45">
        <v>7448.92</v>
      </c>
      <c r="I198" s="45">
        <f>SUMIFS('שכר 11.2024'!N:N,'שכר 11.2024'!C:C,C:C,'שכר 11.2024'!F:F,F:F)</f>
        <v>399</v>
      </c>
      <c r="J198" s="45">
        <f t="shared" si="8"/>
        <v>7847.92</v>
      </c>
      <c r="K198" s="61">
        <f t="shared" si="9"/>
        <v>1.0349999999999999</v>
      </c>
      <c r="L198" s="45">
        <f t="shared" si="10"/>
        <v>8122.5971999999992</v>
      </c>
      <c r="M198" s="45">
        <f t="shared" si="11"/>
        <v>0</v>
      </c>
    </row>
    <row r="199" spans="1:13" outlineLevel="2" x14ac:dyDescent="0.35">
      <c r="A199" s="42">
        <v>1812300110</v>
      </c>
      <c r="B199" s="42" t="str">
        <f>VLOOKUP(A199,'תקציב מפורט 2025'!A:O,2,FALSE)</f>
        <v>גנים ט.חובה-משכורת</v>
      </c>
      <c r="C199" s="42">
        <v>34576298</v>
      </c>
      <c r="D199" s="42" t="s">
        <v>823</v>
      </c>
      <c r="E199" s="42" t="s">
        <v>550</v>
      </c>
      <c r="F199" s="42">
        <v>812312</v>
      </c>
      <c r="G199" s="48">
        <v>0</v>
      </c>
      <c r="H199" s="45">
        <v>11309.38</v>
      </c>
      <c r="I199" s="45">
        <f>SUMIFS('שכר 11.2024'!N:N,'שכר 11.2024'!C:C,C:C,'שכר 11.2024'!F:F,F:F)</f>
        <v>0</v>
      </c>
      <c r="J199" s="45">
        <f t="shared" si="8"/>
        <v>11309.38</v>
      </c>
      <c r="K199" s="61">
        <f t="shared" si="9"/>
        <v>1.0349999999999999</v>
      </c>
      <c r="L199" s="45">
        <f t="shared" si="10"/>
        <v>11705.208299999998</v>
      </c>
      <c r="M199" s="45">
        <f t="shared" si="11"/>
        <v>0</v>
      </c>
    </row>
    <row r="200" spans="1:13" outlineLevel="2" x14ac:dyDescent="0.35">
      <c r="A200" s="42">
        <v>1812300110</v>
      </c>
      <c r="B200" s="42" t="str">
        <f>VLOOKUP(A200,'תקציב מפורט 2025'!A:O,2,FALSE)</f>
        <v>גנים ט.חובה-משכורת</v>
      </c>
      <c r="C200" s="42">
        <v>36068617</v>
      </c>
      <c r="D200" s="42" t="s">
        <v>954</v>
      </c>
      <c r="E200" s="42" t="s">
        <v>571</v>
      </c>
      <c r="F200" s="42">
        <v>812312</v>
      </c>
      <c r="G200" s="48">
        <v>0</v>
      </c>
      <c r="H200" s="45">
        <v>15037.1</v>
      </c>
      <c r="I200" s="45">
        <f>SUMIFS('שכר 11.2024'!N:N,'שכר 11.2024'!C:C,C:C,'שכר 11.2024'!F:F,F:F)</f>
        <v>0</v>
      </c>
      <c r="J200" s="45">
        <f t="shared" si="8"/>
        <v>15037.1</v>
      </c>
      <c r="K200" s="61">
        <f t="shared" si="9"/>
        <v>1.0349999999999999</v>
      </c>
      <c r="L200" s="45">
        <f t="shared" si="10"/>
        <v>15563.398499999999</v>
      </c>
      <c r="M200" s="45">
        <f t="shared" si="11"/>
        <v>0</v>
      </c>
    </row>
    <row r="201" spans="1:13" outlineLevel="2" x14ac:dyDescent="0.35">
      <c r="A201" s="42">
        <v>1812300110</v>
      </c>
      <c r="B201" s="42" t="str">
        <f>VLOOKUP(A201,'תקציב מפורט 2025'!A:O,2,FALSE)</f>
        <v>גנים ט.חובה-משכורת</v>
      </c>
      <c r="C201" s="42">
        <v>36391993</v>
      </c>
      <c r="D201" s="42" t="s">
        <v>835</v>
      </c>
      <c r="E201" s="42" t="s">
        <v>836</v>
      </c>
      <c r="F201" s="42">
        <v>812312</v>
      </c>
      <c r="G201" s="48">
        <v>0</v>
      </c>
      <c r="H201" s="45">
        <v>10769.2</v>
      </c>
      <c r="I201" s="45">
        <f>SUMIFS('שכר 11.2024'!N:N,'שכר 11.2024'!C:C,C:C,'שכר 11.2024'!F:F,F:F)</f>
        <v>1466.05</v>
      </c>
      <c r="J201" s="45">
        <f t="shared" si="8"/>
        <v>12235.25</v>
      </c>
      <c r="K201" s="61">
        <f t="shared" si="9"/>
        <v>1.0349999999999999</v>
      </c>
      <c r="L201" s="45">
        <f t="shared" si="10"/>
        <v>12663.483749999999</v>
      </c>
      <c r="M201" s="45">
        <f t="shared" si="11"/>
        <v>0</v>
      </c>
    </row>
    <row r="202" spans="1:13" outlineLevel="2" x14ac:dyDescent="0.35">
      <c r="A202" s="42">
        <v>1812300110</v>
      </c>
      <c r="B202" s="42" t="str">
        <f>VLOOKUP(A202,'תקציב מפורט 2025'!A:O,2,FALSE)</f>
        <v>גנים ט.חובה-משכורת</v>
      </c>
      <c r="C202" s="42">
        <v>36482339</v>
      </c>
      <c r="D202" s="42" t="s">
        <v>942</v>
      </c>
      <c r="E202" s="42" t="s">
        <v>485</v>
      </c>
      <c r="F202" s="42">
        <v>812312</v>
      </c>
      <c r="G202" s="48">
        <v>0</v>
      </c>
      <c r="H202" s="45">
        <v>8583.5400000000009</v>
      </c>
      <c r="I202" s="45">
        <f>SUMIFS('שכר 11.2024'!N:N,'שכר 11.2024'!C:C,C:C,'שכר 11.2024'!F:F,F:F)</f>
        <v>1351.61</v>
      </c>
      <c r="J202" s="45">
        <f t="shared" si="8"/>
        <v>9935.1500000000015</v>
      </c>
      <c r="K202" s="61">
        <f t="shared" si="9"/>
        <v>1.0349999999999999</v>
      </c>
      <c r="L202" s="45">
        <f t="shared" si="10"/>
        <v>10282.88025</v>
      </c>
      <c r="M202" s="45">
        <f t="shared" si="11"/>
        <v>0</v>
      </c>
    </row>
    <row r="203" spans="1:13" outlineLevel="2" x14ac:dyDescent="0.35">
      <c r="A203" s="42">
        <v>1812300110</v>
      </c>
      <c r="B203" s="42" t="str">
        <f>VLOOKUP(A203,'תקציב מפורט 2025'!A:O,2,FALSE)</f>
        <v>גנים ט.חובה-משכורת</v>
      </c>
      <c r="C203" s="42">
        <v>37412665</v>
      </c>
      <c r="D203" s="42" t="s">
        <v>434</v>
      </c>
      <c r="E203" s="42" t="s">
        <v>582</v>
      </c>
      <c r="F203" s="42">
        <v>812312</v>
      </c>
      <c r="G203" s="48">
        <v>0</v>
      </c>
      <c r="H203" s="45">
        <v>14503.62</v>
      </c>
      <c r="I203" s="45">
        <f>SUMIFS('שכר 11.2024'!N:N,'שכר 11.2024'!C:C,C:C,'שכר 11.2024'!F:F,F:F)</f>
        <v>2116.2600000000002</v>
      </c>
      <c r="J203" s="45">
        <f t="shared" si="8"/>
        <v>16619.88</v>
      </c>
      <c r="K203" s="61">
        <f t="shared" si="9"/>
        <v>1.0349999999999999</v>
      </c>
      <c r="L203" s="45">
        <f t="shared" si="10"/>
        <v>17201.575799999999</v>
      </c>
      <c r="M203" s="45">
        <f t="shared" si="11"/>
        <v>0</v>
      </c>
    </row>
    <row r="204" spans="1:13" outlineLevel="2" x14ac:dyDescent="0.35">
      <c r="A204" s="42">
        <v>1812300110</v>
      </c>
      <c r="B204" s="42" t="str">
        <f>VLOOKUP(A204,'תקציב מפורט 2025'!A:O,2,FALSE)</f>
        <v>גנים ט.חובה-משכורת</v>
      </c>
      <c r="C204" s="42">
        <v>38003646</v>
      </c>
      <c r="D204" s="42" t="s">
        <v>434</v>
      </c>
      <c r="E204" s="42" t="s">
        <v>575</v>
      </c>
      <c r="F204" s="42">
        <v>812312</v>
      </c>
      <c r="G204" s="48">
        <v>0</v>
      </c>
      <c r="H204" s="45">
        <v>9668.39</v>
      </c>
      <c r="I204" s="45">
        <f>SUMIFS('שכר 11.2024'!N:N,'שכר 11.2024'!C:C,C:C,'שכר 11.2024'!F:F,F:F)</f>
        <v>450.01</v>
      </c>
      <c r="J204" s="45">
        <f t="shared" si="8"/>
        <v>10118.4</v>
      </c>
      <c r="K204" s="61">
        <f t="shared" si="9"/>
        <v>1.0349999999999999</v>
      </c>
      <c r="L204" s="45">
        <f t="shared" si="10"/>
        <v>10472.543999999998</v>
      </c>
      <c r="M204" s="45">
        <f t="shared" si="11"/>
        <v>0</v>
      </c>
    </row>
    <row r="205" spans="1:13" outlineLevel="2" x14ac:dyDescent="0.35">
      <c r="A205" s="42">
        <v>1812300110</v>
      </c>
      <c r="B205" s="42" t="str">
        <f>VLOOKUP(A205,'תקציב מפורט 2025'!A:O,2,FALSE)</f>
        <v>גנים ט.חובה-משכורת</v>
      </c>
      <c r="C205" s="42">
        <v>39129390</v>
      </c>
      <c r="D205" s="42" t="s">
        <v>484</v>
      </c>
      <c r="E205" s="42" t="s">
        <v>438</v>
      </c>
      <c r="F205" s="42">
        <v>812312</v>
      </c>
      <c r="G205" s="48">
        <v>0</v>
      </c>
      <c r="H205" s="45">
        <v>11504.54</v>
      </c>
      <c r="I205" s="45">
        <f>SUMIFS('שכר 11.2024'!N:N,'שכר 11.2024'!C:C,C:C,'שכר 11.2024'!F:F,F:F)</f>
        <v>1351.67</v>
      </c>
      <c r="J205" s="45">
        <f t="shared" si="8"/>
        <v>12856.210000000001</v>
      </c>
      <c r="K205" s="61">
        <f t="shared" si="9"/>
        <v>1.0349999999999999</v>
      </c>
      <c r="L205" s="45">
        <f t="shared" si="10"/>
        <v>13306.17735</v>
      </c>
      <c r="M205" s="45">
        <f t="shared" si="11"/>
        <v>0</v>
      </c>
    </row>
    <row r="206" spans="1:13" outlineLevel="2" x14ac:dyDescent="0.35">
      <c r="A206" s="42">
        <v>1812300110</v>
      </c>
      <c r="B206" s="42" t="str">
        <f>VLOOKUP(A206,'תקציב מפורט 2025'!A:O,2,FALSE)</f>
        <v>גנים ט.חובה-משכורת</v>
      </c>
      <c r="C206" s="42">
        <v>39826649</v>
      </c>
      <c r="D206" s="42" t="s">
        <v>495</v>
      </c>
      <c r="E206" s="42" t="s">
        <v>1825</v>
      </c>
      <c r="F206" s="42">
        <v>812312</v>
      </c>
      <c r="G206" s="48">
        <v>0</v>
      </c>
      <c r="H206" s="45">
        <v>990.14</v>
      </c>
      <c r="I206" s="45">
        <f>SUMIFS('שכר 11.2024'!N:N,'שכר 11.2024'!C:C,C:C,'שכר 11.2024'!F:F,F:F)</f>
        <v>0</v>
      </c>
      <c r="J206" s="45">
        <f t="shared" si="8"/>
        <v>990.14</v>
      </c>
      <c r="K206" s="61">
        <f t="shared" si="9"/>
        <v>1.0349999999999999</v>
      </c>
      <c r="L206" s="45">
        <f t="shared" si="10"/>
        <v>1024.7948999999999</v>
      </c>
      <c r="M206" s="45">
        <f t="shared" si="11"/>
        <v>0</v>
      </c>
    </row>
    <row r="207" spans="1:13" outlineLevel="2" x14ac:dyDescent="0.35">
      <c r="A207" s="42">
        <v>1812300110</v>
      </c>
      <c r="B207" s="42" t="str">
        <f>VLOOKUP(A207,'תקציב מפורט 2025'!A:O,2,FALSE)</f>
        <v>גנים ט.חובה-משכורת</v>
      </c>
      <c r="C207" s="42">
        <v>40159295</v>
      </c>
      <c r="D207" s="42" t="s">
        <v>526</v>
      </c>
      <c r="E207" s="42" t="s">
        <v>1704</v>
      </c>
      <c r="F207" s="42">
        <v>812312</v>
      </c>
      <c r="G207" s="48">
        <v>0</v>
      </c>
      <c r="H207" s="45">
        <v>0.01</v>
      </c>
      <c r="I207" s="45">
        <f>SUMIFS('שכר 11.2024'!N:N,'שכר 11.2024'!C:C,C:C,'שכר 11.2024'!F:F,F:F)</f>
        <v>0</v>
      </c>
      <c r="J207" s="45">
        <f t="shared" si="8"/>
        <v>0.01</v>
      </c>
      <c r="K207" s="61">
        <f t="shared" si="9"/>
        <v>1.0349999999999999</v>
      </c>
      <c r="L207" s="45">
        <f t="shared" si="10"/>
        <v>1.035E-2</v>
      </c>
      <c r="M207" s="45">
        <f t="shared" si="11"/>
        <v>0</v>
      </c>
    </row>
    <row r="208" spans="1:13" outlineLevel="2" x14ac:dyDescent="0.35">
      <c r="A208" s="42">
        <v>1812300110</v>
      </c>
      <c r="B208" s="42" t="str">
        <f>VLOOKUP(A208,'תקציב מפורט 2025'!A:O,2,FALSE)</f>
        <v>גנים ט.חובה-משכורת</v>
      </c>
      <c r="C208" s="42">
        <v>40463044</v>
      </c>
      <c r="D208" s="42" t="s">
        <v>488</v>
      </c>
      <c r="E208" s="42" t="s">
        <v>586</v>
      </c>
      <c r="F208" s="42">
        <v>812312</v>
      </c>
      <c r="G208" s="48">
        <v>0</v>
      </c>
      <c r="H208" s="45">
        <v>3664.65</v>
      </c>
      <c r="I208" s="45">
        <f>SUMIFS('שכר 11.2024'!N:N,'שכר 11.2024'!C:C,C:C,'שכר 11.2024'!F:F,F:F)</f>
        <v>0</v>
      </c>
      <c r="J208" s="45">
        <f t="shared" si="8"/>
        <v>3664.65</v>
      </c>
      <c r="K208" s="61">
        <f t="shared" si="9"/>
        <v>1.0349999999999999</v>
      </c>
      <c r="L208" s="45">
        <f t="shared" si="10"/>
        <v>3792.91275</v>
      </c>
      <c r="M208" s="45">
        <f t="shared" si="11"/>
        <v>0</v>
      </c>
    </row>
    <row r="209" spans="1:13" outlineLevel="2" x14ac:dyDescent="0.35">
      <c r="A209" s="42">
        <v>1812300110</v>
      </c>
      <c r="B209" s="42" t="str">
        <f>VLOOKUP(A209,'תקציב מפורט 2025'!A:O,2,FALSE)</f>
        <v>גנים ט.חובה-משכורת</v>
      </c>
      <c r="C209" s="42">
        <v>40466393</v>
      </c>
      <c r="D209" s="42" t="s">
        <v>434</v>
      </c>
      <c r="E209" s="42" t="s">
        <v>544</v>
      </c>
      <c r="F209" s="42">
        <v>812312</v>
      </c>
      <c r="G209" s="48">
        <v>0</v>
      </c>
      <c r="H209" s="45">
        <v>9502.83</v>
      </c>
      <c r="I209" s="45">
        <f>SUMIFS('שכר 11.2024'!N:N,'שכר 11.2024'!C:C,C:C,'שכר 11.2024'!F:F,F:F)</f>
        <v>1300.99</v>
      </c>
      <c r="J209" s="45">
        <f t="shared" si="8"/>
        <v>10803.82</v>
      </c>
      <c r="K209" s="61">
        <f t="shared" si="9"/>
        <v>1.0349999999999999</v>
      </c>
      <c r="L209" s="45">
        <f t="shared" si="10"/>
        <v>11181.953699999998</v>
      </c>
      <c r="M209" s="45">
        <f t="shared" si="11"/>
        <v>0</v>
      </c>
    </row>
    <row r="210" spans="1:13" outlineLevel="2" x14ac:dyDescent="0.35">
      <c r="A210" s="42">
        <v>1812300110</v>
      </c>
      <c r="B210" s="42" t="str">
        <f>VLOOKUP(A210,'תקציב מפורט 2025'!A:O,2,FALSE)</f>
        <v>גנים ט.חובה-משכורת</v>
      </c>
      <c r="C210" s="42">
        <v>40810657</v>
      </c>
      <c r="D210" s="42" t="s">
        <v>837</v>
      </c>
      <c r="E210" s="42" t="s">
        <v>838</v>
      </c>
      <c r="F210" s="42">
        <v>812312</v>
      </c>
      <c r="G210" s="48">
        <v>0</v>
      </c>
      <c r="H210" s="45">
        <v>9705.99</v>
      </c>
      <c r="I210" s="45">
        <f>SUMIFS('שכר 11.2024'!N:N,'שכר 11.2024'!C:C,C:C,'שכר 11.2024'!F:F,F:F)</f>
        <v>1601.97</v>
      </c>
      <c r="J210" s="45">
        <f t="shared" si="8"/>
        <v>11307.96</v>
      </c>
      <c r="K210" s="61">
        <f t="shared" si="9"/>
        <v>1.0349999999999999</v>
      </c>
      <c r="L210" s="45">
        <f t="shared" si="10"/>
        <v>11703.738599999999</v>
      </c>
      <c r="M210" s="45">
        <f t="shared" si="11"/>
        <v>0</v>
      </c>
    </row>
    <row r="211" spans="1:13" outlineLevel="2" x14ac:dyDescent="0.35">
      <c r="A211" s="42">
        <v>1812300110</v>
      </c>
      <c r="B211" s="42" t="str">
        <f>VLOOKUP(A211,'תקציב מפורט 2025'!A:O,2,FALSE)</f>
        <v>גנים ט.חובה-משכורת</v>
      </c>
      <c r="C211" s="42">
        <v>43469964</v>
      </c>
      <c r="D211" s="42" t="s">
        <v>448</v>
      </c>
      <c r="E211" s="42" t="s">
        <v>483</v>
      </c>
      <c r="F211" s="42">
        <v>812312</v>
      </c>
      <c r="G211" s="48">
        <v>0</v>
      </c>
      <c r="H211" s="45">
        <v>7486</v>
      </c>
      <c r="I211" s="45">
        <f>SUMIFS('שכר 11.2024'!N:N,'שכר 11.2024'!C:C,C:C,'שכר 11.2024'!F:F,F:F)</f>
        <v>1200.92</v>
      </c>
      <c r="J211" s="45">
        <f t="shared" si="8"/>
        <v>8686.92</v>
      </c>
      <c r="K211" s="61">
        <f t="shared" si="9"/>
        <v>1.0349999999999999</v>
      </c>
      <c r="L211" s="45">
        <f t="shared" si="10"/>
        <v>8990.9621999999999</v>
      </c>
      <c r="M211" s="45">
        <f t="shared" si="11"/>
        <v>0</v>
      </c>
    </row>
    <row r="212" spans="1:13" outlineLevel="2" x14ac:dyDescent="0.35">
      <c r="A212" s="42">
        <v>1812300110</v>
      </c>
      <c r="B212" s="42" t="str">
        <f>VLOOKUP(A212,'תקציב מפורט 2025'!A:O,2,FALSE)</f>
        <v>גנים ט.חובה-משכורת</v>
      </c>
      <c r="C212" s="42">
        <v>43492578</v>
      </c>
      <c r="D212" s="42" t="s">
        <v>585</v>
      </c>
      <c r="E212" s="42" t="s">
        <v>449</v>
      </c>
      <c r="F212" s="42">
        <v>812312</v>
      </c>
      <c r="G212" s="48">
        <v>0</v>
      </c>
      <c r="H212" s="45">
        <v>12906.46</v>
      </c>
      <c r="I212" s="45">
        <f>SUMIFS('שכר 11.2024'!N:N,'שכר 11.2024'!C:C,C:C,'שכר 11.2024'!F:F,F:F)</f>
        <v>0</v>
      </c>
      <c r="J212" s="45">
        <f t="shared" si="8"/>
        <v>12906.46</v>
      </c>
      <c r="K212" s="61">
        <f t="shared" si="9"/>
        <v>1.0349999999999999</v>
      </c>
      <c r="L212" s="45">
        <f t="shared" si="10"/>
        <v>13358.186099999997</v>
      </c>
      <c r="M212" s="45">
        <f t="shared" si="11"/>
        <v>0</v>
      </c>
    </row>
    <row r="213" spans="1:13" outlineLevel="2" x14ac:dyDescent="0.35">
      <c r="A213" s="42">
        <v>1812300110</v>
      </c>
      <c r="B213" s="42" t="str">
        <f>VLOOKUP(A213,'תקציב מפורט 2025'!A:O,2,FALSE)</f>
        <v>גנים ט.חובה-משכורת</v>
      </c>
      <c r="C213" s="42">
        <v>49827686</v>
      </c>
      <c r="D213" s="42" t="s">
        <v>448</v>
      </c>
      <c r="E213" s="42" t="s">
        <v>594</v>
      </c>
      <c r="F213" s="42">
        <v>812312</v>
      </c>
      <c r="G213" s="48">
        <v>0</v>
      </c>
      <c r="H213" s="45">
        <v>400.29</v>
      </c>
      <c r="I213" s="45">
        <f>SUMIFS('שכר 11.2024'!N:N,'שכר 11.2024'!C:C,C:C,'שכר 11.2024'!F:F,F:F)</f>
        <v>0</v>
      </c>
      <c r="J213" s="45">
        <f t="shared" si="8"/>
        <v>400.29</v>
      </c>
      <c r="K213" s="61">
        <f t="shared" si="9"/>
        <v>1.0349999999999999</v>
      </c>
      <c r="L213" s="45">
        <f t="shared" si="10"/>
        <v>414.30014999999997</v>
      </c>
      <c r="M213" s="45">
        <f t="shared" si="11"/>
        <v>0</v>
      </c>
    </row>
    <row r="214" spans="1:13" outlineLevel="2" x14ac:dyDescent="0.35">
      <c r="A214" s="42">
        <v>1812300110</v>
      </c>
      <c r="B214" s="42" t="str">
        <f>VLOOKUP(A214,'תקציב מפורט 2025'!A:O,2,FALSE)</f>
        <v>גנים ט.חובה-משכורת</v>
      </c>
      <c r="C214" s="42">
        <v>61267373</v>
      </c>
      <c r="D214" s="42" t="s">
        <v>545</v>
      </c>
      <c r="E214" s="42" t="s">
        <v>824</v>
      </c>
      <c r="F214" s="42">
        <v>812312</v>
      </c>
      <c r="G214" s="48">
        <v>0</v>
      </c>
      <c r="H214" s="45">
        <v>11511.97</v>
      </c>
      <c r="I214" s="45">
        <f>SUMIFS('שכר 11.2024'!N:N,'שכר 11.2024'!C:C,C:C,'שכר 11.2024'!F:F,F:F)</f>
        <v>1450.38</v>
      </c>
      <c r="J214" s="45">
        <f t="shared" si="8"/>
        <v>12962.349999999999</v>
      </c>
      <c r="K214" s="61">
        <f t="shared" si="9"/>
        <v>1.0349999999999999</v>
      </c>
      <c r="L214" s="45">
        <f t="shared" si="10"/>
        <v>13416.032249999997</v>
      </c>
      <c r="M214" s="45">
        <f t="shared" si="11"/>
        <v>0</v>
      </c>
    </row>
    <row r="215" spans="1:13" outlineLevel="2" x14ac:dyDescent="0.35">
      <c r="A215" s="42">
        <v>1812300110</v>
      </c>
      <c r="B215" s="42" t="str">
        <f>VLOOKUP(A215,'תקציב מפורט 2025'!A:O,2,FALSE)</f>
        <v>גנים ט.חובה-משכורת</v>
      </c>
      <c r="C215" s="42">
        <v>61297214</v>
      </c>
      <c r="D215" s="42" t="s">
        <v>464</v>
      </c>
      <c r="E215" s="42" t="s">
        <v>1705</v>
      </c>
      <c r="F215" s="42">
        <v>812312</v>
      </c>
      <c r="G215" s="48">
        <v>0</v>
      </c>
      <c r="H215" s="45">
        <v>9365.9500000000007</v>
      </c>
      <c r="I215" s="45">
        <f>SUMIFS('שכר 11.2024'!N:N,'שכר 11.2024'!C:C,C:C,'שכר 11.2024'!F:F,F:F)</f>
        <v>1147.6300000000001</v>
      </c>
      <c r="J215" s="45">
        <f t="shared" si="8"/>
        <v>10513.580000000002</v>
      </c>
      <c r="K215" s="61">
        <f t="shared" si="9"/>
        <v>1.0349999999999999</v>
      </c>
      <c r="L215" s="45">
        <f t="shared" si="10"/>
        <v>10881.555300000002</v>
      </c>
      <c r="M215" s="45">
        <f t="shared" si="11"/>
        <v>0</v>
      </c>
    </row>
    <row r="216" spans="1:13" outlineLevel="2" x14ac:dyDescent="0.35">
      <c r="A216" s="42">
        <v>1812300110</v>
      </c>
      <c r="B216" s="42" t="str">
        <f>VLOOKUP(A216,'תקציב מפורט 2025'!A:O,2,FALSE)</f>
        <v>גנים ט.חובה-משכורת</v>
      </c>
      <c r="C216" s="42">
        <v>200895852</v>
      </c>
      <c r="D216" s="42" t="s">
        <v>495</v>
      </c>
      <c r="E216" s="42" t="s">
        <v>1739</v>
      </c>
      <c r="F216" s="42">
        <v>812312</v>
      </c>
      <c r="G216" s="48">
        <v>0</v>
      </c>
      <c r="H216" s="45">
        <v>9502.17</v>
      </c>
      <c r="I216" s="45">
        <f>SUMIFS('שכר 11.2024'!N:N,'שכר 11.2024'!C:C,C:C,'שכר 11.2024'!F:F,F:F)</f>
        <v>0</v>
      </c>
      <c r="J216" s="45">
        <f t="shared" si="8"/>
        <v>9502.17</v>
      </c>
      <c r="K216" s="61">
        <f t="shared" si="9"/>
        <v>1.0349999999999999</v>
      </c>
      <c r="L216" s="45">
        <f t="shared" si="10"/>
        <v>9834.7459499999986</v>
      </c>
      <c r="M216" s="45">
        <f t="shared" si="11"/>
        <v>0</v>
      </c>
    </row>
    <row r="217" spans="1:13" outlineLevel="2" x14ac:dyDescent="0.35">
      <c r="A217" s="42">
        <v>1812300110</v>
      </c>
      <c r="B217" s="42" t="str">
        <f>VLOOKUP(A217,'תקציב מפורט 2025'!A:O,2,FALSE)</f>
        <v>גנים ט.חובה-משכורת</v>
      </c>
      <c r="C217" s="42">
        <v>200926632</v>
      </c>
      <c r="D217" s="42" t="s">
        <v>446</v>
      </c>
      <c r="E217" s="42" t="s">
        <v>1791</v>
      </c>
      <c r="F217" s="42">
        <v>812312</v>
      </c>
      <c r="G217" s="48">
        <v>0</v>
      </c>
      <c r="H217" s="45">
        <v>21734.28</v>
      </c>
      <c r="I217" s="45">
        <f>SUMIFS('שכר 11.2024'!N:N,'שכר 11.2024'!C:C,C:C,'שכר 11.2024'!F:F,F:F)</f>
        <v>940.88</v>
      </c>
      <c r="J217" s="45">
        <f t="shared" ref="J217:J280" si="12">H217+I217</f>
        <v>22675.16</v>
      </c>
      <c r="K217" s="61">
        <f t="shared" ref="K217:K280" si="13">3.5/100+1</f>
        <v>1.0349999999999999</v>
      </c>
      <c r="L217" s="45">
        <f t="shared" ref="L217:L280" si="14">J217*K217</f>
        <v>23468.790599999997</v>
      </c>
      <c r="M217" s="45">
        <f t="shared" ref="M217:M280" si="15">G217/1100</f>
        <v>0</v>
      </c>
    </row>
    <row r="218" spans="1:13" outlineLevel="2" x14ac:dyDescent="0.35">
      <c r="A218" s="42">
        <v>1812300110</v>
      </c>
      <c r="B218" s="42" t="str">
        <f>VLOOKUP(A218,'תקציב מפורט 2025'!A:O,2,FALSE)</f>
        <v>גנים ט.חובה-משכורת</v>
      </c>
      <c r="C218" s="42">
        <v>201060852</v>
      </c>
      <c r="D218" s="42" t="s">
        <v>495</v>
      </c>
      <c r="E218" s="42" t="s">
        <v>494</v>
      </c>
      <c r="F218" s="42">
        <v>812312</v>
      </c>
      <c r="G218" s="48">
        <v>0</v>
      </c>
      <c r="H218" s="45">
        <v>12655.31</v>
      </c>
      <c r="I218" s="45">
        <f>SUMIFS('שכר 11.2024'!N:N,'שכר 11.2024'!C:C,C:C,'שכר 11.2024'!F:F,F:F)</f>
        <v>0</v>
      </c>
      <c r="J218" s="45">
        <f t="shared" si="12"/>
        <v>12655.31</v>
      </c>
      <c r="K218" s="61">
        <f t="shared" si="13"/>
        <v>1.0349999999999999</v>
      </c>
      <c r="L218" s="45">
        <f t="shared" si="14"/>
        <v>13098.245849999999</v>
      </c>
      <c r="M218" s="45">
        <f t="shared" si="15"/>
        <v>0</v>
      </c>
    </row>
    <row r="219" spans="1:13" outlineLevel="2" x14ac:dyDescent="0.35">
      <c r="A219" s="42">
        <v>1812300110</v>
      </c>
      <c r="B219" s="42" t="str">
        <f>VLOOKUP(A219,'תקציב מפורט 2025'!A:O,2,FALSE)</f>
        <v>גנים ט.חובה-משכורת</v>
      </c>
      <c r="C219" s="42">
        <v>201077799</v>
      </c>
      <c r="D219" s="42" t="s">
        <v>434</v>
      </c>
      <c r="E219" s="42" t="s">
        <v>909</v>
      </c>
      <c r="F219" s="42">
        <v>812312</v>
      </c>
      <c r="G219" s="48">
        <v>41.5</v>
      </c>
      <c r="H219" s="45">
        <v>4930.62</v>
      </c>
      <c r="I219" s="45">
        <f>SUMIFS('שכר 11.2024'!N:N,'שכר 11.2024'!C:C,C:C,'שכר 11.2024'!F:F,F:F)</f>
        <v>0</v>
      </c>
      <c r="J219" s="45">
        <f t="shared" si="12"/>
        <v>4930.62</v>
      </c>
      <c r="K219" s="61">
        <f t="shared" si="13"/>
        <v>1.0349999999999999</v>
      </c>
      <c r="L219" s="45">
        <f t="shared" si="14"/>
        <v>5103.1916999999994</v>
      </c>
      <c r="M219" s="45">
        <f t="shared" si="15"/>
        <v>3.7727272727272727E-2</v>
      </c>
    </row>
    <row r="220" spans="1:13" outlineLevel="2" x14ac:dyDescent="0.35">
      <c r="A220" s="42">
        <v>1812300110</v>
      </c>
      <c r="B220" s="42" t="str">
        <f>VLOOKUP(A220,'תקציב מפורט 2025'!A:O,2,FALSE)</f>
        <v>גנים ט.חובה-משכורת</v>
      </c>
      <c r="C220" s="42">
        <v>203914221</v>
      </c>
      <c r="D220" s="42" t="s">
        <v>506</v>
      </c>
      <c r="E220" s="42" t="s">
        <v>910</v>
      </c>
      <c r="F220" s="42">
        <v>812312</v>
      </c>
      <c r="G220" s="48">
        <v>0</v>
      </c>
      <c r="H220" s="45">
        <v>18955.849999999999</v>
      </c>
      <c r="I220" s="45">
        <f>SUMIFS('שכר 11.2024'!N:N,'שכר 11.2024'!C:C,C:C,'שכר 11.2024'!F:F,F:F)</f>
        <v>1522.57</v>
      </c>
      <c r="J220" s="45">
        <f t="shared" si="12"/>
        <v>20478.419999999998</v>
      </c>
      <c r="K220" s="61">
        <f t="shared" si="13"/>
        <v>1.0349999999999999</v>
      </c>
      <c r="L220" s="45">
        <f t="shared" si="14"/>
        <v>21195.164699999998</v>
      </c>
      <c r="M220" s="45">
        <f t="shared" si="15"/>
        <v>0</v>
      </c>
    </row>
    <row r="221" spans="1:13" outlineLevel="2" x14ac:dyDescent="0.35">
      <c r="A221" s="42">
        <v>1812300110</v>
      </c>
      <c r="B221" s="42" t="str">
        <f>VLOOKUP(A221,'תקציב מפורט 2025'!A:O,2,FALSE)</f>
        <v>גנים ט.חובה-משכורת</v>
      </c>
      <c r="C221" s="42">
        <v>204112544</v>
      </c>
      <c r="D221" s="42" t="s">
        <v>448</v>
      </c>
      <c r="E221" s="42" t="s">
        <v>449</v>
      </c>
      <c r="F221" s="42">
        <v>812312</v>
      </c>
      <c r="G221" s="48">
        <v>0</v>
      </c>
      <c r="H221" s="45">
        <v>752.47</v>
      </c>
      <c r="I221" s="45">
        <f>SUMIFS('שכר 11.2024'!N:N,'שכר 11.2024'!C:C,C:C,'שכר 11.2024'!F:F,F:F)</f>
        <v>0</v>
      </c>
      <c r="J221" s="45">
        <f t="shared" si="12"/>
        <v>752.47</v>
      </c>
      <c r="K221" s="61">
        <f t="shared" si="13"/>
        <v>1.0349999999999999</v>
      </c>
      <c r="L221" s="45">
        <f t="shared" si="14"/>
        <v>778.80644999999993</v>
      </c>
      <c r="M221" s="45">
        <f t="shared" si="15"/>
        <v>0</v>
      </c>
    </row>
    <row r="222" spans="1:13" outlineLevel="2" x14ac:dyDescent="0.35">
      <c r="A222" s="42">
        <v>1812300110</v>
      </c>
      <c r="B222" s="42" t="str">
        <f>VLOOKUP(A222,'תקציב מפורט 2025'!A:O,2,FALSE)</f>
        <v>גנים ט.חובה-משכורת</v>
      </c>
      <c r="C222" s="42">
        <v>204137772</v>
      </c>
      <c r="D222" s="42" t="s">
        <v>448</v>
      </c>
      <c r="E222" s="42" t="s">
        <v>822</v>
      </c>
      <c r="F222" s="42">
        <v>812312</v>
      </c>
      <c r="G222" s="48">
        <v>0</v>
      </c>
      <c r="H222" s="45">
        <v>14458.16</v>
      </c>
      <c r="I222" s="45">
        <f>SUMIFS('שכר 11.2024'!N:N,'שכר 11.2024'!C:C,C:C,'שכר 11.2024'!F:F,F:F)</f>
        <v>2159</v>
      </c>
      <c r="J222" s="45">
        <f t="shared" si="12"/>
        <v>16617.16</v>
      </c>
      <c r="K222" s="61">
        <f t="shared" si="13"/>
        <v>1.0349999999999999</v>
      </c>
      <c r="L222" s="45">
        <f t="shared" si="14"/>
        <v>17198.760599999998</v>
      </c>
      <c r="M222" s="45">
        <f t="shared" si="15"/>
        <v>0</v>
      </c>
    </row>
    <row r="223" spans="1:13" outlineLevel="2" x14ac:dyDescent="0.35">
      <c r="A223" s="42">
        <v>1812300110</v>
      </c>
      <c r="B223" s="42" t="str">
        <f>VLOOKUP(A223,'תקציב מפורט 2025'!A:O,2,FALSE)</f>
        <v>גנים ט.חובה-משכורת</v>
      </c>
      <c r="C223" s="42">
        <v>204297253</v>
      </c>
      <c r="D223" s="42" t="s">
        <v>434</v>
      </c>
      <c r="E223" s="42" t="s">
        <v>825</v>
      </c>
      <c r="F223" s="42">
        <v>812312</v>
      </c>
      <c r="G223" s="48">
        <v>0</v>
      </c>
      <c r="H223" s="45">
        <v>10259.799999999999</v>
      </c>
      <c r="I223" s="45">
        <f>SUMIFS('שכר 11.2024'!N:N,'שכר 11.2024'!C:C,C:C,'שכר 11.2024'!F:F,F:F)</f>
        <v>1149.7</v>
      </c>
      <c r="J223" s="45">
        <f t="shared" si="12"/>
        <v>11409.5</v>
      </c>
      <c r="K223" s="61">
        <f t="shared" si="13"/>
        <v>1.0349999999999999</v>
      </c>
      <c r="L223" s="45">
        <f t="shared" si="14"/>
        <v>11808.832499999999</v>
      </c>
      <c r="M223" s="45">
        <f t="shared" si="15"/>
        <v>0</v>
      </c>
    </row>
    <row r="224" spans="1:13" outlineLevel="2" x14ac:dyDescent="0.35">
      <c r="A224" s="42">
        <v>1812300110</v>
      </c>
      <c r="B224" s="42" t="str">
        <f>VLOOKUP(A224,'תקציב מפורט 2025'!A:O,2,FALSE)</f>
        <v>גנים ט.חובה-משכורת</v>
      </c>
      <c r="C224" s="42">
        <v>205678154</v>
      </c>
      <c r="D224" s="42" t="s">
        <v>434</v>
      </c>
      <c r="E224" s="42" t="s">
        <v>1706</v>
      </c>
      <c r="F224" s="42">
        <v>812312</v>
      </c>
      <c r="G224" s="48">
        <v>0</v>
      </c>
      <c r="H224" s="45">
        <v>5470.8</v>
      </c>
      <c r="I224" s="45">
        <f>SUMIFS('שכר 11.2024'!N:N,'שכר 11.2024'!C:C,C:C,'שכר 11.2024'!F:F,F:F)</f>
        <v>750.16</v>
      </c>
      <c r="J224" s="45">
        <f t="shared" si="12"/>
        <v>6220.96</v>
      </c>
      <c r="K224" s="61">
        <f t="shared" si="13"/>
        <v>1.0349999999999999</v>
      </c>
      <c r="L224" s="45">
        <f t="shared" si="14"/>
        <v>6438.6935999999996</v>
      </c>
      <c r="M224" s="45">
        <f t="shared" si="15"/>
        <v>0</v>
      </c>
    </row>
    <row r="225" spans="1:13" outlineLevel="2" x14ac:dyDescent="0.35">
      <c r="A225" s="42">
        <v>1812300110</v>
      </c>
      <c r="B225" s="42" t="str">
        <f>VLOOKUP(A225,'תקציב מפורט 2025'!A:O,2,FALSE)</f>
        <v>גנים ט.חובה-משכורת</v>
      </c>
      <c r="C225" s="42">
        <v>205678626</v>
      </c>
      <c r="D225" s="42" t="s">
        <v>911</v>
      </c>
      <c r="E225" s="42" t="s">
        <v>591</v>
      </c>
      <c r="F225" s="42">
        <v>812312</v>
      </c>
      <c r="G225" s="48">
        <v>115.3</v>
      </c>
      <c r="H225" s="45">
        <v>9038.09</v>
      </c>
      <c r="I225" s="45">
        <f>SUMIFS('שכר 11.2024'!N:N,'שכר 11.2024'!C:C,C:C,'שכר 11.2024'!F:F,F:F)</f>
        <v>0</v>
      </c>
      <c r="J225" s="45">
        <f t="shared" si="12"/>
        <v>9038.09</v>
      </c>
      <c r="K225" s="61">
        <f t="shared" si="13"/>
        <v>1.0349999999999999</v>
      </c>
      <c r="L225" s="45">
        <f t="shared" si="14"/>
        <v>9354.4231499999987</v>
      </c>
      <c r="M225" s="45">
        <f t="shared" si="15"/>
        <v>0.10481818181818181</v>
      </c>
    </row>
    <row r="226" spans="1:13" outlineLevel="2" x14ac:dyDescent="0.35">
      <c r="A226" s="42">
        <v>1812300110</v>
      </c>
      <c r="B226" s="42" t="str">
        <f>VLOOKUP(A226,'תקציב מפורט 2025'!A:O,2,FALSE)</f>
        <v>גנים ט.חובה-משכורת</v>
      </c>
      <c r="C226" s="42">
        <v>205760101</v>
      </c>
      <c r="D226" s="42" t="s">
        <v>434</v>
      </c>
      <c r="E226" s="42" t="s">
        <v>479</v>
      </c>
      <c r="F226" s="42">
        <v>812312</v>
      </c>
      <c r="G226" s="48">
        <v>0</v>
      </c>
      <c r="H226" s="45">
        <v>8186.76</v>
      </c>
      <c r="I226" s="45">
        <f>SUMIFS('שכר 11.2024'!N:N,'שכר 11.2024'!C:C,C:C,'שכר 11.2024'!F:F,F:F)</f>
        <v>1049.75</v>
      </c>
      <c r="J226" s="45">
        <f t="shared" si="12"/>
        <v>9236.51</v>
      </c>
      <c r="K226" s="61">
        <f t="shared" si="13"/>
        <v>1.0349999999999999</v>
      </c>
      <c r="L226" s="45">
        <f t="shared" si="14"/>
        <v>9559.7878499999988</v>
      </c>
      <c r="M226" s="45">
        <f t="shared" si="15"/>
        <v>0</v>
      </c>
    </row>
    <row r="227" spans="1:13" outlineLevel="2" x14ac:dyDescent="0.35">
      <c r="A227" s="42">
        <v>1812300110</v>
      </c>
      <c r="B227" s="42" t="str">
        <f>VLOOKUP(A227,'תקציב מפורט 2025'!A:O,2,FALSE)</f>
        <v>גנים ט.חובה-משכורת</v>
      </c>
      <c r="C227" s="42">
        <v>205764020</v>
      </c>
      <c r="D227" s="42" t="s">
        <v>439</v>
      </c>
      <c r="E227" s="42" t="s">
        <v>584</v>
      </c>
      <c r="F227" s="42">
        <v>812312</v>
      </c>
      <c r="G227" s="48">
        <v>0</v>
      </c>
      <c r="H227" s="45">
        <v>10153.82</v>
      </c>
      <c r="I227" s="45">
        <f>SUMIFS('שכר 11.2024'!N:N,'שכר 11.2024'!C:C,C:C,'שכר 11.2024'!F:F,F:F)</f>
        <v>1454.06</v>
      </c>
      <c r="J227" s="45">
        <f t="shared" si="12"/>
        <v>11607.88</v>
      </c>
      <c r="K227" s="61">
        <f t="shared" si="13"/>
        <v>1.0349999999999999</v>
      </c>
      <c r="L227" s="45">
        <f t="shared" si="14"/>
        <v>12014.155799999999</v>
      </c>
      <c r="M227" s="45">
        <f t="shared" si="15"/>
        <v>0</v>
      </c>
    </row>
    <row r="228" spans="1:13" outlineLevel="2" x14ac:dyDescent="0.35">
      <c r="A228" s="42">
        <v>1812300110</v>
      </c>
      <c r="B228" s="42" t="str">
        <f>VLOOKUP(A228,'תקציב מפורט 2025'!A:O,2,FALSE)</f>
        <v>גנים ט.חובה-משכורת</v>
      </c>
      <c r="C228" s="42">
        <v>205766645</v>
      </c>
      <c r="D228" s="42" t="s">
        <v>442</v>
      </c>
      <c r="E228" s="42" t="s">
        <v>470</v>
      </c>
      <c r="F228" s="42">
        <v>812312</v>
      </c>
      <c r="G228" s="48">
        <v>0</v>
      </c>
      <c r="H228" s="45">
        <v>1690.06</v>
      </c>
      <c r="I228" s="45">
        <f>SUMIFS('שכר 11.2024'!N:N,'שכר 11.2024'!C:C,C:C,'שכר 11.2024'!F:F,F:F)</f>
        <v>1314.48</v>
      </c>
      <c r="J228" s="45">
        <f t="shared" si="12"/>
        <v>3004.54</v>
      </c>
      <c r="K228" s="61">
        <f t="shared" si="13"/>
        <v>1.0349999999999999</v>
      </c>
      <c r="L228" s="45">
        <f t="shared" si="14"/>
        <v>3109.6988999999999</v>
      </c>
      <c r="M228" s="45">
        <f t="shared" si="15"/>
        <v>0</v>
      </c>
    </row>
    <row r="229" spans="1:13" outlineLevel="2" x14ac:dyDescent="0.35">
      <c r="A229" s="42">
        <v>1812300110</v>
      </c>
      <c r="B229" s="42" t="str">
        <f>VLOOKUP(A229,'תקציב מפורט 2025'!A:O,2,FALSE)</f>
        <v>גנים ט.חובה-משכורת</v>
      </c>
      <c r="C229" s="42">
        <v>205766751</v>
      </c>
      <c r="D229" s="42" t="s">
        <v>442</v>
      </c>
      <c r="E229" s="42" t="s">
        <v>1698</v>
      </c>
      <c r="F229" s="42">
        <v>812312</v>
      </c>
      <c r="G229" s="48">
        <v>0</v>
      </c>
      <c r="H229" s="45">
        <v>11274.58</v>
      </c>
      <c r="I229" s="45">
        <f>SUMIFS('שכר 11.2024'!N:N,'שכר 11.2024'!C:C,C:C,'שכר 11.2024'!F:F,F:F)</f>
        <v>1561.36</v>
      </c>
      <c r="J229" s="45">
        <f t="shared" si="12"/>
        <v>12835.94</v>
      </c>
      <c r="K229" s="61">
        <f t="shared" si="13"/>
        <v>1.0349999999999999</v>
      </c>
      <c r="L229" s="45">
        <f t="shared" si="14"/>
        <v>13285.197899999999</v>
      </c>
      <c r="M229" s="45">
        <f t="shared" si="15"/>
        <v>0</v>
      </c>
    </row>
    <row r="230" spans="1:13" outlineLevel="2" x14ac:dyDescent="0.35">
      <c r="A230" s="42">
        <v>1812300110</v>
      </c>
      <c r="B230" s="42" t="str">
        <f>VLOOKUP(A230,'תקציב מפורט 2025'!A:O,2,FALSE)</f>
        <v>גנים ט.חובה-משכורת</v>
      </c>
      <c r="C230" s="42">
        <v>205768278</v>
      </c>
      <c r="D230" s="42" t="s">
        <v>434</v>
      </c>
      <c r="E230" s="42" t="s">
        <v>1708</v>
      </c>
      <c r="F230" s="42">
        <v>812312</v>
      </c>
      <c r="G230" s="48">
        <v>382.7</v>
      </c>
      <c r="H230" s="45">
        <v>23989.26</v>
      </c>
      <c r="I230" s="45">
        <f>SUMIFS('שכר 11.2024'!N:N,'שכר 11.2024'!C:C,C:C,'שכר 11.2024'!F:F,F:F)</f>
        <v>6685.21</v>
      </c>
      <c r="J230" s="45">
        <f t="shared" si="12"/>
        <v>30674.469999999998</v>
      </c>
      <c r="K230" s="61">
        <f t="shared" si="13"/>
        <v>1.0349999999999999</v>
      </c>
      <c r="L230" s="45">
        <f t="shared" si="14"/>
        <v>31748.076449999993</v>
      </c>
      <c r="M230" s="45">
        <f t="shared" si="15"/>
        <v>0.34790909090909089</v>
      </c>
    </row>
    <row r="231" spans="1:13" outlineLevel="2" x14ac:dyDescent="0.35">
      <c r="A231" s="42">
        <v>1812300110</v>
      </c>
      <c r="B231" s="42" t="str">
        <f>VLOOKUP(A231,'תקציב מפורט 2025'!A:O,2,FALSE)</f>
        <v>גנים ט.חובה-משכורת</v>
      </c>
      <c r="C231" s="42">
        <v>206043481</v>
      </c>
      <c r="D231" s="42" t="s">
        <v>1709</v>
      </c>
      <c r="E231" s="42" t="s">
        <v>543</v>
      </c>
      <c r="F231" s="42">
        <v>812312</v>
      </c>
      <c r="G231" s="48">
        <v>0</v>
      </c>
      <c r="H231" s="45">
        <v>5063.88</v>
      </c>
      <c r="I231" s="45">
        <f>SUMIFS('שכר 11.2024'!N:N,'שכר 11.2024'!C:C,C:C,'שכר 11.2024'!F:F,F:F)</f>
        <v>2398.6799999999998</v>
      </c>
      <c r="J231" s="45">
        <f t="shared" si="12"/>
        <v>7462.5599999999995</v>
      </c>
      <c r="K231" s="61">
        <f t="shared" si="13"/>
        <v>1.0349999999999999</v>
      </c>
      <c r="L231" s="45">
        <f t="shared" si="14"/>
        <v>7723.7495999999992</v>
      </c>
      <c r="M231" s="45">
        <f t="shared" si="15"/>
        <v>0</v>
      </c>
    </row>
    <row r="232" spans="1:13" outlineLevel="2" x14ac:dyDescent="0.35">
      <c r="A232" s="42">
        <v>1812300110</v>
      </c>
      <c r="B232" s="42" t="str">
        <f>VLOOKUP(A232,'תקציב מפורט 2025'!A:O,2,FALSE)</f>
        <v>גנים ט.חובה-משכורת</v>
      </c>
      <c r="C232" s="42">
        <v>206044851</v>
      </c>
      <c r="D232" s="42" t="s">
        <v>434</v>
      </c>
      <c r="E232" s="42" t="s">
        <v>912</v>
      </c>
      <c r="F232" s="42">
        <v>812312</v>
      </c>
      <c r="G232" s="48">
        <v>34.799999999999997</v>
      </c>
      <c r="H232" s="45">
        <v>4131.0600000000004</v>
      </c>
      <c r="I232" s="45">
        <f>SUMIFS('שכר 11.2024'!N:N,'שכר 11.2024'!C:C,C:C,'שכר 11.2024'!F:F,F:F)</f>
        <v>0</v>
      </c>
      <c r="J232" s="45">
        <f t="shared" si="12"/>
        <v>4131.0600000000004</v>
      </c>
      <c r="K232" s="61">
        <f t="shared" si="13"/>
        <v>1.0349999999999999</v>
      </c>
      <c r="L232" s="45">
        <f t="shared" si="14"/>
        <v>4275.6471000000001</v>
      </c>
      <c r="M232" s="45">
        <f t="shared" si="15"/>
        <v>3.1636363636363636E-2</v>
      </c>
    </row>
    <row r="233" spans="1:13" outlineLevel="2" x14ac:dyDescent="0.35">
      <c r="A233" s="42">
        <v>1812300110</v>
      </c>
      <c r="B233" s="42" t="str">
        <f>VLOOKUP(A233,'תקציב מפורט 2025'!A:O,2,FALSE)</f>
        <v>גנים ט.חובה-משכורת</v>
      </c>
      <c r="C233" s="42">
        <v>206297459</v>
      </c>
      <c r="D233" s="42" t="s">
        <v>434</v>
      </c>
      <c r="E233" s="42" t="s">
        <v>474</v>
      </c>
      <c r="F233" s="42">
        <v>812312</v>
      </c>
      <c r="G233" s="48">
        <v>0</v>
      </c>
      <c r="H233" s="45">
        <v>9405.69</v>
      </c>
      <c r="I233" s="45">
        <f>SUMIFS('שכר 11.2024'!N:N,'שכר 11.2024'!C:C,C:C,'שכר 11.2024'!F:F,F:F)</f>
        <v>0</v>
      </c>
      <c r="J233" s="45">
        <f t="shared" si="12"/>
        <v>9405.69</v>
      </c>
      <c r="K233" s="61">
        <f t="shared" si="13"/>
        <v>1.0349999999999999</v>
      </c>
      <c r="L233" s="45">
        <f t="shared" si="14"/>
        <v>9734.8891499999991</v>
      </c>
      <c r="M233" s="45">
        <f t="shared" si="15"/>
        <v>0</v>
      </c>
    </row>
    <row r="234" spans="1:13" outlineLevel="2" x14ac:dyDescent="0.35">
      <c r="A234" s="42">
        <v>1812300110</v>
      </c>
      <c r="B234" s="42" t="str">
        <f>VLOOKUP(A234,'תקציב מפורט 2025'!A:O,2,FALSE)</f>
        <v>גנים ט.חובה-משכורת</v>
      </c>
      <c r="C234" s="42">
        <v>206356206</v>
      </c>
      <c r="D234" s="42" t="s">
        <v>1709</v>
      </c>
      <c r="E234" s="42" t="s">
        <v>1710</v>
      </c>
      <c r="F234" s="42">
        <v>812312</v>
      </c>
      <c r="G234" s="48">
        <v>0</v>
      </c>
      <c r="H234" s="45">
        <v>410.88</v>
      </c>
      <c r="I234" s="45">
        <f>SUMIFS('שכר 11.2024'!N:N,'שכר 11.2024'!C:C,C:C,'שכר 11.2024'!F:F,F:F)</f>
        <v>410.88</v>
      </c>
      <c r="J234" s="45">
        <f t="shared" si="12"/>
        <v>821.76</v>
      </c>
      <c r="K234" s="61">
        <f t="shared" si="13"/>
        <v>1.0349999999999999</v>
      </c>
      <c r="L234" s="45">
        <f t="shared" si="14"/>
        <v>850.52159999999992</v>
      </c>
      <c r="M234" s="45">
        <f t="shared" si="15"/>
        <v>0</v>
      </c>
    </row>
    <row r="235" spans="1:13" outlineLevel="2" x14ac:dyDescent="0.35">
      <c r="A235" s="42">
        <v>1812300110</v>
      </c>
      <c r="B235" s="42" t="str">
        <f>VLOOKUP(A235,'תקציב מפורט 2025'!A:O,2,FALSE)</f>
        <v>גנים ט.חובה-משכורת</v>
      </c>
      <c r="C235" s="42">
        <v>206601122</v>
      </c>
      <c r="D235" s="42" t="s">
        <v>434</v>
      </c>
      <c r="E235" s="42" t="s">
        <v>1711</v>
      </c>
      <c r="F235" s="42">
        <v>812312</v>
      </c>
      <c r="G235" s="48">
        <v>255.8</v>
      </c>
      <c r="H235" s="45">
        <v>6298.77</v>
      </c>
      <c r="I235" s="45">
        <f>SUMIFS('שכר 11.2024'!N:N,'שכר 11.2024'!C:C,C:C,'שכר 11.2024'!F:F,F:F)</f>
        <v>1203.78</v>
      </c>
      <c r="J235" s="45">
        <f t="shared" si="12"/>
        <v>7502.55</v>
      </c>
      <c r="K235" s="61">
        <f t="shared" si="13"/>
        <v>1.0349999999999999</v>
      </c>
      <c r="L235" s="45">
        <f t="shared" si="14"/>
        <v>7765.1392499999993</v>
      </c>
      <c r="M235" s="45">
        <f t="shared" si="15"/>
        <v>0.23254545454545456</v>
      </c>
    </row>
    <row r="236" spans="1:13" outlineLevel="2" x14ac:dyDescent="0.35">
      <c r="A236" s="42">
        <v>1812300110</v>
      </c>
      <c r="B236" s="42" t="str">
        <f>VLOOKUP(A236,'תקציב מפורט 2025'!A:O,2,FALSE)</f>
        <v>גנים ט.חובה-משכורת</v>
      </c>
      <c r="C236" s="42">
        <v>206623084</v>
      </c>
      <c r="D236" s="42" t="s">
        <v>442</v>
      </c>
      <c r="E236" s="42" t="s">
        <v>1712</v>
      </c>
      <c r="F236" s="42">
        <v>812312</v>
      </c>
      <c r="G236" s="48">
        <v>0</v>
      </c>
      <c r="H236" s="45">
        <v>3969.84</v>
      </c>
      <c r="I236" s="45">
        <f>SUMIFS('שכר 11.2024'!N:N,'שכר 11.2024'!C:C,C:C,'שכר 11.2024'!F:F,F:F)</f>
        <v>0</v>
      </c>
      <c r="J236" s="45">
        <f t="shared" si="12"/>
        <v>3969.84</v>
      </c>
      <c r="K236" s="61">
        <f t="shared" si="13"/>
        <v>1.0349999999999999</v>
      </c>
      <c r="L236" s="45">
        <f t="shared" si="14"/>
        <v>4108.7843999999996</v>
      </c>
      <c r="M236" s="45">
        <f t="shared" si="15"/>
        <v>0</v>
      </c>
    </row>
    <row r="237" spans="1:13" outlineLevel="2" x14ac:dyDescent="0.35">
      <c r="A237" s="42">
        <v>1812300110</v>
      </c>
      <c r="B237" s="42" t="str">
        <f>VLOOKUP(A237,'תקציב מפורט 2025'!A:O,2,FALSE)</f>
        <v>גנים ט.חובה-משכורת</v>
      </c>
      <c r="C237" s="42">
        <v>206716870</v>
      </c>
      <c r="D237" s="42" t="s">
        <v>1709</v>
      </c>
      <c r="E237" s="42" t="s">
        <v>1713</v>
      </c>
      <c r="F237" s="42">
        <v>812312</v>
      </c>
      <c r="G237" s="48">
        <v>0</v>
      </c>
      <c r="H237" s="45">
        <v>20110.88</v>
      </c>
      <c r="I237" s="45">
        <f>SUMIFS('שכר 11.2024'!N:N,'שכר 11.2024'!C:C,C:C,'שכר 11.2024'!F:F,F:F)</f>
        <v>2740.59</v>
      </c>
      <c r="J237" s="45">
        <f t="shared" si="12"/>
        <v>22851.47</v>
      </c>
      <c r="K237" s="61">
        <f t="shared" si="13"/>
        <v>1.0349999999999999</v>
      </c>
      <c r="L237" s="45">
        <f t="shared" si="14"/>
        <v>23651.27145</v>
      </c>
      <c r="M237" s="45">
        <f t="shared" si="15"/>
        <v>0</v>
      </c>
    </row>
    <row r="238" spans="1:13" outlineLevel="2" x14ac:dyDescent="0.35">
      <c r="A238" s="42">
        <v>1812300110</v>
      </c>
      <c r="B238" s="42" t="str">
        <f>VLOOKUP(A238,'תקציב מפורט 2025'!A:O,2,FALSE)</f>
        <v>גנים ט.חובה-משכורת</v>
      </c>
      <c r="C238" s="42">
        <v>206885584</v>
      </c>
      <c r="D238" s="42" t="s">
        <v>434</v>
      </c>
      <c r="E238" s="42" t="s">
        <v>887</v>
      </c>
      <c r="F238" s="42">
        <v>812312</v>
      </c>
      <c r="G238" s="48">
        <v>0</v>
      </c>
      <c r="H238" s="45">
        <v>20800.73</v>
      </c>
      <c r="I238" s="45">
        <f>SUMIFS('שכר 11.2024'!N:N,'שכר 11.2024'!C:C,C:C,'שכר 11.2024'!F:F,F:F)</f>
        <v>2436.1</v>
      </c>
      <c r="J238" s="45">
        <f t="shared" si="12"/>
        <v>23236.829999999998</v>
      </c>
      <c r="K238" s="61">
        <f t="shared" si="13"/>
        <v>1.0349999999999999</v>
      </c>
      <c r="L238" s="45">
        <f t="shared" si="14"/>
        <v>24050.119049999998</v>
      </c>
      <c r="M238" s="45">
        <f t="shared" si="15"/>
        <v>0</v>
      </c>
    </row>
    <row r="239" spans="1:13" outlineLevel="2" x14ac:dyDescent="0.35">
      <c r="A239" s="42">
        <v>1812300110</v>
      </c>
      <c r="B239" s="42" t="str">
        <f>VLOOKUP(A239,'תקציב מפורט 2025'!A:O,2,FALSE)</f>
        <v>גנים ט.חובה-משכורת</v>
      </c>
      <c r="C239" s="42">
        <v>207154774</v>
      </c>
      <c r="D239" s="42" t="s">
        <v>434</v>
      </c>
      <c r="E239" s="42" t="s">
        <v>550</v>
      </c>
      <c r="F239" s="42">
        <v>812312</v>
      </c>
      <c r="G239" s="48">
        <v>0</v>
      </c>
      <c r="H239" s="45">
        <v>10718.74</v>
      </c>
      <c r="I239" s="45">
        <f>SUMIFS('שכר 11.2024'!N:N,'שכר 11.2024'!C:C,C:C,'שכר 11.2024'!F:F,F:F)</f>
        <v>0</v>
      </c>
      <c r="J239" s="45">
        <f t="shared" si="12"/>
        <v>10718.74</v>
      </c>
      <c r="K239" s="61">
        <f t="shared" si="13"/>
        <v>1.0349999999999999</v>
      </c>
      <c r="L239" s="45">
        <f t="shared" si="14"/>
        <v>11093.8959</v>
      </c>
      <c r="M239" s="45">
        <f t="shared" si="15"/>
        <v>0</v>
      </c>
    </row>
    <row r="240" spans="1:13" outlineLevel="2" x14ac:dyDescent="0.35">
      <c r="A240" s="42">
        <v>1812300110</v>
      </c>
      <c r="B240" s="42" t="str">
        <f>VLOOKUP(A240,'תקציב מפורט 2025'!A:O,2,FALSE)</f>
        <v>גנים ט.חובה-משכורת</v>
      </c>
      <c r="C240" s="42">
        <v>207512195</v>
      </c>
      <c r="D240" s="42" t="s">
        <v>442</v>
      </c>
      <c r="E240" s="42" t="s">
        <v>1826</v>
      </c>
      <c r="F240" s="42">
        <v>812312</v>
      </c>
      <c r="G240" s="48">
        <v>15.3</v>
      </c>
      <c r="H240" s="45">
        <v>1314.83</v>
      </c>
      <c r="I240" s="45">
        <f>SUMIFS('שכר 11.2024'!N:N,'שכר 11.2024'!C:C,C:C,'שכר 11.2024'!F:F,F:F)</f>
        <v>1314.83</v>
      </c>
      <c r="J240" s="45">
        <f t="shared" si="12"/>
        <v>2629.66</v>
      </c>
      <c r="K240" s="61">
        <f t="shared" si="13"/>
        <v>1.0349999999999999</v>
      </c>
      <c r="L240" s="45">
        <f t="shared" si="14"/>
        <v>2721.6980999999996</v>
      </c>
      <c r="M240" s="45">
        <f t="shared" si="15"/>
        <v>1.3909090909090909E-2</v>
      </c>
    </row>
    <row r="241" spans="1:13" outlineLevel="2" x14ac:dyDescent="0.35">
      <c r="A241" s="42">
        <v>1812300110</v>
      </c>
      <c r="B241" s="42" t="str">
        <f>VLOOKUP(A241,'תקציב מפורט 2025'!A:O,2,FALSE)</f>
        <v>גנים ט.חובה-משכורת</v>
      </c>
      <c r="C241" s="42">
        <v>207627142</v>
      </c>
      <c r="D241" s="42" t="s">
        <v>434</v>
      </c>
      <c r="E241" s="42" t="s">
        <v>1699</v>
      </c>
      <c r="F241" s="42">
        <v>812312</v>
      </c>
      <c r="G241" s="48">
        <v>0</v>
      </c>
      <c r="H241" s="45">
        <v>2003.73</v>
      </c>
      <c r="I241" s="45">
        <f>SUMIFS('שכר 11.2024'!N:N,'שכר 11.2024'!C:C,C:C,'שכר 11.2024'!F:F,F:F)</f>
        <v>0</v>
      </c>
      <c r="J241" s="45">
        <f t="shared" si="12"/>
        <v>2003.73</v>
      </c>
      <c r="K241" s="61">
        <f t="shared" si="13"/>
        <v>1.0349999999999999</v>
      </c>
      <c r="L241" s="45">
        <f t="shared" si="14"/>
        <v>2073.8605499999999</v>
      </c>
      <c r="M241" s="45">
        <f t="shared" si="15"/>
        <v>0</v>
      </c>
    </row>
    <row r="242" spans="1:13" outlineLevel="2" x14ac:dyDescent="0.35">
      <c r="A242" s="42">
        <v>1812300110</v>
      </c>
      <c r="B242" s="42" t="str">
        <f>VLOOKUP(A242,'תקציב מפורט 2025'!A:O,2,FALSE)</f>
        <v>גנים ט.חובה-משכורת</v>
      </c>
      <c r="C242" s="42">
        <v>207968652</v>
      </c>
      <c r="D242" s="42" t="s">
        <v>442</v>
      </c>
      <c r="E242" s="42" t="s">
        <v>1827</v>
      </c>
      <c r="F242" s="42">
        <v>812312</v>
      </c>
      <c r="G242" s="48">
        <v>66.8</v>
      </c>
      <c r="H242" s="45">
        <v>4889.5600000000004</v>
      </c>
      <c r="I242" s="45">
        <f>SUMIFS('שכר 11.2024'!N:N,'שכר 11.2024'!C:C,C:C,'שכר 11.2024'!F:F,F:F)</f>
        <v>0</v>
      </c>
      <c r="J242" s="45">
        <f t="shared" si="12"/>
        <v>4889.5600000000004</v>
      </c>
      <c r="K242" s="61">
        <f t="shared" si="13"/>
        <v>1.0349999999999999</v>
      </c>
      <c r="L242" s="45">
        <f t="shared" si="14"/>
        <v>5060.6945999999998</v>
      </c>
      <c r="M242" s="45">
        <f t="shared" si="15"/>
        <v>6.0727272727272727E-2</v>
      </c>
    </row>
    <row r="243" spans="1:13" outlineLevel="2" x14ac:dyDescent="0.35">
      <c r="A243" s="42">
        <v>1812300110</v>
      </c>
      <c r="B243" s="42" t="str">
        <f>VLOOKUP(A243,'תקציב מפורט 2025'!A:O,2,FALSE)</f>
        <v>גנים ט.חובה-משכורת</v>
      </c>
      <c r="C243" s="42">
        <v>208076687</v>
      </c>
      <c r="D243" s="42" t="s">
        <v>434</v>
      </c>
      <c r="E243" s="42" t="s">
        <v>872</v>
      </c>
      <c r="F243" s="42">
        <v>812312</v>
      </c>
      <c r="G243" s="48">
        <v>0</v>
      </c>
      <c r="H243" s="45">
        <v>17297.46</v>
      </c>
      <c r="I243" s="45">
        <f>SUMIFS('שכר 11.2024'!N:N,'שכר 11.2024'!C:C,C:C,'שכר 11.2024'!F:F,F:F)</f>
        <v>2892.86</v>
      </c>
      <c r="J243" s="45">
        <f t="shared" si="12"/>
        <v>20190.32</v>
      </c>
      <c r="K243" s="61">
        <f t="shared" si="13"/>
        <v>1.0349999999999999</v>
      </c>
      <c r="L243" s="45">
        <f t="shared" si="14"/>
        <v>20896.981199999998</v>
      </c>
      <c r="M243" s="45">
        <f t="shared" si="15"/>
        <v>0</v>
      </c>
    </row>
    <row r="244" spans="1:13" outlineLevel="2" x14ac:dyDescent="0.35">
      <c r="A244" s="42">
        <v>1812300110</v>
      </c>
      <c r="B244" s="42" t="str">
        <f>VLOOKUP(A244,'תקציב מפורט 2025'!A:O,2,FALSE)</f>
        <v>גנים ט.חובה-משכורת</v>
      </c>
      <c r="C244" s="42">
        <v>208716647</v>
      </c>
      <c r="D244" s="42" t="s">
        <v>442</v>
      </c>
      <c r="E244" s="42" t="s">
        <v>897</v>
      </c>
      <c r="F244" s="42">
        <v>812312</v>
      </c>
      <c r="G244" s="48">
        <v>103.8</v>
      </c>
      <c r="H244" s="45">
        <v>12326.55</v>
      </c>
      <c r="I244" s="45">
        <f>SUMIFS('שכר 11.2024'!N:N,'שכר 11.2024'!C:C,C:C,'שכר 11.2024'!F:F,F:F)</f>
        <v>0</v>
      </c>
      <c r="J244" s="45">
        <f t="shared" si="12"/>
        <v>12326.55</v>
      </c>
      <c r="K244" s="61">
        <f t="shared" si="13"/>
        <v>1.0349999999999999</v>
      </c>
      <c r="L244" s="45">
        <f t="shared" si="14"/>
        <v>12757.979249999999</v>
      </c>
      <c r="M244" s="45">
        <f t="shared" si="15"/>
        <v>9.4363636363636358E-2</v>
      </c>
    </row>
    <row r="245" spans="1:13" outlineLevel="2" x14ac:dyDescent="0.35">
      <c r="A245" s="42">
        <v>1812300110</v>
      </c>
      <c r="B245" s="42" t="str">
        <f>VLOOKUP(A245,'תקציב מפורט 2025'!A:O,2,FALSE)</f>
        <v>גנים ט.חובה-משכורת</v>
      </c>
      <c r="C245" s="42">
        <v>209546902</v>
      </c>
      <c r="D245" s="42" t="s">
        <v>434</v>
      </c>
      <c r="E245" s="42" t="s">
        <v>542</v>
      </c>
      <c r="F245" s="42">
        <v>812312</v>
      </c>
      <c r="G245" s="48">
        <v>0</v>
      </c>
      <c r="H245" s="45">
        <v>7941.95</v>
      </c>
      <c r="I245" s="45">
        <f>SUMIFS('שכר 11.2024'!N:N,'שכר 11.2024'!C:C,C:C,'שכר 11.2024'!F:F,F:F)</f>
        <v>897.59</v>
      </c>
      <c r="J245" s="45">
        <f t="shared" si="12"/>
        <v>8839.5399999999991</v>
      </c>
      <c r="K245" s="61">
        <f t="shared" si="13"/>
        <v>1.0349999999999999</v>
      </c>
      <c r="L245" s="45">
        <f t="shared" si="14"/>
        <v>9148.923899999998</v>
      </c>
      <c r="M245" s="45">
        <f t="shared" si="15"/>
        <v>0</v>
      </c>
    </row>
    <row r="246" spans="1:13" outlineLevel="2" x14ac:dyDescent="0.35">
      <c r="A246" s="42">
        <v>1812300110</v>
      </c>
      <c r="B246" s="42" t="str">
        <f>VLOOKUP(A246,'תקציב מפורט 2025'!A:O,2,FALSE)</f>
        <v>גנים ט.חובה-משכורת</v>
      </c>
      <c r="C246" s="42">
        <v>211320296</v>
      </c>
      <c r="D246" s="42" t="s">
        <v>515</v>
      </c>
      <c r="E246" s="42" t="s">
        <v>449</v>
      </c>
      <c r="F246" s="42">
        <v>812312</v>
      </c>
      <c r="G246" s="48">
        <v>233.8</v>
      </c>
      <c r="H246" s="45">
        <v>18644.669999999998</v>
      </c>
      <c r="I246" s="45">
        <f>SUMIFS('שכר 11.2024'!N:N,'שכר 11.2024'!C:C,C:C,'שכר 11.2024'!F:F,F:F)</f>
        <v>1321.5</v>
      </c>
      <c r="J246" s="45">
        <f t="shared" si="12"/>
        <v>19966.169999999998</v>
      </c>
      <c r="K246" s="61">
        <f t="shared" si="13"/>
        <v>1.0349999999999999</v>
      </c>
      <c r="L246" s="45">
        <f t="shared" si="14"/>
        <v>20664.985949999998</v>
      </c>
      <c r="M246" s="45">
        <f t="shared" si="15"/>
        <v>0.21254545454545457</v>
      </c>
    </row>
    <row r="247" spans="1:13" outlineLevel="2" x14ac:dyDescent="0.35">
      <c r="A247" s="42">
        <v>1812300110</v>
      </c>
      <c r="B247" s="42" t="str">
        <f>VLOOKUP(A247,'תקציב מפורט 2025'!A:O,2,FALSE)</f>
        <v>גנים ט.חובה-משכורת</v>
      </c>
      <c r="C247" s="42">
        <v>211322284</v>
      </c>
      <c r="D247" s="42" t="s">
        <v>434</v>
      </c>
      <c r="E247" s="42" t="s">
        <v>917</v>
      </c>
      <c r="F247" s="42">
        <v>812312</v>
      </c>
      <c r="G247" s="48">
        <v>145.80000000000001</v>
      </c>
      <c r="H247" s="45">
        <v>11210.96</v>
      </c>
      <c r="I247" s="45">
        <f>SUMIFS('שכר 11.2024'!N:N,'שכר 11.2024'!C:C,C:C,'שכר 11.2024'!F:F,F:F)</f>
        <v>1314.83</v>
      </c>
      <c r="J247" s="45">
        <f t="shared" si="12"/>
        <v>12525.789999999999</v>
      </c>
      <c r="K247" s="61">
        <f t="shared" si="13"/>
        <v>1.0349999999999999</v>
      </c>
      <c r="L247" s="45">
        <f t="shared" si="14"/>
        <v>12964.192649999997</v>
      </c>
      <c r="M247" s="45">
        <f t="shared" si="15"/>
        <v>0.13254545454545455</v>
      </c>
    </row>
    <row r="248" spans="1:13" outlineLevel="2" x14ac:dyDescent="0.35">
      <c r="A248" s="42">
        <v>1812300110</v>
      </c>
      <c r="B248" s="42" t="str">
        <f>VLOOKUP(A248,'תקציב מפורט 2025'!A:O,2,FALSE)</f>
        <v>גנים ט.חובה-משכורת</v>
      </c>
      <c r="C248" s="42">
        <v>211410212</v>
      </c>
      <c r="D248" s="42" t="s">
        <v>434</v>
      </c>
      <c r="E248" s="42" t="s">
        <v>872</v>
      </c>
      <c r="F248" s="42">
        <v>812312</v>
      </c>
      <c r="G248" s="48">
        <v>42.6</v>
      </c>
      <c r="H248" s="45">
        <v>4930.62</v>
      </c>
      <c r="I248" s="45">
        <f>SUMIFS('שכר 11.2024'!N:N,'שכר 11.2024'!C:C,C:C,'שכר 11.2024'!F:F,F:F)</f>
        <v>2531.94</v>
      </c>
      <c r="J248" s="45">
        <f t="shared" si="12"/>
        <v>7462.5599999999995</v>
      </c>
      <c r="K248" s="61">
        <f t="shared" si="13"/>
        <v>1.0349999999999999</v>
      </c>
      <c r="L248" s="45">
        <f t="shared" si="14"/>
        <v>7723.7495999999992</v>
      </c>
      <c r="M248" s="45">
        <f t="shared" si="15"/>
        <v>3.8727272727272728E-2</v>
      </c>
    </row>
    <row r="249" spans="1:13" outlineLevel="2" x14ac:dyDescent="0.35">
      <c r="A249" s="42">
        <v>1812300110</v>
      </c>
      <c r="B249" s="42" t="str">
        <f>VLOOKUP(A249,'תקציב מפורט 2025'!A:O,2,FALSE)</f>
        <v>גנים ט.חובה-משכורת</v>
      </c>
      <c r="C249" s="42">
        <v>211447255</v>
      </c>
      <c r="D249" s="42" t="s">
        <v>434</v>
      </c>
      <c r="E249" s="42" t="s">
        <v>1828</v>
      </c>
      <c r="F249" s="42">
        <v>812312</v>
      </c>
      <c r="G249" s="48">
        <v>94.8</v>
      </c>
      <c r="H249" s="45">
        <v>0</v>
      </c>
      <c r="I249" s="45">
        <f>SUMIFS('שכר 11.2024'!N:N,'שכר 11.2024'!C:C,C:C,'שכר 11.2024'!F:F,F:F)</f>
        <v>0</v>
      </c>
      <c r="J249" s="45">
        <f t="shared" si="12"/>
        <v>0</v>
      </c>
      <c r="K249" s="61">
        <f t="shared" si="13"/>
        <v>1.0349999999999999</v>
      </c>
      <c r="L249" s="45">
        <f t="shared" si="14"/>
        <v>0</v>
      </c>
      <c r="M249" s="45">
        <f t="shared" si="15"/>
        <v>8.6181818181818179E-2</v>
      </c>
    </row>
    <row r="250" spans="1:13" outlineLevel="2" x14ac:dyDescent="0.35">
      <c r="A250" s="42">
        <v>1812300110</v>
      </c>
      <c r="B250" s="42" t="str">
        <f>VLOOKUP(A250,'תקציב מפורט 2025'!A:O,2,FALSE)</f>
        <v>גנים ט.חובה-משכורת</v>
      </c>
      <c r="C250" s="42">
        <v>214497927</v>
      </c>
      <c r="D250" s="42" t="s">
        <v>933</v>
      </c>
      <c r="E250" s="42" t="s">
        <v>1829</v>
      </c>
      <c r="F250" s="42">
        <v>812312</v>
      </c>
      <c r="G250" s="48">
        <v>94.1</v>
      </c>
      <c r="H250" s="45">
        <v>11193.84</v>
      </c>
      <c r="I250" s="45">
        <f>SUMIFS('שכר 11.2024'!N:N,'שכר 11.2024'!C:C,C:C,'שכר 11.2024'!F:F,F:F)</f>
        <v>0</v>
      </c>
      <c r="J250" s="45">
        <f t="shared" si="12"/>
        <v>11193.84</v>
      </c>
      <c r="K250" s="61">
        <f t="shared" si="13"/>
        <v>1.0349999999999999</v>
      </c>
      <c r="L250" s="45">
        <f t="shared" si="14"/>
        <v>11585.624399999999</v>
      </c>
      <c r="M250" s="45">
        <f t="shared" si="15"/>
        <v>8.5545454545454536E-2</v>
      </c>
    </row>
    <row r="251" spans="1:13" outlineLevel="2" x14ac:dyDescent="0.35">
      <c r="A251" s="42">
        <v>1812300110</v>
      </c>
      <c r="B251" s="42" t="str">
        <f>VLOOKUP(A251,'תקציב מפורט 2025'!A:O,2,FALSE)</f>
        <v>גנים ט.חובה-משכורת</v>
      </c>
      <c r="C251" s="42">
        <v>214499949</v>
      </c>
      <c r="D251" s="42" t="s">
        <v>1720</v>
      </c>
      <c r="E251" s="42" t="s">
        <v>470</v>
      </c>
      <c r="F251" s="42">
        <v>812312</v>
      </c>
      <c r="G251" s="48">
        <v>400</v>
      </c>
      <c r="H251" s="45">
        <v>22797.86</v>
      </c>
      <c r="I251" s="45">
        <f>SUMIFS('שכר 11.2024'!N:N,'שכר 11.2024'!C:C,C:C,'שכר 11.2024'!F:F,F:F)</f>
        <v>2287.4</v>
      </c>
      <c r="J251" s="45">
        <f t="shared" si="12"/>
        <v>25085.260000000002</v>
      </c>
      <c r="K251" s="61">
        <f t="shared" si="13"/>
        <v>1.0349999999999999</v>
      </c>
      <c r="L251" s="45">
        <f t="shared" si="14"/>
        <v>25963.2441</v>
      </c>
      <c r="M251" s="45">
        <f t="shared" si="15"/>
        <v>0.36363636363636365</v>
      </c>
    </row>
    <row r="252" spans="1:13" outlineLevel="2" x14ac:dyDescent="0.35">
      <c r="A252" s="42">
        <v>1812300110</v>
      </c>
      <c r="B252" s="42" t="str">
        <f>VLOOKUP(A252,'תקציב מפורט 2025'!A:O,2,FALSE)</f>
        <v>גנים ט.חובה-משכורת</v>
      </c>
      <c r="C252" s="42">
        <v>214516130</v>
      </c>
      <c r="D252" s="42" t="s">
        <v>434</v>
      </c>
      <c r="E252" s="42" t="s">
        <v>1830</v>
      </c>
      <c r="F252" s="42">
        <v>812312</v>
      </c>
      <c r="G252" s="48">
        <v>4.5</v>
      </c>
      <c r="H252" s="45">
        <v>328.71</v>
      </c>
      <c r="I252" s="45">
        <f>SUMIFS('שכר 11.2024'!N:N,'שכר 11.2024'!C:C,C:C,'שכר 11.2024'!F:F,F:F)</f>
        <v>0</v>
      </c>
      <c r="J252" s="45">
        <f t="shared" si="12"/>
        <v>328.71</v>
      </c>
      <c r="K252" s="61">
        <f t="shared" si="13"/>
        <v>1.0349999999999999</v>
      </c>
      <c r="L252" s="45">
        <f t="shared" si="14"/>
        <v>340.21484999999996</v>
      </c>
      <c r="M252" s="45">
        <f t="shared" si="15"/>
        <v>4.0909090909090912E-3</v>
      </c>
    </row>
    <row r="253" spans="1:13" outlineLevel="2" x14ac:dyDescent="0.35">
      <c r="A253" s="42">
        <v>1812300110</v>
      </c>
      <c r="B253" s="42" t="str">
        <f>VLOOKUP(A253,'תקציב מפורט 2025'!A:O,2,FALSE)</f>
        <v>גנים ט.חובה-משכורת</v>
      </c>
      <c r="C253" s="42">
        <v>215288531</v>
      </c>
      <c r="D253" s="42" t="s">
        <v>434</v>
      </c>
      <c r="E253" s="42" t="s">
        <v>1831</v>
      </c>
      <c r="F253" s="42">
        <v>812312</v>
      </c>
      <c r="G253" s="48">
        <v>52.1</v>
      </c>
      <c r="H253" s="45">
        <v>3821.25</v>
      </c>
      <c r="I253" s="45">
        <f>SUMIFS('שכר 11.2024'!N:N,'שכר 11.2024'!C:C,C:C,'שכר 11.2024'!F:F,F:F)</f>
        <v>0</v>
      </c>
      <c r="J253" s="45">
        <f t="shared" si="12"/>
        <v>3821.25</v>
      </c>
      <c r="K253" s="61">
        <f t="shared" si="13"/>
        <v>1.0349999999999999</v>
      </c>
      <c r="L253" s="45">
        <f t="shared" si="14"/>
        <v>3954.9937499999996</v>
      </c>
      <c r="M253" s="45">
        <f t="shared" si="15"/>
        <v>4.7363636363636365E-2</v>
      </c>
    </row>
    <row r="254" spans="1:13" outlineLevel="2" x14ac:dyDescent="0.35">
      <c r="A254" s="42">
        <v>1812300110</v>
      </c>
      <c r="B254" s="42" t="str">
        <f>VLOOKUP(A254,'תקציב מפורט 2025'!A:O,2,FALSE)</f>
        <v>גנים ט.חובה-משכורת</v>
      </c>
      <c r="C254" s="42">
        <v>300826104</v>
      </c>
      <c r="D254" s="42" t="s">
        <v>434</v>
      </c>
      <c r="E254" s="42" t="s">
        <v>852</v>
      </c>
      <c r="F254" s="42">
        <v>812312</v>
      </c>
      <c r="G254" s="48">
        <v>0</v>
      </c>
      <c r="H254" s="45">
        <v>10860.25</v>
      </c>
      <c r="I254" s="45">
        <f>SUMIFS('שכר 11.2024'!N:N,'שכר 11.2024'!C:C,C:C,'שכר 11.2024'!F:F,F:F)</f>
        <v>1479.19</v>
      </c>
      <c r="J254" s="45">
        <f t="shared" si="12"/>
        <v>12339.44</v>
      </c>
      <c r="K254" s="61">
        <f t="shared" si="13"/>
        <v>1.0349999999999999</v>
      </c>
      <c r="L254" s="45">
        <f t="shared" si="14"/>
        <v>12771.320399999999</v>
      </c>
      <c r="M254" s="45">
        <f t="shared" si="15"/>
        <v>0</v>
      </c>
    </row>
    <row r="255" spans="1:13" outlineLevel="2" x14ac:dyDescent="0.35">
      <c r="A255" s="42">
        <v>1812300110</v>
      </c>
      <c r="B255" s="42" t="str">
        <f>VLOOKUP(A255,'תקציב מפורט 2025'!A:O,2,FALSE)</f>
        <v>גנים ט.חובה-משכורת</v>
      </c>
      <c r="C255" s="42">
        <v>300838935</v>
      </c>
      <c r="D255" s="42" t="s">
        <v>434</v>
      </c>
      <c r="E255" s="42" t="s">
        <v>1722</v>
      </c>
      <c r="F255" s="42">
        <v>812312</v>
      </c>
      <c r="G255" s="48">
        <v>0</v>
      </c>
      <c r="H255" s="45">
        <v>4364.72</v>
      </c>
      <c r="I255" s="45">
        <f>SUMIFS('שכר 11.2024'!N:N,'שכר 11.2024'!C:C,C:C,'שכר 11.2024'!F:F,F:F)</f>
        <v>0</v>
      </c>
      <c r="J255" s="45">
        <f t="shared" si="12"/>
        <v>4364.72</v>
      </c>
      <c r="K255" s="61">
        <f t="shared" si="13"/>
        <v>1.0349999999999999</v>
      </c>
      <c r="L255" s="45">
        <f t="shared" si="14"/>
        <v>4517.4852000000001</v>
      </c>
      <c r="M255" s="45">
        <f t="shared" si="15"/>
        <v>0</v>
      </c>
    </row>
    <row r="256" spans="1:13" outlineLevel="2" x14ac:dyDescent="0.35">
      <c r="A256" s="42">
        <v>1812300110</v>
      </c>
      <c r="B256" s="42" t="str">
        <f>VLOOKUP(A256,'תקציב מפורט 2025'!A:O,2,FALSE)</f>
        <v>גנים ט.חובה-משכורת</v>
      </c>
      <c r="C256" s="42">
        <v>301407201</v>
      </c>
      <c r="D256" s="42" t="s">
        <v>434</v>
      </c>
      <c r="E256" s="42" t="s">
        <v>544</v>
      </c>
      <c r="F256" s="42">
        <v>812312</v>
      </c>
      <c r="G256" s="48">
        <v>359.8</v>
      </c>
      <c r="H256" s="45">
        <v>10558.98</v>
      </c>
      <c r="I256" s="45">
        <f>SUMIFS('שכר 11.2024'!N:N,'שכר 11.2024'!C:C,C:C,'שכר 11.2024'!F:F,F:F)</f>
        <v>0</v>
      </c>
      <c r="J256" s="45">
        <f t="shared" si="12"/>
        <v>10558.98</v>
      </c>
      <c r="K256" s="61">
        <f t="shared" si="13"/>
        <v>1.0349999999999999</v>
      </c>
      <c r="L256" s="45">
        <f t="shared" si="14"/>
        <v>10928.5443</v>
      </c>
      <c r="M256" s="45">
        <f t="shared" si="15"/>
        <v>0.3270909090909091</v>
      </c>
    </row>
    <row r="257" spans="1:13" outlineLevel="2" x14ac:dyDescent="0.35">
      <c r="A257" s="42">
        <v>1812300110</v>
      </c>
      <c r="B257" s="42" t="str">
        <f>VLOOKUP(A257,'תקציב מפורט 2025'!A:O,2,FALSE)</f>
        <v>גנים ט.חובה-משכורת</v>
      </c>
      <c r="C257" s="42">
        <v>301586566</v>
      </c>
      <c r="D257" s="42" t="s">
        <v>495</v>
      </c>
      <c r="E257" s="42" t="s">
        <v>558</v>
      </c>
      <c r="F257" s="42">
        <v>812312</v>
      </c>
      <c r="G257" s="48">
        <v>0</v>
      </c>
      <c r="H257" s="45">
        <v>12932.99</v>
      </c>
      <c r="I257" s="45">
        <f>SUMIFS('שכר 11.2024'!N:N,'שכר 11.2024'!C:C,C:C,'שכר 11.2024'!F:F,F:F)</f>
        <v>0</v>
      </c>
      <c r="J257" s="45">
        <f t="shared" si="12"/>
        <v>12932.99</v>
      </c>
      <c r="K257" s="61">
        <f t="shared" si="13"/>
        <v>1.0349999999999999</v>
      </c>
      <c r="L257" s="45">
        <f t="shared" si="14"/>
        <v>13385.644649999998</v>
      </c>
      <c r="M257" s="45">
        <f t="shared" si="15"/>
        <v>0</v>
      </c>
    </row>
    <row r="258" spans="1:13" outlineLevel="2" x14ac:dyDescent="0.35">
      <c r="A258" s="42">
        <v>1812300110</v>
      </c>
      <c r="B258" s="42" t="str">
        <f>VLOOKUP(A258,'תקציב מפורט 2025'!A:O,2,FALSE)</f>
        <v>גנים ט.חובה-משכורת</v>
      </c>
      <c r="C258" s="42">
        <v>301595583</v>
      </c>
      <c r="D258" s="42" t="s">
        <v>434</v>
      </c>
      <c r="E258" s="42" t="s">
        <v>919</v>
      </c>
      <c r="F258" s="42">
        <v>812312</v>
      </c>
      <c r="G258" s="48">
        <v>0</v>
      </c>
      <c r="H258" s="45">
        <v>7108.35</v>
      </c>
      <c r="I258" s="45">
        <f>SUMIFS('שכר 11.2024'!N:N,'שכר 11.2024'!C:C,C:C,'שכר 11.2024'!F:F,F:F)</f>
        <v>0</v>
      </c>
      <c r="J258" s="45">
        <f t="shared" si="12"/>
        <v>7108.35</v>
      </c>
      <c r="K258" s="61">
        <f t="shared" si="13"/>
        <v>1.0349999999999999</v>
      </c>
      <c r="L258" s="45">
        <f t="shared" si="14"/>
        <v>7357.1422499999999</v>
      </c>
      <c r="M258" s="45">
        <f t="shared" si="15"/>
        <v>0</v>
      </c>
    </row>
    <row r="259" spans="1:13" outlineLevel="2" x14ac:dyDescent="0.35">
      <c r="A259" s="42">
        <v>1812300110</v>
      </c>
      <c r="B259" s="42" t="str">
        <f>VLOOKUP(A259,'תקציב מפורט 2025'!A:O,2,FALSE)</f>
        <v>גנים ט.חובה-משכורת</v>
      </c>
      <c r="C259" s="42">
        <v>301915906</v>
      </c>
      <c r="D259" s="42" t="s">
        <v>837</v>
      </c>
      <c r="E259" s="42" t="s">
        <v>477</v>
      </c>
      <c r="F259" s="42">
        <v>812312</v>
      </c>
      <c r="G259" s="48">
        <v>0</v>
      </c>
      <c r="H259" s="45">
        <v>1314.46</v>
      </c>
      <c r="I259" s="45">
        <f>SUMIFS('שכר 11.2024'!N:N,'שכר 11.2024'!C:C,C:C,'שכר 11.2024'!F:F,F:F)</f>
        <v>0</v>
      </c>
      <c r="J259" s="45">
        <f t="shared" si="12"/>
        <v>1314.46</v>
      </c>
      <c r="K259" s="61">
        <f t="shared" si="13"/>
        <v>1.0349999999999999</v>
      </c>
      <c r="L259" s="45">
        <f t="shared" si="14"/>
        <v>1360.4660999999999</v>
      </c>
      <c r="M259" s="45">
        <f t="shared" si="15"/>
        <v>0</v>
      </c>
    </row>
    <row r="260" spans="1:13" outlineLevel="2" x14ac:dyDescent="0.35">
      <c r="A260" s="42">
        <v>1812300110</v>
      </c>
      <c r="B260" s="42" t="str">
        <f>VLOOKUP(A260,'תקציב מפורט 2025'!A:O,2,FALSE)</f>
        <v>גנים ט.חובה-משכורת</v>
      </c>
      <c r="C260" s="42">
        <v>305254989</v>
      </c>
      <c r="D260" s="42" t="s">
        <v>448</v>
      </c>
      <c r="E260" s="42" t="s">
        <v>829</v>
      </c>
      <c r="F260" s="42">
        <v>812312</v>
      </c>
      <c r="G260" s="48">
        <v>0</v>
      </c>
      <c r="H260" s="45">
        <v>6135.31</v>
      </c>
      <c r="I260" s="45">
        <f>SUMIFS('שכר 11.2024'!N:N,'שכר 11.2024'!C:C,C:C,'שכר 11.2024'!F:F,F:F)</f>
        <v>0</v>
      </c>
      <c r="J260" s="45">
        <f t="shared" si="12"/>
        <v>6135.31</v>
      </c>
      <c r="K260" s="61">
        <f t="shared" si="13"/>
        <v>1.0349999999999999</v>
      </c>
      <c r="L260" s="45">
        <f t="shared" si="14"/>
        <v>6350.0458499999995</v>
      </c>
      <c r="M260" s="45">
        <f t="shared" si="15"/>
        <v>0</v>
      </c>
    </row>
    <row r="261" spans="1:13" outlineLevel="2" x14ac:dyDescent="0.35">
      <c r="A261" s="42">
        <v>1812300110</v>
      </c>
      <c r="B261" s="42" t="str">
        <f>VLOOKUP(A261,'תקציב מפורט 2025'!A:O,2,FALSE)</f>
        <v>גנים ט.חובה-משכורת</v>
      </c>
      <c r="C261" s="42">
        <v>305255341</v>
      </c>
      <c r="D261" s="42" t="s">
        <v>486</v>
      </c>
      <c r="E261" s="42" t="s">
        <v>841</v>
      </c>
      <c r="F261" s="42">
        <v>812312</v>
      </c>
      <c r="G261" s="48">
        <v>0</v>
      </c>
      <c r="H261" s="45">
        <v>11829.63</v>
      </c>
      <c r="I261" s="45">
        <f>SUMIFS('שכר 11.2024'!N:N,'שכר 11.2024'!C:C,C:C,'שכר 11.2024'!F:F,F:F)</f>
        <v>1452.93</v>
      </c>
      <c r="J261" s="45">
        <f t="shared" si="12"/>
        <v>13282.56</v>
      </c>
      <c r="K261" s="61">
        <f t="shared" si="13"/>
        <v>1.0349999999999999</v>
      </c>
      <c r="L261" s="45">
        <f t="shared" si="14"/>
        <v>13747.449599999998</v>
      </c>
      <c r="M261" s="45">
        <f t="shared" si="15"/>
        <v>0</v>
      </c>
    </row>
    <row r="262" spans="1:13" outlineLevel="2" x14ac:dyDescent="0.35">
      <c r="A262" s="42">
        <v>1812300110</v>
      </c>
      <c r="B262" s="42" t="str">
        <f>VLOOKUP(A262,'תקציב מפורט 2025'!A:O,2,FALSE)</f>
        <v>גנים ט.חובה-משכורת</v>
      </c>
      <c r="C262" s="42">
        <v>308351121</v>
      </c>
      <c r="D262" s="42" t="s">
        <v>442</v>
      </c>
      <c r="E262" s="42" t="s">
        <v>1726</v>
      </c>
      <c r="F262" s="42">
        <v>812312</v>
      </c>
      <c r="G262" s="48">
        <v>0</v>
      </c>
      <c r="H262" s="45">
        <v>5842.54</v>
      </c>
      <c r="I262" s="45">
        <f>SUMIFS('שכר 11.2024'!N:N,'שכר 11.2024'!C:C,C:C,'שכר 11.2024'!F:F,F:F)</f>
        <v>0</v>
      </c>
      <c r="J262" s="45">
        <f t="shared" si="12"/>
        <v>5842.54</v>
      </c>
      <c r="K262" s="61">
        <f t="shared" si="13"/>
        <v>1.0349999999999999</v>
      </c>
      <c r="L262" s="45">
        <f t="shared" si="14"/>
        <v>6047.0288999999993</v>
      </c>
      <c r="M262" s="45">
        <f t="shared" si="15"/>
        <v>0</v>
      </c>
    </row>
    <row r="263" spans="1:13" outlineLevel="2" x14ac:dyDescent="0.35">
      <c r="A263" s="42">
        <v>1812300110</v>
      </c>
      <c r="B263" s="42" t="str">
        <f>VLOOKUP(A263,'תקציב מפורט 2025'!A:O,2,FALSE)</f>
        <v>גנים ט.חובה-משכורת</v>
      </c>
      <c r="C263" s="42">
        <v>308351204</v>
      </c>
      <c r="D263" s="42" t="s">
        <v>442</v>
      </c>
      <c r="E263" s="42" t="s">
        <v>480</v>
      </c>
      <c r="F263" s="42">
        <v>812312</v>
      </c>
      <c r="G263" s="48">
        <v>0</v>
      </c>
      <c r="H263" s="45">
        <v>8440.65</v>
      </c>
      <c r="I263" s="45">
        <f>SUMIFS('שכר 11.2024'!N:N,'שכר 11.2024'!C:C,C:C,'שכר 11.2024'!F:F,F:F)</f>
        <v>0</v>
      </c>
      <c r="J263" s="45">
        <f t="shared" si="12"/>
        <v>8440.65</v>
      </c>
      <c r="K263" s="61">
        <f t="shared" si="13"/>
        <v>1.0349999999999999</v>
      </c>
      <c r="L263" s="45">
        <f t="shared" si="14"/>
        <v>8736.0727499999994</v>
      </c>
      <c r="M263" s="45">
        <f t="shared" si="15"/>
        <v>0</v>
      </c>
    </row>
    <row r="264" spans="1:13" outlineLevel="2" x14ac:dyDescent="0.35">
      <c r="A264" s="42">
        <v>1812300110</v>
      </c>
      <c r="B264" s="42" t="str">
        <f>VLOOKUP(A264,'תקציב מפורט 2025'!A:O,2,FALSE)</f>
        <v>גנים ט.חובה-משכורת</v>
      </c>
      <c r="C264" s="42">
        <v>312429194</v>
      </c>
      <c r="D264" s="42" t="s">
        <v>1727</v>
      </c>
      <c r="E264" s="42" t="s">
        <v>909</v>
      </c>
      <c r="F264" s="42">
        <v>812312</v>
      </c>
      <c r="G264" s="48">
        <v>857.8</v>
      </c>
      <c r="H264" s="45">
        <v>46677.19</v>
      </c>
      <c r="I264" s="45">
        <f>SUMIFS('שכר 11.2024'!N:N,'שכר 11.2024'!C:C,C:C,'שכר 11.2024'!F:F,F:F)</f>
        <v>5742.38</v>
      </c>
      <c r="J264" s="45">
        <f t="shared" si="12"/>
        <v>52419.57</v>
      </c>
      <c r="K264" s="61">
        <f t="shared" si="13"/>
        <v>1.0349999999999999</v>
      </c>
      <c r="L264" s="45">
        <f t="shared" si="14"/>
        <v>54254.254949999995</v>
      </c>
      <c r="M264" s="45">
        <f t="shared" si="15"/>
        <v>0.77981818181818174</v>
      </c>
    </row>
    <row r="265" spans="1:13" outlineLevel="2" x14ac:dyDescent="0.35">
      <c r="A265" s="42">
        <v>1812300110</v>
      </c>
      <c r="B265" s="42" t="str">
        <f>VLOOKUP(A265,'תקציב מפורט 2025'!A:O,2,FALSE)</f>
        <v>גנים ט.חובה-משכורת</v>
      </c>
      <c r="C265" s="42">
        <v>312441439</v>
      </c>
      <c r="D265" s="42" t="s">
        <v>434</v>
      </c>
      <c r="E265" s="42" t="s">
        <v>449</v>
      </c>
      <c r="F265" s="42">
        <v>812312</v>
      </c>
      <c r="G265" s="48">
        <v>70.2</v>
      </c>
      <c r="H265" s="45">
        <v>9515.99</v>
      </c>
      <c r="I265" s="45">
        <f>SUMIFS('שכר 11.2024'!N:N,'שכר 11.2024'!C:C,C:C,'שכר 11.2024'!F:F,F:F)</f>
        <v>0</v>
      </c>
      <c r="J265" s="45">
        <f t="shared" si="12"/>
        <v>9515.99</v>
      </c>
      <c r="K265" s="61">
        <f t="shared" si="13"/>
        <v>1.0349999999999999</v>
      </c>
      <c r="L265" s="45">
        <f t="shared" si="14"/>
        <v>9849.049649999999</v>
      </c>
      <c r="M265" s="45">
        <f t="shared" si="15"/>
        <v>6.3818181818181816E-2</v>
      </c>
    </row>
    <row r="266" spans="1:13" outlineLevel="2" x14ac:dyDescent="0.35">
      <c r="A266" s="42">
        <v>1812300110</v>
      </c>
      <c r="B266" s="42" t="str">
        <f>VLOOKUP(A266,'תקציב מפורט 2025'!A:O,2,FALSE)</f>
        <v>גנים ט.חובה-משכורת</v>
      </c>
      <c r="C266" s="42">
        <v>314057803</v>
      </c>
      <c r="D266" s="42" t="s">
        <v>921</v>
      </c>
      <c r="E266" s="42" t="s">
        <v>438</v>
      </c>
      <c r="F266" s="42">
        <v>812312</v>
      </c>
      <c r="G266" s="48">
        <v>119.9</v>
      </c>
      <c r="H266" s="45">
        <v>16458.96</v>
      </c>
      <c r="I266" s="45">
        <f>SUMIFS('שכר 11.2024'!N:N,'שכר 11.2024'!C:C,C:C,'שכר 11.2024'!F:F,F:F)</f>
        <v>913.53</v>
      </c>
      <c r="J266" s="45">
        <f t="shared" si="12"/>
        <v>17372.489999999998</v>
      </c>
      <c r="K266" s="61">
        <f t="shared" si="13"/>
        <v>1.0349999999999999</v>
      </c>
      <c r="L266" s="45">
        <f t="shared" si="14"/>
        <v>17980.527149999998</v>
      </c>
      <c r="M266" s="45">
        <f t="shared" si="15"/>
        <v>0.109</v>
      </c>
    </row>
    <row r="267" spans="1:13" outlineLevel="2" x14ac:dyDescent="0.35">
      <c r="A267" s="42">
        <v>1812300110</v>
      </c>
      <c r="B267" s="42" t="str">
        <f>VLOOKUP(A267,'תקציב מפורט 2025'!A:O,2,FALSE)</f>
        <v>גנים ט.חובה-משכורת</v>
      </c>
      <c r="C267" s="42">
        <v>314642828</v>
      </c>
      <c r="D267" s="42" t="s">
        <v>434</v>
      </c>
      <c r="E267" s="42" t="s">
        <v>1728</v>
      </c>
      <c r="F267" s="42">
        <v>812312</v>
      </c>
      <c r="G267" s="48">
        <v>0</v>
      </c>
      <c r="H267" s="45">
        <v>932.82</v>
      </c>
      <c r="I267" s="45">
        <f>SUMIFS('שכר 11.2024'!N:N,'שכר 11.2024'!C:C,C:C,'שכר 11.2024'!F:F,F:F)</f>
        <v>0</v>
      </c>
      <c r="J267" s="45">
        <f t="shared" si="12"/>
        <v>932.82</v>
      </c>
      <c r="K267" s="61">
        <f t="shared" si="13"/>
        <v>1.0349999999999999</v>
      </c>
      <c r="L267" s="45">
        <f t="shared" si="14"/>
        <v>965.46870000000001</v>
      </c>
      <c r="M267" s="45">
        <f t="shared" si="15"/>
        <v>0</v>
      </c>
    </row>
    <row r="268" spans="1:13" outlineLevel="2" x14ac:dyDescent="0.35">
      <c r="A268" s="42">
        <v>1812300110</v>
      </c>
      <c r="B268" s="42" t="str">
        <f>VLOOKUP(A268,'תקציב מפורט 2025'!A:O,2,FALSE)</f>
        <v>גנים ט.חובה-משכורת</v>
      </c>
      <c r="C268" s="42">
        <v>314783150</v>
      </c>
      <c r="D268" s="42" t="s">
        <v>526</v>
      </c>
      <c r="E268" s="42" t="s">
        <v>459</v>
      </c>
      <c r="F268" s="42">
        <v>812312</v>
      </c>
      <c r="G268" s="48">
        <v>16.8</v>
      </c>
      <c r="H268" s="45">
        <v>2498.63</v>
      </c>
      <c r="I268" s="45">
        <f>SUMIFS('שכר 11.2024'!N:N,'שכר 11.2024'!C:C,C:C,'שכר 11.2024'!F:F,F:F)</f>
        <v>0</v>
      </c>
      <c r="J268" s="45">
        <f t="shared" si="12"/>
        <v>2498.63</v>
      </c>
      <c r="K268" s="61">
        <f t="shared" si="13"/>
        <v>1.0349999999999999</v>
      </c>
      <c r="L268" s="45">
        <f t="shared" si="14"/>
        <v>2586.08205</v>
      </c>
      <c r="M268" s="45">
        <f t="shared" si="15"/>
        <v>1.5272727272727273E-2</v>
      </c>
    </row>
    <row r="269" spans="1:13" outlineLevel="2" x14ac:dyDescent="0.35">
      <c r="A269" s="42">
        <v>1812300110</v>
      </c>
      <c r="B269" s="42" t="str">
        <f>VLOOKUP(A269,'תקציב מפורט 2025'!A:O,2,FALSE)</f>
        <v>גנים ט.חובה-משכורת</v>
      </c>
      <c r="C269" s="42">
        <v>315053652</v>
      </c>
      <c r="D269" s="42" t="s">
        <v>936</v>
      </c>
      <c r="E269" s="42" t="s">
        <v>1832</v>
      </c>
      <c r="F269" s="42">
        <v>812312</v>
      </c>
      <c r="G269" s="48">
        <v>40.4</v>
      </c>
      <c r="H269" s="45">
        <v>4797.3599999999997</v>
      </c>
      <c r="I269" s="45">
        <f>SUMIFS('שכר 11.2024'!N:N,'שכר 11.2024'!C:C,C:C,'שכר 11.2024'!F:F,F:F)</f>
        <v>0</v>
      </c>
      <c r="J269" s="45">
        <f t="shared" si="12"/>
        <v>4797.3599999999997</v>
      </c>
      <c r="K269" s="61">
        <f t="shared" si="13"/>
        <v>1.0349999999999999</v>
      </c>
      <c r="L269" s="45">
        <f t="shared" si="14"/>
        <v>4965.2675999999992</v>
      </c>
      <c r="M269" s="45">
        <f t="shared" si="15"/>
        <v>3.6727272727272726E-2</v>
      </c>
    </row>
    <row r="270" spans="1:13" outlineLevel="2" x14ac:dyDescent="0.35">
      <c r="A270" s="42">
        <v>1812300110</v>
      </c>
      <c r="B270" s="42" t="str">
        <f>VLOOKUP(A270,'תקציב מפורט 2025'!A:O,2,FALSE)</f>
        <v>גנים ט.חובה-משכורת</v>
      </c>
      <c r="C270" s="42">
        <v>315201624</v>
      </c>
      <c r="D270" s="42" t="s">
        <v>434</v>
      </c>
      <c r="E270" s="42" t="s">
        <v>1833</v>
      </c>
      <c r="F270" s="42">
        <v>812312</v>
      </c>
      <c r="G270" s="48">
        <v>0</v>
      </c>
      <c r="H270" s="45">
        <v>18544.48</v>
      </c>
      <c r="I270" s="45">
        <f>SUMIFS('שכר 11.2024'!N:N,'שכר 11.2024'!C:C,C:C,'שכר 11.2024'!F:F,F:F)</f>
        <v>2418.8200000000002</v>
      </c>
      <c r="J270" s="45">
        <f t="shared" si="12"/>
        <v>20963.3</v>
      </c>
      <c r="K270" s="61">
        <f t="shared" si="13"/>
        <v>1.0349999999999999</v>
      </c>
      <c r="L270" s="45">
        <f t="shared" si="14"/>
        <v>21697.015499999998</v>
      </c>
      <c r="M270" s="45">
        <f t="shared" si="15"/>
        <v>0</v>
      </c>
    </row>
    <row r="271" spans="1:13" outlineLevel="2" x14ac:dyDescent="0.35">
      <c r="A271" s="42">
        <v>1812300110</v>
      </c>
      <c r="B271" s="42" t="str">
        <f>VLOOKUP(A271,'תקציב מפורט 2025'!A:O,2,FALSE)</f>
        <v>גנים ט.חובה-משכורת</v>
      </c>
      <c r="C271" s="42">
        <v>315225383</v>
      </c>
      <c r="D271" s="42" t="s">
        <v>434</v>
      </c>
      <c r="E271" s="42" t="s">
        <v>1834</v>
      </c>
      <c r="F271" s="42">
        <v>812312</v>
      </c>
      <c r="G271" s="48">
        <v>90.8</v>
      </c>
      <c r="H271" s="45">
        <v>7218.01</v>
      </c>
      <c r="I271" s="45">
        <f>SUMIFS('שכר 11.2024'!N:N,'שכר 11.2024'!C:C,C:C,'שכר 11.2024'!F:F,F:F)</f>
        <v>0</v>
      </c>
      <c r="J271" s="45">
        <f t="shared" si="12"/>
        <v>7218.01</v>
      </c>
      <c r="K271" s="61">
        <f t="shared" si="13"/>
        <v>1.0349999999999999</v>
      </c>
      <c r="L271" s="45">
        <f t="shared" si="14"/>
        <v>7470.6403499999997</v>
      </c>
      <c r="M271" s="45">
        <f t="shared" si="15"/>
        <v>8.2545454545454547E-2</v>
      </c>
    </row>
    <row r="272" spans="1:13" outlineLevel="2" x14ac:dyDescent="0.35">
      <c r="A272" s="42">
        <v>1812300110</v>
      </c>
      <c r="B272" s="42" t="str">
        <f>VLOOKUP(A272,'תקציב מפורט 2025'!A:O,2,FALSE)</f>
        <v>גנים ט.חובה-משכורת</v>
      </c>
      <c r="C272" s="42">
        <v>315227736</v>
      </c>
      <c r="D272" s="42" t="s">
        <v>442</v>
      </c>
      <c r="E272" s="42" t="s">
        <v>922</v>
      </c>
      <c r="F272" s="42">
        <v>812312</v>
      </c>
      <c r="G272" s="48">
        <v>639.70000000000005</v>
      </c>
      <c r="H272" s="45">
        <v>52721.31</v>
      </c>
      <c r="I272" s="45">
        <f>SUMIFS('שכר 11.2024'!N:N,'שכר 11.2024'!C:C,C:C,'שכר 11.2024'!F:F,F:F)</f>
        <v>4136.0600000000004</v>
      </c>
      <c r="J272" s="45">
        <f t="shared" si="12"/>
        <v>56857.369999999995</v>
      </c>
      <c r="K272" s="61">
        <f t="shared" si="13"/>
        <v>1.0349999999999999</v>
      </c>
      <c r="L272" s="45">
        <f t="shared" si="14"/>
        <v>58847.377949999987</v>
      </c>
      <c r="M272" s="45">
        <f t="shared" si="15"/>
        <v>0.58154545454545459</v>
      </c>
    </row>
    <row r="273" spans="1:13" outlineLevel="2" x14ac:dyDescent="0.35">
      <c r="A273" s="42">
        <v>1812300110</v>
      </c>
      <c r="B273" s="42" t="str">
        <f>VLOOKUP(A273,'תקציב מפורט 2025'!A:O,2,FALSE)</f>
        <v>גנים ט.חובה-משכורת</v>
      </c>
      <c r="C273" s="42">
        <v>316170729</v>
      </c>
      <c r="D273" s="42" t="s">
        <v>434</v>
      </c>
      <c r="E273" s="42" t="s">
        <v>842</v>
      </c>
      <c r="F273" s="42">
        <v>812312</v>
      </c>
      <c r="G273" s="48">
        <v>0</v>
      </c>
      <c r="H273" s="45">
        <v>11942.82</v>
      </c>
      <c r="I273" s="45">
        <f>SUMIFS('שכר 11.2024'!N:N,'שכר 11.2024'!C:C,C:C,'שכר 11.2024'!F:F,F:F)</f>
        <v>1453.17</v>
      </c>
      <c r="J273" s="45">
        <f t="shared" si="12"/>
        <v>13395.99</v>
      </c>
      <c r="K273" s="61">
        <f t="shared" si="13"/>
        <v>1.0349999999999999</v>
      </c>
      <c r="L273" s="45">
        <f t="shared" si="14"/>
        <v>13864.849649999998</v>
      </c>
      <c r="M273" s="45">
        <f t="shared" si="15"/>
        <v>0</v>
      </c>
    </row>
    <row r="274" spans="1:13" outlineLevel="2" x14ac:dyDescent="0.35">
      <c r="A274" s="42">
        <v>1812300110</v>
      </c>
      <c r="B274" s="42" t="str">
        <f>VLOOKUP(A274,'תקציב מפורט 2025'!A:O,2,FALSE)</f>
        <v>גנים ט.חובה-משכורת</v>
      </c>
      <c r="C274" s="42">
        <v>316173244</v>
      </c>
      <c r="D274" s="42" t="s">
        <v>490</v>
      </c>
      <c r="E274" s="42" t="s">
        <v>934</v>
      </c>
      <c r="F274" s="42">
        <v>812312</v>
      </c>
      <c r="G274" s="48">
        <v>0</v>
      </c>
      <c r="H274" s="45">
        <v>2498.63</v>
      </c>
      <c r="I274" s="45">
        <f>SUMIFS('שכר 11.2024'!N:N,'שכר 11.2024'!C:C,C:C,'שכר 11.2024'!F:F,F:F)</f>
        <v>0</v>
      </c>
      <c r="J274" s="45">
        <f t="shared" si="12"/>
        <v>2498.63</v>
      </c>
      <c r="K274" s="61">
        <f t="shared" si="13"/>
        <v>1.0349999999999999</v>
      </c>
      <c r="L274" s="45">
        <f t="shared" si="14"/>
        <v>2586.08205</v>
      </c>
      <c r="M274" s="45">
        <f t="shared" si="15"/>
        <v>0</v>
      </c>
    </row>
    <row r="275" spans="1:13" outlineLevel="2" x14ac:dyDescent="0.35">
      <c r="A275" s="42">
        <v>1812300110</v>
      </c>
      <c r="B275" s="42" t="str">
        <f>VLOOKUP(A275,'תקציב מפורט 2025'!A:O,2,FALSE)</f>
        <v>גנים ט.חובה-משכורת</v>
      </c>
      <c r="C275" s="42">
        <v>316174747</v>
      </c>
      <c r="D275" s="42" t="s">
        <v>434</v>
      </c>
      <c r="E275" s="42" t="s">
        <v>923</v>
      </c>
      <c r="F275" s="42">
        <v>812312</v>
      </c>
      <c r="G275" s="48">
        <v>180.1</v>
      </c>
      <c r="H275" s="45">
        <v>16720.16</v>
      </c>
      <c r="I275" s="45">
        <f>SUMIFS('שכר 11.2024'!N:N,'שכר 11.2024'!C:C,C:C,'שכר 11.2024'!F:F,F:F)</f>
        <v>0</v>
      </c>
      <c r="J275" s="45">
        <f t="shared" si="12"/>
        <v>16720.16</v>
      </c>
      <c r="K275" s="61">
        <f t="shared" si="13"/>
        <v>1.0349999999999999</v>
      </c>
      <c r="L275" s="45">
        <f t="shared" si="14"/>
        <v>17305.365599999997</v>
      </c>
      <c r="M275" s="45">
        <f t="shared" si="15"/>
        <v>0.16372727272727272</v>
      </c>
    </row>
    <row r="276" spans="1:13" outlineLevel="2" x14ac:dyDescent="0.35">
      <c r="A276" s="42">
        <v>1812300110</v>
      </c>
      <c r="B276" s="42" t="str">
        <f>VLOOKUP(A276,'תקציב מפורט 2025'!A:O,2,FALSE)</f>
        <v>גנים ט.חובה-משכורת</v>
      </c>
      <c r="C276" s="42">
        <v>316458348</v>
      </c>
      <c r="D276" s="42" t="s">
        <v>434</v>
      </c>
      <c r="E276" s="42" t="s">
        <v>830</v>
      </c>
      <c r="F276" s="42">
        <v>812312</v>
      </c>
      <c r="G276" s="48">
        <v>0</v>
      </c>
      <c r="H276" s="45">
        <v>10426.459999999999</v>
      </c>
      <c r="I276" s="45">
        <f>SUMIFS('שכר 11.2024'!N:N,'שכר 11.2024'!C:C,C:C,'שכר 11.2024'!F:F,F:F)</f>
        <v>1352.79</v>
      </c>
      <c r="J276" s="45">
        <f t="shared" si="12"/>
        <v>11779.25</v>
      </c>
      <c r="K276" s="61">
        <f t="shared" si="13"/>
        <v>1.0349999999999999</v>
      </c>
      <c r="L276" s="45">
        <f t="shared" si="14"/>
        <v>12191.523749999998</v>
      </c>
      <c r="M276" s="45">
        <f t="shared" si="15"/>
        <v>0</v>
      </c>
    </row>
    <row r="277" spans="1:13" outlineLevel="2" x14ac:dyDescent="0.35">
      <c r="A277" s="42">
        <v>1812300110</v>
      </c>
      <c r="B277" s="42" t="str">
        <f>VLOOKUP(A277,'תקציב מפורט 2025'!A:O,2,FALSE)</f>
        <v>גנים ט.חובה-משכורת</v>
      </c>
      <c r="C277" s="42">
        <v>318768462</v>
      </c>
      <c r="D277" s="42" t="s">
        <v>434</v>
      </c>
      <c r="E277" s="42" t="s">
        <v>521</v>
      </c>
      <c r="F277" s="42">
        <v>812312</v>
      </c>
      <c r="G277" s="48">
        <v>39.200000000000003</v>
      </c>
      <c r="H277" s="45">
        <v>2876.19</v>
      </c>
      <c r="I277" s="45">
        <f>SUMIFS('שכר 11.2024'!N:N,'שכר 11.2024'!C:C,C:C,'שכר 11.2024'!F:F,F:F)</f>
        <v>0</v>
      </c>
      <c r="J277" s="45">
        <f t="shared" si="12"/>
        <v>2876.19</v>
      </c>
      <c r="K277" s="61">
        <f t="shared" si="13"/>
        <v>1.0349999999999999</v>
      </c>
      <c r="L277" s="45">
        <f t="shared" si="14"/>
        <v>2976.8566499999997</v>
      </c>
      <c r="M277" s="45">
        <f t="shared" si="15"/>
        <v>3.563636363636364E-2</v>
      </c>
    </row>
    <row r="278" spans="1:13" outlineLevel="2" x14ac:dyDescent="0.35">
      <c r="A278" s="42">
        <v>1812300110</v>
      </c>
      <c r="B278" s="42" t="str">
        <f>VLOOKUP(A278,'תקציב מפורט 2025'!A:O,2,FALSE)</f>
        <v>גנים ט.חובה-משכורת</v>
      </c>
      <c r="C278" s="42">
        <v>323974204</v>
      </c>
      <c r="D278" s="42" t="s">
        <v>434</v>
      </c>
      <c r="E278" s="42" t="s">
        <v>544</v>
      </c>
      <c r="F278" s="42">
        <v>812312</v>
      </c>
      <c r="G278" s="48">
        <v>65.099999999999994</v>
      </c>
      <c r="H278" s="45">
        <v>4766.26</v>
      </c>
      <c r="I278" s="45">
        <f>SUMIFS('שכר 11.2024'!N:N,'שכר 11.2024'!C:C,C:C,'שכר 11.2024'!F:F,F:F)</f>
        <v>0</v>
      </c>
      <c r="J278" s="45">
        <f t="shared" si="12"/>
        <v>4766.26</v>
      </c>
      <c r="K278" s="61">
        <f t="shared" si="13"/>
        <v>1.0349999999999999</v>
      </c>
      <c r="L278" s="45">
        <f t="shared" si="14"/>
        <v>4933.0790999999999</v>
      </c>
      <c r="M278" s="45">
        <f t="shared" si="15"/>
        <v>5.9181818181818176E-2</v>
      </c>
    </row>
    <row r="279" spans="1:13" outlineLevel="2" x14ac:dyDescent="0.35">
      <c r="A279" s="42">
        <v>1812300110</v>
      </c>
      <c r="B279" s="42" t="str">
        <f>VLOOKUP(A279,'תקציב מפורט 2025'!A:O,2,FALSE)</f>
        <v>גנים ט.חובה-משכורת</v>
      </c>
      <c r="C279" s="42">
        <v>324881523</v>
      </c>
      <c r="D279" s="42" t="s">
        <v>434</v>
      </c>
      <c r="E279" s="42" t="s">
        <v>449</v>
      </c>
      <c r="F279" s="42">
        <v>812312</v>
      </c>
      <c r="G279" s="48">
        <v>0</v>
      </c>
      <c r="H279" s="45">
        <v>4930.6000000000004</v>
      </c>
      <c r="I279" s="45">
        <f>SUMIFS('שכר 11.2024'!N:N,'שכר 11.2024'!C:C,C:C,'שכר 11.2024'!F:F,F:F)</f>
        <v>0</v>
      </c>
      <c r="J279" s="45">
        <f t="shared" si="12"/>
        <v>4930.6000000000004</v>
      </c>
      <c r="K279" s="61">
        <f t="shared" si="13"/>
        <v>1.0349999999999999</v>
      </c>
      <c r="L279" s="45">
        <f t="shared" si="14"/>
        <v>5103.1710000000003</v>
      </c>
      <c r="M279" s="45">
        <f t="shared" si="15"/>
        <v>0</v>
      </c>
    </row>
    <row r="280" spans="1:13" outlineLevel="2" x14ac:dyDescent="0.35">
      <c r="A280" s="42">
        <v>1812300110</v>
      </c>
      <c r="B280" s="42" t="str">
        <f>VLOOKUP(A280,'תקציב מפורט 2025'!A:O,2,FALSE)</f>
        <v>גנים ט.חובה-משכורת</v>
      </c>
      <c r="C280" s="42">
        <v>325100477</v>
      </c>
      <c r="D280" s="42" t="s">
        <v>442</v>
      </c>
      <c r="E280" s="42" t="s">
        <v>1835</v>
      </c>
      <c r="F280" s="42">
        <v>812312</v>
      </c>
      <c r="G280" s="48">
        <v>98.2</v>
      </c>
      <c r="H280" s="45">
        <v>7626.28</v>
      </c>
      <c r="I280" s="45">
        <f>SUMIFS('שכר 11.2024'!N:N,'שכר 11.2024'!C:C,C:C,'שכר 11.2024'!F:F,F:F)</f>
        <v>0</v>
      </c>
      <c r="J280" s="45">
        <f t="shared" si="12"/>
        <v>7626.28</v>
      </c>
      <c r="K280" s="61">
        <f t="shared" si="13"/>
        <v>1.0349999999999999</v>
      </c>
      <c r="L280" s="45">
        <f t="shared" si="14"/>
        <v>7893.1997999999994</v>
      </c>
      <c r="M280" s="45">
        <f t="shared" si="15"/>
        <v>8.9272727272727281E-2</v>
      </c>
    </row>
    <row r="281" spans="1:13" outlineLevel="2" x14ac:dyDescent="0.35">
      <c r="A281" s="42">
        <v>1812300110</v>
      </c>
      <c r="B281" s="42" t="str">
        <f>VLOOKUP(A281,'תקציב מפורט 2025'!A:O,2,FALSE)</f>
        <v>גנים ט.חובה-משכורת</v>
      </c>
      <c r="C281" s="42">
        <v>328163282</v>
      </c>
      <c r="D281" s="42" t="s">
        <v>442</v>
      </c>
      <c r="E281" s="42" t="s">
        <v>1731</v>
      </c>
      <c r="F281" s="42">
        <v>812312</v>
      </c>
      <c r="G281" s="48">
        <v>491</v>
      </c>
      <c r="H281" s="45">
        <v>21312.41</v>
      </c>
      <c r="I281" s="45">
        <f>SUMIFS('שכר 11.2024'!N:N,'שכר 11.2024'!C:C,C:C,'שכר 11.2024'!F:F,F:F)</f>
        <v>2429.77</v>
      </c>
      <c r="J281" s="45">
        <f t="shared" ref="J281:J354" si="16">H281+I281</f>
        <v>23742.18</v>
      </c>
      <c r="K281" s="61">
        <f t="shared" ref="K281:K354" si="17">3.5/100+1</f>
        <v>1.0349999999999999</v>
      </c>
      <c r="L281" s="45">
        <f t="shared" ref="L281:L354" si="18">J281*K281</f>
        <v>24573.156299999999</v>
      </c>
      <c r="M281" s="45">
        <f t="shared" ref="M281:M354" si="19">G281/1100</f>
        <v>0.44636363636363635</v>
      </c>
    </row>
    <row r="282" spans="1:13" outlineLevel="2" x14ac:dyDescent="0.35">
      <c r="A282" s="42">
        <v>1812300110</v>
      </c>
      <c r="B282" s="42" t="str">
        <f>VLOOKUP(A282,'תקציב מפורט 2025'!A:O,2,FALSE)</f>
        <v>גנים ט.חובה-משכורת</v>
      </c>
      <c r="C282" s="42">
        <v>345602023</v>
      </c>
      <c r="D282" s="42" t="s">
        <v>434</v>
      </c>
      <c r="E282" s="42" t="s">
        <v>1740</v>
      </c>
      <c r="F282" s="42">
        <v>812312</v>
      </c>
      <c r="G282" s="48">
        <v>111.8</v>
      </c>
      <c r="H282" s="45">
        <v>13259.37</v>
      </c>
      <c r="I282" s="45">
        <f>SUMIFS('שכר 11.2024'!N:N,'שכר 11.2024'!C:C,C:C,'שכר 11.2024'!F:F,F:F)</f>
        <v>0</v>
      </c>
      <c r="J282" s="45">
        <f t="shared" si="16"/>
        <v>13259.37</v>
      </c>
      <c r="K282" s="61">
        <f t="shared" si="17"/>
        <v>1.0349999999999999</v>
      </c>
      <c r="L282" s="45">
        <f t="shared" si="18"/>
        <v>13723.44795</v>
      </c>
      <c r="M282" s="45">
        <f t="shared" si="19"/>
        <v>0.10163636363636364</v>
      </c>
    </row>
    <row r="283" spans="1:13" outlineLevel="1" x14ac:dyDescent="0.35">
      <c r="A283" s="63" t="s">
        <v>2004</v>
      </c>
      <c r="B283" s="63"/>
      <c r="C283" s="63"/>
      <c r="D283" s="63"/>
      <c r="E283" s="63"/>
      <c r="F283" s="63"/>
      <c r="G283" s="73">
        <f>SUBTOTAL(9,G100:G282)</f>
        <v>49104.900000000009</v>
      </c>
      <c r="H283" s="64">
        <f>SUBTOTAL(9,H100:H282)</f>
        <v>6618250.5600000024</v>
      </c>
      <c r="I283" s="64">
        <f>SUBTOTAL(9,I100:I282)</f>
        <v>598294.6100000001</v>
      </c>
      <c r="J283" s="64">
        <f>SUBTOTAL(9,J100:J282)</f>
        <v>7216545.1700000027</v>
      </c>
      <c r="K283" s="65"/>
      <c r="L283" s="64">
        <f>SUBTOTAL(9,L100:L282)</f>
        <v>7469124.2509499937</v>
      </c>
      <c r="M283" s="64">
        <f>SUBTOTAL(9,M100:M282)</f>
        <v>44.640818181818197</v>
      </c>
    </row>
    <row r="284" spans="1:13" outlineLevel="2" x14ac:dyDescent="0.35">
      <c r="A284" s="42">
        <v>1812400110</v>
      </c>
      <c r="B284" s="42" t="str">
        <f>VLOOKUP(A284,'תקציב מפורט 2025'!A:O,2,FALSE)</f>
        <v>מדרכות קייטנת גיל רך</v>
      </c>
      <c r="C284" s="42">
        <v>204734495</v>
      </c>
      <c r="D284" s="42" t="s">
        <v>1732</v>
      </c>
      <c r="E284" s="42" t="s">
        <v>1733</v>
      </c>
      <c r="F284" s="42">
        <v>812400</v>
      </c>
      <c r="G284" s="48">
        <v>370.3</v>
      </c>
      <c r="H284" s="45">
        <v>95358.07</v>
      </c>
      <c r="I284" s="45">
        <f>SUMIFS('שכר 11.2024'!N:N,'שכר 11.2024'!C:C,C:C,'שכר 11.2024'!F:F,F:F)</f>
        <v>8269.9599999999991</v>
      </c>
      <c r="J284" s="45">
        <f t="shared" si="16"/>
        <v>103628.03</v>
      </c>
      <c r="K284" s="61">
        <f t="shared" si="17"/>
        <v>1.0349999999999999</v>
      </c>
      <c r="L284" s="45">
        <f t="shared" si="18"/>
        <v>107255.01104999999</v>
      </c>
      <c r="M284" s="45">
        <f t="shared" si="19"/>
        <v>0.33663636363636362</v>
      </c>
    </row>
    <row r="285" spans="1:13" outlineLevel="1" x14ac:dyDescent="0.35">
      <c r="A285" s="63" t="s">
        <v>2005</v>
      </c>
      <c r="B285" s="63"/>
      <c r="C285" s="63"/>
      <c r="D285" s="63"/>
      <c r="E285" s="63"/>
      <c r="F285" s="63"/>
      <c r="G285" s="73">
        <f>SUBTOTAL(9,G284:G284)</f>
        <v>370.3</v>
      </c>
      <c r="H285" s="64">
        <f>SUBTOTAL(9,H284:H284)</f>
        <v>95358.07</v>
      </c>
      <c r="I285" s="64">
        <f>SUBTOTAL(9,I284:I284)</f>
        <v>8269.9599999999991</v>
      </c>
      <c r="J285" s="64">
        <f>SUBTOTAL(9,J284:J284)</f>
        <v>103628.03</v>
      </c>
      <c r="K285" s="65"/>
      <c r="L285" s="64">
        <f>SUBTOTAL(9,L284:L284)</f>
        <v>107255.01104999999</v>
      </c>
      <c r="M285" s="64">
        <f>SUBTOTAL(9,M284:M284)</f>
        <v>0.33663636363636362</v>
      </c>
    </row>
    <row r="286" spans="1:13" outlineLevel="2" x14ac:dyDescent="0.35">
      <c r="A286" s="42">
        <v>1812500110</v>
      </c>
      <c r="B286" s="42" t="str">
        <f>VLOOKUP(A286,'תקציב מפורט 2025'!A:O,2,FALSE)</f>
        <v>גנים טיפוליים-משכורת</v>
      </c>
      <c r="C286" s="42">
        <v>31693484</v>
      </c>
      <c r="D286" s="42" t="s">
        <v>434</v>
      </c>
      <c r="E286" s="42" t="s">
        <v>551</v>
      </c>
      <c r="F286" s="42">
        <v>812500</v>
      </c>
      <c r="G286" s="48">
        <v>1100</v>
      </c>
      <c r="H286" s="45">
        <v>155698.53</v>
      </c>
      <c r="I286" s="45">
        <f>SUMIFS('שכר 11.2024'!N:N,'שכר 11.2024'!C:C,C:C,'שכר 11.2024'!F:F,F:F)</f>
        <v>12595.83</v>
      </c>
      <c r="J286" s="45">
        <f t="shared" si="16"/>
        <v>168294.36</v>
      </c>
      <c r="K286" s="61">
        <f t="shared" si="17"/>
        <v>1.0349999999999999</v>
      </c>
      <c r="L286" s="45">
        <f t="shared" si="18"/>
        <v>174184.66259999998</v>
      </c>
      <c r="M286" s="45">
        <f t="shared" si="19"/>
        <v>1</v>
      </c>
    </row>
    <row r="287" spans="1:13" outlineLevel="1" x14ac:dyDescent="0.35">
      <c r="A287" s="63" t="s">
        <v>2006</v>
      </c>
      <c r="B287" s="63"/>
      <c r="C287" s="63"/>
      <c r="D287" s="63"/>
      <c r="E287" s="63"/>
      <c r="F287" s="63"/>
      <c r="G287" s="73">
        <f>SUBTOTAL(9,G286:G286)</f>
        <v>1100</v>
      </c>
      <c r="H287" s="64">
        <f>SUBTOTAL(9,H286:H286)</f>
        <v>155698.53</v>
      </c>
      <c r="I287" s="64">
        <f>SUBTOTAL(9,I286:I286)</f>
        <v>12595.83</v>
      </c>
      <c r="J287" s="64">
        <f>SUBTOTAL(9,J286:J286)</f>
        <v>168294.36</v>
      </c>
      <c r="K287" s="65"/>
      <c r="L287" s="64">
        <f>SUBTOTAL(9,L286:L286)</f>
        <v>174184.66259999998</v>
      </c>
      <c r="M287" s="64">
        <f>SUBTOTAL(9,M286:M286)</f>
        <v>1</v>
      </c>
    </row>
    <row r="288" spans="1:13" outlineLevel="2" x14ac:dyDescent="0.35">
      <c r="A288" s="42">
        <v>1813210110</v>
      </c>
      <c r="B288" s="42" t="str">
        <f>VLOOKUP(A288,'תקציב מפורט 2025'!A:O,2,FALSE)</f>
        <v>ב"ס א -משכורת</v>
      </c>
      <c r="C288" s="42">
        <v>27528645</v>
      </c>
      <c r="D288" s="42" t="s">
        <v>538</v>
      </c>
      <c r="E288" s="42" t="s">
        <v>575</v>
      </c>
      <c r="F288" s="42">
        <v>813210</v>
      </c>
      <c r="G288" s="48">
        <v>1100</v>
      </c>
      <c r="H288" s="45">
        <v>207082.38</v>
      </c>
      <c r="I288" s="45">
        <f>SUMIFS('שכר 11.2024'!N:N,'שכר 11.2024'!C:C,C:C,'שכר 11.2024'!F:F,F:F)</f>
        <v>17000.900000000001</v>
      </c>
      <c r="J288" s="45">
        <f t="shared" si="16"/>
        <v>224083.28</v>
      </c>
      <c r="K288" s="61">
        <f t="shared" si="17"/>
        <v>1.0349999999999999</v>
      </c>
      <c r="L288" s="45">
        <f t="shared" si="18"/>
        <v>231926.19479999997</v>
      </c>
      <c r="M288" s="45">
        <f t="shared" si="19"/>
        <v>1</v>
      </c>
    </row>
    <row r="289" spans="1:13" outlineLevel="2" x14ac:dyDescent="0.35">
      <c r="A289" s="42">
        <v>1813210110</v>
      </c>
      <c r="B289" s="42" t="str">
        <f>VLOOKUP(A289,'תקציב מפורט 2025'!A:O,2,FALSE)</f>
        <v>ב"ס א -משכורת</v>
      </c>
      <c r="C289" s="42">
        <v>34262873</v>
      </c>
      <c r="D289" s="42" t="s">
        <v>577</v>
      </c>
      <c r="E289" s="42" t="s">
        <v>547</v>
      </c>
      <c r="F289" s="42">
        <v>813210</v>
      </c>
      <c r="G289" s="48">
        <v>880</v>
      </c>
      <c r="H289" s="45">
        <v>138763.21</v>
      </c>
      <c r="I289" s="45">
        <f>SUMIFS('שכר 11.2024'!N:N,'שכר 11.2024'!C:C,C:C,'שכר 11.2024'!F:F,F:F)</f>
        <v>11628.1</v>
      </c>
      <c r="J289" s="45">
        <f t="shared" si="16"/>
        <v>150391.31</v>
      </c>
      <c r="K289" s="61">
        <f t="shared" si="17"/>
        <v>1.0349999999999999</v>
      </c>
      <c r="L289" s="45">
        <f t="shared" si="18"/>
        <v>155655.00584999999</v>
      </c>
      <c r="M289" s="45">
        <f t="shared" si="19"/>
        <v>0.8</v>
      </c>
    </row>
    <row r="290" spans="1:13" outlineLevel="2" x14ac:dyDescent="0.35">
      <c r="A290" s="42">
        <v>1813210110</v>
      </c>
      <c r="B290" s="42" t="str">
        <f>VLOOKUP(A290,'תקציב מפורט 2025'!A:O,2,FALSE)</f>
        <v>ב"ס א -משכורת</v>
      </c>
      <c r="C290" s="42">
        <v>36483162</v>
      </c>
      <c r="D290" s="42" t="s">
        <v>495</v>
      </c>
      <c r="E290" s="42" t="s">
        <v>571</v>
      </c>
      <c r="F290" s="42">
        <v>813210</v>
      </c>
      <c r="G290" s="48">
        <v>593.20000000000005</v>
      </c>
      <c r="H290" s="45">
        <v>54765.16</v>
      </c>
      <c r="I290" s="45">
        <f>SUMIFS('שכר 11.2024'!N:N,'שכר 11.2024'!C:C,C:C,'שכר 11.2024'!F:F,F:F)</f>
        <v>5769.28</v>
      </c>
      <c r="J290" s="45">
        <f t="shared" si="16"/>
        <v>60534.44</v>
      </c>
      <c r="K290" s="61">
        <f t="shared" si="17"/>
        <v>1.0349999999999999</v>
      </c>
      <c r="L290" s="45">
        <f t="shared" si="18"/>
        <v>62653.145399999994</v>
      </c>
      <c r="M290" s="45">
        <f t="shared" si="19"/>
        <v>0.53927272727272735</v>
      </c>
    </row>
    <row r="291" spans="1:13" outlineLevel="2" x14ac:dyDescent="0.35">
      <c r="A291" s="42">
        <v>1813210110</v>
      </c>
      <c r="B291" s="42" t="str">
        <f>VLOOKUP(A291,'תקציב מפורט 2025'!A:O,2,FALSE)</f>
        <v>ב"ס א -משכורת</v>
      </c>
      <c r="C291" s="42">
        <v>60463957</v>
      </c>
      <c r="D291" s="42" t="s">
        <v>442</v>
      </c>
      <c r="E291" s="42" t="s">
        <v>441</v>
      </c>
      <c r="F291" s="42">
        <v>813210</v>
      </c>
      <c r="G291" s="48">
        <v>880</v>
      </c>
      <c r="H291" s="45">
        <v>115410.05</v>
      </c>
      <c r="I291" s="45">
        <f>SUMIFS('שכר 11.2024'!N:N,'שכר 11.2024'!C:C,C:C,'שכר 11.2024'!F:F,F:F)</f>
        <v>9780.7900000000009</v>
      </c>
      <c r="J291" s="45">
        <f t="shared" si="16"/>
        <v>125190.84</v>
      </c>
      <c r="K291" s="61">
        <f t="shared" si="17"/>
        <v>1.0349999999999999</v>
      </c>
      <c r="L291" s="45">
        <f t="shared" si="18"/>
        <v>129572.51939999999</v>
      </c>
      <c r="M291" s="45">
        <f t="shared" si="19"/>
        <v>0.8</v>
      </c>
    </row>
    <row r="292" spans="1:13" outlineLevel="2" x14ac:dyDescent="0.35">
      <c r="A292" s="42">
        <v>1813210110</v>
      </c>
      <c r="B292" s="42" t="str">
        <f>VLOOKUP(A292,'תקציב מפורט 2025'!A:O,2,FALSE)</f>
        <v>ב"ס א -משכורת</v>
      </c>
      <c r="C292" s="42">
        <v>301238085</v>
      </c>
      <c r="D292" s="42" t="s">
        <v>434</v>
      </c>
      <c r="E292" s="42" t="s">
        <v>849</v>
      </c>
      <c r="F292" s="42">
        <v>813210</v>
      </c>
      <c r="G292" s="48">
        <v>1100</v>
      </c>
      <c r="H292" s="45">
        <v>149530.6</v>
      </c>
      <c r="I292" s="45">
        <f>SUMIFS('שכר 11.2024'!N:N,'שכר 11.2024'!C:C,C:C,'שכר 11.2024'!F:F,F:F)</f>
        <v>13200.42</v>
      </c>
      <c r="J292" s="45">
        <f t="shared" si="16"/>
        <v>162731.02000000002</v>
      </c>
      <c r="K292" s="61">
        <f t="shared" si="17"/>
        <v>1.0349999999999999</v>
      </c>
      <c r="L292" s="45">
        <f t="shared" si="18"/>
        <v>168426.60570000001</v>
      </c>
      <c r="M292" s="45">
        <f t="shared" si="19"/>
        <v>1</v>
      </c>
    </row>
    <row r="293" spans="1:13" outlineLevel="2" x14ac:dyDescent="0.35">
      <c r="A293" s="42">
        <v>1813210110</v>
      </c>
      <c r="B293" s="42" t="str">
        <f>VLOOKUP(A293,'תקציב מפורט 2025'!A:O,2,FALSE)</f>
        <v>ב"ס א -משכורת</v>
      </c>
      <c r="C293" s="42">
        <v>309825263</v>
      </c>
      <c r="D293" s="42" t="s">
        <v>1734</v>
      </c>
      <c r="E293" s="42" t="s">
        <v>1735</v>
      </c>
      <c r="F293" s="42">
        <v>813210</v>
      </c>
      <c r="G293" s="48">
        <v>392.5</v>
      </c>
      <c r="H293" s="45">
        <v>31824.21</v>
      </c>
      <c r="I293" s="45">
        <f>SUMIFS('שכר 11.2024'!N:N,'שכר 11.2024'!C:C,C:C,'שכר 11.2024'!F:F,F:F)</f>
        <v>2548.62</v>
      </c>
      <c r="J293" s="45">
        <f t="shared" si="16"/>
        <v>34372.83</v>
      </c>
      <c r="K293" s="61">
        <f t="shared" si="17"/>
        <v>1.0349999999999999</v>
      </c>
      <c r="L293" s="45">
        <f t="shared" si="18"/>
        <v>35575.879049999996</v>
      </c>
      <c r="M293" s="45">
        <f t="shared" si="19"/>
        <v>0.35681818181818181</v>
      </c>
    </row>
    <row r="294" spans="1:13" outlineLevel="2" x14ac:dyDescent="0.35">
      <c r="A294" s="42">
        <v>1813210110</v>
      </c>
      <c r="B294" s="42" t="str">
        <f>VLOOKUP(A294,'תקציב מפורט 2025'!A:O,2,FALSE)</f>
        <v>ב"ס א -משכורת</v>
      </c>
      <c r="C294" s="42">
        <v>27528645</v>
      </c>
      <c r="D294" s="42" t="s">
        <v>538</v>
      </c>
      <c r="E294" s="42" t="s">
        <v>575</v>
      </c>
      <c r="F294" s="42">
        <v>813211</v>
      </c>
      <c r="G294" s="48">
        <v>0</v>
      </c>
      <c r="H294" s="45">
        <v>6474.1</v>
      </c>
      <c r="I294" s="45">
        <f>SUMIFS('שכר 11.2024'!N:N,'שכר 11.2024'!C:C,C:C,'שכר 11.2024'!F:F,F:F)</f>
        <v>318.2</v>
      </c>
      <c r="J294" s="45">
        <f t="shared" si="16"/>
        <v>6792.3</v>
      </c>
      <c r="K294" s="61">
        <f t="shared" si="17"/>
        <v>1.0349999999999999</v>
      </c>
      <c r="L294" s="45">
        <f t="shared" si="18"/>
        <v>7030.0304999999998</v>
      </c>
      <c r="M294" s="45">
        <f t="shared" si="19"/>
        <v>0</v>
      </c>
    </row>
    <row r="295" spans="1:13" outlineLevel="1" x14ac:dyDescent="0.35">
      <c r="A295" s="63" t="s">
        <v>2007</v>
      </c>
      <c r="B295" s="63"/>
      <c r="C295" s="63"/>
      <c r="D295" s="63"/>
      <c r="E295" s="63"/>
      <c r="F295" s="63"/>
      <c r="G295" s="73">
        <f>SUBTOTAL(9,G288:G294)</f>
        <v>4945.7</v>
      </c>
      <c r="H295" s="64">
        <f>SUBTOTAL(9,H288:H294)</f>
        <v>703849.71</v>
      </c>
      <c r="I295" s="64">
        <f>SUBTOTAL(9,I288:I294)</f>
        <v>60246.31</v>
      </c>
      <c r="J295" s="64">
        <f>SUBTOTAL(9,J288:J294)</f>
        <v>764096.02</v>
      </c>
      <c r="K295" s="65"/>
      <c r="L295" s="64">
        <f>SUBTOTAL(9,L288:L294)</f>
        <v>790839.38069999986</v>
      </c>
      <c r="M295" s="64">
        <f>SUBTOTAL(9,M288:M294)</f>
        <v>4.4960909090909089</v>
      </c>
    </row>
    <row r="296" spans="1:13" outlineLevel="2" x14ac:dyDescent="0.35">
      <c r="A296" s="42">
        <v>1813212110</v>
      </c>
      <c r="B296" s="42" t="str">
        <f>VLOOKUP(A296,'תקציב מפורט 2025'!A:O,2,FALSE)</f>
        <v>גפן שכר</v>
      </c>
      <c r="C296" s="42">
        <v>23125545</v>
      </c>
      <c r="D296" s="42" t="s">
        <v>563</v>
      </c>
      <c r="E296" s="42" t="s">
        <v>562</v>
      </c>
      <c r="F296" s="42">
        <v>813212</v>
      </c>
      <c r="G296" s="48">
        <v>0</v>
      </c>
      <c r="H296" s="45">
        <v>10055.99</v>
      </c>
      <c r="I296" s="45">
        <f>SUMIFS('שכר 11.2024'!N:N,'שכר 11.2024'!C:C,C:C,'שכר 11.2024'!F:F,F:F)</f>
        <v>0</v>
      </c>
      <c r="J296" s="45">
        <f t="shared" si="16"/>
        <v>10055.99</v>
      </c>
      <c r="K296" s="61">
        <f t="shared" si="17"/>
        <v>1.0349999999999999</v>
      </c>
      <c r="L296" s="45">
        <f t="shared" si="18"/>
        <v>10407.949649999999</v>
      </c>
      <c r="M296" s="45">
        <f t="shared" si="19"/>
        <v>0</v>
      </c>
    </row>
    <row r="297" spans="1:13" outlineLevel="2" x14ac:dyDescent="0.35">
      <c r="A297" s="42">
        <v>1813212110</v>
      </c>
      <c r="B297" s="42" t="str">
        <f>VLOOKUP(A297,'תקציב מפורט 2025'!A:O,2,FALSE)</f>
        <v>גפן שכר</v>
      </c>
      <c r="C297" s="42">
        <v>26444117</v>
      </c>
      <c r="D297" s="42" t="s">
        <v>434</v>
      </c>
      <c r="E297" s="42" t="s">
        <v>1748</v>
      </c>
      <c r="F297" s="42">
        <v>813212</v>
      </c>
      <c r="G297" s="48">
        <v>0</v>
      </c>
      <c r="H297" s="45">
        <v>2398.6799999999998</v>
      </c>
      <c r="I297" s="45">
        <f>SUMIFS('שכר 11.2024'!N:N,'שכר 11.2024'!C:C,C:C,'שכר 11.2024'!F:F,F:F)</f>
        <v>0</v>
      </c>
      <c r="J297" s="45">
        <f t="shared" si="16"/>
        <v>2398.6799999999998</v>
      </c>
      <c r="K297" s="61">
        <f t="shared" si="17"/>
        <v>1.0349999999999999</v>
      </c>
      <c r="L297" s="45">
        <f t="shared" si="18"/>
        <v>2482.6337999999996</v>
      </c>
      <c r="M297" s="45">
        <f t="shared" si="19"/>
        <v>0</v>
      </c>
    </row>
    <row r="298" spans="1:13" outlineLevel="2" x14ac:dyDescent="0.35">
      <c r="A298" s="42">
        <v>1813212110</v>
      </c>
      <c r="B298" s="42" t="str">
        <f>VLOOKUP(A298,'תקציב מפורט 2025'!A:O,2,FALSE)</f>
        <v>גפן שכר</v>
      </c>
      <c r="C298" s="42">
        <v>27528645</v>
      </c>
      <c r="D298" s="42" t="s">
        <v>538</v>
      </c>
      <c r="E298" s="42" t="s">
        <v>575</v>
      </c>
      <c r="F298" s="42">
        <v>813212</v>
      </c>
      <c r="G298" s="48">
        <v>0</v>
      </c>
      <c r="H298" s="45">
        <v>5656.12</v>
      </c>
      <c r="I298" s="45">
        <f>SUMIFS('שכר 11.2024'!N:N,'שכר 11.2024'!C:C,C:C,'שכר 11.2024'!F:F,F:F)</f>
        <v>0</v>
      </c>
      <c r="J298" s="45">
        <f t="shared" si="16"/>
        <v>5656.12</v>
      </c>
      <c r="K298" s="61">
        <f t="shared" si="17"/>
        <v>1.0349999999999999</v>
      </c>
      <c r="L298" s="45">
        <f t="shared" si="18"/>
        <v>5854.0841999999993</v>
      </c>
      <c r="M298" s="45">
        <f t="shared" si="19"/>
        <v>0</v>
      </c>
    </row>
    <row r="299" spans="1:13" outlineLevel="2" x14ac:dyDescent="0.35">
      <c r="A299" s="42">
        <v>1813212110</v>
      </c>
      <c r="B299" s="42" t="str">
        <f>VLOOKUP(A299,'תקציב מפורט 2025'!A:O,2,FALSE)</f>
        <v>גפן שכר</v>
      </c>
      <c r="C299" s="42">
        <v>32524548</v>
      </c>
      <c r="D299" s="42" t="s">
        <v>434</v>
      </c>
      <c r="E299" s="42" t="s">
        <v>1836</v>
      </c>
      <c r="F299" s="42">
        <v>813212</v>
      </c>
      <c r="G299" s="48">
        <v>48.4</v>
      </c>
      <c r="H299" s="45">
        <v>12892.92</v>
      </c>
      <c r="I299" s="45">
        <f>SUMIFS('שכר 11.2024'!N:N,'שכר 11.2024'!C:C,C:C,'שכר 11.2024'!F:F,F:F)</f>
        <v>0</v>
      </c>
      <c r="J299" s="45">
        <f t="shared" si="16"/>
        <v>12892.92</v>
      </c>
      <c r="K299" s="61">
        <f t="shared" si="17"/>
        <v>1.0349999999999999</v>
      </c>
      <c r="L299" s="45">
        <f t="shared" si="18"/>
        <v>13344.172199999999</v>
      </c>
      <c r="M299" s="45">
        <f t="shared" si="19"/>
        <v>4.3999999999999997E-2</v>
      </c>
    </row>
    <row r="300" spans="1:13" outlineLevel="2" x14ac:dyDescent="0.35">
      <c r="A300" s="42">
        <v>1813212110</v>
      </c>
      <c r="B300" s="42" t="str">
        <f>VLOOKUP(A300,'תקציב מפורט 2025'!A:O,2,FALSE)</f>
        <v>גפן שכר</v>
      </c>
      <c r="C300" s="42">
        <v>32524555</v>
      </c>
      <c r="D300" s="42" t="s">
        <v>442</v>
      </c>
      <c r="E300" s="42" t="s">
        <v>961</v>
      </c>
      <c r="F300" s="42">
        <v>813212</v>
      </c>
      <c r="G300" s="48">
        <v>0</v>
      </c>
      <c r="H300" s="45">
        <v>12645.7</v>
      </c>
      <c r="I300" s="45">
        <f>SUMIFS('שכר 11.2024'!N:N,'שכר 11.2024'!C:C,C:C,'שכר 11.2024'!F:F,F:F)</f>
        <v>0</v>
      </c>
      <c r="J300" s="45">
        <f t="shared" si="16"/>
        <v>12645.7</v>
      </c>
      <c r="K300" s="61">
        <f t="shared" si="17"/>
        <v>1.0349999999999999</v>
      </c>
      <c r="L300" s="45">
        <f t="shared" si="18"/>
        <v>13088.299499999999</v>
      </c>
      <c r="M300" s="45">
        <f t="shared" si="19"/>
        <v>0</v>
      </c>
    </row>
    <row r="301" spans="1:13" outlineLevel="2" x14ac:dyDescent="0.35">
      <c r="A301" s="42">
        <v>1813212110</v>
      </c>
      <c r="B301" s="42" t="str">
        <f>VLOOKUP(A301,'תקציב מפורט 2025'!A:O,2,FALSE)</f>
        <v>גפן שכר</v>
      </c>
      <c r="C301" s="42">
        <v>34834218</v>
      </c>
      <c r="D301" s="42" t="s">
        <v>434</v>
      </c>
      <c r="E301" s="42" t="s">
        <v>948</v>
      </c>
      <c r="F301" s="42">
        <v>813212</v>
      </c>
      <c r="G301" s="48">
        <v>0</v>
      </c>
      <c r="H301" s="45">
        <v>1146.83</v>
      </c>
      <c r="I301" s="45">
        <f>SUMIFS('שכר 11.2024'!N:N,'שכר 11.2024'!C:C,C:C,'שכר 11.2024'!F:F,F:F)</f>
        <v>0</v>
      </c>
      <c r="J301" s="45">
        <f t="shared" si="16"/>
        <v>1146.83</v>
      </c>
      <c r="K301" s="61">
        <f t="shared" si="17"/>
        <v>1.0349999999999999</v>
      </c>
      <c r="L301" s="45">
        <f t="shared" si="18"/>
        <v>1186.9690499999999</v>
      </c>
      <c r="M301" s="45">
        <f t="shared" si="19"/>
        <v>0</v>
      </c>
    </row>
    <row r="302" spans="1:13" outlineLevel="2" x14ac:dyDescent="0.35">
      <c r="A302" s="42">
        <v>1813212110</v>
      </c>
      <c r="B302" s="42" t="str">
        <f>VLOOKUP(A302,'תקציב מפורט 2025'!A:O,2,FALSE)</f>
        <v>גפן שכר</v>
      </c>
      <c r="C302" s="42">
        <v>37409091</v>
      </c>
      <c r="D302" s="42" t="s">
        <v>434</v>
      </c>
      <c r="E302" s="42" t="s">
        <v>1751</v>
      </c>
      <c r="F302" s="42">
        <v>813212</v>
      </c>
      <c r="G302" s="48">
        <v>0</v>
      </c>
      <c r="H302" s="45">
        <v>5027.84</v>
      </c>
      <c r="I302" s="45">
        <f>SUMIFS('שכר 11.2024'!N:N,'שכר 11.2024'!C:C,C:C,'שכר 11.2024'!F:F,F:F)</f>
        <v>0</v>
      </c>
      <c r="J302" s="45">
        <f t="shared" si="16"/>
        <v>5027.84</v>
      </c>
      <c r="K302" s="61">
        <f t="shared" si="17"/>
        <v>1.0349999999999999</v>
      </c>
      <c r="L302" s="45">
        <f t="shared" si="18"/>
        <v>5203.8143999999993</v>
      </c>
      <c r="M302" s="45">
        <f t="shared" si="19"/>
        <v>0</v>
      </c>
    </row>
    <row r="303" spans="1:13" outlineLevel="2" x14ac:dyDescent="0.35">
      <c r="A303" s="42">
        <v>1813212110</v>
      </c>
      <c r="B303" s="42" t="str">
        <f>VLOOKUP(A303,'תקציב מפורט 2025'!A:O,2,FALSE)</f>
        <v>גפן שכר</v>
      </c>
      <c r="C303" s="42">
        <v>40819625</v>
      </c>
      <c r="D303" s="42" t="s">
        <v>495</v>
      </c>
      <c r="E303" s="42" t="s">
        <v>506</v>
      </c>
      <c r="F303" s="42">
        <v>813212</v>
      </c>
      <c r="G303" s="48">
        <v>0</v>
      </c>
      <c r="H303" s="45">
        <v>8548.61</v>
      </c>
      <c r="I303" s="45">
        <f>SUMIFS('שכר 11.2024'!N:N,'שכר 11.2024'!C:C,C:C,'שכר 11.2024'!F:F,F:F)</f>
        <v>0</v>
      </c>
      <c r="J303" s="45">
        <f t="shared" si="16"/>
        <v>8548.61</v>
      </c>
      <c r="K303" s="61">
        <f t="shared" si="17"/>
        <v>1.0349999999999999</v>
      </c>
      <c r="L303" s="45">
        <f t="shared" si="18"/>
        <v>8847.8113499999999</v>
      </c>
      <c r="M303" s="45">
        <f t="shared" si="19"/>
        <v>0</v>
      </c>
    </row>
    <row r="304" spans="1:13" outlineLevel="2" x14ac:dyDescent="0.35">
      <c r="A304" s="42">
        <v>1813212110</v>
      </c>
      <c r="B304" s="42" t="str">
        <f>VLOOKUP(A304,'תקציב מפורט 2025'!A:O,2,FALSE)</f>
        <v>גפן שכר</v>
      </c>
      <c r="C304" s="42">
        <v>40932261</v>
      </c>
      <c r="D304" s="42" t="s">
        <v>1754</v>
      </c>
      <c r="E304" s="42" t="s">
        <v>1755</v>
      </c>
      <c r="F304" s="42">
        <v>813212</v>
      </c>
      <c r="G304" s="48">
        <v>0</v>
      </c>
      <c r="H304" s="45">
        <v>7386.24</v>
      </c>
      <c r="I304" s="45">
        <f>SUMIFS('שכר 11.2024'!N:N,'שכר 11.2024'!C:C,C:C,'שכר 11.2024'!F:F,F:F)</f>
        <v>0</v>
      </c>
      <c r="J304" s="45">
        <f t="shared" si="16"/>
        <v>7386.24</v>
      </c>
      <c r="K304" s="61">
        <f t="shared" si="17"/>
        <v>1.0349999999999999</v>
      </c>
      <c r="L304" s="45">
        <f t="shared" si="18"/>
        <v>7644.7583999999988</v>
      </c>
      <c r="M304" s="45">
        <f t="shared" si="19"/>
        <v>0</v>
      </c>
    </row>
    <row r="305" spans="1:13" outlineLevel="2" x14ac:dyDescent="0.35">
      <c r="A305" s="42">
        <v>1813212110</v>
      </c>
      <c r="B305" s="42" t="str">
        <f>VLOOKUP(A305,'תקציב מפורט 2025'!A:O,2,FALSE)</f>
        <v>גפן שכר</v>
      </c>
      <c r="C305" s="42">
        <v>200614675</v>
      </c>
      <c r="D305" s="42" t="s">
        <v>526</v>
      </c>
      <c r="E305" s="42" t="s">
        <v>1837</v>
      </c>
      <c r="F305" s="42">
        <v>813212</v>
      </c>
      <c r="G305" s="48">
        <v>102.7</v>
      </c>
      <c r="H305" s="45">
        <v>27374.93</v>
      </c>
      <c r="I305" s="45">
        <f>SUMIFS('שכר 11.2024'!N:N,'שכר 11.2024'!C:C,C:C,'שכר 11.2024'!F:F,F:F)</f>
        <v>0</v>
      </c>
      <c r="J305" s="45">
        <f t="shared" si="16"/>
        <v>27374.93</v>
      </c>
      <c r="K305" s="61">
        <f t="shared" si="17"/>
        <v>1.0349999999999999</v>
      </c>
      <c r="L305" s="45">
        <f t="shared" si="18"/>
        <v>28333.052549999997</v>
      </c>
      <c r="M305" s="45">
        <f t="shared" si="19"/>
        <v>9.3363636363636371E-2</v>
      </c>
    </row>
    <row r="306" spans="1:13" outlineLevel="2" x14ac:dyDescent="0.35">
      <c r="A306" s="42">
        <v>1813212110</v>
      </c>
      <c r="B306" s="42" t="str">
        <f>VLOOKUP(A306,'תקציב מפורט 2025'!A:O,2,FALSE)</f>
        <v>גפן שכר</v>
      </c>
      <c r="C306" s="42">
        <v>204581870</v>
      </c>
      <c r="D306" s="42" t="s">
        <v>442</v>
      </c>
      <c r="E306" s="42" t="s">
        <v>480</v>
      </c>
      <c r="F306" s="42">
        <v>813212</v>
      </c>
      <c r="G306" s="48">
        <v>0</v>
      </c>
      <c r="H306" s="45">
        <v>3934.35</v>
      </c>
      <c r="I306" s="45">
        <f>SUMIFS('שכר 11.2024'!N:N,'שכר 11.2024'!C:C,C:C,'שכר 11.2024'!F:F,F:F)</f>
        <v>0</v>
      </c>
      <c r="J306" s="45">
        <f t="shared" si="16"/>
        <v>3934.35</v>
      </c>
      <c r="K306" s="61">
        <f t="shared" si="17"/>
        <v>1.0349999999999999</v>
      </c>
      <c r="L306" s="45">
        <f t="shared" si="18"/>
        <v>4072.0522499999997</v>
      </c>
      <c r="M306" s="45">
        <f t="shared" si="19"/>
        <v>0</v>
      </c>
    </row>
    <row r="307" spans="1:13" outlineLevel="2" x14ac:dyDescent="0.35">
      <c r="A307" s="42">
        <v>1813212110</v>
      </c>
      <c r="B307" s="42" t="str">
        <f>VLOOKUP(A307,'תקציב מפורט 2025'!A:O,2,FALSE)</f>
        <v>גפן שכר</v>
      </c>
      <c r="C307" s="42">
        <v>208076687</v>
      </c>
      <c r="D307" s="42" t="s">
        <v>434</v>
      </c>
      <c r="E307" s="42" t="s">
        <v>872</v>
      </c>
      <c r="F307" s="42">
        <v>813212</v>
      </c>
      <c r="G307" s="48">
        <v>0</v>
      </c>
      <c r="H307" s="45">
        <v>2125.0100000000002</v>
      </c>
      <c r="I307" s="45">
        <f>SUMIFS('שכר 11.2024'!N:N,'שכר 11.2024'!C:C,C:C,'שכר 11.2024'!F:F,F:F)</f>
        <v>0</v>
      </c>
      <c r="J307" s="45">
        <f t="shared" si="16"/>
        <v>2125.0100000000002</v>
      </c>
      <c r="K307" s="61">
        <f t="shared" si="17"/>
        <v>1.0349999999999999</v>
      </c>
      <c r="L307" s="45">
        <f t="shared" si="18"/>
        <v>2199.38535</v>
      </c>
      <c r="M307" s="45">
        <f t="shared" si="19"/>
        <v>0</v>
      </c>
    </row>
    <row r="308" spans="1:13" outlineLevel="2" x14ac:dyDescent="0.35">
      <c r="A308" s="42">
        <v>1813212110</v>
      </c>
      <c r="B308" s="42" t="str">
        <f>VLOOKUP(A308,'תקציב מפורט 2025'!A:O,2,FALSE)</f>
        <v>גפן שכר</v>
      </c>
      <c r="C308" s="42">
        <v>211447255</v>
      </c>
      <c r="D308" s="42" t="s">
        <v>434</v>
      </c>
      <c r="E308" s="42" t="s">
        <v>1828</v>
      </c>
      <c r="F308" s="42">
        <v>813212</v>
      </c>
      <c r="G308" s="48">
        <v>0</v>
      </c>
      <c r="H308" s="45">
        <v>25276.1</v>
      </c>
      <c r="I308" s="45">
        <f>SUMIFS('שכר 11.2024'!N:N,'שכר 11.2024'!C:C,C:C,'שכר 11.2024'!F:F,F:F)</f>
        <v>0</v>
      </c>
      <c r="J308" s="45">
        <f t="shared" si="16"/>
        <v>25276.1</v>
      </c>
      <c r="K308" s="61">
        <f t="shared" si="17"/>
        <v>1.0349999999999999</v>
      </c>
      <c r="L308" s="45">
        <f t="shared" si="18"/>
        <v>26160.763499999997</v>
      </c>
      <c r="M308" s="45">
        <f t="shared" si="19"/>
        <v>0</v>
      </c>
    </row>
    <row r="309" spans="1:13" outlineLevel="2" x14ac:dyDescent="0.35">
      <c r="A309" s="42">
        <v>1813212110</v>
      </c>
      <c r="B309" s="42" t="str">
        <f>VLOOKUP(A309,'תקציב מפורט 2025'!A:O,2,FALSE)</f>
        <v>גפן שכר</v>
      </c>
      <c r="C309" s="42">
        <v>302826672</v>
      </c>
      <c r="D309" s="42" t="s">
        <v>888</v>
      </c>
      <c r="E309" s="42" t="s">
        <v>885</v>
      </c>
      <c r="F309" s="42">
        <v>813212</v>
      </c>
      <c r="G309" s="48">
        <v>0</v>
      </c>
      <c r="H309" s="45">
        <v>13502.13</v>
      </c>
      <c r="I309" s="45">
        <f>SUMIFS('שכר 11.2024'!N:N,'שכר 11.2024'!C:C,C:C,'שכר 11.2024'!F:F,F:F)</f>
        <v>0</v>
      </c>
      <c r="J309" s="45">
        <f t="shared" si="16"/>
        <v>13502.13</v>
      </c>
      <c r="K309" s="61">
        <f t="shared" si="17"/>
        <v>1.0349999999999999</v>
      </c>
      <c r="L309" s="45">
        <f t="shared" si="18"/>
        <v>13974.704549999999</v>
      </c>
      <c r="M309" s="45">
        <f t="shared" si="19"/>
        <v>0</v>
      </c>
    </row>
    <row r="310" spans="1:13" outlineLevel="2" x14ac:dyDescent="0.35">
      <c r="A310" s="42">
        <v>1813212110</v>
      </c>
      <c r="B310" s="42" t="str">
        <f>VLOOKUP(A310,'תקציב מפורט 2025'!A:O,2,FALSE)</f>
        <v>גפן שכר</v>
      </c>
      <c r="C310" s="42">
        <v>307957928</v>
      </c>
      <c r="D310" s="42" t="s">
        <v>1838</v>
      </c>
      <c r="E310" s="42" t="s">
        <v>1839</v>
      </c>
      <c r="F310" s="42">
        <v>813212</v>
      </c>
      <c r="G310" s="48">
        <v>82.9</v>
      </c>
      <c r="H310" s="45">
        <v>22127.83</v>
      </c>
      <c r="I310" s="45">
        <f>SUMIFS('שכר 11.2024'!N:N,'שכר 11.2024'!C:C,C:C,'שכר 11.2024'!F:F,F:F)</f>
        <v>0</v>
      </c>
      <c r="J310" s="45">
        <f t="shared" si="16"/>
        <v>22127.83</v>
      </c>
      <c r="K310" s="61">
        <f t="shared" si="17"/>
        <v>1.0349999999999999</v>
      </c>
      <c r="L310" s="45">
        <f t="shared" si="18"/>
        <v>22902.304049999999</v>
      </c>
      <c r="M310" s="45">
        <f t="shared" si="19"/>
        <v>7.5363636363636369E-2</v>
      </c>
    </row>
    <row r="311" spans="1:13" outlineLevel="2" x14ac:dyDescent="0.35">
      <c r="A311" s="42">
        <v>1813212110</v>
      </c>
      <c r="B311" s="42" t="str">
        <f>VLOOKUP(A311,'תקציב מפורט 2025'!A:O,2,FALSE)</f>
        <v>גפן שכר</v>
      </c>
      <c r="C311" s="42">
        <v>308181072</v>
      </c>
      <c r="D311" s="42" t="s">
        <v>434</v>
      </c>
      <c r="E311" s="42" t="s">
        <v>507</v>
      </c>
      <c r="F311" s="42">
        <v>813212</v>
      </c>
      <c r="G311" s="48">
        <v>0</v>
      </c>
      <c r="H311" s="45">
        <v>7369.05</v>
      </c>
      <c r="I311" s="45">
        <f>SUMIFS('שכר 11.2024'!N:N,'שכר 11.2024'!C:C,C:C,'שכר 11.2024'!F:F,F:F)</f>
        <v>0</v>
      </c>
      <c r="J311" s="45">
        <f t="shared" si="16"/>
        <v>7369.05</v>
      </c>
      <c r="K311" s="61">
        <f t="shared" si="17"/>
        <v>1.0349999999999999</v>
      </c>
      <c r="L311" s="45">
        <f t="shared" si="18"/>
        <v>7626.9667499999996</v>
      </c>
      <c r="M311" s="45">
        <f t="shared" si="19"/>
        <v>0</v>
      </c>
    </row>
    <row r="312" spans="1:13" outlineLevel="2" x14ac:dyDescent="0.35">
      <c r="A312" s="42">
        <v>1813212110</v>
      </c>
      <c r="B312" s="42" t="str">
        <f>VLOOKUP(A312,'תקציב מפורט 2025'!A:O,2,FALSE)</f>
        <v>גפן שכר</v>
      </c>
      <c r="C312" s="42">
        <v>308182351</v>
      </c>
      <c r="D312" s="42" t="s">
        <v>1775</v>
      </c>
      <c r="E312" s="42" t="s">
        <v>949</v>
      </c>
      <c r="F312" s="42">
        <v>813212</v>
      </c>
      <c r="G312" s="48">
        <v>0</v>
      </c>
      <c r="H312" s="45">
        <v>3579.51</v>
      </c>
      <c r="I312" s="45">
        <f>SUMIFS('שכר 11.2024'!N:N,'שכר 11.2024'!C:C,C:C,'שכר 11.2024'!F:F,F:F)</f>
        <v>0</v>
      </c>
      <c r="J312" s="45">
        <f t="shared" si="16"/>
        <v>3579.51</v>
      </c>
      <c r="K312" s="61">
        <f t="shared" si="17"/>
        <v>1.0349999999999999</v>
      </c>
      <c r="L312" s="45">
        <f t="shared" si="18"/>
        <v>3704.7928499999998</v>
      </c>
      <c r="M312" s="45">
        <f t="shared" si="19"/>
        <v>0</v>
      </c>
    </row>
    <row r="313" spans="1:13" outlineLevel="2" x14ac:dyDescent="0.35">
      <c r="A313" s="42">
        <v>1813212110</v>
      </c>
      <c r="B313" s="42" t="str">
        <f>VLOOKUP(A313,'תקציב מפורט 2025'!A:O,2,FALSE)</f>
        <v>גפן שכר</v>
      </c>
      <c r="C313" s="42">
        <v>311540066</v>
      </c>
      <c r="D313" s="42" t="s">
        <v>857</v>
      </c>
      <c r="E313" s="42" t="s">
        <v>1819</v>
      </c>
      <c r="F313" s="42">
        <v>813212</v>
      </c>
      <c r="G313" s="48">
        <v>0</v>
      </c>
      <c r="H313" s="45">
        <v>5741.83</v>
      </c>
      <c r="I313" s="45">
        <f>SUMIFS('שכר 11.2024'!N:N,'שכר 11.2024'!C:C,C:C,'שכר 11.2024'!F:F,F:F)</f>
        <v>0</v>
      </c>
      <c r="J313" s="45">
        <f t="shared" si="16"/>
        <v>5741.83</v>
      </c>
      <c r="K313" s="61">
        <f t="shared" si="17"/>
        <v>1.0349999999999999</v>
      </c>
      <c r="L313" s="45">
        <f t="shared" si="18"/>
        <v>5942.7940499999995</v>
      </c>
      <c r="M313" s="45">
        <f t="shared" si="19"/>
        <v>0</v>
      </c>
    </row>
    <row r="314" spans="1:13" outlineLevel="2" x14ac:dyDescent="0.35">
      <c r="A314" s="42">
        <v>1813212110</v>
      </c>
      <c r="B314" s="42" t="str">
        <f>VLOOKUP(A314,'תקציב מפורט 2025'!A:O,2,FALSE)</f>
        <v>גפן שכר</v>
      </c>
      <c r="C314" s="42">
        <v>315914226</v>
      </c>
      <c r="D314" s="42" t="s">
        <v>516</v>
      </c>
      <c r="E314" s="42" t="s">
        <v>1840</v>
      </c>
      <c r="F314" s="42">
        <v>813212</v>
      </c>
      <c r="G314" s="48">
        <v>46.9</v>
      </c>
      <c r="H314" s="45">
        <v>12533.12</v>
      </c>
      <c r="I314" s="45">
        <f>SUMIFS('שכר 11.2024'!N:N,'שכר 11.2024'!C:C,C:C,'שכר 11.2024'!F:F,F:F)</f>
        <v>0</v>
      </c>
      <c r="J314" s="45">
        <f t="shared" si="16"/>
        <v>12533.12</v>
      </c>
      <c r="K314" s="61">
        <f t="shared" si="17"/>
        <v>1.0349999999999999</v>
      </c>
      <c r="L314" s="45">
        <f t="shared" si="18"/>
        <v>12971.779199999999</v>
      </c>
      <c r="M314" s="45">
        <f t="shared" si="19"/>
        <v>4.2636363636363632E-2</v>
      </c>
    </row>
    <row r="315" spans="1:13" outlineLevel="2" x14ac:dyDescent="0.35">
      <c r="A315" s="42">
        <v>1813212110</v>
      </c>
      <c r="B315" s="42" t="str">
        <f>VLOOKUP(A315,'תקציב מפורט 2025'!A:O,2,FALSE)</f>
        <v>גפן שכר</v>
      </c>
      <c r="C315" s="42">
        <v>318977899</v>
      </c>
      <c r="D315" s="42" t="s">
        <v>1783</v>
      </c>
      <c r="E315" s="42" t="s">
        <v>1784</v>
      </c>
      <c r="F315" s="42">
        <v>813212</v>
      </c>
      <c r="G315" s="48">
        <v>0</v>
      </c>
      <c r="H315" s="45">
        <v>4458.3100000000004</v>
      </c>
      <c r="I315" s="45">
        <f>SUMIFS('שכר 11.2024'!N:N,'שכר 11.2024'!C:C,C:C,'שכר 11.2024'!F:F,F:F)</f>
        <v>0</v>
      </c>
      <c r="J315" s="45">
        <f t="shared" si="16"/>
        <v>4458.3100000000004</v>
      </c>
      <c r="K315" s="61">
        <f t="shared" si="17"/>
        <v>1.0349999999999999</v>
      </c>
      <c r="L315" s="45">
        <f t="shared" si="18"/>
        <v>4614.3508499999998</v>
      </c>
      <c r="M315" s="45">
        <f t="shared" si="19"/>
        <v>0</v>
      </c>
    </row>
    <row r="316" spans="1:13" outlineLevel="1" x14ac:dyDescent="0.35">
      <c r="A316" s="63" t="s">
        <v>2008</v>
      </c>
      <c r="B316" s="63"/>
      <c r="C316" s="63"/>
      <c r="D316" s="63"/>
      <c r="E316" s="63"/>
      <c r="F316" s="63"/>
      <c r="G316" s="73">
        <f>SUBTOTAL(9,G296:G315)</f>
        <v>280.89999999999998</v>
      </c>
      <c r="H316" s="64">
        <f>SUBTOTAL(9,H296:H315)</f>
        <v>193781.1</v>
      </c>
      <c r="I316" s="64">
        <f>SUBTOTAL(9,I296:I315)</f>
        <v>0</v>
      </c>
      <c r="J316" s="64">
        <f>SUBTOTAL(9,J296:J315)</f>
        <v>193781.1</v>
      </c>
      <c r="K316" s="65"/>
      <c r="L316" s="64">
        <f>SUBTOTAL(9,L296:L315)</f>
        <v>200563.43849999996</v>
      </c>
      <c r="M316" s="64">
        <f>SUBTOTAL(9,M296:M315)</f>
        <v>0.25536363636363635</v>
      </c>
    </row>
    <row r="317" spans="1:13" outlineLevel="2" x14ac:dyDescent="0.35">
      <c r="A317" s="42">
        <v>1813220110</v>
      </c>
      <c r="B317" s="42" t="str">
        <f>VLOOKUP(A317,'תקציב מפורט 2025'!A:O,2,FALSE)</f>
        <v>ב"ס ב -משכורת</v>
      </c>
      <c r="C317" s="42">
        <v>26276642</v>
      </c>
      <c r="D317" s="42" t="s">
        <v>434</v>
      </c>
      <c r="E317" s="42" t="s">
        <v>1736</v>
      </c>
      <c r="F317" s="42">
        <v>813220</v>
      </c>
      <c r="G317" s="48">
        <v>24.1</v>
      </c>
      <c r="H317" s="45">
        <v>1458.29</v>
      </c>
      <c r="I317" s="45">
        <f>SUMIFS('שכר 11.2024'!N:N,'שכר 11.2024'!C:C,C:C,'שכר 11.2024'!F:F,F:F)</f>
        <v>0</v>
      </c>
      <c r="J317" s="45">
        <f t="shared" si="16"/>
        <v>1458.29</v>
      </c>
      <c r="K317" s="61">
        <f t="shared" si="17"/>
        <v>1.0349999999999999</v>
      </c>
      <c r="L317" s="45">
        <f t="shared" si="18"/>
        <v>1509.3301499999998</v>
      </c>
      <c r="M317" s="45">
        <f t="shared" si="19"/>
        <v>2.1909090909090909E-2</v>
      </c>
    </row>
    <row r="318" spans="1:13" outlineLevel="2" x14ac:dyDescent="0.35">
      <c r="A318" s="42">
        <v>1813220110</v>
      </c>
      <c r="B318" s="42" t="str">
        <f>VLOOKUP(A318,'תקציב מפורט 2025'!A:O,2,FALSE)</f>
        <v>ב"ס ב -משכורת</v>
      </c>
      <c r="C318" s="42">
        <v>28254712</v>
      </c>
      <c r="D318" s="42" t="s">
        <v>442</v>
      </c>
      <c r="E318" s="42" t="s">
        <v>570</v>
      </c>
      <c r="F318" s="42">
        <v>813220</v>
      </c>
      <c r="G318" s="48">
        <v>1100</v>
      </c>
      <c r="H318" s="45">
        <v>188784.03</v>
      </c>
      <c r="I318" s="45">
        <f>SUMIFS('שכר 11.2024'!N:N,'שכר 11.2024'!C:C,C:C,'שכר 11.2024'!F:F,F:F)</f>
        <v>15431.53</v>
      </c>
      <c r="J318" s="45">
        <f t="shared" si="16"/>
        <v>204215.56</v>
      </c>
      <c r="K318" s="61">
        <f t="shared" si="17"/>
        <v>1.0349999999999999</v>
      </c>
      <c r="L318" s="45">
        <f t="shared" si="18"/>
        <v>211363.10459999999</v>
      </c>
      <c r="M318" s="45">
        <f t="shared" si="19"/>
        <v>1</v>
      </c>
    </row>
    <row r="319" spans="1:13" outlineLevel="2" x14ac:dyDescent="0.35">
      <c r="A319" s="42">
        <v>1813220110</v>
      </c>
      <c r="B319" s="42" t="str">
        <f>VLOOKUP(A319,'תקציב מפורט 2025'!A:O,2,FALSE)</f>
        <v>ב"ס ב -משכורת</v>
      </c>
      <c r="C319" s="42">
        <v>29133444</v>
      </c>
      <c r="D319" s="42" t="s">
        <v>574</v>
      </c>
      <c r="E319" s="42" t="s">
        <v>441</v>
      </c>
      <c r="F319" s="42">
        <v>813220</v>
      </c>
      <c r="G319" s="48">
        <v>880</v>
      </c>
      <c r="H319" s="45">
        <v>124374.79</v>
      </c>
      <c r="I319" s="45">
        <f>SUMIFS('שכר 11.2024'!N:N,'שכר 11.2024'!C:C,C:C,'שכר 11.2024'!F:F,F:F)</f>
        <v>10902.38</v>
      </c>
      <c r="J319" s="45">
        <f t="shared" si="16"/>
        <v>135277.16999999998</v>
      </c>
      <c r="K319" s="61">
        <f t="shared" si="17"/>
        <v>1.0349999999999999</v>
      </c>
      <c r="L319" s="45">
        <f t="shared" si="18"/>
        <v>140011.87094999998</v>
      </c>
      <c r="M319" s="45">
        <f t="shared" si="19"/>
        <v>0.8</v>
      </c>
    </row>
    <row r="320" spans="1:13" outlineLevel="2" x14ac:dyDescent="0.35">
      <c r="A320" s="42">
        <v>1813220110</v>
      </c>
      <c r="B320" s="42" t="str">
        <f>VLOOKUP(A320,'תקציב מפורט 2025'!A:O,2,FALSE)</f>
        <v>ב"ס ב -משכורת</v>
      </c>
      <c r="C320" s="42">
        <v>61249892</v>
      </c>
      <c r="D320" s="42" t="s">
        <v>434</v>
      </c>
      <c r="E320" s="42" t="s">
        <v>510</v>
      </c>
      <c r="F320" s="42">
        <v>813220</v>
      </c>
      <c r="G320" s="48">
        <v>1000</v>
      </c>
      <c r="H320" s="45">
        <v>103396.46</v>
      </c>
      <c r="I320" s="45">
        <f>SUMIFS('שכר 11.2024'!N:N,'שכר 11.2024'!C:C,C:C,'שכר 11.2024'!F:F,F:F)</f>
        <v>12214.75</v>
      </c>
      <c r="J320" s="45">
        <f t="shared" si="16"/>
        <v>115611.21</v>
      </c>
      <c r="K320" s="61">
        <f t="shared" si="17"/>
        <v>1.0349999999999999</v>
      </c>
      <c r="L320" s="45">
        <f t="shared" si="18"/>
        <v>119657.60235</v>
      </c>
      <c r="M320" s="45">
        <f t="shared" si="19"/>
        <v>0.90909090909090906</v>
      </c>
    </row>
    <row r="321" spans="1:13" outlineLevel="2" x14ac:dyDescent="0.35">
      <c r="A321" s="42">
        <v>1813220110</v>
      </c>
      <c r="B321" s="42" t="str">
        <f>VLOOKUP(A321,'תקציב מפורט 2025'!A:O,2,FALSE)</f>
        <v>ב"ס ב -משכורת</v>
      </c>
      <c r="C321" s="42">
        <v>204162051</v>
      </c>
      <c r="D321" s="42" t="s">
        <v>515</v>
      </c>
      <c r="E321" s="42" t="s">
        <v>851</v>
      </c>
      <c r="F321" s="42">
        <v>813220</v>
      </c>
      <c r="G321" s="48">
        <v>701.3</v>
      </c>
      <c r="H321" s="45">
        <v>59932.22</v>
      </c>
      <c r="I321" s="45">
        <f>SUMIFS('שכר 11.2024'!N:N,'שכר 11.2024'!C:C,C:C,'שכר 11.2024'!F:F,F:F)</f>
        <v>5176.7</v>
      </c>
      <c r="J321" s="45">
        <f t="shared" si="16"/>
        <v>65108.92</v>
      </c>
      <c r="K321" s="61">
        <f t="shared" si="17"/>
        <v>1.0349999999999999</v>
      </c>
      <c r="L321" s="45">
        <f t="shared" si="18"/>
        <v>67387.732199999999</v>
      </c>
      <c r="M321" s="45">
        <f t="shared" si="19"/>
        <v>0.63754545454545453</v>
      </c>
    </row>
    <row r="322" spans="1:13" outlineLevel="2" x14ac:dyDescent="0.35">
      <c r="A322" s="42">
        <v>1813220110</v>
      </c>
      <c r="B322" s="42" t="str">
        <f>VLOOKUP(A322,'תקציב מפורט 2025'!A:O,2,FALSE)</f>
        <v>ב"ס ב -משכורת</v>
      </c>
      <c r="C322" s="42">
        <v>205956477</v>
      </c>
      <c r="D322" s="42" t="s">
        <v>434</v>
      </c>
      <c r="E322" s="42" t="s">
        <v>874</v>
      </c>
      <c r="F322" s="42">
        <v>813220</v>
      </c>
      <c r="G322" s="48">
        <v>350.1</v>
      </c>
      <c r="H322" s="45">
        <v>26681.85</v>
      </c>
      <c r="I322" s="45">
        <f>SUMIFS('שכר 11.2024'!N:N,'שכר 11.2024'!C:C,C:C,'שכר 11.2024'!F:F,F:F)</f>
        <v>3005.48</v>
      </c>
      <c r="J322" s="45">
        <f t="shared" si="16"/>
        <v>29687.329999999998</v>
      </c>
      <c r="K322" s="61">
        <f t="shared" si="17"/>
        <v>1.0349999999999999</v>
      </c>
      <c r="L322" s="45">
        <f t="shared" si="18"/>
        <v>30726.386549999996</v>
      </c>
      <c r="M322" s="45">
        <f t="shared" si="19"/>
        <v>0.31827272727272732</v>
      </c>
    </row>
    <row r="323" spans="1:13" outlineLevel="2" x14ac:dyDescent="0.35">
      <c r="A323" s="42">
        <v>1813220110</v>
      </c>
      <c r="B323" s="42" t="str">
        <f>VLOOKUP(A323,'תקציב מפורט 2025'!A:O,2,FALSE)</f>
        <v>ב"ס ב -משכורת</v>
      </c>
      <c r="C323" s="42">
        <v>300826104</v>
      </c>
      <c r="D323" s="42" t="s">
        <v>434</v>
      </c>
      <c r="E323" s="42" t="s">
        <v>852</v>
      </c>
      <c r="F323" s="42">
        <v>813220</v>
      </c>
      <c r="G323" s="48">
        <v>200.7</v>
      </c>
      <c r="H323" s="45">
        <v>3959.11</v>
      </c>
      <c r="I323" s="45">
        <f>SUMIFS('שכר 11.2024'!N:N,'שכר 11.2024'!C:C,C:C,'שכר 11.2024'!F:F,F:F)</f>
        <v>0</v>
      </c>
      <c r="J323" s="45">
        <f t="shared" si="16"/>
        <v>3959.11</v>
      </c>
      <c r="K323" s="61">
        <f t="shared" si="17"/>
        <v>1.0349999999999999</v>
      </c>
      <c r="L323" s="45">
        <f t="shared" si="18"/>
        <v>4097.6788500000002</v>
      </c>
      <c r="M323" s="45">
        <f t="shared" si="19"/>
        <v>0.18245454545454545</v>
      </c>
    </row>
    <row r="324" spans="1:13" outlineLevel="2" x14ac:dyDescent="0.35">
      <c r="A324" s="42">
        <v>1813220110</v>
      </c>
      <c r="B324" s="42" t="str">
        <f>VLOOKUP(A324,'תקציב מפורט 2025'!A:O,2,FALSE)</f>
        <v>ב"ס ב -משכורת</v>
      </c>
      <c r="C324" s="42">
        <v>301479820</v>
      </c>
      <c r="D324" s="42" t="s">
        <v>434</v>
      </c>
      <c r="E324" s="42" t="s">
        <v>553</v>
      </c>
      <c r="F324" s="42">
        <v>813220</v>
      </c>
      <c r="G324" s="48">
        <v>880</v>
      </c>
      <c r="H324" s="45">
        <v>106615.56</v>
      </c>
      <c r="I324" s="45">
        <f>SUMIFS('שכר 11.2024'!N:N,'שכר 11.2024'!C:C,C:C,'שכר 11.2024'!F:F,F:F)</f>
        <v>10099.49</v>
      </c>
      <c r="J324" s="45">
        <f t="shared" si="16"/>
        <v>116715.05</v>
      </c>
      <c r="K324" s="61">
        <f t="shared" si="17"/>
        <v>1.0349999999999999</v>
      </c>
      <c r="L324" s="45">
        <f t="shared" si="18"/>
        <v>120800.07674999999</v>
      </c>
      <c r="M324" s="45">
        <f t="shared" si="19"/>
        <v>0.8</v>
      </c>
    </row>
    <row r="325" spans="1:13" outlineLevel="2" x14ac:dyDescent="0.35">
      <c r="A325" s="42">
        <v>1813220110</v>
      </c>
      <c r="B325" s="42" t="str">
        <f>VLOOKUP(A325,'תקציב מפורט 2025'!A:O,2,FALSE)</f>
        <v>ב"ס ב -משכורת</v>
      </c>
      <c r="C325" s="42">
        <v>28254712</v>
      </c>
      <c r="D325" s="42" t="s">
        <v>442</v>
      </c>
      <c r="E325" s="42" t="s">
        <v>570</v>
      </c>
      <c r="F325" s="42">
        <v>813221</v>
      </c>
      <c r="G325" s="48">
        <v>0</v>
      </c>
      <c r="H325" s="45">
        <v>2554.36</v>
      </c>
      <c r="I325" s="45">
        <f>SUMIFS('שכר 11.2024'!N:N,'שכר 11.2024'!C:C,C:C,'שכר 11.2024'!F:F,F:F)</f>
        <v>246.89</v>
      </c>
      <c r="J325" s="45">
        <f t="shared" si="16"/>
        <v>2801.25</v>
      </c>
      <c r="K325" s="61">
        <f t="shared" si="17"/>
        <v>1.0349999999999999</v>
      </c>
      <c r="L325" s="45">
        <f t="shared" si="18"/>
        <v>2899.2937499999998</v>
      </c>
      <c r="M325" s="45">
        <f t="shared" si="19"/>
        <v>0</v>
      </c>
    </row>
    <row r="326" spans="1:13" outlineLevel="1" x14ac:dyDescent="0.35">
      <c r="A326" s="63" t="s">
        <v>2009</v>
      </c>
      <c r="B326" s="63"/>
      <c r="C326" s="63"/>
      <c r="D326" s="63"/>
      <c r="E326" s="63"/>
      <c r="F326" s="63"/>
      <c r="G326" s="73">
        <f>SUBTOTAL(9,G317:G325)</f>
        <v>5136.2</v>
      </c>
      <c r="H326" s="64">
        <f>SUBTOTAL(9,H317:H325)</f>
        <v>617756.67000000004</v>
      </c>
      <c r="I326" s="64">
        <f>SUBTOTAL(9,I317:I325)</f>
        <v>57077.22</v>
      </c>
      <c r="J326" s="64">
        <f>SUBTOTAL(9,J317:J325)</f>
        <v>674833.89</v>
      </c>
      <c r="K326" s="65"/>
      <c r="L326" s="64">
        <f>SUBTOTAL(9,L317:L325)</f>
        <v>698453.07614999986</v>
      </c>
      <c r="M326" s="64">
        <f>SUBTOTAL(9,M317:M325)</f>
        <v>4.6692727272727268</v>
      </c>
    </row>
    <row r="327" spans="1:13" outlineLevel="2" x14ac:dyDescent="0.35">
      <c r="A327" s="42">
        <v>1813230110</v>
      </c>
      <c r="B327" s="42" t="str">
        <f>VLOOKUP(A327,'תקציב מפורט 2025'!A:O,2,FALSE)</f>
        <v>ב"ס ג חדשני-משכורת</v>
      </c>
      <c r="C327" s="42">
        <v>23125545</v>
      </c>
      <c r="D327" s="42" t="s">
        <v>563</v>
      </c>
      <c r="E327" s="42" t="s">
        <v>562</v>
      </c>
      <c r="F327" s="42">
        <v>813231</v>
      </c>
      <c r="G327" s="48">
        <v>0</v>
      </c>
      <c r="H327" s="45">
        <v>20891.240000000002</v>
      </c>
      <c r="I327" s="45">
        <f>SUMIFS('שכר 11.2024'!N:N,'שכר 11.2024'!C:C,C:C,'שכר 11.2024'!F:F,F:F)</f>
        <v>566.71</v>
      </c>
      <c r="J327" s="45">
        <f t="shared" si="16"/>
        <v>21457.95</v>
      </c>
      <c r="K327" s="61">
        <f t="shared" si="17"/>
        <v>1.0349999999999999</v>
      </c>
      <c r="L327" s="45">
        <f t="shared" si="18"/>
        <v>22208.97825</v>
      </c>
      <c r="M327" s="45">
        <f t="shared" si="19"/>
        <v>0</v>
      </c>
    </row>
    <row r="328" spans="1:13" outlineLevel="2" x14ac:dyDescent="0.35">
      <c r="A328" s="42">
        <v>1813230110</v>
      </c>
      <c r="B328" s="42" t="str">
        <f>VLOOKUP(A328,'תקציב מפורט 2025'!A:O,2,FALSE)</f>
        <v>ב"ס ג חדשני-משכורת</v>
      </c>
      <c r="C328" s="42">
        <v>23125545</v>
      </c>
      <c r="D328" s="42" t="s">
        <v>563</v>
      </c>
      <c r="E328" s="42" t="s">
        <v>562</v>
      </c>
      <c r="F328" s="42">
        <v>813230</v>
      </c>
      <c r="G328" s="48">
        <v>1100</v>
      </c>
      <c r="H328" s="45">
        <v>207078.57</v>
      </c>
      <c r="I328" s="45">
        <f>SUMIFS('שכר 11.2024'!N:N,'שכר 11.2024'!C:C,C:C,'שכר 11.2024'!F:F,F:F)</f>
        <v>16993.21</v>
      </c>
      <c r="J328" s="45">
        <f t="shared" si="16"/>
        <v>224071.78</v>
      </c>
      <c r="K328" s="61">
        <f t="shared" si="17"/>
        <v>1.0349999999999999</v>
      </c>
      <c r="L328" s="45">
        <f t="shared" si="18"/>
        <v>231914.29229999997</v>
      </c>
      <c r="M328" s="45">
        <f t="shared" si="19"/>
        <v>1</v>
      </c>
    </row>
    <row r="329" spans="1:13" outlineLevel="2" x14ac:dyDescent="0.35">
      <c r="A329" s="42">
        <v>1813230110</v>
      </c>
      <c r="B329" s="42" t="str">
        <f>VLOOKUP(A329,'תקציב מפורט 2025'!A:O,2,FALSE)</f>
        <v>ב"ס ג חדשני-משכורת</v>
      </c>
      <c r="C329" s="42">
        <v>27595636</v>
      </c>
      <c r="D329" s="42" t="s">
        <v>506</v>
      </c>
      <c r="E329" s="42" t="s">
        <v>569</v>
      </c>
      <c r="F329" s="42">
        <v>813230</v>
      </c>
      <c r="G329" s="48">
        <v>0</v>
      </c>
      <c r="H329" s="45">
        <v>-7895.05</v>
      </c>
      <c r="I329" s="45">
        <f>SUMIFS('שכר 11.2024'!N:N,'שכר 11.2024'!C:C,C:C,'שכר 11.2024'!F:F,F:F)</f>
        <v>-3452.88</v>
      </c>
      <c r="J329" s="45">
        <f t="shared" si="16"/>
        <v>-11347.93</v>
      </c>
      <c r="K329" s="61">
        <f t="shared" si="17"/>
        <v>1.0349999999999999</v>
      </c>
      <c r="L329" s="45">
        <f t="shared" si="18"/>
        <v>-11745.107549999999</v>
      </c>
      <c r="M329" s="45">
        <f t="shared" si="19"/>
        <v>0</v>
      </c>
    </row>
    <row r="330" spans="1:13" outlineLevel="2" x14ac:dyDescent="0.35">
      <c r="A330" s="42">
        <v>1813230110</v>
      </c>
      <c r="B330" s="42" t="str">
        <f>VLOOKUP(A330,'תקציב מפורט 2025'!A:O,2,FALSE)</f>
        <v>ב"ס ג חדשני-משכורת</v>
      </c>
      <c r="C330" s="42">
        <v>29790938</v>
      </c>
      <c r="D330" s="42" t="s">
        <v>434</v>
      </c>
      <c r="E330" s="42" t="s">
        <v>568</v>
      </c>
      <c r="F330" s="42">
        <v>813230</v>
      </c>
      <c r="G330" s="48">
        <v>990</v>
      </c>
      <c r="H330" s="45">
        <v>146493.63</v>
      </c>
      <c r="I330" s="45">
        <f>SUMIFS('שכר 11.2024'!N:N,'שכר 11.2024'!C:C,C:C,'שכר 11.2024'!F:F,F:F)</f>
        <v>13731.81</v>
      </c>
      <c r="J330" s="45">
        <f t="shared" si="16"/>
        <v>160225.44</v>
      </c>
      <c r="K330" s="61">
        <f t="shared" si="17"/>
        <v>1.0349999999999999</v>
      </c>
      <c r="L330" s="45">
        <f t="shared" si="18"/>
        <v>165833.33039999998</v>
      </c>
      <c r="M330" s="45">
        <f t="shared" si="19"/>
        <v>0.9</v>
      </c>
    </row>
    <row r="331" spans="1:13" outlineLevel="2" x14ac:dyDescent="0.35">
      <c r="A331" s="42">
        <v>1813230110</v>
      </c>
      <c r="B331" s="42" t="str">
        <f>VLOOKUP(A331,'תקציב מפורט 2025'!A:O,2,FALSE)</f>
        <v>ב"ס ג חדשני-משכורת</v>
      </c>
      <c r="C331" s="42">
        <v>31595689</v>
      </c>
      <c r="D331" s="42" t="s">
        <v>434</v>
      </c>
      <c r="E331" s="42" t="s">
        <v>567</v>
      </c>
      <c r="F331" s="42">
        <v>813230</v>
      </c>
      <c r="G331" s="48">
        <v>0</v>
      </c>
      <c r="H331" s="45">
        <v>1849.85</v>
      </c>
      <c r="I331" s="45">
        <f>SUMIFS('שכר 11.2024'!N:N,'שכר 11.2024'!C:C,C:C,'שכר 11.2024'!F:F,F:F)</f>
        <v>749.86</v>
      </c>
      <c r="J331" s="45">
        <f t="shared" si="16"/>
        <v>2599.71</v>
      </c>
      <c r="K331" s="61">
        <f t="shared" si="17"/>
        <v>1.0349999999999999</v>
      </c>
      <c r="L331" s="45">
        <f t="shared" si="18"/>
        <v>2690.69985</v>
      </c>
      <c r="M331" s="45">
        <f t="shared" si="19"/>
        <v>0</v>
      </c>
    </row>
    <row r="332" spans="1:13" outlineLevel="2" x14ac:dyDescent="0.35">
      <c r="A332" s="42">
        <v>1813230110</v>
      </c>
      <c r="B332" s="42" t="str">
        <f>VLOOKUP(A332,'תקציב מפורט 2025'!A:O,2,FALSE)</f>
        <v>ב"ס ג חדשני-משכורת</v>
      </c>
      <c r="C332" s="42">
        <v>37264033</v>
      </c>
      <c r="D332" s="42" t="s">
        <v>434</v>
      </c>
      <c r="E332" s="42" t="s">
        <v>554</v>
      </c>
      <c r="F332" s="42">
        <v>813230</v>
      </c>
      <c r="G332" s="48">
        <v>880</v>
      </c>
      <c r="H332" s="45">
        <v>117759.33</v>
      </c>
      <c r="I332" s="45">
        <f>SUMIFS('שכר 11.2024'!N:N,'שכר 11.2024'!C:C,C:C,'שכר 11.2024'!F:F,F:F)</f>
        <v>10051.14</v>
      </c>
      <c r="J332" s="45">
        <f t="shared" si="16"/>
        <v>127810.47</v>
      </c>
      <c r="K332" s="61">
        <f t="shared" si="17"/>
        <v>1.0349999999999999</v>
      </c>
      <c r="L332" s="45">
        <f t="shared" si="18"/>
        <v>132283.83645</v>
      </c>
      <c r="M332" s="45">
        <f t="shared" si="19"/>
        <v>0.8</v>
      </c>
    </row>
    <row r="333" spans="1:13" outlineLevel="2" x14ac:dyDescent="0.35">
      <c r="A333" s="42">
        <v>1813230110</v>
      </c>
      <c r="B333" s="42" t="str">
        <f>VLOOKUP(A333,'תקציב מפורט 2025'!A:O,2,FALSE)</f>
        <v>ב"ס ג חדשני-משכורת</v>
      </c>
      <c r="C333" s="42">
        <v>38000857</v>
      </c>
      <c r="D333" s="42" t="s">
        <v>434</v>
      </c>
      <c r="E333" s="42" t="s">
        <v>1841</v>
      </c>
      <c r="F333" s="42">
        <v>813230</v>
      </c>
      <c r="G333" s="48">
        <v>607.6</v>
      </c>
      <c r="H333" s="45">
        <v>51414.89</v>
      </c>
      <c r="I333" s="45">
        <f>SUMIFS('שכר 11.2024'!N:N,'שכר 11.2024'!C:C,C:C,'שכר 11.2024'!F:F,F:F)</f>
        <v>5102.25</v>
      </c>
      <c r="J333" s="45">
        <f t="shared" si="16"/>
        <v>56517.14</v>
      </c>
      <c r="K333" s="61">
        <f t="shared" si="17"/>
        <v>1.0349999999999999</v>
      </c>
      <c r="L333" s="45">
        <f t="shared" si="18"/>
        <v>58495.239899999993</v>
      </c>
      <c r="M333" s="45">
        <f t="shared" si="19"/>
        <v>0.55236363636363639</v>
      </c>
    </row>
    <row r="334" spans="1:13" outlineLevel="2" x14ac:dyDescent="0.35">
      <c r="A334" s="42">
        <v>1813230110</v>
      </c>
      <c r="B334" s="42" t="str">
        <f>VLOOKUP(A334,'תקציב מפורט 2025'!A:O,2,FALSE)</f>
        <v>ב"ס ג חדשני-משכורת</v>
      </c>
      <c r="C334" s="42">
        <v>40809642</v>
      </c>
      <c r="D334" s="42" t="s">
        <v>925</v>
      </c>
      <c r="E334" s="42" t="s">
        <v>566</v>
      </c>
      <c r="F334" s="42">
        <v>813230</v>
      </c>
      <c r="G334" s="48">
        <v>880</v>
      </c>
      <c r="H334" s="45">
        <v>119109.91</v>
      </c>
      <c r="I334" s="45">
        <f>SUMIFS('שכר 11.2024'!N:N,'שכר 11.2024'!C:C,C:C,'שכר 11.2024'!F:F,F:F)</f>
        <v>11233.17</v>
      </c>
      <c r="J334" s="45">
        <f t="shared" si="16"/>
        <v>130343.08</v>
      </c>
      <c r="K334" s="61">
        <f t="shared" si="17"/>
        <v>1.0349999999999999</v>
      </c>
      <c r="L334" s="45">
        <f t="shared" si="18"/>
        <v>134905.08779999998</v>
      </c>
      <c r="M334" s="45">
        <f t="shared" si="19"/>
        <v>0.8</v>
      </c>
    </row>
    <row r="335" spans="1:13" outlineLevel="2" x14ac:dyDescent="0.35">
      <c r="A335" s="42">
        <v>1813230110</v>
      </c>
      <c r="B335" s="42" t="str">
        <f>VLOOKUP(A335,'תקציב מפורט 2025'!A:O,2,FALSE)</f>
        <v>ב"ס ג חדשני-משכורת</v>
      </c>
      <c r="C335" s="42">
        <v>59478925</v>
      </c>
      <c r="D335" s="42" t="s">
        <v>565</v>
      </c>
      <c r="E335" s="42" t="s">
        <v>564</v>
      </c>
      <c r="F335" s="42">
        <v>813230</v>
      </c>
      <c r="G335" s="48">
        <v>1100</v>
      </c>
      <c r="H335" s="45">
        <v>164720.54999999999</v>
      </c>
      <c r="I335" s="45">
        <f>SUMIFS('שכר 11.2024'!N:N,'שכר 11.2024'!C:C,C:C,'שכר 11.2024'!F:F,F:F)</f>
        <v>15855.53</v>
      </c>
      <c r="J335" s="45">
        <f t="shared" si="16"/>
        <v>180576.08</v>
      </c>
      <c r="K335" s="61">
        <f t="shared" si="17"/>
        <v>1.0349999999999999</v>
      </c>
      <c r="L335" s="45">
        <f t="shared" si="18"/>
        <v>186896.24279999998</v>
      </c>
      <c r="M335" s="45">
        <f t="shared" si="19"/>
        <v>1</v>
      </c>
    </row>
    <row r="336" spans="1:13" outlineLevel="2" x14ac:dyDescent="0.35">
      <c r="A336" s="42">
        <v>1813230110</v>
      </c>
      <c r="B336" s="42" t="str">
        <f>VLOOKUP(A336,'תקציב מפורט 2025'!A:O,2,FALSE)</f>
        <v>ב"ס ג חדשני-משכורת</v>
      </c>
      <c r="C336" s="42">
        <v>60463957</v>
      </c>
      <c r="D336" s="42" t="s">
        <v>442</v>
      </c>
      <c r="E336" s="42" t="s">
        <v>441</v>
      </c>
      <c r="F336" s="42">
        <v>813230</v>
      </c>
      <c r="G336" s="48">
        <v>0</v>
      </c>
      <c r="H336" s="45">
        <v>810</v>
      </c>
      <c r="I336" s="45">
        <f>SUMIFS('שכר 11.2024'!N:N,'שכר 11.2024'!C:C,C:C,'שכר 11.2024'!F:F,F:F)</f>
        <v>968.85</v>
      </c>
      <c r="J336" s="45">
        <f t="shared" si="16"/>
        <v>1778.85</v>
      </c>
      <c r="K336" s="61">
        <f t="shared" si="17"/>
        <v>1.0349999999999999</v>
      </c>
      <c r="L336" s="45">
        <f t="shared" si="18"/>
        <v>1841.1097499999998</v>
      </c>
      <c r="M336" s="45">
        <f t="shared" si="19"/>
        <v>0</v>
      </c>
    </row>
    <row r="337" spans="1:13" outlineLevel="1" x14ac:dyDescent="0.35">
      <c r="A337" s="63" t="s">
        <v>2010</v>
      </c>
      <c r="B337" s="63"/>
      <c r="C337" s="63"/>
      <c r="D337" s="63"/>
      <c r="E337" s="63"/>
      <c r="F337" s="63"/>
      <c r="G337" s="73">
        <f>SUBTOTAL(9,G327:G336)</f>
        <v>5557.6</v>
      </c>
      <c r="H337" s="64">
        <f>SUBTOTAL(9,H327:H336)</f>
        <v>822232.91999999993</v>
      </c>
      <c r="I337" s="64">
        <f>SUBTOTAL(9,I327:I336)</f>
        <v>71799.650000000009</v>
      </c>
      <c r="J337" s="64">
        <f>SUBTOTAL(9,J327:J336)</f>
        <v>894032.57</v>
      </c>
      <c r="K337" s="65"/>
      <c r="L337" s="64">
        <f>SUBTOTAL(9,L327:L336)</f>
        <v>925323.70994999981</v>
      </c>
      <c r="M337" s="64">
        <f>SUBTOTAL(9,M327:M336)</f>
        <v>5.0523636363636362</v>
      </c>
    </row>
    <row r="338" spans="1:13" outlineLevel="2" x14ac:dyDescent="0.35">
      <c r="A338" s="42">
        <v>1813240110</v>
      </c>
      <c r="B338" s="42" t="str">
        <f>VLOOKUP(A338,'תקציב מפורט 2025'!A:O,2,FALSE)</f>
        <v>משכורת ב"ס יסודי ד</v>
      </c>
      <c r="C338" s="42">
        <v>23188105</v>
      </c>
      <c r="D338" s="42" t="s">
        <v>486</v>
      </c>
      <c r="E338" s="42" t="s">
        <v>1737</v>
      </c>
      <c r="F338" s="42">
        <v>813240</v>
      </c>
      <c r="G338" s="48">
        <v>1100</v>
      </c>
      <c r="H338" s="45">
        <v>213101.02</v>
      </c>
      <c r="I338" s="45">
        <f>SUMIFS('שכר 11.2024'!N:N,'שכר 11.2024'!C:C,C:C,'שכר 11.2024'!F:F,F:F)</f>
        <v>16954.740000000002</v>
      </c>
      <c r="J338" s="45">
        <f t="shared" si="16"/>
        <v>230055.75999999998</v>
      </c>
      <c r="K338" s="61">
        <f t="shared" si="17"/>
        <v>1.0349999999999999</v>
      </c>
      <c r="L338" s="45">
        <f t="shared" si="18"/>
        <v>238107.71159999995</v>
      </c>
      <c r="M338" s="45">
        <f t="shared" si="19"/>
        <v>1</v>
      </c>
    </row>
    <row r="339" spans="1:13" outlineLevel="2" x14ac:dyDescent="0.35">
      <c r="A339" s="42">
        <v>1813240110</v>
      </c>
      <c r="B339" s="42" t="str">
        <f>VLOOKUP(A339,'תקציב מפורט 2025'!A:O,2,FALSE)</f>
        <v>משכורת ב"ס יסודי ד</v>
      </c>
      <c r="C339" s="42">
        <v>26273979</v>
      </c>
      <c r="D339" s="42" t="s">
        <v>488</v>
      </c>
      <c r="E339" s="42" t="s">
        <v>487</v>
      </c>
      <c r="F339" s="42">
        <v>813240</v>
      </c>
      <c r="G339" s="48">
        <v>880</v>
      </c>
      <c r="H339" s="45">
        <v>115575.52</v>
      </c>
      <c r="I339" s="45">
        <f>SUMIFS('שכר 11.2024'!N:N,'שכר 11.2024'!C:C,C:C,'שכר 11.2024'!F:F,F:F)</f>
        <v>10195.700000000001</v>
      </c>
      <c r="J339" s="45">
        <f t="shared" si="16"/>
        <v>125771.22</v>
      </c>
      <c r="K339" s="61">
        <f t="shared" si="17"/>
        <v>1.0349999999999999</v>
      </c>
      <c r="L339" s="45">
        <f t="shared" si="18"/>
        <v>130173.21269999999</v>
      </c>
      <c r="M339" s="45">
        <f t="shared" si="19"/>
        <v>0.8</v>
      </c>
    </row>
    <row r="340" spans="1:13" outlineLevel="2" x14ac:dyDescent="0.35">
      <c r="A340" s="42">
        <v>1813240110</v>
      </c>
      <c r="B340" s="42" t="str">
        <f>VLOOKUP(A340,'תקציב מפורט 2025'!A:O,2,FALSE)</f>
        <v>משכורת ב"ס יסודי ד</v>
      </c>
      <c r="C340" s="42">
        <v>33813346</v>
      </c>
      <c r="D340" s="42" t="s">
        <v>1738</v>
      </c>
      <c r="E340" s="42" t="s">
        <v>853</v>
      </c>
      <c r="F340" s="42">
        <v>813240</v>
      </c>
      <c r="G340" s="48">
        <v>1100</v>
      </c>
      <c r="H340" s="45">
        <v>123294.23</v>
      </c>
      <c r="I340" s="45">
        <f>SUMIFS('שכר 11.2024'!N:N,'שכר 11.2024'!C:C,C:C,'שכר 11.2024'!F:F,F:F)</f>
        <v>10157.09</v>
      </c>
      <c r="J340" s="45">
        <f t="shared" si="16"/>
        <v>133451.32</v>
      </c>
      <c r="K340" s="61">
        <f t="shared" si="17"/>
        <v>1.0349999999999999</v>
      </c>
      <c r="L340" s="45">
        <f t="shared" si="18"/>
        <v>138122.11619999999</v>
      </c>
      <c r="M340" s="45">
        <f t="shared" si="19"/>
        <v>1</v>
      </c>
    </row>
    <row r="341" spans="1:13" outlineLevel="2" x14ac:dyDescent="0.35">
      <c r="A341" s="42">
        <v>1813240110</v>
      </c>
      <c r="B341" s="42" t="str">
        <f>VLOOKUP(A341,'תקציב מפורט 2025'!A:O,2,FALSE)</f>
        <v>משכורת ב"ס יסודי ד</v>
      </c>
      <c r="C341" s="42">
        <v>36665248</v>
      </c>
      <c r="D341" s="42" t="s">
        <v>448</v>
      </c>
      <c r="E341" s="42" t="s">
        <v>850</v>
      </c>
      <c r="F341" s="42">
        <v>813240</v>
      </c>
      <c r="G341" s="48">
        <v>700</v>
      </c>
      <c r="H341" s="45">
        <v>76862.720000000001</v>
      </c>
      <c r="I341" s="45">
        <f>SUMIFS('שכר 11.2024'!N:N,'שכר 11.2024'!C:C,C:C,'שכר 11.2024'!F:F,F:F)</f>
        <v>10338.42</v>
      </c>
      <c r="J341" s="45">
        <f t="shared" si="16"/>
        <v>87201.14</v>
      </c>
      <c r="K341" s="61">
        <f t="shared" si="17"/>
        <v>1.0349999999999999</v>
      </c>
      <c r="L341" s="45">
        <f t="shared" si="18"/>
        <v>90253.179899999988</v>
      </c>
      <c r="M341" s="45">
        <f t="shared" si="19"/>
        <v>0.63636363636363635</v>
      </c>
    </row>
    <row r="342" spans="1:13" outlineLevel="2" x14ac:dyDescent="0.35">
      <c r="A342" s="42">
        <v>1813240110</v>
      </c>
      <c r="B342" s="42" t="str">
        <f>VLOOKUP(A342,'תקציב מפורט 2025'!A:O,2,FALSE)</f>
        <v>משכורת ב"ס יסודי ד</v>
      </c>
      <c r="C342" s="42">
        <v>37264033</v>
      </c>
      <c r="D342" s="42" t="s">
        <v>434</v>
      </c>
      <c r="E342" s="42" t="s">
        <v>554</v>
      </c>
      <c r="F342" s="42">
        <v>813240</v>
      </c>
      <c r="G342" s="48">
        <v>0</v>
      </c>
      <c r="H342" s="45">
        <v>-1735.96</v>
      </c>
      <c r="I342" s="45">
        <f>SUMIFS('שכר 11.2024'!N:N,'שכר 11.2024'!C:C,C:C,'שכר 11.2024'!F:F,F:F)</f>
        <v>678.91</v>
      </c>
      <c r="J342" s="45">
        <f t="shared" si="16"/>
        <v>-1057.0500000000002</v>
      </c>
      <c r="K342" s="61">
        <f t="shared" si="17"/>
        <v>1.0349999999999999</v>
      </c>
      <c r="L342" s="45">
        <f t="shared" si="18"/>
        <v>-1094.0467500000002</v>
      </c>
      <c r="M342" s="45">
        <f t="shared" si="19"/>
        <v>0</v>
      </c>
    </row>
    <row r="343" spans="1:13" outlineLevel="2" x14ac:dyDescent="0.35">
      <c r="A343" s="42">
        <v>1813240110</v>
      </c>
      <c r="B343" s="42" t="str">
        <f>VLOOKUP(A343,'תקציב מפורט 2025'!A:O,2,FALSE)</f>
        <v>משכורת ב"ס יסודי ד</v>
      </c>
      <c r="C343" s="42">
        <v>200895852</v>
      </c>
      <c r="D343" s="42" t="s">
        <v>495</v>
      </c>
      <c r="E343" s="42" t="s">
        <v>1739</v>
      </c>
      <c r="F343" s="42">
        <v>813240</v>
      </c>
      <c r="G343" s="48">
        <v>759.6</v>
      </c>
      <c r="H343" s="45">
        <v>55103.89</v>
      </c>
      <c r="I343" s="45">
        <f>SUMIFS('שכר 11.2024'!N:N,'שכר 11.2024'!C:C,C:C,'שכר 11.2024'!F:F,F:F)</f>
        <v>5064.5200000000004</v>
      </c>
      <c r="J343" s="45">
        <f t="shared" si="16"/>
        <v>60168.41</v>
      </c>
      <c r="K343" s="61">
        <f t="shared" si="17"/>
        <v>1.0349999999999999</v>
      </c>
      <c r="L343" s="45">
        <f t="shared" si="18"/>
        <v>62274.304349999999</v>
      </c>
      <c r="M343" s="45">
        <f t="shared" si="19"/>
        <v>0.69054545454545457</v>
      </c>
    </row>
    <row r="344" spans="1:13" outlineLevel="2" x14ac:dyDescent="0.35">
      <c r="A344" s="42">
        <v>1813240110</v>
      </c>
      <c r="B344" s="42" t="str">
        <f>VLOOKUP(A344,'תקציב מפורט 2025'!A:O,2,FALSE)</f>
        <v>משכורת ב"ס יסודי ד</v>
      </c>
      <c r="C344" s="42">
        <v>208216549</v>
      </c>
      <c r="D344" s="42" t="s">
        <v>434</v>
      </c>
      <c r="E344" s="42" t="s">
        <v>1740</v>
      </c>
      <c r="F344" s="42">
        <v>813240</v>
      </c>
      <c r="G344" s="48">
        <v>162.30000000000001</v>
      </c>
      <c r="H344" s="45">
        <v>11061.67</v>
      </c>
      <c r="I344" s="45">
        <f>SUMIFS('שכר 11.2024'!N:N,'שכר 11.2024'!C:C,C:C,'שכר 11.2024'!F:F,F:F)</f>
        <v>3365.02</v>
      </c>
      <c r="J344" s="45">
        <f t="shared" si="16"/>
        <v>14426.69</v>
      </c>
      <c r="K344" s="61">
        <f t="shared" si="17"/>
        <v>1.0349999999999999</v>
      </c>
      <c r="L344" s="45">
        <f t="shared" si="18"/>
        <v>14931.62415</v>
      </c>
      <c r="M344" s="45">
        <f t="shared" si="19"/>
        <v>0.14754545454545456</v>
      </c>
    </row>
    <row r="345" spans="1:13" outlineLevel="2" x14ac:dyDescent="0.35">
      <c r="A345" s="42">
        <v>1813240110</v>
      </c>
      <c r="B345" s="42" t="str">
        <f>VLOOKUP(A345,'תקציב מפורט 2025'!A:O,2,FALSE)</f>
        <v>משכורת ב"ס יסודי ד</v>
      </c>
      <c r="C345" s="42">
        <v>213418932</v>
      </c>
      <c r="D345" s="42" t="s">
        <v>448</v>
      </c>
      <c r="E345" s="42" t="s">
        <v>1741</v>
      </c>
      <c r="F345" s="42">
        <v>813240</v>
      </c>
      <c r="G345" s="48">
        <v>126.8</v>
      </c>
      <c r="H345" s="45">
        <v>8673.01</v>
      </c>
      <c r="I345" s="45">
        <f>SUMIFS('שכר 11.2024'!N:N,'שכר 11.2024'!C:C,C:C,'שכר 11.2024'!F:F,F:F)</f>
        <v>1858.98</v>
      </c>
      <c r="J345" s="45">
        <f t="shared" si="16"/>
        <v>10531.99</v>
      </c>
      <c r="K345" s="61">
        <f t="shared" si="17"/>
        <v>1.0349999999999999</v>
      </c>
      <c r="L345" s="45">
        <f t="shared" si="18"/>
        <v>10900.609649999999</v>
      </c>
      <c r="M345" s="45">
        <f t="shared" si="19"/>
        <v>0.11527272727272728</v>
      </c>
    </row>
    <row r="346" spans="1:13" outlineLevel="1" x14ac:dyDescent="0.35">
      <c r="A346" s="63" t="s">
        <v>2011</v>
      </c>
      <c r="B346" s="63"/>
      <c r="C346" s="63"/>
      <c r="D346" s="63"/>
      <c r="E346" s="63"/>
      <c r="F346" s="63"/>
      <c r="G346" s="73">
        <f>SUBTOTAL(9,G338:G345)</f>
        <v>4828.7000000000007</v>
      </c>
      <c r="H346" s="64">
        <f>SUBTOTAL(9,H338:H345)</f>
        <v>601936.10000000009</v>
      </c>
      <c r="I346" s="64">
        <f>SUBTOTAL(9,I338:I345)</f>
        <v>58613.380000000005</v>
      </c>
      <c r="J346" s="64">
        <f>SUBTOTAL(9,J338:J345)</f>
        <v>660549.47999999986</v>
      </c>
      <c r="K346" s="65"/>
      <c r="L346" s="64">
        <f>SUBTOTAL(9,L338:L345)</f>
        <v>683668.71180000005</v>
      </c>
      <c r="M346" s="64">
        <f>SUBTOTAL(9,M338:M345)</f>
        <v>4.3897272727272725</v>
      </c>
    </row>
    <row r="347" spans="1:13" outlineLevel="2" x14ac:dyDescent="0.35">
      <c r="A347" s="42">
        <v>1813250110</v>
      </c>
      <c r="B347" s="42" t="str">
        <f>VLOOKUP(A347,'תקציב מפורט 2025'!A:O,2,FALSE)</f>
        <v>משכורת -תוכנית הכח לצמוח</v>
      </c>
      <c r="C347" s="42">
        <v>301586566</v>
      </c>
      <c r="D347" s="42" t="s">
        <v>495</v>
      </c>
      <c r="E347" s="42" t="s">
        <v>558</v>
      </c>
      <c r="F347" s="42">
        <v>813250</v>
      </c>
      <c r="G347" s="48">
        <v>0</v>
      </c>
      <c r="H347" s="45">
        <v>18678.82</v>
      </c>
      <c r="I347" s="45">
        <f>SUMIFS('שכר 11.2024'!N:N,'שכר 11.2024'!C:C,C:C,'שכר 11.2024'!F:F,F:F)</f>
        <v>0</v>
      </c>
      <c r="J347" s="45">
        <f t="shared" si="16"/>
        <v>18678.82</v>
      </c>
      <c r="K347" s="61">
        <f t="shared" si="17"/>
        <v>1.0349999999999999</v>
      </c>
      <c r="L347" s="45">
        <f t="shared" si="18"/>
        <v>19332.578699999998</v>
      </c>
      <c r="M347" s="45">
        <f t="shared" si="19"/>
        <v>0</v>
      </c>
    </row>
    <row r="348" spans="1:13" outlineLevel="1" x14ac:dyDescent="0.35">
      <c r="A348" s="63" t="s">
        <v>2012</v>
      </c>
      <c r="B348" s="63"/>
      <c r="C348" s="63"/>
      <c r="D348" s="63"/>
      <c r="E348" s="63"/>
      <c r="F348" s="63"/>
      <c r="G348" s="73">
        <f>SUBTOTAL(9,G347:G347)</f>
        <v>0</v>
      </c>
      <c r="H348" s="64">
        <f>SUBTOTAL(9,H347:H347)</f>
        <v>18678.82</v>
      </c>
      <c r="I348" s="64">
        <f>SUBTOTAL(9,I347:I347)</f>
        <v>0</v>
      </c>
      <c r="J348" s="64">
        <f>SUBTOTAL(9,J347:J347)</f>
        <v>18678.82</v>
      </c>
      <c r="K348" s="65"/>
      <c r="L348" s="64">
        <f>SUBTOTAL(9,L347:L347)</f>
        <v>19332.578699999998</v>
      </c>
      <c r="M348" s="64">
        <f>SUBTOTAL(9,M347:M347)</f>
        <v>0</v>
      </c>
    </row>
    <row r="349" spans="1:13" outlineLevel="2" x14ac:dyDescent="0.35">
      <c r="A349" s="42">
        <v>1813251110</v>
      </c>
      <c r="B349" s="42" t="str">
        <f>VLOOKUP(A349,'תקציב מפורט 2025'!A:O,2,FALSE)</f>
        <v>תוכנית עוזרי הוראה</v>
      </c>
      <c r="C349" s="42">
        <v>201060852</v>
      </c>
      <c r="D349" s="42" t="s">
        <v>495</v>
      </c>
      <c r="E349" s="42" t="s">
        <v>494</v>
      </c>
      <c r="F349" s="42">
        <v>813251</v>
      </c>
      <c r="G349" s="48">
        <v>106.1</v>
      </c>
      <c r="H349" s="45">
        <v>567.78</v>
      </c>
      <c r="I349" s="45">
        <f>SUMIFS('שכר 11.2024'!N:N,'שכר 11.2024'!C:C,C:C,'שכר 11.2024'!F:F,F:F)</f>
        <v>0</v>
      </c>
      <c r="J349" s="45">
        <f t="shared" si="16"/>
        <v>567.78</v>
      </c>
      <c r="K349" s="61">
        <f t="shared" si="17"/>
        <v>1.0349999999999999</v>
      </c>
      <c r="L349" s="45">
        <f t="shared" si="18"/>
        <v>587.65229999999997</v>
      </c>
      <c r="M349" s="45">
        <f t="shared" si="19"/>
        <v>9.6454545454545446E-2</v>
      </c>
    </row>
    <row r="350" spans="1:13" outlineLevel="2" x14ac:dyDescent="0.35">
      <c r="A350" s="42">
        <v>1813251110</v>
      </c>
      <c r="B350" s="42" t="str">
        <f>VLOOKUP(A350,'תקציב מפורט 2025'!A:O,2,FALSE)</f>
        <v>תוכנית עוזרי הוראה</v>
      </c>
      <c r="C350" s="42">
        <v>206885584</v>
      </c>
      <c r="D350" s="42" t="s">
        <v>434</v>
      </c>
      <c r="E350" s="42" t="s">
        <v>887</v>
      </c>
      <c r="F350" s="42">
        <v>813251</v>
      </c>
      <c r="G350" s="48">
        <v>313</v>
      </c>
      <c r="H350" s="45">
        <v>19217.8</v>
      </c>
      <c r="I350" s="45">
        <f>SUMIFS('שכר 11.2024'!N:N,'שכר 11.2024'!C:C,C:C,'שכר 11.2024'!F:F,F:F)</f>
        <v>3278.57</v>
      </c>
      <c r="J350" s="45">
        <f t="shared" si="16"/>
        <v>22496.37</v>
      </c>
      <c r="K350" s="61">
        <f t="shared" si="17"/>
        <v>1.0349999999999999</v>
      </c>
      <c r="L350" s="45">
        <f t="shared" si="18"/>
        <v>23283.742949999996</v>
      </c>
      <c r="M350" s="45">
        <f t="shared" si="19"/>
        <v>0.28454545454545455</v>
      </c>
    </row>
    <row r="351" spans="1:13" outlineLevel="2" x14ac:dyDescent="0.35">
      <c r="A351" s="42">
        <v>1813251110</v>
      </c>
      <c r="B351" s="42" t="str">
        <f>VLOOKUP(A351,'תקציב מפורט 2025'!A:O,2,FALSE)</f>
        <v>תוכנית עוזרי הוראה</v>
      </c>
      <c r="C351" s="42">
        <v>207513235</v>
      </c>
      <c r="D351" s="42" t="s">
        <v>434</v>
      </c>
      <c r="E351" s="42" t="s">
        <v>1842</v>
      </c>
      <c r="F351" s="42">
        <v>813251</v>
      </c>
      <c r="G351" s="48">
        <v>1461.4</v>
      </c>
      <c r="H351" s="45">
        <v>97093.51</v>
      </c>
      <c r="I351" s="45">
        <f>SUMIFS('שכר 11.2024'!N:N,'שכר 11.2024'!C:C,C:C,'שכר 11.2024'!F:F,F:F)</f>
        <v>7554.72</v>
      </c>
      <c r="J351" s="45">
        <f t="shared" si="16"/>
        <v>104648.23</v>
      </c>
      <c r="K351" s="61">
        <f t="shared" si="17"/>
        <v>1.0349999999999999</v>
      </c>
      <c r="L351" s="45">
        <f t="shared" si="18"/>
        <v>108310.91804999999</v>
      </c>
      <c r="M351" s="45">
        <f t="shared" si="19"/>
        <v>1.3285454545454547</v>
      </c>
    </row>
    <row r="352" spans="1:13" outlineLevel="1" x14ac:dyDescent="0.35">
      <c r="A352" s="63" t="s">
        <v>2013</v>
      </c>
      <c r="B352" s="63"/>
      <c r="C352" s="63"/>
      <c r="D352" s="63"/>
      <c r="E352" s="63"/>
      <c r="F352" s="63"/>
      <c r="G352" s="73">
        <f>SUBTOTAL(9,G349:G351)</f>
        <v>1880.5</v>
      </c>
      <c r="H352" s="64">
        <f>SUBTOTAL(9,H349:H351)</f>
        <v>116879.09</v>
      </c>
      <c r="I352" s="64">
        <f>SUBTOTAL(9,I349:I351)</f>
        <v>10833.29</v>
      </c>
      <c r="J352" s="64">
        <f>SUBTOTAL(9,J349:J351)</f>
        <v>127712.37999999999</v>
      </c>
      <c r="K352" s="65"/>
      <c r="L352" s="64">
        <f>SUBTOTAL(9,L349:L351)</f>
        <v>132182.31329999998</v>
      </c>
      <c r="M352" s="64">
        <f>SUBTOTAL(9,M349:M351)</f>
        <v>1.7095454545454547</v>
      </c>
    </row>
    <row r="353" spans="1:13" outlineLevel="2" x14ac:dyDescent="0.35">
      <c r="A353" s="42">
        <v>1813260110</v>
      </c>
      <c r="B353" s="42" t="str">
        <f>VLOOKUP(A353,'תקציב מפורט 2025'!A:O,2,FALSE)</f>
        <v>שכר</v>
      </c>
      <c r="C353" s="42">
        <v>21564067</v>
      </c>
      <c r="D353" s="42" t="s">
        <v>442</v>
      </c>
      <c r="E353" s="42" t="s">
        <v>493</v>
      </c>
      <c r="F353" s="42">
        <v>813260</v>
      </c>
      <c r="G353" s="48">
        <v>0</v>
      </c>
      <c r="H353" s="45">
        <v>5112.78</v>
      </c>
      <c r="I353" s="45">
        <f>SUMIFS('שכר 11.2024'!N:N,'שכר 11.2024'!C:C,C:C,'שכר 11.2024'!F:F,F:F)</f>
        <v>0</v>
      </c>
      <c r="J353" s="45">
        <f t="shared" si="16"/>
        <v>5112.78</v>
      </c>
      <c r="K353" s="61">
        <f t="shared" si="17"/>
        <v>1.0349999999999999</v>
      </c>
      <c r="L353" s="45">
        <f t="shared" si="18"/>
        <v>5291.7272999999996</v>
      </c>
      <c r="M353" s="45">
        <f t="shared" si="19"/>
        <v>0</v>
      </c>
    </row>
    <row r="354" spans="1:13" outlineLevel="2" x14ac:dyDescent="0.35">
      <c r="A354" s="42">
        <v>1813260110</v>
      </c>
      <c r="B354" s="42" t="str">
        <f>VLOOKUP(A354,'תקציב מפורט 2025'!A:O,2,FALSE)</f>
        <v>שכר</v>
      </c>
      <c r="C354" s="42">
        <v>21862032</v>
      </c>
      <c r="D354" s="42" t="s">
        <v>894</v>
      </c>
      <c r="E354" s="42" t="s">
        <v>895</v>
      </c>
      <c r="F354" s="42">
        <v>813260</v>
      </c>
      <c r="G354" s="48">
        <v>0</v>
      </c>
      <c r="H354" s="45">
        <v>5223.1899999999996</v>
      </c>
      <c r="I354" s="45">
        <f>SUMIFS('שכר 11.2024'!N:N,'שכר 11.2024'!C:C,C:C,'שכר 11.2024'!F:F,F:F)</f>
        <v>0</v>
      </c>
      <c r="J354" s="45">
        <f t="shared" si="16"/>
        <v>5223.1899999999996</v>
      </c>
      <c r="K354" s="61">
        <f t="shared" si="17"/>
        <v>1.0349999999999999</v>
      </c>
      <c r="L354" s="45">
        <f t="shared" si="18"/>
        <v>5406.0016499999992</v>
      </c>
      <c r="M354" s="45">
        <f t="shared" si="19"/>
        <v>0</v>
      </c>
    </row>
    <row r="355" spans="1:13" outlineLevel="2" x14ac:dyDescent="0.35">
      <c r="A355" s="42">
        <v>1813260110</v>
      </c>
      <c r="B355" s="42" t="str">
        <f>VLOOKUP(A355,'תקציב מפורט 2025'!A:O,2,FALSE)</f>
        <v>שכר</v>
      </c>
      <c r="C355" s="42">
        <v>36711257</v>
      </c>
      <c r="D355" s="42" t="s">
        <v>442</v>
      </c>
      <c r="E355" s="42" t="s">
        <v>492</v>
      </c>
      <c r="F355" s="42">
        <v>813260</v>
      </c>
      <c r="G355" s="48">
        <v>0</v>
      </c>
      <c r="H355" s="45">
        <v>5228.38</v>
      </c>
      <c r="I355" s="45">
        <f>SUMIFS('שכר 11.2024'!N:N,'שכר 11.2024'!C:C,C:C,'שכר 11.2024'!F:F,F:F)</f>
        <v>0</v>
      </c>
      <c r="J355" s="45">
        <f t="shared" ref="J355:J420" si="20">H355+I355</f>
        <v>5228.38</v>
      </c>
      <c r="K355" s="61">
        <f t="shared" ref="K355:K420" si="21">3.5/100+1</f>
        <v>1.0349999999999999</v>
      </c>
      <c r="L355" s="45">
        <f t="shared" ref="L355:L420" si="22">J355*K355</f>
        <v>5411.3732999999993</v>
      </c>
      <c r="M355" s="45">
        <f t="shared" ref="M355:M420" si="23">G355/1100</f>
        <v>0</v>
      </c>
    </row>
    <row r="356" spans="1:13" outlineLevel="2" x14ac:dyDescent="0.35">
      <c r="A356" s="42">
        <v>1813260110</v>
      </c>
      <c r="B356" s="42" t="str">
        <f>VLOOKUP(A356,'תקציב מפורט 2025'!A:O,2,FALSE)</f>
        <v>שכר</v>
      </c>
      <c r="C356" s="42">
        <v>40164485</v>
      </c>
      <c r="D356" s="42" t="s">
        <v>1786</v>
      </c>
      <c r="E356" s="42" t="s">
        <v>459</v>
      </c>
      <c r="F356" s="42">
        <v>813260</v>
      </c>
      <c r="G356" s="48">
        <v>0</v>
      </c>
      <c r="H356" s="45">
        <v>5166.8999999999996</v>
      </c>
      <c r="I356" s="45">
        <f>SUMIFS('שכר 11.2024'!N:N,'שכר 11.2024'!C:C,C:C,'שכר 11.2024'!F:F,F:F)</f>
        <v>0</v>
      </c>
      <c r="J356" s="45">
        <f t="shared" si="20"/>
        <v>5166.8999999999996</v>
      </c>
      <c r="K356" s="61">
        <f t="shared" si="21"/>
        <v>1.0349999999999999</v>
      </c>
      <c r="L356" s="45">
        <f t="shared" si="22"/>
        <v>5347.7414999999992</v>
      </c>
      <c r="M356" s="45">
        <f t="shared" si="23"/>
        <v>0</v>
      </c>
    </row>
    <row r="357" spans="1:13" outlineLevel="2" x14ac:dyDescent="0.35">
      <c r="A357" s="42">
        <v>1813260110</v>
      </c>
      <c r="B357" s="42" t="str">
        <f>VLOOKUP(A357,'תקציב מפורט 2025'!A:O,2,FALSE)</f>
        <v>שכר</v>
      </c>
      <c r="C357" s="42">
        <v>59985382</v>
      </c>
      <c r="D357" s="42" t="s">
        <v>1787</v>
      </c>
      <c r="E357" s="42" t="s">
        <v>1788</v>
      </c>
      <c r="F357" s="42">
        <v>813260</v>
      </c>
      <c r="G357" s="48">
        <v>0</v>
      </c>
      <c r="H357" s="45">
        <v>5231.04</v>
      </c>
      <c r="I357" s="45">
        <f>SUMIFS('שכר 11.2024'!N:N,'שכר 11.2024'!C:C,C:C,'שכר 11.2024'!F:F,F:F)</f>
        <v>0</v>
      </c>
      <c r="J357" s="45">
        <f t="shared" si="20"/>
        <v>5231.04</v>
      </c>
      <c r="K357" s="61">
        <f t="shared" si="21"/>
        <v>1.0349999999999999</v>
      </c>
      <c r="L357" s="45">
        <f t="shared" si="22"/>
        <v>5414.1263999999992</v>
      </c>
      <c r="M357" s="45">
        <f t="shared" si="23"/>
        <v>0</v>
      </c>
    </row>
    <row r="358" spans="1:13" outlineLevel="2" x14ac:dyDescent="0.35">
      <c r="A358" s="42">
        <v>1813260110</v>
      </c>
      <c r="B358" s="42" t="str">
        <f>VLOOKUP(A358,'תקציב מפורט 2025'!A:O,2,FALSE)</f>
        <v>שכר</v>
      </c>
      <c r="C358" s="42">
        <v>206211419</v>
      </c>
      <c r="D358" s="42" t="s">
        <v>434</v>
      </c>
      <c r="E358" s="42" t="s">
        <v>874</v>
      </c>
      <c r="F358" s="42">
        <v>813260</v>
      </c>
      <c r="G358" s="48">
        <v>0</v>
      </c>
      <c r="H358" s="45">
        <v>832.87</v>
      </c>
      <c r="I358" s="45">
        <f>SUMIFS('שכר 11.2024'!N:N,'שכר 11.2024'!C:C,C:C,'שכר 11.2024'!F:F,F:F)</f>
        <v>0</v>
      </c>
      <c r="J358" s="45">
        <f t="shared" si="20"/>
        <v>832.87</v>
      </c>
      <c r="K358" s="61">
        <f t="shared" si="21"/>
        <v>1.0349999999999999</v>
      </c>
      <c r="L358" s="45">
        <f t="shared" si="22"/>
        <v>862.02044999999998</v>
      </c>
      <c r="M358" s="45">
        <f t="shared" si="23"/>
        <v>0</v>
      </c>
    </row>
    <row r="359" spans="1:13" outlineLevel="2" x14ac:dyDescent="0.35">
      <c r="A359" s="42">
        <v>1813260110</v>
      </c>
      <c r="B359" s="42" t="str">
        <f>VLOOKUP(A359,'תקציב מפורט 2025'!A:O,2,FALSE)</f>
        <v>שכר</v>
      </c>
      <c r="C359" s="42">
        <v>314057803</v>
      </c>
      <c r="D359" s="42" t="s">
        <v>921</v>
      </c>
      <c r="E359" s="42" t="s">
        <v>438</v>
      </c>
      <c r="F359" s="42">
        <v>813260</v>
      </c>
      <c r="G359" s="48">
        <v>0</v>
      </c>
      <c r="H359" s="45">
        <v>458.84</v>
      </c>
      <c r="I359" s="45">
        <f>SUMIFS('שכר 11.2024'!N:N,'שכר 11.2024'!C:C,C:C,'שכר 11.2024'!F:F,F:F)</f>
        <v>0</v>
      </c>
      <c r="J359" s="45">
        <f t="shared" si="20"/>
        <v>458.84</v>
      </c>
      <c r="K359" s="61">
        <f t="shared" si="21"/>
        <v>1.0349999999999999</v>
      </c>
      <c r="L359" s="45">
        <f t="shared" si="22"/>
        <v>474.89939999999996</v>
      </c>
      <c r="M359" s="45">
        <f t="shared" si="23"/>
        <v>0</v>
      </c>
    </row>
    <row r="360" spans="1:13" outlineLevel="1" x14ac:dyDescent="0.35">
      <c r="A360" s="63" t="s">
        <v>2014</v>
      </c>
      <c r="B360" s="63"/>
      <c r="C360" s="63"/>
      <c r="D360" s="63"/>
      <c r="E360" s="63"/>
      <c r="F360" s="63"/>
      <c r="G360" s="73">
        <f>SUBTOTAL(9,G353:G359)</f>
        <v>0</v>
      </c>
      <c r="H360" s="64">
        <f>SUBTOTAL(9,H353:H359)</f>
        <v>27254</v>
      </c>
      <c r="I360" s="64">
        <f>SUBTOTAL(9,I353:I359)</f>
        <v>0</v>
      </c>
      <c r="J360" s="64">
        <f>SUBTOTAL(9,J353:J359)</f>
        <v>27254</v>
      </c>
      <c r="K360" s="65"/>
      <c r="L360" s="64">
        <f>SUBTOTAL(9,L353:L359)</f>
        <v>28207.889999999992</v>
      </c>
      <c r="M360" s="64">
        <f>SUBTOTAL(9,M353:M359)</f>
        <v>0</v>
      </c>
    </row>
    <row r="361" spans="1:13" outlineLevel="2" x14ac:dyDescent="0.35">
      <c r="A361" s="42">
        <v>1813300110</v>
      </c>
      <c r="B361" s="42" t="str">
        <f>VLOOKUP(A361,'תקציב מפורט 2025'!A:O,2,FALSE)</f>
        <v>משכורתב"ס לחינוך מיוחד</v>
      </c>
      <c r="C361" s="42">
        <v>24765778</v>
      </c>
      <c r="D361" s="42" t="s">
        <v>520</v>
      </c>
      <c r="E361" s="42" t="s">
        <v>560</v>
      </c>
      <c r="F361" s="42">
        <v>813300</v>
      </c>
      <c r="G361" s="48">
        <v>1100</v>
      </c>
      <c r="H361" s="45">
        <v>188915.39</v>
      </c>
      <c r="I361" s="45">
        <f>SUMIFS('שכר 11.2024'!N:N,'שכר 11.2024'!C:C,C:C,'שכר 11.2024'!F:F,F:F)</f>
        <v>15664.19</v>
      </c>
      <c r="J361" s="45">
        <f t="shared" si="20"/>
        <v>204579.58000000002</v>
      </c>
      <c r="K361" s="61">
        <f t="shared" si="21"/>
        <v>1.0349999999999999</v>
      </c>
      <c r="L361" s="45">
        <f t="shared" si="22"/>
        <v>211739.8653</v>
      </c>
      <c r="M361" s="45">
        <f t="shared" si="23"/>
        <v>1</v>
      </c>
    </row>
    <row r="362" spans="1:13" outlineLevel="2" x14ac:dyDescent="0.35">
      <c r="A362" s="42">
        <v>1813300110</v>
      </c>
      <c r="B362" s="42" t="str">
        <f>VLOOKUP(A362,'תקציב מפורט 2025'!A:O,2,FALSE)</f>
        <v>משכורתב"ס לחינוך מיוחד</v>
      </c>
      <c r="C362" s="42">
        <v>28346385</v>
      </c>
      <c r="D362" s="42" t="s">
        <v>442</v>
      </c>
      <c r="E362" s="42" t="s">
        <v>548</v>
      </c>
      <c r="F362" s="42">
        <v>813300</v>
      </c>
      <c r="G362" s="48">
        <v>900</v>
      </c>
      <c r="H362" s="45">
        <v>140175.97</v>
      </c>
      <c r="I362" s="45">
        <f>SUMIFS('שכר 11.2024'!N:N,'שכר 11.2024'!C:C,C:C,'שכר 11.2024'!F:F,F:F)</f>
        <v>0</v>
      </c>
      <c r="J362" s="45">
        <f t="shared" si="20"/>
        <v>140175.97</v>
      </c>
      <c r="K362" s="61">
        <f t="shared" si="21"/>
        <v>1.0349999999999999</v>
      </c>
      <c r="L362" s="45">
        <f t="shared" si="22"/>
        <v>145082.12894999998</v>
      </c>
      <c r="M362" s="45">
        <f t="shared" si="23"/>
        <v>0.81818181818181823</v>
      </c>
    </row>
    <row r="363" spans="1:13" outlineLevel="2" x14ac:dyDescent="0.35">
      <c r="A363" s="42">
        <v>1813300110</v>
      </c>
      <c r="B363" s="42" t="str">
        <f>VLOOKUP(A363,'תקציב מפורט 2025'!A:O,2,FALSE)</f>
        <v>משכורתב"ס לחינוך מיוחד</v>
      </c>
      <c r="C363" s="42">
        <v>29816683</v>
      </c>
      <c r="D363" s="42" t="s">
        <v>546</v>
      </c>
      <c r="E363" s="42" t="s">
        <v>558</v>
      </c>
      <c r="F363" s="42">
        <v>813300</v>
      </c>
      <c r="G363" s="48">
        <v>660</v>
      </c>
      <c r="H363" s="45">
        <v>107368.69</v>
      </c>
      <c r="I363" s="45">
        <f>SUMIFS('שכר 11.2024'!N:N,'שכר 11.2024'!C:C,C:C,'שכר 11.2024'!F:F,F:F)</f>
        <v>8981.15</v>
      </c>
      <c r="J363" s="45">
        <f t="shared" si="20"/>
        <v>116349.84</v>
      </c>
      <c r="K363" s="61">
        <f t="shared" si="21"/>
        <v>1.0349999999999999</v>
      </c>
      <c r="L363" s="45">
        <f t="shared" si="22"/>
        <v>120422.08439999999</v>
      </c>
      <c r="M363" s="45">
        <f t="shared" si="23"/>
        <v>0.6</v>
      </c>
    </row>
    <row r="364" spans="1:13" outlineLevel="2" x14ac:dyDescent="0.35">
      <c r="A364" s="42">
        <v>1813300110</v>
      </c>
      <c r="B364" s="42" t="str">
        <f>VLOOKUP(A364,'תקציב מפורט 2025'!A:O,2,FALSE)</f>
        <v>משכורתב"ס לחינוך מיוחד</v>
      </c>
      <c r="C364" s="42">
        <v>29817244</v>
      </c>
      <c r="D364" s="42" t="s">
        <v>434</v>
      </c>
      <c r="E364" s="42" t="s">
        <v>848</v>
      </c>
      <c r="F364" s="42">
        <v>813300</v>
      </c>
      <c r="G364" s="48">
        <v>381.8</v>
      </c>
      <c r="H364" s="45">
        <v>42847.23</v>
      </c>
      <c r="I364" s="45">
        <f>SUMIFS('שכר 11.2024'!N:N,'שכר 11.2024'!C:C,C:C,'שכר 11.2024'!F:F,F:F)</f>
        <v>4320.96</v>
      </c>
      <c r="J364" s="45">
        <f t="shared" si="20"/>
        <v>47168.19</v>
      </c>
      <c r="K364" s="61">
        <f t="shared" si="21"/>
        <v>1.0349999999999999</v>
      </c>
      <c r="L364" s="45">
        <f t="shared" si="22"/>
        <v>48819.076649999995</v>
      </c>
      <c r="M364" s="45">
        <f t="shared" si="23"/>
        <v>0.34709090909090912</v>
      </c>
    </row>
    <row r="365" spans="1:13" outlineLevel="2" x14ac:dyDescent="0.35">
      <c r="A365" s="42">
        <v>1813300110</v>
      </c>
      <c r="B365" s="42" t="str">
        <f>VLOOKUP(A365,'תקציב מפורט 2025'!A:O,2,FALSE)</f>
        <v>משכורתב"ס לחינוך מיוחד</v>
      </c>
      <c r="C365" s="42">
        <v>31547227</v>
      </c>
      <c r="D365" s="42" t="s">
        <v>1742</v>
      </c>
      <c r="E365" s="42" t="s">
        <v>557</v>
      </c>
      <c r="F365" s="42">
        <v>813300</v>
      </c>
      <c r="G365" s="48">
        <v>1100</v>
      </c>
      <c r="H365" s="45">
        <v>159645.21</v>
      </c>
      <c r="I365" s="45">
        <f>SUMIFS('שכר 11.2024'!N:N,'שכר 11.2024'!C:C,C:C,'שכר 11.2024'!F:F,F:F)</f>
        <v>13484.71</v>
      </c>
      <c r="J365" s="45">
        <f t="shared" si="20"/>
        <v>173129.91999999998</v>
      </c>
      <c r="K365" s="61">
        <f t="shared" si="21"/>
        <v>1.0349999999999999</v>
      </c>
      <c r="L365" s="45">
        <f t="shared" si="22"/>
        <v>179189.46719999996</v>
      </c>
      <c r="M365" s="45">
        <f t="shared" si="23"/>
        <v>1</v>
      </c>
    </row>
    <row r="366" spans="1:13" outlineLevel="2" x14ac:dyDescent="0.35">
      <c r="A366" s="42">
        <v>1813300110</v>
      </c>
      <c r="B366" s="42" t="str">
        <f>VLOOKUP(A366,'תקציב מפורט 2025'!A:O,2,FALSE)</f>
        <v>משכורתב"ס לחינוך מיוחד</v>
      </c>
      <c r="C366" s="42">
        <v>31693484</v>
      </c>
      <c r="D366" s="42" t="s">
        <v>434</v>
      </c>
      <c r="E366" s="42" t="s">
        <v>551</v>
      </c>
      <c r="F366" s="42">
        <v>813300</v>
      </c>
      <c r="G366" s="48">
        <v>0</v>
      </c>
      <c r="H366" s="45">
        <v>0</v>
      </c>
      <c r="I366" s="45">
        <f>SUMIFS('שכר 11.2024'!N:N,'שכר 11.2024'!C:C,C:C,'שכר 11.2024'!F:F,F:F)</f>
        <v>0</v>
      </c>
      <c r="J366" s="45">
        <f t="shared" si="20"/>
        <v>0</v>
      </c>
      <c r="K366" s="61">
        <f t="shared" si="21"/>
        <v>1.0349999999999999</v>
      </c>
      <c r="L366" s="45">
        <f t="shared" si="22"/>
        <v>0</v>
      </c>
      <c r="M366" s="45">
        <f t="shared" si="23"/>
        <v>0</v>
      </c>
    </row>
    <row r="367" spans="1:13" outlineLevel="2" x14ac:dyDescent="0.35">
      <c r="A367" s="42">
        <v>1813300110</v>
      </c>
      <c r="B367" s="42" t="str">
        <f>VLOOKUP(A367,'תקציב מפורט 2025'!A:O,2,FALSE)</f>
        <v>משכורתב"ס לחינוך מיוחד</v>
      </c>
      <c r="C367" s="42">
        <v>33610361</v>
      </c>
      <c r="D367" s="42" t="s">
        <v>1743</v>
      </c>
      <c r="E367" s="42" t="s">
        <v>941</v>
      </c>
      <c r="F367" s="42">
        <v>813300</v>
      </c>
      <c r="G367" s="48">
        <v>1100</v>
      </c>
      <c r="H367" s="45">
        <v>179231.59</v>
      </c>
      <c r="I367" s="45">
        <f>SUMIFS('שכר 11.2024'!N:N,'שכר 11.2024'!C:C,C:C,'שכר 11.2024'!F:F,F:F)</f>
        <v>15900.4</v>
      </c>
      <c r="J367" s="45">
        <f t="shared" si="20"/>
        <v>195131.99</v>
      </c>
      <c r="K367" s="61">
        <f t="shared" si="21"/>
        <v>1.0349999999999999</v>
      </c>
      <c r="L367" s="45">
        <f t="shared" si="22"/>
        <v>201961.60964999997</v>
      </c>
      <c r="M367" s="45">
        <f t="shared" si="23"/>
        <v>1</v>
      </c>
    </row>
    <row r="368" spans="1:13" outlineLevel="2" x14ac:dyDescent="0.35">
      <c r="A368" s="42">
        <v>1813300110</v>
      </c>
      <c r="B368" s="42" t="str">
        <f>VLOOKUP(A368,'תקציב מפורט 2025'!A:O,2,FALSE)</f>
        <v>משכורתב"ס לחינוך מיוחד</v>
      </c>
      <c r="C368" s="42">
        <v>33804816</v>
      </c>
      <c r="D368" s="42" t="s">
        <v>434</v>
      </c>
      <c r="E368" s="42" t="s">
        <v>457</v>
      </c>
      <c r="F368" s="42">
        <v>813300</v>
      </c>
      <c r="G368" s="48">
        <v>1100</v>
      </c>
      <c r="H368" s="45">
        <v>177513.82</v>
      </c>
      <c r="I368" s="45">
        <f>SUMIFS('שכר 11.2024'!N:N,'שכר 11.2024'!C:C,C:C,'שכר 11.2024'!F:F,F:F)</f>
        <v>14457.92</v>
      </c>
      <c r="J368" s="45">
        <f t="shared" si="20"/>
        <v>191971.74000000002</v>
      </c>
      <c r="K368" s="61">
        <f t="shared" si="21"/>
        <v>1.0349999999999999</v>
      </c>
      <c r="L368" s="45">
        <f t="shared" si="22"/>
        <v>198690.75090000001</v>
      </c>
      <c r="M368" s="45">
        <f t="shared" si="23"/>
        <v>1</v>
      </c>
    </row>
    <row r="369" spans="1:13" outlineLevel="2" x14ac:dyDescent="0.35">
      <c r="A369" s="42">
        <v>1813300110</v>
      </c>
      <c r="B369" s="42" t="str">
        <f>VLOOKUP(A369,'תקציב מפורט 2025'!A:O,2,FALSE)</f>
        <v>משכורתב"ס לחינוך מיוחד</v>
      </c>
      <c r="C369" s="42">
        <v>34264804</v>
      </c>
      <c r="D369" s="42" t="s">
        <v>434</v>
      </c>
      <c r="E369" s="42" t="s">
        <v>552</v>
      </c>
      <c r="F369" s="42">
        <v>813300</v>
      </c>
      <c r="G369" s="48">
        <v>1100</v>
      </c>
      <c r="H369" s="45">
        <v>168603.54</v>
      </c>
      <c r="I369" s="45">
        <f>SUMIFS('שכר 11.2024'!N:N,'שכר 11.2024'!C:C,C:C,'שכר 11.2024'!F:F,F:F)</f>
        <v>14944.51</v>
      </c>
      <c r="J369" s="45">
        <f t="shared" si="20"/>
        <v>183548.05000000002</v>
      </c>
      <c r="K369" s="61">
        <f t="shared" si="21"/>
        <v>1.0349999999999999</v>
      </c>
      <c r="L369" s="45">
        <f t="shared" si="22"/>
        <v>189972.23175000001</v>
      </c>
      <c r="M369" s="45">
        <f t="shared" si="23"/>
        <v>1</v>
      </c>
    </row>
    <row r="370" spans="1:13" outlineLevel="2" x14ac:dyDescent="0.35">
      <c r="A370" s="42">
        <v>1813300110</v>
      </c>
      <c r="B370" s="42" t="str">
        <f>VLOOKUP(A370,'תקציב מפורט 2025'!A:O,2,FALSE)</f>
        <v>משכורתב"ס לחינוך מיוחד</v>
      </c>
      <c r="C370" s="42">
        <v>34555789</v>
      </c>
      <c r="D370" s="42" t="s">
        <v>446</v>
      </c>
      <c r="E370" s="42" t="s">
        <v>524</v>
      </c>
      <c r="F370" s="42">
        <v>813300</v>
      </c>
      <c r="G370" s="48">
        <v>763.2</v>
      </c>
      <c r="H370" s="45">
        <v>65549.789999999994</v>
      </c>
      <c r="I370" s="45">
        <f>SUMIFS('שכר 11.2024'!N:N,'שכר 11.2024'!C:C,C:C,'שכר 11.2024'!F:F,F:F)</f>
        <v>4325.53</v>
      </c>
      <c r="J370" s="45">
        <f t="shared" si="20"/>
        <v>69875.319999999992</v>
      </c>
      <c r="K370" s="61">
        <f t="shared" si="21"/>
        <v>1.0349999999999999</v>
      </c>
      <c r="L370" s="45">
        <f t="shared" si="22"/>
        <v>72320.956199999986</v>
      </c>
      <c r="M370" s="45">
        <f t="shared" si="23"/>
        <v>0.69381818181818189</v>
      </c>
    </row>
    <row r="371" spans="1:13" outlineLevel="2" x14ac:dyDescent="0.35">
      <c r="A371" s="42">
        <v>1813300110</v>
      </c>
      <c r="B371" s="42" t="str">
        <f>VLOOKUP(A371,'תקציב מפורט 2025'!A:O,2,FALSE)</f>
        <v>משכורתב"ס לחינוך מיוחד</v>
      </c>
      <c r="C371" s="42">
        <v>39817176</v>
      </c>
      <c r="D371" s="42" t="s">
        <v>442</v>
      </c>
      <c r="E371" s="42" t="s">
        <v>556</v>
      </c>
      <c r="F371" s="42">
        <v>813300</v>
      </c>
      <c r="G371" s="48">
        <v>900</v>
      </c>
      <c r="H371" s="45">
        <v>128739.28</v>
      </c>
      <c r="I371" s="45">
        <f>SUMIFS('שכר 11.2024'!N:N,'שכר 11.2024'!C:C,C:C,'שכר 11.2024'!F:F,F:F)</f>
        <v>13854.61</v>
      </c>
      <c r="J371" s="45">
        <f t="shared" si="20"/>
        <v>142593.89000000001</v>
      </c>
      <c r="K371" s="61">
        <f t="shared" si="21"/>
        <v>1.0349999999999999</v>
      </c>
      <c r="L371" s="45">
        <f t="shared" si="22"/>
        <v>147584.67615000001</v>
      </c>
      <c r="M371" s="45">
        <f t="shared" si="23"/>
        <v>0.81818181818181823</v>
      </c>
    </row>
    <row r="372" spans="1:13" outlineLevel="2" x14ac:dyDescent="0.35">
      <c r="A372" s="42">
        <v>1813300110</v>
      </c>
      <c r="B372" s="42" t="str">
        <f>VLOOKUP(A372,'תקציב מפורט 2025'!A:O,2,FALSE)</f>
        <v>משכורתב"ס לחינוך מיוחד</v>
      </c>
      <c r="C372" s="42">
        <v>41701228</v>
      </c>
      <c r="D372" s="42" t="s">
        <v>1744</v>
      </c>
      <c r="E372" s="42" t="s">
        <v>555</v>
      </c>
      <c r="F372" s="42">
        <v>813300</v>
      </c>
      <c r="G372" s="48">
        <v>581</v>
      </c>
      <c r="H372" s="45">
        <v>51266.76</v>
      </c>
      <c r="I372" s="45">
        <f>SUMIFS('שכר 11.2024'!N:N,'שכר 11.2024'!C:C,C:C,'שכר 11.2024'!F:F,F:F)</f>
        <v>4407.7299999999996</v>
      </c>
      <c r="J372" s="45">
        <f t="shared" si="20"/>
        <v>55674.490000000005</v>
      </c>
      <c r="K372" s="61">
        <f t="shared" si="21"/>
        <v>1.0349999999999999</v>
      </c>
      <c r="L372" s="45">
        <f t="shared" si="22"/>
        <v>57623.097150000001</v>
      </c>
      <c r="M372" s="45">
        <f t="shared" si="23"/>
        <v>0.5281818181818182</v>
      </c>
    </row>
    <row r="373" spans="1:13" outlineLevel="2" x14ac:dyDescent="0.35">
      <c r="A373" s="42">
        <v>1813300110</v>
      </c>
      <c r="B373" s="42" t="str">
        <f>VLOOKUP(A373,'תקציב מפורט 2025'!A:O,2,FALSE)</f>
        <v>משכורתב"ס לחינוך מיוחד</v>
      </c>
      <c r="C373" s="42">
        <v>56315336</v>
      </c>
      <c r="D373" s="42" t="s">
        <v>437</v>
      </c>
      <c r="E373" s="42" t="s">
        <v>436</v>
      </c>
      <c r="F373" s="42">
        <v>813300</v>
      </c>
      <c r="G373" s="48">
        <v>1100</v>
      </c>
      <c r="H373" s="45">
        <v>182994.26</v>
      </c>
      <c r="I373" s="45">
        <f>SUMIFS('שכר 11.2024'!N:N,'שכר 11.2024'!C:C,C:C,'שכר 11.2024'!F:F,F:F)</f>
        <v>14923.54</v>
      </c>
      <c r="J373" s="45">
        <f t="shared" si="20"/>
        <v>197917.80000000002</v>
      </c>
      <c r="K373" s="61">
        <f t="shared" si="21"/>
        <v>1.0349999999999999</v>
      </c>
      <c r="L373" s="45">
        <f t="shared" si="22"/>
        <v>204844.92300000001</v>
      </c>
      <c r="M373" s="45">
        <f t="shared" si="23"/>
        <v>1</v>
      </c>
    </row>
    <row r="374" spans="1:13" outlineLevel="2" x14ac:dyDescent="0.35">
      <c r="A374" s="42">
        <v>1813300110</v>
      </c>
      <c r="B374" s="42" t="str">
        <f>VLOOKUP(A374,'תקציב מפורט 2025'!A:O,2,FALSE)</f>
        <v>משכורתב"ס לחינוך מיוחד</v>
      </c>
      <c r="C374" s="42">
        <v>60141090</v>
      </c>
      <c r="D374" s="42" t="s">
        <v>434</v>
      </c>
      <c r="E374" s="42" t="s">
        <v>481</v>
      </c>
      <c r="F374" s="42">
        <v>813300</v>
      </c>
      <c r="G374" s="48">
        <v>684</v>
      </c>
      <c r="H374" s="45">
        <v>113835.76</v>
      </c>
      <c r="I374" s="45">
        <f>SUMIFS('שכר 11.2024'!N:N,'שכר 11.2024'!C:C,C:C,'שכר 11.2024'!F:F,F:F)</f>
        <v>13782.38</v>
      </c>
      <c r="J374" s="45">
        <f t="shared" si="20"/>
        <v>127618.14</v>
      </c>
      <c r="K374" s="61">
        <f t="shared" si="21"/>
        <v>1.0349999999999999</v>
      </c>
      <c r="L374" s="45">
        <f t="shared" si="22"/>
        <v>132084.77489999999</v>
      </c>
      <c r="M374" s="45">
        <f t="shared" si="23"/>
        <v>0.62181818181818183</v>
      </c>
    </row>
    <row r="375" spans="1:13" outlineLevel="2" x14ac:dyDescent="0.35">
      <c r="A375" s="42">
        <v>1813300110</v>
      </c>
      <c r="B375" s="42" t="str">
        <f>VLOOKUP(A375,'תקציב מפורט 2025'!A:O,2,FALSE)</f>
        <v>משכורתב"ס לחינוך מיוחד</v>
      </c>
      <c r="C375" s="42">
        <v>60142221</v>
      </c>
      <c r="D375" s="42" t="s">
        <v>442</v>
      </c>
      <c r="E375" s="42" t="s">
        <v>855</v>
      </c>
      <c r="F375" s="42">
        <v>813300</v>
      </c>
      <c r="G375" s="48">
        <v>1100</v>
      </c>
      <c r="H375" s="45">
        <v>166858.47</v>
      </c>
      <c r="I375" s="45">
        <f>SUMIFS('שכר 11.2024'!N:N,'שכר 11.2024'!C:C,C:C,'שכר 11.2024'!F:F,F:F)</f>
        <v>14388.03</v>
      </c>
      <c r="J375" s="45">
        <f t="shared" si="20"/>
        <v>181246.5</v>
      </c>
      <c r="K375" s="61">
        <f t="shared" si="21"/>
        <v>1.0349999999999999</v>
      </c>
      <c r="L375" s="45">
        <f t="shared" si="22"/>
        <v>187590.12749999997</v>
      </c>
      <c r="M375" s="45">
        <f t="shared" si="23"/>
        <v>1</v>
      </c>
    </row>
    <row r="376" spans="1:13" outlineLevel="2" x14ac:dyDescent="0.35">
      <c r="A376" s="42">
        <v>1813300110</v>
      </c>
      <c r="B376" s="42" t="str">
        <f>VLOOKUP(A376,'תקציב מפורט 2025'!A:O,2,FALSE)</f>
        <v>משכורתב"ס לחינוך מיוחד</v>
      </c>
      <c r="C376" s="42">
        <v>61263398</v>
      </c>
      <c r="D376" s="42" t="s">
        <v>442</v>
      </c>
      <c r="E376" s="42" t="s">
        <v>554</v>
      </c>
      <c r="F376" s="42">
        <v>813300</v>
      </c>
      <c r="G376" s="48">
        <v>1100</v>
      </c>
      <c r="H376" s="45">
        <v>162181.81</v>
      </c>
      <c r="I376" s="45">
        <f>SUMIFS('שכר 11.2024'!N:N,'שכר 11.2024'!C:C,C:C,'שכר 11.2024'!F:F,F:F)</f>
        <v>14107.84</v>
      </c>
      <c r="J376" s="45">
        <f t="shared" si="20"/>
        <v>176289.65</v>
      </c>
      <c r="K376" s="61">
        <f t="shared" si="21"/>
        <v>1.0349999999999999</v>
      </c>
      <c r="L376" s="45">
        <f t="shared" si="22"/>
        <v>182459.78774999999</v>
      </c>
      <c r="M376" s="45">
        <f t="shared" si="23"/>
        <v>1</v>
      </c>
    </row>
    <row r="377" spans="1:13" outlineLevel="2" x14ac:dyDescent="0.35">
      <c r="A377" s="42">
        <v>1813300110</v>
      </c>
      <c r="B377" s="42" t="str">
        <f>VLOOKUP(A377,'תקציב מפורט 2025'!A:O,2,FALSE)</f>
        <v>משכורתב"ס לחינוך מיוחד</v>
      </c>
      <c r="C377" s="42">
        <v>317849073</v>
      </c>
      <c r="D377" s="42" t="s">
        <v>434</v>
      </c>
      <c r="E377" s="42" t="s">
        <v>459</v>
      </c>
      <c r="F377" s="42">
        <v>813300</v>
      </c>
      <c r="G377" s="48">
        <v>660</v>
      </c>
      <c r="H377" s="45">
        <v>108876.46</v>
      </c>
      <c r="I377" s="45">
        <f>SUMIFS('שכר 11.2024'!N:N,'שכר 11.2024'!C:C,C:C,'שכר 11.2024'!F:F,F:F)</f>
        <v>9256.65</v>
      </c>
      <c r="J377" s="45">
        <f t="shared" si="20"/>
        <v>118133.11</v>
      </c>
      <c r="K377" s="61">
        <f t="shared" si="21"/>
        <v>1.0349999999999999</v>
      </c>
      <c r="L377" s="45">
        <f t="shared" si="22"/>
        <v>122267.76884999999</v>
      </c>
      <c r="M377" s="45">
        <f t="shared" si="23"/>
        <v>0.6</v>
      </c>
    </row>
    <row r="378" spans="1:13" outlineLevel="2" x14ac:dyDescent="0.35">
      <c r="A378" s="42">
        <v>1813300110</v>
      </c>
      <c r="B378" s="42" t="str">
        <f>VLOOKUP(A378,'תקציב מפורט 2025'!A:O,2,FALSE)</f>
        <v>משכורתב"ס לחינוך מיוחד</v>
      </c>
      <c r="C378" s="42">
        <v>31693484</v>
      </c>
      <c r="D378" s="42" t="s">
        <v>434</v>
      </c>
      <c r="E378" s="42" t="s">
        <v>551</v>
      </c>
      <c r="F378" s="42">
        <v>813310</v>
      </c>
      <c r="G378" s="48">
        <v>0</v>
      </c>
      <c r="H378" s="45">
        <v>4515.2700000000004</v>
      </c>
      <c r="I378" s="45">
        <f>SUMIFS('שכר 11.2024'!N:N,'שכר 11.2024'!C:C,C:C,'שכר 11.2024'!F:F,F:F)</f>
        <v>389.82</v>
      </c>
      <c r="J378" s="45">
        <f t="shared" si="20"/>
        <v>4905.09</v>
      </c>
      <c r="K378" s="61">
        <f t="shared" si="21"/>
        <v>1.0349999999999999</v>
      </c>
      <c r="L378" s="45">
        <f t="shared" si="22"/>
        <v>5076.7681499999999</v>
      </c>
      <c r="M378" s="45">
        <f t="shared" si="23"/>
        <v>0</v>
      </c>
    </row>
    <row r="379" spans="1:13" outlineLevel="1" x14ac:dyDescent="0.35">
      <c r="A379" s="63" t="s">
        <v>2015</v>
      </c>
      <c r="B379" s="63"/>
      <c r="C379" s="63"/>
      <c r="D379" s="63"/>
      <c r="E379" s="63"/>
      <c r="F379" s="63"/>
      <c r="G379" s="73">
        <f>SUBTOTAL(9,G361:G378)</f>
        <v>14330</v>
      </c>
      <c r="H379" s="64">
        <f>SUBTOTAL(9,H361:H378)</f>
        <v>2149119.3000000003</v>
      </c>
      <c r="I379" s="64">
        <f>SUBTOTAL(9,I361:I378)</f>
        <v>177189.97</v>
      </c>
      <c r="J379" s="64">
        <f>SUBTOTAL(9,J361:J378)</f>
        <v>2326309.27</v>
      </c>
      <c r="K379" s="65"/>
      <c r="L379" s="64">
        <f>SUBTOTAL(9,L361:L378)</f>
        <v>2407730.0944500002</v>
      </c>
      <c r="M379" s="64">
        <f>SUBTOTAL(9,M361:M378)</f>
        <v>13.027272727272726</v>
      </c>
    </row>
    <row r="380" spans="1:13" outlineLevel="2" x14ac:dyDescent="0.35">
      <c r="A380" s="42">
        <v>1813800110</v>
      </c>
      <c r="B380" s="42" t="str">
        <f>VLOOKUP(A380,'תקציב מפורט 2025'!A:O,2,FALSE)</f>
        <v>קיטנות אביב משכורת</v>
      </c>
      <c r="C380" s="42">
        <v>21578026</v>
      </c>
      <c r="D380" s="42" t="s">
        <v>434</v>
      </c>
      <c r="E380" s="42" t="s">
        <v>453</v>
      </c>
      <c r="F380" s="42">
        <v>813800</v>
      </c>
      <c r="G380" s="48">
        <v>0</v>
      </c>
      <c r="H380" s="45">
        <v>2802.38</v>
      </c>
      <c r="I380" s="45">
        <f>SUMIFS('שכר 11.2024'!N:N,'שכר 11.2024'!C:C,C:C,'שכר 11.2024'!F:F,F:F)</f>
        <v>0</v>
      </c>
      <c r="J380" s="45">
        <f t="shared" si="20"/>
        <v>2802.38</v>
      </c>
      <c r="K380" s="61">
        <f t="shared" si="21"/>
        <v>1.0349999999999999</v>
      </c>
      <c r="L380" s="45">
        <f t="shared" si="22"/>
        <v>2900.4632999999999</v>
      </c>
      <c r="M380" s="45">
        <f t="shared" si="23"/>
        <v>0</v>
      </c>
    </row>
    <row r="381" spans="1:13" outlineLevel="2" x14ac:dyDescent="0.35">
      <c r="A381" s="42">
        <v>1813800110</v>
      </c>
      <c r="B381" s="42" t="str">
        <f>VLOOKUP(A381,'תקציב מפורט 2025'!A:O,2,FALSE)</f>
        <v>קיטנות אביב משכורת</v>
      </c>
      <c r="C381" s="42">
        <v>26183228</v>
      </c>
      <c r="D381" s="42" t="s">
        <v>434</v>
      </c>
      <c r="E381" s="42" t="s">
        <v>597</v>
      </c>
      <c r="F381" s="42">
        <v>813800</v>
      </c>
      <c r="G381" s="48">
        <v>0</v>
      </c>
      <c r="H381" s="45">
        <v>1400.65</v>
      </c>
      <c r="I381" s="45">
        <f>SUMIFS('שכר 11.2024'!N:N,'שכר 11.2024'!C:C,C:C,'שכר 11.2024'!F:F,F:F)</f>
        <v>0</v>
      </c>
      <c r="J381" s="45">
        <f t="shared" si="20"/>
        <v>1400.65</v>
      </c>
      <c r="K381" s="61">
        <f t="shared" si="21"/>
        <v>1.0349999999999999</v>
      </c>
      <c r="L381" s="45">
        <f t="shared" si="22"/>
        <v>1449.67275</v>
      </c>
      <c r="M381" s="45">
        <f t="shared" si="23"/>
        <v>0</v>
      </c>
    </row>
    <row r="382" spans="1:13" outlineLevel="2" x14ac:dyDescent="0.35">
      <c r="A382" s="42">
        <v>1813800110</v>
      </c>
      <c r="B382" s="42" t="str">
        <f>VLOOKUP(A382,'תקציב מפורט 2025'!A:O,2,FALSE)</f>
        <v>קיטנות אביב משכורת</v>
      </c>
      <c r="C382" s="42">
        <v>26258533</v>
      </c>
      <c r="D382" s="42" t="s">
        <v>448</v>
      </c>
      <c r="E382" s="42" t="s">
        <v>473</v>
      </c>
      <c r="F382" s="42">
        <v>813800</v>
      </c>
      <c r="G382" s="48">
        <v>0</v>
      </c>
      <c r="H382" s="45">
        <v>1246.72</v>
      </c>
      <c r="I382" s="45">
        <f>SUMIFS('שכר 11.2024'!N:N,'שכר 11.2024'!C:C,C:C,'שכר 11.2024'!F:F,F:F)</f>
        <v>0</v>
      </c>
      <c r="J382" s="45">
        <f t="shared" si="20"/>
        <v>1246.72</v>
      </c>
      <c r="K382" s="61">
        <f t="shared" si="21"/>
        <v>1.0349999999999999</v>
      </c>
      <c r="L382" s="45">
        <f t="shared" si="22"/>
        <v>1290.3552</v>
      </c>
      <c r="M382" s="45">
        <f t="shared" si="23"/>
        <v>0</v>
      </c>
    </row>
    <row r="383" spans="1:13" outlineLevel="2" x14ac:dyDescent="0.35">
      <c r="A383" s="42">
        <v>1813800110</v>
      </c>
      <c r="B383" s="42" t="str">
        <f>VLOOKUP(A383,'תקציב מפורט 2025'!A:O,2,FALSE)</f>
        <v>קיטנות אביב משכורת</v>
      </c>
      <c r="C383" s="42">
        <v>26273979</v>
      </c>
      <c r="D383" s="42" t="s">
        <v>488</v>
      </c>
      <c r="E383" s="42" t="s">
        <v>487</v>
      </c>
      <c r="F383" s="42">
        <v>813800</v>
      </c>
      <c r="G383" s="48">
        <v>0</v>
      </c>
      <c r="H383" s="45">
        <v>1387.93</v>
      </c>
      <c r="I383" s="45">
        <f>SUMIFS('שכר 11.2024'!N:N,'שכר 11.2024'!C:C,C:C,'שכר 11.2024'!F:F,F:F)</f>
        <v>0</v>
      </c>
      <c r="J383" s="45">
        <f t="shared" si="20"/>
        <v>1387.93</v>
      </c>
      <c r="K383" s="61">
        <f t="shared" si="21"/>
        <v>1.0349999999999999</v>
      </c>
      <c r="L383" s="45">
        <f t="shared" si="22"/>
        <v>1436.50755</v>
      </c>
      <c r="M383" s="45">
        <f t="shared" si="23"/>
        <v>0</v>
      </c>
    </row>
    <row r="384" spans="1:13" outlineLevel="2" x14ac:dyDescent="0.35">
      <c r="A384" s="42">
        <v>1813800110</v>
      </c>
      <c r="B384" s="42" t="str">
        <f>VLOOKUP(A384,'תקציב מפורט 2025'!A:O,2,FALSE)</f>
        <v>קיטנות אביב משכורת</v>
      </c>
      <c r="C384" s="42">
        <v>26274464</v>
      </c>
      <c r="D384" s="42" t="s">
        <v>515</v>
      </c>
      <c r="E384" s="42" t="s">
        <v>822</v>
      </c>
      <c r="F384" s="42">
        <v>813800</v>
      </c>
      <c r="G384" s="48">
        <v>0</v>
      </c>
      <c r="H384" s="45">
        <v>1665.78</v>
      </c>
      <c r="I384" s="45">
        <f>SUMIFS('שכר 11.2024'!N:N,'שכר 11.2024'!C:C,C:C,'שכר 11.2024'!F:F,F:F)</f>
        <v>0</v>
      </c>
      <c r="J384" s="45">
        <f t="shared" si="20"/>
        <v>1665.78</v>
      </c>
      <c r="K384" s="61">
        <f t="shared" si="21"/>
        <v>1.0349999999999999</v>
      </c>
      <c r="L384" s="45">
        <f t="shared" si="22"/>
        <v>1724.0822999999998</v>
      </c>
      <c r="M384" s="45">
        <f t="shared" si="23"/>
        <v>0</v>
      </c>
    </row>
    <row r="385" spans="1:13" outlineLevel="2" x14ac:dyDescent="0.35">
      <c r="A385" s="42">
        <v>1813800110</v>
      </c>
      <c r="B385" s="42" t="str">
        <f>VLOOKUP(A385,'תקציב מפורט 2025'!A:O,2,FALSE)</f>
        <v>קיטנות אביב משכורת</v>
      </c>
      <c r="C385" s="42">
        <v>26276014</v>
      </c>
      <c r="D385" s="42" t="s">
        <v>442</v>
      </c>
      <c r="E385" s="42" t="s">
        <v>832</v>
      </c>
      <c r="F385" s="42">
        <v>813800</v>
      </c>
      <c r="G385" s="48">
        <v>0</v>
      </c>
      <c r="H385" s="45">
        <v>1396.42</v>
      </c>
      <c r="I385" s="45">
        <f>SUMIFS('שכר 11.2024'!N:N,'שכר 11.2024'!C:C,C:C,'שכר 11.2024'!F:F,F:F)</f>
        <v>0</v>
      </c>
      <c r="J385" s="45">
        <f t="shared" si="20"/>
        <v>1396.42</v>
      </c>
      <c r="K385" s="61">
        <f t="shared" si="21"/>
        <v>1.0349999999999999</v>
      </c>
      <c r="L385" s="45">
        <f t="shared" si="22"/>
        <v>1445.2946999999999</v>
      </c>
      <c r="M385" s="45">
        <f t="shared" si="23"/>
        <v>0</v>
      </c>
    </row>
    <row r="386" spans="1:13" outlineLevel="2" x14ac:dyDescent="0.35">
      <c r="A386" s="42">
        <v>1813800110</v>
      </c>
      <c r="B386" s="42" t="str">
        <f>VLOOKUP(A386,'תקציב מפורט 2025'!A:O,2,FALSE)</f>
        <v>קיטנות אביב משכורת</v>
      </c>
      <c r="C386" s="42">
        <v>26356477</v>
      </c>
      <c r="D386" s="42" t="s">
        <v>448</v>
      </c>
      <c r="E386" s="42" t="s">
        <v>1701</v>
      </c>
      <c r="F386" s="42">
        <v>813800</v>
      </c>
      <c r="G386" s="48">
        <v>0</v>
      </c>
      <c r="H386" s="45">
        <v>1400.62</v>
      </c>
      <c r="I386" s="45">
        <f>SUMIFS('שכר 11.2024'!N:N,'שכר 11.2024'!C:C,C:C,'שכר 11.2024'!F:F,F:F)</f>
        <v>0</v>
      </c>
      <c r="J386" s="45">
        <f t="shared" si="20"/>
        <v>1400.62</v>
      </c>
      <c r="K386" s="61">
        <f t="shared" si="21"/>
        <v>1.0349999999999999</v>
      </c>
      <c r="L386" s="45">
        <f t="shared" si="22"/>
        <v>1449.6416999999997</v>
      </c>
      <c r="M386" s="45">
        <f t="shared" si="23"/>
        <v>0</v>
      </c>
    </row>
    <row r="387" spans="1:13" outlineLevel="2" x14ac:dyDescent="0.35">
      <c r="A387" s="42">
        <v>1813800110</v>
      </c>
      <c r="B387" s="42" t="str">
        <f>VLOOKUP(A387,'תקציב מפורט 2025'!A:O,2,FALSE)</f>
        <v>קיטנות אביב משכורת</v>
      </c>
      <c r="C387" s="42">
        <v>27505072</v>
      </c>
      <c r="D387" s="42" t="s">
        <v>935</v>
      </c>
      <c r="E387" s="42" t="s">
        <v>578</v>
      </c>
      <c r="F387" s="42">
        <v>813800</v>
      </c>
      <c r="G387" s="48">
        <v>0</v>
      </c>
      <c r="H387" s="45">
        <v>1248.18</v>
      </c>
      <c r="I387" s="45">
        <f>SUMIFS('שכר 11.2024'!N:N,'שכר 11.2024'!C:C,C:C,'שכר 11.2024'!F:F,F:F)</f>
        <v>0</v>
      </c>
      <c r="J387" s="45">
        <f t="shared" si="20"/>
        <v>1248.18</v>
      </c>
      <c r="K387" s="61">
        <f t="shared" si="21"/>
        <v>1.0349999999999999</v>
      </c>
      <c r="L387" s="45">
        <f t="shared" si="22"/>
        <v>1291.8662999999999</v>
      </c>
      <c r="M387" s="45">
        <f t="shared" si="23"/>
        <v>0</v>
      </c>
    </row>
    <row r="388" spans="1:13" outlineLevel="2" x14ac:dyDescent="0.35">
      <c r="A388" s="42">
        <v>1813800110</v>
      </c>
      <c r="B388" s="42" t="str">
        <f>VLOOKUP(A388,'תקציב מפורט 2025'!A:O,2,FALSE)</f>
        <v>קיטנות אביב משכורת</v>
      </c>
      <c r="C388" s="42">
        <v>27673730</v>
      </c>
      <c r="D388" s="42" t="s">
        <v>434</v>
      </c>
      <c r="E388" s="42" t="s">
        <v>559</v>
      </c>
      <c r="F388" s="42">
        <v>813800</v>
      </c>
      <c r="G388" s="48">
        <v>0</v>
      </c>
      <c r="H388" s="45">
        <v>1247.1300000000001</v>
      </c>
      <c r="I388" s="45">
        <f>SUMIFS('שכר 11.2024'!N:N,'שכר 11.2024'!C:C,C:C,'שכר 11.2024'!F:F,F:F)</f>
        <v>0</v>
      </c>
      <c r="J388" s="45">
        <f t="shared" si="20"/>
        <v>1247.1300000000001</v>
      </c>
      <c r="K388" s="61">
        <f t="shared" si="21"/>
        <v>1.0349999999999999</v>
      </c>
      <c r="L388" s="45">
        <f t="shared" si="22"/>
        <v>1290.77955</v>
      </c>
      <c r="M388" s="45">
        <f t="shared" si="23"/>
        <v>0</v>
      </c>
    </row>
    <row r="389" spans="1:13" outlineLevel="2" x14ac:dyDescent="0.35">
      <c r="A389" s="42">
        <v>1813800110</v>
      </c>
      <c r="B389" s="42" t="str">
        <f>VLOOKUP(A389,'תקציב מפורט 2025'!A:O,2,FALSE)</f>
        <v>קיטנות אביב משכורת</v>
      </c>
      <c r="C389" s="42">
        <v>28303675</v>
      </c>
      <c r="D389" s="42" t="s">
        <v>1843</v>
      </c>
      <c r="E389" s="42" t="s">
        <v>1844</v>
      </c>
      <c r="F389" s="42">
        <v>813800</v>
      </c>
      <c r="G389" s="48">
        <v>0</v>
      </c>
      <c r="H389" s="45">
        <v>2498.63</v>
      </c>
      <c r="I389" s="45">
        <f>SUMIFS('שכר 11.2024'!N:N,'שכר 11.2024'!C:C,C:C,'שכר 11.2024'!F:F,F:F)</f>
        <v>0</v>
      </c>
      <c r="J389" s="45">
        <f t="shared" si="20"/>
        <v>2498.63</v>
      </c>
      <c r="K389" s="61">
        <f t="shared" si="21"/>
        <v>1.0349999999999999</v>
      </c>
      <c r="L389" s="45">
        <f t="shared" si="22"/>
        <v>2586.08205</v>
      </c>
      <c r="M389" s="45">
        <f t="shared" si="23"/>
        <v>0</v>
      </c>
    </row>
    <row r="390" spans="1:13" outlineLevel="2" x14ac:dyDescent="0.35">
      <c r="A390" s="42">
        <v>1813800110</v>
      </c>
      <c r="B390" s="42" t="str">
        <f>VLOOKUP(A390,'תקציב מפורט 2025'!A:O,2,FALSE)</f>
        <v>קיטנות אביב משכורת</v>
      </c>
      <c r="C390" s="42">
        <v>29815271</v>
      </c>
      <c r="D390" s="42" t="s">
        <v>1845</v>
      </c>
      <c r="E390" s="42" t="s">
        <v>1718</v>
      </c>
      <c r="F390" s="42">
        <v>813800</v>
      </c>
      <c r="G390" s="48">
        <v>0</v>
      </c>
      <c r="H390" s="45">
        <v>1332.6</v>
      </c>
      <c r="I390" s="45">
        <f>SUMIFS('שכר 11.2024'!N:N,'שכר 11.2024'!C:C,C:C,'שכר 11.2024'!F:F,F:F)</f>
        <v>0</v>
      </c>
      <c r="J390" s="45">
        <f t="shared" si="20"/>
        <v>1332.6</v>
      </c>
      <c r="K390" s="61">
        <f t="shared" si="21"/>
        <v>1.0349999999999999</v>
      </c>
      <c r="L390" s="45">
        <f t="shared" si="22"/>
        <v>1379.2409999999998</v>
      </c>
      <c r="M390" s="45">
        <f t="shared" si="23"/>
        <v>0</v>
      </c>
    </row>
    <row r="391" spans="1:13" outlineLevel="2" x14ac:dyDescent="0.35">
      <c r="A391" s="42">
        <v>1813800110</v>
      </c>
      <c r="B391" s="42" t="str">
        <f>VLOOKUP(A391,'תקציב מפורט 2025'!A:O,2,FALSE)</f>
        <v>קיטנות אביב משכורת</v>
      </c>
      <c r="C391" s="42">
        <v>29817244</v>
      </c>
      <c r="D391" s="42" t="s">
        <v>434</v>
      </c>
      <c r="E391" s="42" t="s">
        <v>848</v>
      </c>
      <c r="F391" s="42">
        <v>813800</v>
      </c>
      <c r="G391" s="48">
        <v>0</v>
      </c>
      <c r="H391" s="45">
        <v>83.28</v>
      </c>
      <c r="I391" s="45">
        <f>SUMIFS('שכר 11.2024'!N:N,'שכר 11.2024'!C:C,C:C,'שכר 11.2024'!F:F,F:F)</f>
        <v>0</v>
      </c>
      <c r="J391" s="45">
        <f t="shared" si="20"/>
        <v>83.28</v>
      </c>
      <c r="K391" s="61">
        <f t="shared" si="21"/>
        <v>1.0349999999999999</v>
      </c>
      <c r="L391" s="45">
        <f t="shared" si="22"/>
        <v>86.194800000000001</v>
      </c>
      <c r="M391" s="45">
        <f t="shared" si="23"/>
        <v>0</v>
      </c>
    </row>
    <row r="392" spans="1:13" outlineLevel="2" x14ac:dyDescent="0.35">
      <c r="A392" s="42">
        <v>1813800110</v>
      </c>
      <c r="B392" s="42" t="str">
        <f>VLOOKUP(A392,'תקציב מפורט 2025'!A:O,2,FALSE)</f>
        <v>קיטנות אביב משכורת</v>
      </c>
      <c r="C392" s="42">
        <v>29868148</v>
      </c>
      <c r="D392" s="42" t="s">
        <v>448</v>
      </c>
      <c r="E392" s="42" t="s">
        <v>473</v>
      </c>
      <c r="F392" s="42">
        <v>813800</v>
      </c>
      <c r="G392" s="48">
        <v>0</v>
      </c>
      <c r="H392" s="45">
        <v>1245.51</v>
      </c>
      <c r="I392" s="45">
        <f>SUMIFS('שכר 11.2024'!N:N,'שכר 11.2024'!C:C,C:C,'שכר 11.2024'!F:F,F:F)</f>
        <v>0</v>
      </c>
      <c r="J392" s="45">
        <f t="shared" si="20"/>
        <v>1245.51</v>
      </c>
      <c r="K392" s="61">
        <f t="shared" si="21"/>
        <v>1.0349999999999999</v>
      </c>
      <c r="L392" s="45">
        <f t="shared" si="22"/>
        <v>1289.10285</v>
      </c>
      <c r="M392" s="45">
        <f t="shared" si="23"/>
        <v>0</v>
      </c>
    </row>
    <row r="393" spans="1:13" outlineLevel="2" x14ac:dyDescent="0.35">
      <c r="A393" s="42">
        <v>1813800110</v>
      </c>
      <c r="B393" s="42" t="str">
        <f>VLOOKUP(A393,'תקציב מפורט 2025'!A:O,2,FALSE)</f>
        <v>קיטנות אביב משכורת</v>
      </c>
      <c r="C393" s="42">
        <v>31452022</v>
      </c>
      <c r="D393" s="42" t="s">
        <v>538</v>
      </c>
      <c r="E393" s="42" t="s">
        <v>937</v>
      </c>
      <c r="F393" s="42">
        <v>813800</v>
      </c>
      <c r="G393" s="48">
        <v>0</v>
      </c>
      <c r="H393" s="45">
        <v>1244.58</v>
      </c>
      <c r="I393" s="45">
        <f>SUMIFS('שכר 11.2024'!N:N,'שכר 11.2024'!C:C,C:C,'שכר 11.2024'!F:F,F:F)</f>
        <v>0</v>
      </c>
      <c r="J393" s="45">
        <f t="shared" si="20"/>
        <v>1244.58</v>
      </c>
      <c r="K393" s="61">
        <f t="shared" si="21"/>
        <v>1.0349999999999999</v>
      </c>
      <c r="L393" s="45">
        <f t="shared" si="22"/>
        <v>1288.1402999999998</v>
      </c>
      <c r="M393" s="45">
        <f t="shared" si="23"/>
        <v>0</v>
      </c>
    </row>
    <row r="394" spans="1:13" outlineLevel="2" x14ac:dyDescent="0.35">
      <c r="A394" s="42">
        <v>1813800110</v>
      </c>
      <c r="B394" s="42" t="str">
        <f>VLOOKUP(A394,'תקציב מפורט 2025'!A:O,2,FALSE)</f>
        <v>קיטנות אביב משכורת</v>
      </c>
      <c r="C394" s="42">
        <v>31455660</v>
      </c>
      <c r="D394" s="42" t="s">
        <v>434</v>
      </c>
      <c r="E394" s="42" t="s">
        <v>589</v>
      </c>
      <c r="F394" s="42">
        <v>813800</v>
      </c>
      <c r="G394" s="48">
        <v>0</v>
      </c>
      <c r="H394" s="45">
        <v>1401.01</v>
      </c>
      <c r="I394" s="45">
        <f>SUMIFS('שכר 11.2024'!N:N,'שכר 11.2024'!C:C,C:C,'שכר 11.2024'!F:F,F:F)</f>
        <v>0</v>
      </c>
      <c r="J394" s="45">
        <f t="shared" si="20"/>
        <v>1401.01</v>
      </c>
      <c r="K394" s="61">
        <f t="shared" si="21"/>
        <v>1.0349999999999999</v>
      </c>
      <c r="L394" s="45">
        <f t="shared" si="22"/>
        <v>1450.0453499999999</v>
      </c>
      <c r="M394" s="45">
        <f t="shared" si="23"/>
        <v>0</v>
      </c>
    </row>
    <row r="395" spans="1:13" outlineLevel="2" x14ac:dyDescent="0.35">
      <c r="A395" s="42">
        <v>1813800110</v>
      </c>
      <c r="B395" s="42" t="str">
        <f>VLOOKUP(A395,'תקציב מפורט 2025'!A:O,2,FALSE)</f>
        <v>קיטנות אביב משכורת</v>
      </c>
      <c r="C395" s="42">
        <v>31547227</v>
      </c>
      <c r="D395" s="42" t="s">
        <v>854</v>
      </c>
      <c r="E395" s="42" t="s">
        <v>557</v>
      </c>
      <c r="F395" s="42">
        <v>813800</v>
      </c>
      <c r="G395" s="48">
        <v>0</v>
      </c>
      <c r="H395" s="45">
        <v>336.6</v>
      </c>
      <c r="I395" s="45">
        <f>SUMIFS('שכר 11.2024'!N:N,'שכר 11.2024'!C:C,C:C,'שכר 11.2024'!F:F,F:F)</f>
        <v>0</v>
      </c>
      <c r="J395" s="45">
        <f t="shared" si="20"/>
        <v>336.6</v>
      </c>
      <c r="K395" s="61">
        <f t="shared" si="21"/>
        <v>1.0349999999999999</v>
      </c>
      <c r="L395" s="45">
        <f t="shared" si="22"/>
        <v>348.38099999999997</v>
      </c>
      <c r="M395" s="45">
        <f t="shared" si="23"/>
        <v>0</v>
      </c>
    </row>
    <row r="396" spans="1:13" outlineLevel="2" x14ac:dyDescent="0.35">
      <c r="A396" s="42">
        <v>1813800110</v>
      </c>
      <c r="B396" s="42" t="str">
        <f>VLOOKUP(A396,'תקציב מפורט 2025'!A:O,2,FALSE)</f>
        <v>קיטנות אביב משכורת</v>
      </c>
      <c r="C396" s="42">
        <v>32521395</v>
      </c>
      <c r="D396" s="42" t="s">
        <v>954</v>
      </c>
      <c r="E396" s="42" t="s">
        <v>581</v>
      </c>
      <c r="F396" s="42">
        <v>813800</v>
      </c>
      <c r="G396" s="48">
        <v>0</v>
      </c>
      <c r="H396" s="45">
        <v>988.36</v>
      </c>
      <c r="I396" s="45">
        <f>SUMIFS('שכר 11.2024'!N:N,'שכר 11.2024'!C:C,C:C,'שכר 11.2024'!F:F,F:F)</f>
        <v>0</v>
      </c>
      <c r="J396" s="45">
        <f t="shared" si="20"/>
        <v>988.36</v>
      </c>
      <c r="K396" s="61">
        <f t="shared" si="21"/>
        <v>1.0349999999999999</v>
      </c>
      <c r="L396" s="45">
        <f t="shared" si="22"/>
        <v>1022.9526</v>
      </c>
      <c r="M396" s="45">
        <f t="shared" si="23"/>
        <v>0</v>
      </c>
    </row>
    <row r="397" spans="1:13" outlineLevel="2" x14ac:dyDescent="0.35">
      <c r="A397" s="42">
        <v>1813800110</v>
      </c>
      <c r="B397" s="42" t="str">
        <f>VLOOKUP(A397,'תקציב מפורט 2025'!A:O,2,FALSE)</f>
        <v>קיטנות אביב משכורת</v>
      </c>
      <c r="C397" s="42">
        <v>32523425</v>
      </c>
      <c r="D397" s="42" t="s">
        <v>486</v>
      </c>
      <c r="E397" s="42" t="s">
        <v>578</v>
      </c>
      <c r="F397" s="42">
        <v>813800</v>
      </c>
      <c r="G397" s="48">
        <v>0</v>
      </c>
      <c r="H397" s="45">
        <v>1245.8699999999999</v>
      </c>
      <c r="I397" s="45">
        <f>SUMIFS('שכר 11.2024'!N:N,'שכר 11.2024'!C:C,C:C,'שכר 11.2024'!F:F,F:F)</f>
        <v>0</v>
      </c>
      <c r="J397" s="45">
        <f t="shared" si="20"/>
        <v>1245.8699999999999</v>
      </c>
      <c r="K397" s="61">
        <f t="shared" si="21"/>
        <v>1.0349999999999999</v>
      </c>
      <c r="L397" s="45">
        <f t="shared" si="22"/>
        <v>1289.4754499999997</v>
      </c>
      <c r="M397" s="45">
        <f t="shared" si="23"/>
        <v>0</v>
      </c>
    </row>
    <row r="398" spans="1:13" outlineLevel="2" x14ac:dyDescent="0.35">
      <c r="A398" s="42">
        <v>1813800110</v>
      </c>
      <c r="B398" s="42" t="str">
        <f>VLOOKUP(A398,'תקציב מפורט 2025'!A:O,2,FALSE)</f>
        <v>קיטנות אביב משכורת</v>
      </c>
      <c r="C398" s="42">
        <v>33130634</v>
      </c>
      <c r="D398" s="42" t="s">
        <v>1846</v>
      </c>
      <c r="E398" s="42" t="s">
        <v>572</v>
      </c>
      <c r="F398" s="42">
        <v>813800</v>
      </c>
      <c r="G398" s="48">
        <v>0</v>
      </c>
      <c r="H398" s="45">
        <v>2915.09</v>
      </c>
      <c r="I398" s="45">
        <f>SUMIFS('שכר 11.2024'!N:N,'שכר 11.2024'!C:C,C:C,'שכר 11.2024'!F:F,F:F)</f>
        <v>0</v>
      </c>
      <c r="J398" s="45">
        <f t="shared" si="20"/>
        <v>2915.09</v>
      </c>
      <c r="K398" s="61">
        <f t="shared" si="21"/>
        <v>1.0349999999999999</v>
      </c>
      <c r="L398" s="45">
        <f t="shared" si="22"/>
        <v>3017.1181499999998</v>
      </c>
      <c r="M398" s="45">
        <f t="shared" si="23"/>
        <v>0</v>
      </c>
    </row>
    <row r="399" spans="1:13" outlineLevel="2" x14ac:dyDescent="0.35">
      <c r="A399" s="42">
        <v>1813800110</v>
      </c>
      <c r="B399" s="42" t="str">
        <f>VLOOKUP(A399,'תקציב מפורט 2025'!A:O,2,FALSE)</f>
        <v>קיטנות אביב משכורת</v>
      </c>
      <c r="C399" s="42">
        <v>33395112</v>
      </c>
      <c r="D399" s="42" t="s">
        <v>540</v>
      </c>
      <c r="E399" s="42" t="s">
        <v>1791</v>
      </c>
      <c r="F399" s="42">
        <v>813800</v>
      </c>
      <c r="G399" s="48">
        <v>0</v>
      </c>
      <c r="H399" s="45">
        <v>2498.63</v>
      </c>
      <c r="I399" s="45">
        <f>SUMIFS('שכר 11.2024'!N:N,'שכר 11.2024'!C:C,C:C,'שכר 11.2024'!F:F,F:F)</f>
        <v>0</v>
      </c>
      <c r="J399" s="45">
        <f t="shared" si="20"/>
        <v>2498.63</v>
      </c>
      <c r="K399" s="61">
        <f t="shared" si="21"/>
        <v>1.0349999999999999</v>
      </c>
      <c r="L399" s="45">
        <f t="shared" si="22"/>
        <v>2586.08205</v>
      </c>
      <c r="M399" s="45">
        <f t="shared" si="23"/>
        <v>0</v>
      </c>
    </row>
    <row r="400" spans="1:13" outlineLevel="2" x14ac:dyDescent="0.35">
      <c r="A400" s="42">
        <v>1813800110</v>
      </c>
      <c r="B400" s="42" t="str">
        <f>VLOOKUP(A400,'תקציב מפורט 2025'!A:O,2,FALSE)</f>
        <v>קיטנות אביב משכורת</v>
      </c>
      <c r="C400" s="42">
        <v>33426065</v>
      </c>
      <c r="D400" s="42" t="s">
        <v>486</v>
      </c>
      <c r="E400" s="42" t="s">
        <v>582</v>
      </c>
      <c r="F400" s="42">
        <v>813800</v>
      </c>
      <c r="G400" s="48">
        <v>0</v>
      </c>
      <c r="H400" s="45">
        <v>1397.3</v>
      </c>
      <c r="I400" s="45">
        <f>SUMIFS('שכר 11.2024'!N:N,'שכר 11.2024'!C:C,C:C,'שכר 11.2024'!F:F,F:F)</f>
        <v>0</v>
      </c>
      <c r="J400" s="45">
        <f t="shared" si="20"/>
        <v>1397.3</v>
      </c>
      <c r="K400" s="61">
        <f t="shared" si="21"/>
        <v>1.0349999999999999</v>
      </c>
      <c r="L400" s="45">
        <f t="shared" si="22"/>
        <v>1446.2054999999998</v>
      </c>
      <c r="M400" s="45">
        <f t="shared" si="23"/>
        <v>0</v>
      </c>
    </row>
    <row r="401" spans="1:13" outlineLevel="2" x14ac:dyDescent="0.35">
      <c r="A401" s="42">
        <v>1813800110</v>
      </c>
      <c r="B401" s="42" t="str">
        <f>VLOOKUP(A401,'תקציב מפורט 2025'!A:O,2,FALSE)</f>
        <v>קיטנות אביב משכורת</v>
      </c>
      <c r="C401" s="42">
        <v>33428020</v>
      </c>
      <c r="D401" s="42" t="s">
        <v>595</v>
      </c>
      <c r="E401" s="42" t="s">
        <v>436</v>
      </c>
      <c r="F401" s="42">
        <v>813800</v>
      </c>
      <c r="G401" s="48">
        <v>0</v>
      </c>
      <c r="H401" s="45">
        <v>1396.61</v>
      </c>
      <c r="I401" s="45">
        <f>SUMIFS('שכר 11.2024'!N:N,'שכר 11.2024'!C:C,C:C,'שכר 11.2024'!F:F,F:F)</f>
        <v>0</v>
      </c>
      <c r="J401" s="45">
        <f t="shared" si="20"/>
        <v>1396.61</v>
      </c>
      <c r="K401" s="61">
        <f t="shared" si="21"/>
        <v>1.0349999999999999</v>
      </c>
      <c r="L401" s="45">
        <f t="shared" si="22"/>
        <v>1445.4913499999998</v>
      </c>
      <c r="M401" s="45">
        <f t="shared" si="23"/>
        <v>0</v>
      </c>
    </row>
    <row r="402" spans="1:13" outlineLevel="2" x14ac:dyDescent="0.35">
      <c r="A402" s="42">
        <v>1813800110</v>
      </c>
      <c r="B402" s="42" t="str">
        <f>VLOOKUP(A402,'תקציב מפורט 2025'!A:O,2,FALSE)</f>
        <v>קיטנות אביב משכורת</v>
      </c>
      <c r="C402" s="42">
        <v>33444837</v>
      </c>
      <c r="D402" s="42" t="s">
        <v>434</v>
      </c>
      <c r="E402" s="42" t="s">
        <v>587</v>
      </c>
      <c r="F402" s="42">
        <v>813800</v>
      </c>
      <c r="G402" s="48">
        <v>0</v>
      </c>
      <c r="H402" s="45">
        <v>1399.85</v>
      </c>
      <c r="I402" s="45">
        <f>SUMIFS('שכר 11.2024'!N:N,'שכר 11.2024'!C:C,C:C,'שכר 11.2024'!F:F,F:F)</f>
        <v>0</v>
      </c>
      <c r="J402" s="45">
        <f t="shared" si="20"/>
        <v>1399.85</v>
      </c>
      <c r="K402" s="61">
        <f t="shared" si="21"/>
        <v>1.0349999999999999</v>
      </c>
      <c r="L402" s="45">
        <f t="shared" si="22"/>
        <v>1448.8447499999997</v>
      </c>
      <c r="M402" s="45">
        <f t="shared" si="23"/>
        <v>0</v>
      </c>
    </row>
    <row r="403" spans="1:13" outlineLevel="2" x14ac:dyDescent="0.35">
      <c r="A403" s="42">
        <v>1813800110</v>
      </c>
      <c r="B403" s="42" t="str">
        <f>VLOOKUP(A403,'תקציב מפורט 2025'!A:O,2,FALSE)</f>
        <v>קיטנות אביב משכורת</v>
      </c>
      <c r="C403" s="42">
        <v>33800699</v>
      </c>
      <c r="D403" s="42" t="s">
        <v>448</v>
      </c>
      <c r="E403" s="42" t="s">
        <v>580</v>
      </c>
      <c r="F403" s="42">
        <v>813800</v>
      </c>
      <c r="G403" s="48">
        <v>0</v>
      </c>
      <c r="H403" s="45">
        <v>1242.4100000000001</v>
      </c>
      <c r="I403" s="45">
        <f>SUMIFS('שכר 11.2024'!N:N,'שכר 11.2024'!C:C,C:C,'שכר 11.2024'!F:F,F:F)</f>
        <v>0</v>
      </c>
      <c r="J403" s="45">
        <f t="shared" si="20"/>
        <v>1242.4100000000001</v>
      </c>
      <c r="K403" s="61">
        <f t="shared" si="21"/>
        <v>1.0349999999999999</v>
      </c>
      <c r="L403" s="45">
        <f t="shared" si="22"/>
        <v>1285.89435</v>
      </c>
      <c r="M403" s="45">
        <f t="shared" si="23"/>
        <v>0</v>
      </c>
    </row>
    <row r="404" spans="1:13" outlineLevel="2" x14ac:dyDescent="0.35">
      <c r="A404" s="42">
        <v>1813800110</v>
      </c>
      <c r="B404" s="42" t="str">
        <f>VLOOKUP(A404,'תקציב מפורט 2025'!A:O,2,FALSE)</f>
        <v>קיטנות אביב משכורת</v>
      </c>
      <c r="C404" s="42">
        <v>34555235</v>
      </c>
      <c r="D404" s="42" t="s">
        <v>434</v>
      </c>
      <c r="E404" s="42" t="s">
        <v>1704</v>
      </c>
      <c r="F404" s="42">
        <v>813800</v>
      </c>
      <c r="G404" s="48">
        <v>0</v>
      </c>
      <c r="H404" s="45">
        <v>1239.76</v>
      </c>
      <c r="I404" s="45">
        <f>SUMIFS('שכר 11.2024'!N:N,'שכר 11.2024'!C:C,C:C,'שכר 11.2024'!F:F,F:F)</f>
        <v>0</v>
      </c>
      <c r="J404" s="45">
        <f t="shared" si="20"/>
        <v>1239.76</v>
      </c>
      <c r="K404" s="61">
        <f t="shared" si="21"/>
        <v>1.0349999999999999</v>
      </c>
      <c r="L404" s="45">
        <f t="shared" si="22"/>
        <v>1283.1515999999999</v>
      </c>
      <c r="M404" s="45">
        <f t="shared" si="23"/>
        <v>0</v>
      </c>
    </row>
    <row r="405" spans="1:13" outlineLevel="2" x14ac:dyDescent="0.35">
      <c r="A405" s="42">
        <v>1813800110</v>
      </c>
      <c r="B405" s="42" t="str">
        <f>VLOOKUP(A405,'תקציב מפורט 2025'!A:O,2,FALSE)</f>
        <v>קיטנות אביב משכורת</v>
      </c>
      <c r="C405" s="42">
        <v>34555789</v>
      </c>
      <c r="D405" s="42" t="s">
        <v>446</v>
      </c>
      <c r="E405" s="42" t="s">
        <v>524</v>
      </c>
      <c r="F405" s="42">
        <v>813800</v>
      </c>
      <c r="G405" s="48">
        <v>0</v>
      </c>
      <c r="H405" s="45">
        <v>583</v>
      </c>
      <c r="I405" s="45">
        <f>SUMIFS('שכר 11.2024'!N:N,'שכר 11.2024'!C:C,C:C,'שכר 11.2024'!F:F,F:F)</f>
        <v>0</v>
      </c>
      <c r="J405" s="45">
        <f t="shared" si="20"/>
        <v>583</v>
      </c>
      <c r="K405" s="61">
        <f t="shared" si="21"/>
        <v>1.0349999999999999</v>
      </c>
      <c r="L405" s="45">
        <f t="shared" si="22"/>
        <v>603.40499999999997</v>
      </c>
      <c r="M405" s="45">
        <f t="shared" si="23"/>
        <v>0</v>
      </c>
    </row>
    <row r="406" spans="1:13" outlineLevel="2" x14ac:dyDescent="0.35">
      <c r="A406" s="42">
        <v>1813800110</v>
      </c>
      <c r="B406" s="42" t="str">
        <f>VLOOKUP(A406,'תקציב מפורט 2025'!A:O,2,FALSE)</f>
        <v>קיטנות אביב משכורת</v>
      </c>
      <c r="C406" s="42">
        <v>34576298</v>
      </c>
      <c r="D406" s="42" t="s">
        <v>823</v>
      </c>
      <c r="E406" s="42" t="s">
        <v>550</v>
      </c>
      <c r="F406" s="42">
        <v>813800</v>
      </c>
      <c r="G406" s="48">
        <v>0</v>
      </c>
      <c r="H406" s="45">
        <v>1399.92</v>
      </c>
      <c r="I406" s="45">
        <f>SUMIFS('שכר 11.2024'!N:N,'שכר 11.2024'!C:C,C:C,'שכר 11.2024'!F:F,F:F)</f>
        <v>0</v>
      </c>
      <c r="J406" s="45">
        <f t="shared" si="20"/>
        <v>1399.92</v>
      </c>
      <c r="K406" s="61">
        <f t="shared" si="21"/>
        <v>1.0349999999999999</v>
      </c>
      <c r="L406" s="45">
        <f t="shared" si="22"/>
        <v>1448.9171999999999</v>
      </c>
      <c r="M406" s="45">
        <f t="shared" si="23"/>
        <v>0</v>
      </c>
    </row>
    <row r="407" spans="1:13" outlineLevel="2" x14ac:dyDescent="0.35">
      <c r="A407" s="42">
        <v>1813800110</v>
      </c>
      <c r="B407" s="42" t="str">
        <f>VLOOKUP(A407,'תקציב מפורט 2025'!A:O,2,FALSE)</f>
        <v>קיטנות אביב משכורת</v>
      </c>
      <c r="C407" s="42">
        <v>36068617</v>
      </c>
      <c r="D407" s="42" t="s">
        <v>954</v>
      </c>
      <c r="E407" s="42" t="s">
        <v>571</v>
      </c>
      <c r="F407" s="42">
        <v>813800</v>
      </c>
      <c r="G407" s="48">
        <v>0</v>
      </c>
      <c r="H407" s="45">
        <v>2611.13</v>
      </c>
      <c r="I407" s="45">
        <f>SUMIFS('שכר 11.2024'!N:N,'שכר 11.2024'!C:C,C:C,'שכר 11.2024'!F:F,F:F)</f>
        <v>0</v>
      </c>
      <c r="J407" s="45">
        <f t="shared" si="20"/>
        <v>2611.13</v>
      </c>
      <c r="K407" s="61">
        <f t="shared" si="21"/>
        <v>1.0349999999999999</v>
      </c>
      <c r="L407" s="45">
        <f t="shared" si="22"/>
        <v>2702.51955</v>
      </c>
      <c r="M407" s="45">
        <f t="shared" si="23"/>
        <v>0</v>
      </c>
    </row>
    <row r="408" spans="1:13" outlineLevel="2" x14ac:dyDescent="0.35">
      <c r="A408" s="42">
        <v>1813800110</v>
      </c>
      <c r="B408" s="42" t="str">
        <f>VLOOKUP(A408,'תקציב מפורט 2025'!A:O,2,FALSE)</f>
        <v>קיטנות אביב משכורת</v>
      </c>
      <c r="C408" s="42">
        <v>36391092</v>
      </c>
      <c r="D408" s="42" t="s">
        <v>442</v>
      </c>
      <c r="E408" s="42" t="s">
        <v>586</v>
      </c>
      <c r="F408" s="42">
        <v>813800</v>
      </c>
      <c r="G408" s="48">
        <v>0</v>
      </c>
      <c r="H408" s="45">
        <v>780.15</v>
      </c>
      <c r="I408" s="45">
        <f>SUMIFS('שכר 11.2024'!N:N,'שכר 11.2024'!C:C,C:C,'שכר 11.2024'!F:F,F:F)</f>
        <v>0</v>
      </c>
      <c r="J408" s="45">
        <f t="shared" si="20"/>
        <v>780.15</v>
      </c>
      <c r="K408" s="61">
        <f t="shared" si="21"/>
        <v>1.0349999999999999</v>
      </c>
      <c r="L408" s="45">
        <f t="shared" si="22"/>
        <v>807.45524999999986</v>
      </c>
      <c r="M408" s="45">
        <f t="shared" si="23"/>
        <v>0</v>
      </c>
    </row>
    <row r="409" spans="1:13" outlineLevel="2" x14ac:dyDescent="0.35">
      <c r="A409" s="42">
        <v>1813800110</v>
      </c>
      <c r="B409" s="42" t="str">
        <f>VLOOKUP(A409,'תקציב מפורט 2025'!A:O,2,FALSE)</f>
        <v>קיטנות אביב משכורת</v>
      </c>
      <c r="C409" s="42">
        <v>36482339</v>
      </c>
      <c r="D409" s="42" t="s">
        <v>942</v>
      </c>
      <c r="E409" s="42" t="s">
        <v>485</v>
      </c>
      <c r="F409" s="42">
        <v>813800</v>
      </c>
      <c r="G409" s="48">
        <v>0</v>
      </c>
      <c r="H409" s="45">
        <v>1245.6300000000001</v>
      </c>
      <c r="I409" s="45">
        <f>SUMIFS('שכר 11.2024'!N:N,'שכר 11.2024'!C:C,C:C,'שכר 11.2024'!F:F,F:F)</f>
        <v>0</v>
      </c>
      <c r="J409" s="45">
        <f t="shared" si="20"/>
        <v>1245.6300000000001</v>
      </c>
      <c r="K409" s="61">
        <f t="shared" si="21"/>
        <v>1.0349999999999999</v>
      </c>
      <c r="L409" s="45">
        <f t="shared" si="22"/>
        <v>1289.22705</v>
      </c>
      <c r="M409" s="45">
        <f t="shared" si="23"/>
        <v>0</v>
      </c>
    </row>
    <row r="410" spans="1:13" outlineLevel="2" x14ac:dyDescent="0.35">
      <c r="A410" s="42">
        <v>1813800110</v>
      </c>
      <c r="B410" s="42" t="str">
        <f>VLOOKUP(A410,'תקציב מפורט 2025'!A:O,2,FALSE)</f>
        <v>קיטנות אביב משכורת</v>
      </c>
      <c r="C410" s="42">
        <v>37407954</v>
      </c>
      <c r="D410" s="42" t="s">
        <v>490</v>
      </c>
      <c r="E410" s="42" t="s">
        <v>1847</v>
      </c>
      <c r="F410" s="42">
        <v>813800</v>
      </c>
      <c r="G410" s="48">
        <v>0</v>
      </c>
      <c r="H410" s="45">
        <v>2498.63</v>
      </c>
      <c r="I410" s="45">
        <f>SUMIFS('שכר 11.2024'!N:N,'שכר 11.2024'!C:C,C:C,'שכר 11.2024'!F:F,F:F)</f>
        <v>0</v>
      </c>
      <c r="J410" s="45">
        <f t="shared" si="20"/>
        <v>2498.63</v>
      </c>
      <c r="K410" s="61">
        <f t="shared" si="21"/>
        <v>1.0349999999999999</v>
      </c>
      <c r="L410" s="45">
        <f t="shared" si="22"/>
        <v>2586.08205</v>
      </c>
      <c r="M410" s="45">
        <f t="shared" si="23"/>
        <v>0</v>
      </c>
    </row>
    <row r="411" spans="1:13" outlineLevel="2" x14ac:dyDescent="0.35">
      <c r="A411" s="42">
        <v>1813800110</v>
      </c>
      <c r="B411" s="42" t="str">
        <f>VLOOKUP(A411,'תקציב מפורט 2025'!A:O,2,FALSE)</f>
        <v>קיטנות אביב משכורת</v>
      </c>
      <c r="C411" s="42">
        <v>38003646</v>
      </c>
      <c r="D411" s="42" t="s">
        <v>434</v>
      </c>
      <c r="E411" s="42" t="s">
        <v>575</v>
      </c>
      <c r="F411" s="42">
        <v>813800</v>
      </c>
      <c r="G411" s="48">
        <v>0</v>
      </c>
      <c r="H411" s="45">
        <v>1245.24</v>
      </c>
      <c r="I411" s="45">
        <f>SUMIFS('שכר 11.2024'!N:N,'שכר 11.2024'!C:C,C:C,'שכר 11.2024'!F:F,F:F)</f>
        <v>0</v>
      </c>
      <c r="J411" s="45">
        <f t="shared" si="20"/>
        <v>1245.24</v>
      </c>
      <c r="K411" s="61">
        <f t="shared" si="21"/>
        <v>1.0349999999999999</v>
      </c>
      <c r="L411" s="45">
        <f t="shared" si="22"/>
        <v>1288.8234</v>
      </c>
      <c r="M411" s="45">
        <f t="shared" si="23"/>
        <v>0</v>
      </c>
    </row>
    <row r="412" spans="1:13" outlineLevel="2" x14ac:dyDescent="0.35">
      <c r="A412" s="42">
        <v>1813800110</v>
      </c>
      <c r="B412" s="42" t="str">
        <f>VLOOKUP(A412,'תקציב מפורט 2025'!A:O,2,FALSE)</f>
        <v>קיטנות אביב משכורת</v>
      </c>
      <c r="C412" s="42">
        <v>39126685</v>
      </c>
      <c r="D412" s="42" t="s">
        <v>434</v>
      </c>
      <c r="E412" s="42" t="s">
        <v>1848</v>
      </c>
      <c r="F412" s="42">
        <v>813800</v>
      </c>
      <c r="G412" s="48">
        <v>0</v>
      </c>
      <c r="H412" s="45">
        <v>2498.63</v>
      </c>
      <c r="I412" s="45">
        <f>SUMIFS('שכר 11.2024'!N:N,'שכר 11.2024'!C:C,C:C,'שכר 11.2024'!F:F,F:F)</f>
        <v>0</v>
      </c>
      <c r="J412" s="45">
        <f t="shared" si="20"/>
        <v>2498.63</v>
      </c>
      <c r="K412" s="61">
        <f t="shared" si="21"/>
        <v>1.0349999999999999</v>
      </c>
      <c r="L412" s="45">
        <f t="shared" si="22"/>
        <v>2586.08205</v>
      </c>
      <c r="M412" s="45">
        <f t="shared" si="23"/>
        <v>0</v>
      </c>
    </row>
    <row r="413" spans="1:13" outlineLevel="2" x14ac:dyDescent="0.35">
      <c r="A413" s="42">
        <v>1813800110</v>
      </c>
      <c r="B413" s="42" t="str">
        <f>VLOOKUP(A413,'תקציב מפורט 2025'!A:O,2,FALSE)</f>
        <v>קיטנות אביב משכורת</v>
      </c>
      <c r="C413" s="42">
        <v>39817176</v>
      </c>
      <c r="D413" s="42" t="s">
        <v>442</v>
      </c>
      <c r="E413" s="42" t="s">
        <v>556</v>
      </c>
      <c r="F413" s="42">
        <v>813800</v>
      </c>
      <c r="G413" s="48">
        <v>0</v>
      </c>
      <c r="H413" s="45">
        <v>421.03</v>
      </c>
      <c r="I413" s="45">
        <f>SUMIFS('שכר 11.2024'!N:N,'שכר 11.2024'!C:C,C:C,'שכר 11.2024'!F:F,F:F)</f>
        <v>0</v>
      </c>
      <c r="J413" s="45">
        <f t="shared" si="20"/>
        <v>421.03</v>
      </c>
      <c r="K413" s="61">
        <f t="shared" si="21"/>
        <v>1.0349999999999999</v>
      </c>
      <c r="L413" s="45">
        <f t="shared" si="22"/>
        <v>435.76604999999995</v>
      </c>
      <c r="M413" s="45">
        <f t="shared" si="23"/>
        <v>0</v>
      </c>
    </row>
    <row r="414" spans="1:13" outlineLevel="2" x14ac:dyDescent="0.35">
      <c r="A414" s="42">
        <v>1813800110</v>
      </c>
      <c r="B414" s="42" t="str">
        <f>VLOOKUP(A414,'תקציב מפורט 2025'!A:O,2,FALSE)</f>
        <v>קיטנות אביב משכורת</v>
      </c>
      <c r="C414" s="42">
        <v>39826649</v>
      </c>
      <c r="D414" s="42" t="s">
        <v>495</v>
      </c>
      <c r="E414" s="42" t="s">
        <v>1825</v>
      </c>
      <c r="F414" s="42">
        <v>813800</v>
      </c>
      <c r="G414" s="48">
        <v>0</v>
      </c>
      <c r="H414" s="45">
        <v>2611.13</v>
      </c>
      <c r="I414" s="45">
        <f>SUMIFS('שכר 11.2024'!N:N,'שכר 11.2024'!C:C,C:C,'שכר 11.2024'!F:F,F:F)</f>
        <v>0</v>
      </c>
      <c r="J414" s="45">
        <f t="shared" si="20"/>
        <v>2611.13</v>
      </c>
      <c r="K414" s="61">
        <f t="shared" si="21"/>
        <v>1.0349999999999999</v>
      </c>
      <c r="L414" s="45">
        <f t="shared" si="22"/>
        <v>2702.51955</v>
      </c>
      <c r="M414" s="45">
        <f t="shared" si="23"/>
        <v>0</v>
      </c>
    </row>
    <row r="415" spans="1:13" outlineLevel="2" x14ac:dyDescent="0.35">
      <c r="A415" s="42">
        <v>1813800110</v>
      </c>
      <c r="B415" s="42" t="str">
        <f>VLOOKUP(A415,'תקציב מפורט 2025'!A:O,2,FALSE)</f>
        <v>קיטנות אביב משכורת</v>
      </c>
      <c r="C415" s="42">
        <v>40159295</v>
      </c>
      <c r="D415" s="42" t="s">
        <v>526</v>
      </c>
      <c r="E415" s="42" t="s">
        <v>1704</v>
      </c>
      <c r="F415" s="42">
        <v>813800</v>
      </c>
      <c r="G415" s="48">
        <v>0</v>
      </c>
      <c r="H415" s="45">
        <v>2498.63</v>
      </c>
      <c r="I415" s="45">
        <f>SUMIFS('שכר 11.2024'!N:N,'שכר 11.2024'!C:C,C:C,'שכר 11.2024'!F:F,F:F)</f>
        <v>0</v>
      </c>
      <c r="J415" s="45">
        <f t="shared" si="20"/>
        <v>2498.63</v>
      </c>
      <c r="K415" s="61">
        <f t="shared" si="21"/>
        <v>1.0349999999999999</v>
      </c>
      <c r="L415" s="45">
        <f t="shared" si="22"/>
        <v>2586.08205</v>
      </c>
      <c r="M415" s="45">
        <f t="shared" si="23"/>
        <v>0</v>
      </c>
    </row>
    <row r="416" spans="1:13" outlineLevel="2" x14ac:dyDescent="0.35">
      <c r="A416" s="42">
        <v>1813800110</v>
      </c>
      <c r="B416" s="42" t="str">
        <f>VLOOKUP(A416,'תקציב מפורט 2025'!A:O,2,FALSE)</f>
        <v>קיטנות אביב משכורת</v>
      </c>
      <c r="C416" s="42">
        <v>40463044</v>
      </c>
      <c r="D416" s="42" t="s">
        <v>488</v>
      </c>
      <c r="E416" s="42" t="s">
        <v>586</v>
      </c>
      <c r="F416" s="42">
        <v>813800</v>
      </c>
      <c r="G416" s="48">
        <v>0</v>
      </c>
      <c r="H416" s="45">
        <v>2915.09</v>
      </c>
      <c r="I416" s="45">
        <f>SUMIFS('שכר 11.2024'!N:N,'שכר 11.2024'!C:C,C:C,'שכר 11.2024'!F:F,F:F)</f>
        <v>0</v>
      </c>
      <c r="J416" s="45">
        <f t="shared" si="20"/>
        <v>2915.09</v>
      </c>
      <c r="K416" s="61">
        <f t="shared" si="21"/>
        <v>1.0349999999999999</v>
      </c>
      <c r="L416" s="45">
        <f t="shared" si="22"/>
        <v>3017.1181499999998</v>
      </c>
      <c r="M416" s="45">
        <f t="shared" si="23"/>
        <v>0</v>
      </c>
    </row>
    <row r="417" spans="1:13" outlineLevel="2" x14ac:dyDescent="0.35">
      <c r="A417" s="42">
        <v>1813800110</v>
      </c>
      <c r="B417" s="42" t="str">
        <f>VLOOKUP(A417,'תקציב מפורט 2025'!A:O,2,FALSE)</f>
        <v>קיטנות אביב משכורת</v>
      </c>
      <c r="C417" s="42">
        <v>40466393</v>
      </c>
      <c r="D417" s="42" t="s">
        <v>434</v>
      </c>
      <c r="E417" s="42" t="s">
        <v>544</v>
      </c>
      <c r="F417" s="42">
        <v>813800</v>
      </c>
      <c r="G417" s="48">
        <v>0</v>
      </c>
      <c r="H417" s="45">
        <v>995.27</v>
      </c>
      <c r="I417" s="45">
        <f>SUMIFS('שכר 11.2024'!N:N,'שכר 11.2024'!C:C,C:C,'שכר 11.2024'!F:F,F:F)</f>
        <v>0</v>
      </c>
      <c r="J417" s="45">
        <f t="shared" si="20"/>
        <v>995.27</v>
      </c>
      <c r="K417" s="61">
        <f t="shared" si="21"/>
        <v>1.0349999999999999</v>
      </c>
      <c r="L417" s="45">
        <f t="shared" si="22"/>
        <v>1030.1044499999998</v>
      </c>
      <c r="M417" s="45">
        <f t="shared" si="23"/>
        <v>0</v>
      </c>
    </row>
    <row r="418" spans="1:13" outlineLevel="2" x14ac:dyDescent="0.35">
      <c r="A418" s="42">
        <v>1813800110</v>
      </c>
      <c r="B418" s="42" t="str">
        <f>VLOOKUP(A418,'תקציב מפורט 2025'!A:O,2,FALSE)</f>
        <v>קיטנות אביב משכורת</v>
      </c>
      <c r="C418" s="42">
        <v>40810657</v>
      </c>
      <c r="D418" s="42" t="s">
        <v>837</v>
      </c>
      <c r="E418" s="42" t="s">
        <v>838</v>
      </c>
      <c r="F418" s="42">
        <v>813800</v>
      </c>
      <c r="G418" s="48">
        <v>0</v>
      </c>
      <c r="H418" s="45">
        <v>1243.19</v>
      </c>
      <c r="I418" s="45">
        <f>SUMIFS('שכר 11.2024'!N:N,'שכר 11.2024'!C:C,C:C,'שכר 11.2024'!F:F,F:F)</f>
        <v>0</v>
      </c>
      <c r="J418" s="45">
        <f t="shared" si="20"/>
        <v>1243.19</v>
      </c>
      <c r="K418" s="61">
        <f t="shared" si="21"/>
        <v>1.0349999999999999</v>
      </c>
      <c r="L418" s="45">
        <f t="shared" si="22"/>
        <v>1286.70165</v>
      </c>
      <c r="M418" s="45">
        <f t="shared" si="23"/>
        <v>0</v>
      </c>
    </row>
    <row r="419" spans="1:13" outlineLevel="2" x14ac:dyDescent="0.35">
      <c r="A419" s="42">
        <v>1813800110</v>
      </c>
      <c r="B419" s="42" t="str">
        <f>VLOOKUP(A419,'תקציב מפורט 2025'!A:O,2,FALSE)</f>
        <v>קיטנות אביב משכורת</v>
      </c>
      <c r="C419" s="42">
        <v>41701228</v>
      </c>
      <c r="D419" s="42" t="s">
        <v>1744</v>
      </c>
      <c r="E419" s="42" t="s">
        <v>555</v>
      </c>
      <c r="F419" s="42">
        <v>813800</v>
      </c>
      <c r="G419" s="48">
        <v>0</v>
      </c>
      <c r="H419" s="45">
        <v>583</v>
      </c>
      <c r="I419" s="45">
        <f>SUMIFS('שכר 11.2024'!N:N,'שכר 11.2024'!C:C,C:C,'שכר 11.2024'!F:F,F:F)</f>
        <v>0</v>
      </c>
      <c r="J419" s="45">
        <f t="shared" si="20"/>
        <v>583</v>
      </c>
      <c r="K419" s="61">
        <f t="shared" si="21"/>
        <v>1.0349999999999999</v>
      </c>
      <c r="L419" s="45">
        <f t="shared" si="22"/>
        <v>603.40499999999997</v>
      </c>
      <c r="M419" s="45">
        <f t="shared" si="23"/>
        <v>0</v>
      </c>
    </row>
    <row r="420" spans="1:13" outlineLevel="2" x14ac:dyDescent="0.35">
      <c r="A420" s="42">
        <v>1813800110</v>
      </c>
      <c r="B420" s="42" t="str">
        <f>VLOOKUP(A420,'תקציב מפורט 2025'!A:O,2,FALSE)</f>
        <v>קיטנות אביב משכורת</v>
      </c>
      <c r="C420" s="42">
        <v>43490838</v>
      </c>
      <c r="D420" s="42" t="s">
        <v>442</v>
      </c>
      <c r="E420" s="42" t="s">
        <v>943</v>
      </c>
      <c r="F420" s="42">
        <v>813800</v>
      </c>
      <c r="G420" s="48">
        <v>0</v>
      </c>
      <c r="H420" s="45">
        <v>3076.34</v>
      </c>
      <c r="I420" s="45">
        <f>SUMIFS('שכר 11.2024'!N:N,'שכר 11.2024'!C:C,C:C,'שכר 11.2024'!F:F,F:F)</f>
        <v>0</v>
      </c>
      <c r="J420" s="45">
        <f t="shared" si="20"/>
        <v>3076.34</v>
      </c>
      <c r="K420" s="61">
        <f t="shared" si="21"/>
        <v>1.0349999999999999</v>
      </c>
      <c r="L420" s="45">
        <f t="shared" si="22"/>
        <v>3184.0119</v>
      </c>
      <c r="M420" s="45">
        <f t="shared" si="23"/>
        <v>0</v>
      </c>
    </row>
    <row r="421" spans="1:13" outlineLevel="2" x14ac:dyDescent="0.35">
      <c r="A421" s="42">
        <v>1813800110</v>
      </c>
      <c r="B421" s="42" t="str">
        <f>VLOOKUP(A421,'תקציב מפורט 2025'!A:O,2,FALSE)</f>
        <v>קיטנות אביב משכורת</v>
      </c>
      <c r="C421" s="42">
        <v>43492578</v>
      </c>
      <c r="D421" s="42" t="s">
        <v>585</v>
      </c>
      <c r="E421" s="42" t="s">
        <v>449</v>
      </c>
      <c r="F421" s="42">
        <v>813800</v>
      </c>
      <c r="G421" s="48">
        <v>0</v>
      </c>
      <c r="H421" s="45">
        <v>1394.99</v>
      </c>
      <c r="I421" s="45">
        <f>SUMIFS('שכר 11.2024'!N:N,'שכר 11.2024'!C:C,C:C,'שכר 11.2024'!F:F,F:F)</f>
        <v>0</v>
      </c>
      <c r="J421" s="45">
        <f t="shared" ref="J421:J484" si="24">H421+I421</f>
        <v>1394.99</v>
      </c>
      <c r="K421" s="61">
        <f t="shared" ref="K421:K484" si="25">3.5/100+1</f>
        <v>1.0349999999999999</v>
      </c>
      <c r="L421" s="45">
        <f t="shared" ref="L421:L484" si="26">J421*K421</f>
        <v>1443.8146499999998</v>
      </c>
      <c r="M421" s="45">
        <f t="shared" ref="M421:M484" si="27">G421/1100</f>
        <v>0</v>
      </c>
    </row>
    <row r="422" spans="1:13" outlineLevel="2" x14ac:dyDescent="0.35">
      <c r="A422" s="42">
        <v>1813800110</v>
      </c>
      <c r="B422" s="42" t="str">
        <f>VLOOKUP(A422,'תקציב מפורט 2025'!A:O,2,FALSE)</f>
        <v>קיטנות אביב משכורת</v>
      </c>
      <c r="C422" s="42">
        <v>49827686</v>
      </c>
      <c r="D422" s="42" t="s">
        <v>448</v>
      </c>
      <c r="E422" s="42" t="s">
        <v>594</v>
      </c>
      <c r="F422" s="42">
        <v>813800</v>
      </c>
      <c r="G422" s="48">
        <v>0</v>
      </c>
      <c r="H422" s="45">
        <v>1299.19</v>
      </c>
      <c r="I422" s="45">
        <f>SUMIFS('שכר 11.2024'!N:N,'שכר 11.2024'!C:C,C:C,'שכר 11.2024'!F:F,F:F)</f>
        <v>0</v>
      </c>
      <c r="J422" s="45">
        <f t="shared" si="24"/>
        <v>1299.19</v>
      </c>
      <c r="K422" s="61">
        <f t="shared" si="25"/>
        <v>1.0349999999999999</v>
      </c>
      <c r="L422" s="45">
        <f t="shared" si="26"/>
        <v>1344.66165</v>
      </c>
      <c r="M422" s="45">
        <f t="shared" si="27"/>
        <v>0</v>
      </c>
    </row>
    <row r="423" spans="1:13" outlineLevel="2" x14ac:dyDescent="0.35">
      <c r="A423" s="42">
        <v>1813800110</v>
      </c>
      <c r="B423" s="42" t="str">
        <f>VLOOKUP(A423,'תקציב מפורט 2025'!A:O,2,FALSE)</f>
        <v>קיטנות אביב משכורת</v>
      </c>
      <c r="C423" s="42">
        <v>61267373</v>
      </c>
      <c r="D423" s="42" t="s">
        <v>545</v>
      </c>
      <c r="E423" s="42" t="s">
        <v>824</v>
      </c>
      <c r="F423" s="42">
        <v>813800</v>
      </c>
      <c r="G423" s="48">
        <v>0</v>
      </c>
      <c r="H423" s="45">
        <v>1242.2</v>
      </c>
      <c r="I423" s="45">
        <f>SUMIFS('שכר 11.2024'!N:N,'שכר 11.2024'!C:C,C:C,'שכר 11.2024'!F:F,F:F)</f>
        <v>0</v>
      </c>
      <c r="J423" s="45">
        <f t="shared" si="24"/>
        <v>1242.2</v>
      </c>
      <c r="K423" s="61">
        <f t="shared" si="25"/>
        <v>1.0349999999999999</v>
      </c>
      <c r="L423" s="45">
        <f t="shared" si="26"/>
        <v>1285.6769999999999</v>
      </c>
      <c r="M423" s="45">
        <f t="shared" si="27"/>
        <v>0</v>
      </c>
    </row>
    <row r="424" spans="1:13" outlineLevel="2" x14ac:dyDescent="0.35">
      <c r="A424" s="42">
        <v>1813800110</v>
      </c>
      <c r="B424" s="42" t="str">
        <f>VLOOKUP(A424,'תקציב מפורט 2025'!A:O,2,FALSE)</f>
        <v>קיטנות אביב משכורת</v>
      </c>
      <c r="C424" s="42">
        <v>61297214</v>
      </c>
      <c r="D424" s="42" t="s">
        <v>464</v>
      </c>
      <c r="E424" s="42" t="s">
        <v>1705</v>
      </c>
      <c r="F424" s="42">
        <v>813800</v>
      </c>
      <c r="G424" s="48">
        <v>0</v>
      </c>
      <c r="H424" s="45">
        <v>1244.17</v>
      </c>
      <c r="I424" s="45">
        <f>SUMIFS('שכר 11.2024'!N:N,'שכר 11.2024'!C:C,C:C,'שכר 11.2024'!F:F,F:F)</f>
        <v>0</v>
      </c>
      <c r="J424" s="45">
        <f t="shared" si="24"/>
        <v>1244.17</v>
      </c>
      <c r="K424" s="61">
        <f t="shared" si="25"/>
        <v>1.0349999999999999</v>
      </c>
      <c r="L424" s="45">
        <f t="shared" si="26"/>
        <v>1287.71595</v>
      </c>
      <c r="M424" s="45">
        <f t="shared" si="27"/>
        <v>0</v>
      </c>
    </row>
    <row r="425" spans="1:13" outlineLevel="2" x14ac:dyDescent="0.35">
      <c r="A425" s="42">
        <v>1813800110</v>
      </c>
      <c r="B425" s="42" t="str">
        <f>VLOOKUP(A425,'תקציב מפורט 2025'!A:O,2,FALSE)</f>
        <v>קיטנות אביב משכורת</v>
      </c>
      <c r="C425" s="42">
        <v>66053224</v>
      </c>
      <c r="D425" s="42" t="s">
        <v>442</v>
      </c>
      <c r="E425" s="42" t="s">
        <v>579</v>
      </c>
      <c r="F425" s="42">
        <v>813800</v>
      </c>
      <c r="G425" s="48">
        <v>0</v>
      </c>
      <c r="H425" s="45">
        <v>2915.09</v>
      </c>
      <c r="I425" s="45">
        <f>SUMIFS('שכר 11.2024'!N:N,'שכר 11.2024'!C:C,C:C,'שכר 11.2024'!F:F,F:F)</f>
        <v>0</v>
      </c>
      <c r="J425" s="45">
        <f t="shared" si="24"/>
        <v>2915.09</v>
      </c>
      <c r="K425" s="61">
        <f t="shared" si="25"/>
        <v>1.0349999999999999</v>
      </c>
      <c r="L425" s="45">
        <f t="shared" si="26"/>
        <v>3017.1181499999998</v>
      </c>
      <c r="M425" s="45">
        <f t="shared" si="27"/>
        <v>0</v>
      </c>
    </row>
    <row r="426" spans="1:13" outlineLevel="2" x14ac:dyDescent="0.35">
      <c r="A426" s="42">
        <v>1813800110</v>
      </c>
      <c r="B426" s="42" t="str">
        <f>VLOOKUP(A426,'תקציב מפורט 2025'!A:O,2,FALSE)</f>
        <v>קיטנות אביב משכורת</v>
      </c>
      <c r="C426" s="42">
        <v>200614675</v>
      </c>
      <c r="D426" s="42" t="s">
        <v>526</v>
      </c>
      <c r="E426" s="42" t="s">
        <v>1837</v>
      </c>
      <c r="F426" s="42">
        <v>813800</v>
      </c>
      <c r="G426" s="48">
        <v>0</v>
      </c>
      <c r="H426" s="45">
        <v>2498.64</v>
      </c>
      <c r="I426" s="45">
        <f>SUMIFS('שכר 11.2024'!N:N,'שכר 11.2024'!C:C,C:C,'שכר 11.2024'!F:F,F:F)</f>
        <v>0</v>
      </c>
      <c r="J426" s="45">
        <f t="shared" si="24"/>
        <v>2498.64</v>
      </c>
      <c r="K426" s="61">
        <f t="shared" si="25"/>
        <v>1.0349999999999999</v>
      </c>
      <c r="L426" s="45">
        <f t="shared" si="26"/>
        <v>2586.0923999999995</v>
      </c>
      <c r="M426" s="45">
        <f t="shared" si="27"/>
        <v>0</v>
      </c>
    </row>
    <row r="427" spans="1:13" outlineLevel="2" x14ac:dyDescent="0.35">
      <c r="A427" s="42">
        <v>1813800110</v>
      </c>
      <c r="B427" s="42" t="str">
        <f>VLOOKUP(A427,'תקציב מפורט 2025'!A:O,2,FALSE)</f>
        <v>קיטנות אביב משכורת</v>
      </c>
      <c r="C427" s="42">
        <v>201060852</v>
      </c>
      <c r="D427" s="42" t="s">
        <v>495</v>
      </c>
      <c r="E427" s="42" t="s">
        <v>494</v>
      </c>
      <c r="F427" s="42">
        <v>813800</v>
      </c>
      <c r="G427" s="48">
        <v>0</v>
      </c>
      <c r="H427" s="45">
        <v>1665.75</v>
      </c>
      <c r="I427" s="45">
        <f>SUMIFS('שכר 11.2024'!N:N,'שכר 11.2024'!C:C,C:C,'שכר 11.2024'!F:F,F:F)</f>
        <v>0</v>
      </c>
      <c r="J427" s="45">
        <f t="shared" si="24"/>
        <v>1665.75</v>
      </c>
      <c r="K427" s="61">
        <f t="shared" si="25"/>
        <v>1.0349999999999999</v>
      </c>
      <c r="L427" s="45">
        <f t="shared" si="26"/>
        <v>1724.0512499999998</v>
      </c>
      <c r="M427" s="45">
        <f t="shared" si="27"/>
        <v>0</v>
      </c>
    </row>
    <row r="428" spans="1:13" outlineLevel="2" x14ac:dyDescent="0.35">
      <c r="A428" s="42">
        <v>1813800110</v>
      </c>
      <c r="B428" s="42" t="str">
        <f>VLOOKUP(A428,'תקציב מפורט 2025'!A:O,2,FALSE)</f>
        <v>קיטנות אביב משכורת</v>
      </c>
      <c r="C428" s="42">
        <v>203914221</v>
      </c>
      <c r="D428" s="42" t="s">
        <v>506</v>
      </c>
      <c r="E428" s="42" t="s">
        <v>910</v>
      </c>
      <c r="F428" s="42">
        <v>813800</v>
      </c>
      <c r="G428" s="48">
        <v>0</v>
      </c>
      <c r="H428" s="45">
        <v>1232.6600000000001</v>
      </c>
      <c r="I428" s="45">
        <f>SUMIFS('שכר 11.2024'!N:N,'שכר 11.2024'!C:C,C:C,'שכר 11.2024'!F:F,F:F)</f>
        <v>0</v>
      </c>
      <c r="J428" s="45">
        <f t="shared" si="24"/>
        <v>1232.6600000000001</v>
      </c>
      <c r="K428" s="61">
        <f t="shared" si="25"/>
        <v>1.0349999999999999</v>
      </c>
      <c r="L428" s="45">
        <f t="shared" si="26"/>
        <v>1275.8031000000001</v>
      </c>
      <c r="M428" s="45">
        <f t="shared" si="27"/>
        <v>0</v>
      </c>
    </row>
    <row r="429" spans="1:13" outlineLevel="2" x14ac:dyDescent="0.35">
      <c r="A429" s="42">
        <v>1813800110</v>
      </c>
      <c r="B429" s="42" t="str">
        <f>VLOOKUP(A429,'תקציב מפורט 2025'!A:O,2,FALSE)</f>
        <v>קיטנות אביב משכורת</v>
      </c>
      <c r="C429" s="42">
        <v>204137772</v>
      </c>
      <c r="D429" s="42" t="s">
        <v>448</v>
      </c>
      <c r="E429" s="42" t="s">
        <v>822</v>
      </c>
      <c r="F429" s="42">
        <v>813800</v>
      </c>
      <c r="G429" s="48">
        <v>0</v>
      </c>
      <c r="H429" s="45">
        <v>2498.61</v>
      </c>
      <c r="I429" s="45">
        <f>SUMIFS('שכר 11.2024'!N:N,'שכר 11.2024'!C:C,C:C,'שכר 11.2024'!F:F,F:F)</f>
        <v>0</v>
      </c>
      <c r="J429" s="45">
        <f t="shared" si="24"/>
        <v>2498.61</v>
      </c>
      <c r="K429" s="61">
        <f t="shared" si="25"/>
        <v>1.0349999999999999</v>
      </c>
      <c r="L429" s="45">
        <f t="shared" si="26"/>
        <v>2586.0613499999999</v>
      </c>
      <c r="M429" s="45">
        <f t="shared" si="27"/>
        <v>0</v>
      </c>
    </row>
    <row r="430" spans="1:13" outlineLevel="2" x14ac:dyDescent="0.35">
      <c r="A430" s="42">
        <v>1813800110</v>
      </c>
      <c r="B430" s="42" t="str">
        <f>VLOOKUP(A430,'תקציב מפורט 2025'!A:O,2,FALSE)</f>
        <v>קיטנות אביב משכורת</v>
      </c>
      <c r="C430" s="42">
        <v>204162051</v>
      </c>
      <c r="D430" s="42" t="s">
        <v>515</v>
      </c>
      <c r="E430" s="42" t="s">
        <v>851</v>
      </c>
      <c r="F430" s="42">
        <v>813800</v>
      </c>
      <c r="G430" s="48">
        <v>0</v>
      </c>
      <c r="H430" s="45">
        <v>1232.69</v>
      </c>
      <c r="I430" s="45">
        <f>SUMIFS('שכר 11.2024'!N:N,'שכר 11.2024'!C:C,C:C,'שכר 11.2024'!F:F,F:F)</f>
        <v>0</v>
      </c>
      <c r="J430" s="45">
        <f t="shared" si="24"/>
        <v>1232.69</v>
      </c>
      <c r="K430" s="61">
        <f t="shared" si="25"/>
        <v>1.0349999999999999</v>
      </c>
      <c r="L430" s="45">
        <f t="shared" si="26"/>
        <v>1275.8341499999999</v>
      </c>
      <c r="M430" s="45">
        <f t="shared" si="27"/>
        <v>0</v>
      </c>
    </row>
    <row r="431" spans="1:13" outlineLevel="2" x14ac:dyDescent="0.35">
      <c r="A431" s="42">
        <v>1813800110</v>
      </c>
      <c r="B431" s="42" t="str">
        <f>VLOOKUP(A431,'תקציב מפורט 2025'!A:O,2,FALSE)</f>
        <v>קיטנות אביב משכורת</v>
      </c>
      <c r="C431" s="42">
        <v>204189153</v>
      </c>
      <c r="D431" s="42" t="s">
        <v>538</v>
      </c>
      <c r="E431" s="42" t="s">
        <v>1696</v>
      </c>
      <c r="F431" s="42">
        <v>813800</v>
      </c>
      <c r="G431" s="48">
        <v>0</v>
      </c>
      <c r="H431" s="45">
        <v>1232.7</v>
      </c>
      <c r="I431" s="45">
        <f>SUMIFS('שכר 11.2024'!N:N,'שכר 11.2024'!C:C,C:C,'שכר 11.2024'!F:F,F:F)</f>
        <v>0</v>
      </c>
      <c r="J431" s="45">
        <f t="shared" si="24"/>
        <v>1232.7</v>
      </c>
      <c r="K431" s="61">
        <f t="shared" si="25"/>
        <v>1.0349999999999999</v>
      </c>
      <c r="L431" s="45">
        <f t="shared" si="26"/>
        <v>1275.8444999999999</v>
      </c>
      <c r="M431" s="45">
        <f t="shared" si="27"/>
        <v>0</v>
      </c>
    </row>
    <row r="432" spans="1:13" outlineLevel="2" x14ac:dyDescent="0.35">
      <c r="A432" s="42">
        <v>1813800110</v>
      </c>
      <c r="B432" s="42" t="str">
        <f>VLOOKUP(A432,'תקציב מפורט 2025'!A:O,2,FALSE)</f>
        <v>קיטנות אביב משכורת</v>
      </c>
      <c r="C432" s="42">
        <v>204297253</v>
      </c>
      <c r="D432" s="42" t="s">
        <v>434</v>
      </c>
      <c r="E432" s="42" t="s">
        <v>825</v>
      </c>
      <c r="F432" s="42">
        <v>813800</v>
      </c>
      <c r="G432" s="48">
        <v>0</v>
      </c>
      <c r="H432" s="45">
        <v>2942.37</v>
      </c>
      <c r="I432" s="45">
        <f>SUMIFS('שכר 11.2024'!N:N,'שכר 11.2024'!C:C,C:C,'שכר 11.2024'!F:F,F:F)</f>
        <v>0</v>
      </c>
      <c r="J432" s="45">
        <f t="shared" si="24"/>
        <v>2942.37</v>
      </c>
      <c r="K432" s="61">
        <f t="shared" si="25"/>
        <v>1.0349999999999999</v>
      </c>
      <c r="L432" s="45">
        <f t="shared" si="26"/>
        <v>3045.3529499999995</v>
      </c>
      <c r="M432" s="45">
        <f t="shared" si="27"/>
        <v>0</v>
      </c>
    </row>
    <row r="433" spans="1:13" outlineLevel="2" x14ac:dyDescent="0.35">
      <c r="A433" s="42">
        <v>1813800110</v>
      </c>
      <c r="B433" s="42" t="str">
        <f>VLOOKUP(A433,'תקציב מפורט 2025'!A:O,2,FALSE)</f>
        <v>קיטנות אביב משכורת</v>
      </c>
      <c r="C433" s="42">
        <v>205678154</v>
      </c>
      <c r="D433" s="42" t="s">
        <v>434</v>
      </c>
      <c r="E433" s="42" t="s">
        <v>1706</v>
      </c>
      <c r="F433" s="42">
        <v>813800</v>
      </c>
      <c r="G433" s="48">
        <v>0</v>
      </c>
      <c r="H433" s="45">
        <v>1244.1500000000001</v>
      </c>
      <c r="I433" s="45">
        <f>SUMIFS('שכר 11.2024'!N:N,'שכר 11.2024'!C:C,C:C,'שכר 11.2024'!F:F,F:F)</f>
        <v>0</v>
      </c>
      <c r="J433" s="45">
        <f t="shared" si="24"/>
        <v>1244.1500000000001</v>
      </c>
      <c r="K433" s="61">
        <f t="shared" si="25"/>
        <v>1.0349999999999999</v>
      </c>
      <c r="L433" s="45">
        <f t="shared" si="26"/>
        <v>1287.69525</v>
      </c>
      <c r="M433" s="45">
        <f t="shared" si="27"/>
        <v>0</v>
      </c>
    </row>
    <row r="434" spans="1:13" outlineLevel="2" x14ac:dyDescent="0.35">
      <c r="A434" s="42">
        <v>1813800110</v>
      </c>
      <c r="B434" s="42" t="str">
        <f>VLOOKUP(A434,'תקציב מפורט 2025'!A:O,2,FALSE)</f>
        <v>קיטנות אביב משכורת</v>
      </c>
      <c r="C434" s="42">
        <v>205678626</v>
      </c>
      <c r="D434" s="42" t="s">
        <v>911</v>
      </c>
      <c r="E434" s="42" t="s">
        <v>591</v>
      </c>
      <c r="F434" s="42">
        <v>813800</v>
      </c>
      <c r="G434" s="48">
        <v>0</v>
      </c>
      <c r="H434" s="45">
        <v>1232.6600000000001</v>
      </c>
      <c r="I434" s="45">
        <f>SUMIFS('שכר 11.2024'!N:N,'שכר 11.2024'!C:C,C:C,'שכר 11.2024'!F:F,F:F)</f>
        <v>0</v>
      </c>
      <c r="J434" s="45">
        <f t="shared" si="24"/>
        <v>1232.6600000000001</v>
      </c>
      <c r="K434" s="61">
        <f t="shared" si="25"/>
        <v>1.0349999999999999</v>
      </c>
      <c r="L434" s="45">
        <f t="shared" si="26"/>
        <v>1275.8031000000001</v>
      </c>
      <c r="M434" s="45">
        <f t="shared" si="27"/>
        <v>0</v>
      </c>
    </row>
    <row r="435" spans="1:13" outlineLevel="2" x14ac:dyDescent="0.35">
      <c r="A435" s="42">
        <v>1813800110</v>
      </c>
      <c r="B435" s="42" t="str">
        <f>VLOOKUP(A435,'תקציב מפורט 2025'!A:O,2,FALSE)</f>
        <v>קיטנות אביב משכורת</v>
      </c>
      <c r="C435" s="42">
        <v>205764020</v>
      </c>
      <c r="D435" s="42" t="s">
        <v>439</v>
      </c>
      <c r="E435" s="42" t="s">
        <v>584</v>
      </c>
      <c r="F435" s="42">
        <v>813800</v>
      </c>
      <c r="G435" s="48">
        <v>0</v>
      </c>
      <c r="H435" s="45">
        <v>1301.6600000000001</v>
      </c>
      <c r="I435" s="45">
        <f>SUMIFS('שכר 11.2024'!N:N,'שכר 11.2024'!C:C,C:C,'שכר 11.2024'!F:F,F:F)</f>
        <v>0</v>
      </c>
      <c r="J435" s="45">
        <f t="shared" si="24"/>
        <v>1301.6600000000001</v>
      </c>
      <c r="K435" s="61">
        <f t="shared" si="25"/>
        <v>1.0349999999999999</v>
      </c>
      <c r="L435" s="45">
        <f t="shared" si="26"/>
        <v>1347.2181</v>
      </c>
      <c r="M435" s="45">
        <f t="shared" si="27"/>
        <v>0</v>
      </c>
    </row>
    <row r="436" spans="1:13" outlineLevel="2" x14ac:dyDescent="0.35">
      <c r="A436" s="42">
        <v>1813800110</v>
      </c>
      <c r="B436" s="42" t="str">
        <f>VLOOKUP(A436,'תקציב מפורט 2025'!A:O,2,FALSE)</f>
        <v>קיטנות אביב משכורת</v>
      </c>
      <c r="C436" s="42">
        <v>205766645</v>
      </c>
      <c r="D436" s="42" t="s">
        <v>442</v>
      </c>
      <c r="E436" s="42" t="s">
        <v>470</v>
      </c>
      <c r="F436" s="42">
        <v>813800</v>
      </c>
      <c r="G436" s="48">
        <v>0</v>
      </c>
      <c r="H436" s="45">
        <v>1232.67</v>
      </c>
      <c r="I436" s="45">
        <f>SUMIFS('שכר 11.2024'!N:N,'שכר 11.2024'!C:C,C:C,'שכר 11.2024'!F:F,F:F)</f>
        <v>0</v>
      </c>
      <c r="J436" s="45">
        <f t="shared" si="24"/>
        <v>1232.67</v>
      </c>
      <c r="K436" s="61">
        <f t="shared" si="25"/>
        <v>1.0349999999999999</v>
      </c>
      <c r="L436" s="45">
        <f t="shared" si="26"/>
        <v>1275.8134499999999</v>
      </c>
      <c r="M436" s="45">
        <f t="shared" si="27"/>
        <v>0</v>
      </c>
    </row>
    <row r="437" spans="1:13" outlineLevel="2" x14ac:dyDescent="0.35">
      <c r="A437" s="42">
        <v>1813800110</v>
      </c>
      <c r="B437" s="42" t="str">
        <f>VLOOKUP(A437,'תקציב מפורט 2025'!A:O,2,FALSE)</f>
        <v>קיטנות אביב משכורת</v>
      </c>
      <c r="C437" s="42">
        <v>205768278</v>
      </c>
      <c r="D437" s="42" t="s">
        <v>434</v>
      </c>
      <c r="E437" s="42" t="s">
        <v>1708</v>
      </c>
      <c r="F437" s="42">
        <v>813800</v>
      </c>
      <c r="G437" s="48">
        <v>0</v>
      </c>
      <c r="H437" s="45">
        <v>1232.6600000000001</v>
      </c>
      <c r="I437" s="45">
        <f>SUMIFS('שכר 11.2024'!N:N,'שכר 11.2024'!C:C,C:C,'שכר 11.2024'!F:F,F:F)</f>
        <v>0</v>
      </c>
      <c r="J437" s="45">
        <f t="shared" si="24"/>
        <v>1232.6600000000001</v>
      </c>
      <c r="K437" s="61">
        <f t="shared" si="25"/>
        <v>1.0349999999999999</v>
      </c>
      <c r="L437" s="45">
        <f t="shared" si="26"/>
        <v>1275.8031000000001</v>
      </c>
      <c r="M437" s="45">
        <f t="shared" si="27"/>
        <v>0</v>
      </c>
    </row>
    <row r="438" spans="1:13" outlineLevel="2" x14ac:dyDescent="0.35">
      <c r="A438" s="42">
        <v>1813800110</v>
      </c>
      <c r="B438" s="42" t="str">
        <f>VLOOKUP(A438,'תקציב מפורט 2025'!A:O,2,FALSE)</f>
        <v>קיטנות אביב משכורת</v>
      </c>
      <c r="C438" s="42">
        <v>206044851</v>
      </c>
      <c r="D438" s="42" t="s">
        <v>434</v>
      </c>
      <c r="E438" s="42" t="s">
        <v>912</v>
      </c>
      <c r="F438" s="42">
        <v>813800</v>
      </c>
      <c r="G438" s="48">
        <v>0</v>
      </c>
      <c r="H438" s="45">
        <v>1665.75</v>
      </c>
      <c r="I438" s="45">
        <f>SUMIFS('שכר 11.2024'!N:N,'שכר 11.2024'!C:C,C:C,'שכר 11.2024'!F:F,F:F)</f>
        <v>0</v>
      </c>
      <c r="J438" s="45">
        <f t="shared" si="24"/>
        <v>1665.75</v>
      </c>
      <c r="K438" s="61">
        <f t="shared" si="25"/>
        <v>1.0349999999999999</v>
      </c>
      <c r="L438" s="45">
        <f t="shared" si="26"/>
        <v>1724.0512499999998</v>
      </c>
      <c r="M438" s="45">
        <f t="shared" si="27"/>
        <v>0</v>
      </c>
    </row>
    <row r="439" spans="1:13" outlineLevel="2" x14ac:dyDescent="0.35">
      <c r="A439" s="42">
        <v>1813800110</v>
      </c>
      <c r="B439" s="42" t="str">
        <f>VLOOKUP(A439,'תקציב מפורט 2025'!A:O,2,FALSE)</f>
        <v>קיטנות אביב משכורת</v>
      </c>
      <c r="C439" s="42">
        <v>206213407</v>
      </c>
      <c r="D439" s="42" t="s">
        <v>538</v>
      </c>
      <c r="E439" s="42" t="s">
        <v>1849</v>
      </c>
      <c r="F439" s="42">
        <v>813800</v>
      </c>
      <c r="G439" s="48">
        <v>0</v>
      </c>
      <c r="H439" s="45">
        <v>2498.65</v>
      </c>
      <c r="I439" s="45">
        <f>SUMIFS('שכר 11.2024'!N:N,'שכר 11.2024'!C:C,C:C,'שכר 11.2024'!F:F,F:F)</f>
        <v>0</v>
      </c>
      <c r="J439" s="45">
        <f t="shared" si="24"/>
        <v>2498.65</v>
      </c>
      <c r="K439" s="61">
        <f t="shared" si="25"/>
        <v>1.0349999999999999</v>
      </c>
      <c r="L439" s="45">
        <f t="shared" si="26"/>
        <v>2586.10275</v>
      </c>
      <c r="M439" s="45">
        <f t="shared" si="27"/>
        <v>0</v>
      </c>
    </row>
    <row r="440" spans="1:13" outlineLevel="2" x14ac:dyDescent="0.35">
      <c r="A440" s="42">
        <v>1813800110</v>
      </c>
      <c r="B440" s="42" t="str">
        <f>VLOOKUP(A440,'תקציב מפורט 2025'!A:O,2,FALSE)</f>
        <v>קיטנות אביב משכורת</v>
      </c>
      <c r="C440" s="42">
        <v>206273542</v>
      </c>
      <c r="D440" s="42" t="s">
        <v>434</v>
      </c>
      <c r="E440" s="42" t="s">
        <v>1717</v>
      </c>
      <c r="F440" s="42">
        <v>813800</v>
      </c>
      <c r="G440" s="48">
        <v>0</v>
      </c>
      <c r="H440" s="45">
        <v>2498.63</v>
      </c>
      <c r="I440" s="45">
        <f>SUMIFS('שכר 11.2024'!N:N,'שכר 11.2024'!C:C,C:C,'שכר 11.2024'!F:F,F:F)</f>
        <v>0</v>
      </c>
      <c r="J440" s="45">
        <f t="shared" si="24"/>
        <v>2498.63</v>
      </c>
      <c r="K440" s="61">
        <f t="shared" si="25"/>
        <v>1.0349999999999999</v>
      </c>
      <c r="L440" s="45">
        <f t="shared" si="26"/>
        <v>2586.08205</v>
      </c>
      <c r="M440" s="45">
        <f t="shared" si="27"/>
        <v>0</v>
      </c>
    </row>
    <row r="441" spans="1:13" outlineLevel="2" x14ac:dyDescent="0.35">
      <c r="A441" s="42">
        <v>1813800110</v>
      </c>
      <c r="B441" s="42" t="str">
        <f>VLOOKUP(A441,'תקציב מפורט 2025'!A:O,2,FALSE)</f>
        <v>קיטנות אביב משכורת</v>
      </c>
      <c r="C441" s="42">
        <v>206418212</v>
      </c>
      <c r="D441" s="42" t="s">
        <v>434</v>
      </c>
      <c r="E441" s="42" t="s">
        <v>950</v>
      </c>
      <c r="F441" s="42">
        <v>813800</v>
      </c>
      <c r="G441" s="48">
        <v>0</v>
      </c>
      <c r="H441" s="45">
        <v>2498.65</v>
      </c>
      <c r="I441" s="45">
        <f>SUMIFS('שכר 11.2024'!N:N,'שכר 11.2024'!C:C,C:C,'שכר 11.2024'!F:F,F:F)</f>
        <v>0</v>
      </c>
      <c r="J441" s="45">
        <f t="shared" si="24"/>
        <v>2498.65</v>
      </c>
      <c r="K441" s="61">
        <f t="shared" si="25"/>
        <v>1.0349999999999999</v>
      </c>
      <c r="L441" s="45">
        <f t="shared" si="26"/>
        <v>2586.10275</v>
      </c>
      <c r="M441" s="45">
        <f t="shared" si="27"/>
        <v>0</v>
      </c>
    </row>
    <row r="442" spans="1:13" outlineLevel="2" x14ac:dyDescent="0.35">
      <c r="A442" s="42">
        <v>1813800110</v>
      </c>
      <c r="B442" s="42" t="str">
        <f>VLOOKUP(A442,'תקציב מפורט 2025'!A:O,2,FALSE)</f>
        <v>קיטנות אביב משכורת</v>
      </c>
      <c r="C442" s="42">
        <v>206604639</v>
      </c>
      <c r="D442" s="42" t="s">
        <v>1850</v>
      </c>
      <c r="E442" s="42" t="s">
        <v>1851</v>
      </c>
      <c r="F442" s="42">
        <v>813800</v>
      </c>
      <c r="G442" s="48">
        <v>0</v>
      </c>
      <c r="H442" s="45">
        <v>2498.63</v>
      </c>
      <c r="I442" s="45">
        <f>SUMIFS('שכר 11.2024'!N:N,'שכר 11.2024'!C:C,C:C,'שכר 11.2024'!F:F,F:F)</f>
        <v>0</v>
      </c>
      <c r="J442" s="45">
        <f t="shared" si="24"/>
        <v>2498.63</v>
      </c>
      <c r="K442" s="61">
        <f t="shared" si="25"/>
        <v>1.0349999999999999</v>
      </c>
      <c r="L442" s="45">
        <f t="shared" si="26"/>
        <v>2586.08205</v>
      </c>
      <c r="M442" s="45">
        <f t="shared" si="27"/>
        <v>0</v>
      </c>
    </row>
    <row r="443" spans="1:13" outlineLevel="2" x14ac:dyDescent="0.35">
      <c r="A443" s="42">
        <v>1813800110</v>
      </c>
      <c r="B443" s="42" t="str">
        <f>VLOOKUP(A443,'תקציב מפורט 2025'!A:O,2,FALSE)</f>
        <v>קיטנות אביב משכורת</v>
      </c>
      <c r="C443" s="42">
        <v>206715674</v>
      </c>
      <c r="D443" s="42" t="s">
        <v>434</v>
      </c>
      <c r="E443" s="42" t="s">
        <v>913</v>
      </c>
      <c r="F443" s="42">
        <v>813800</v>
      </c>
      <c r="G443" s="48">
        <v>0</v>
      </c>
      <c r="H443" s="45">
        <v>2518.44</v>
      </c>
      <c r="I443" s="45">
        <f>SUMIFS('שכר 11.2024'!N:N,'שכר 11.2024'!C:C,C:C,'שכר 11.2024'!F:F,F:F)</f>
        <v>0</v>
      </c>
      <c r="J443" s="45">
        <f t="shared" si="24"/>
        <v>2518.44</v>
      </c>
      <c r="K443" s="61">
        <f t="shared" si="25"/>
        <v>1.0349999999999999</v>
      </c>
      <c r="L443" s="45">
        <f t="shared" si="26"/>
        <v>2606.5853999999999</v>
      </c>
      <c r="M443" s="45">
        <f t="shared" si="27"/>
        <v>0</v>
      </c>
    </row>
    <row r="444" spans="1:13" outlineLevel="2" x14ac:dyDescent="0.35">
      <c r="A444" s="42">
        <v>1813800110</v>
      </c>
      <c r="B444" s="42" t="str">
        <f>VLOOKUP(A444,'תקציב מפורט 2025'!A:O,2,FALSE)</f>
        <v>קיטנות אביב משכורת</v>
      </c>
      <c r="C444" s="42">
        <v>206716870</v>
      </c>
      <c r="D444" s="42" t="s">
        <v>1709</v>
      </c>
      <c r="E444" s="42" t="s">
        <v>1713</v>
      </c>
      <c r="F444" s="42">
        <v>813800</v>
      </c>
      <c r="G444" s="48">
        <v>0</v>
      </c>
      <c r="H444" s="45">
        <v>1232.6400000000001</v>
      </c>
      <c r="I444" s="45">
        <f>SUMIFS('שכר 11.2024'!N:N,'שכר 11.2024'!C:C,C:C,'שכר 11.2024'!F:F,F:F)</f>
        <v>0</v>
      </c>
      <c r="J444" s="45">
        <f t="shared" si="24"/>
        <v>1232.6400000000001</v>
      </c>
      <c r="K444" s="61">
        <f t="shared" si="25"/>
        <v>1.0349999999999999</v>
      </c>
      <c r="L444" s="45">
        <f t="shared" si="26"/>
        <v>1275.7824000000001</v>
      </c>
      <c r="M444" s="45">
        <f t="shared" si="27"/>
        <v>0</v>
      </c>
    </row>
    <row r="445" spans="1:13" outlineLevel="2" x14ac:dyDescent="0.35">
      <c r="A445" s="42">
        <v>1813800110</v>
      </c>
      <c r="B445" s="42" t="str">
        <f>VLOOKUP(A445,'תקציב מפורט 2025'!A:O,2,FALSE)</f>
        <v>קיטנות אביב משכורת</v>
      </c>
      <c r="C445" s="42">
        <v>206931446</v>
      </c>
      <c r="D445" s="42" t="s">
        <v>442</v>
      </c>
      <c r="E445" s="42" t="s">
        <v>929</v>
      </c>
      <c r="F445" s="42">
        <v>813800</v>
      </c>
      <c r="G445" s="48">
        <v>0</v>
      </c>
      <c r="H445" s="45">
        <v>2498.63</v>
      </c>
      <c r="I445" s="45">
        <f>SUMIFS('שכר 11.2024'!N:N,'שכר 11.2024'!C:C,C:C,'שכר 11.2024'!F:F,F:F)</f>
        <v>0</v>
      </c>
      <c r="J445" s="45">
        <f t="shared" si="24"/>
        <v>2498.63</v>
      </c>
      <c r="K445" s="61">
        <f t="shared" si="25"/>
        <v>1.0349999999999999</v>
      </c>
      <c r="L445" s="45">
        <f t="shared" si="26"/>
        <v>2586.08205</v>
      </c>
      <c r="M445" s="45">
        <f t="shared" si="27"/>
        <v>0</v>
      </c>
    </row>
    <row r="446" spans="1:13" outlineLevel="2" x14ac:dyDescent="0.35">
      <c r="A446" s="42">
        <v>1813800110</v>
      </c>
      <c r="B446" s="42" t="str">
        <f>VLOOKUP(A446,'תקציב מפורט 2025'!A:O,2,FALSE)</f>
        <v>קיטנות אביב משכורת</v>
      </c>
      <c r="C446" s="42">
        <v>207154774</v>
      </c>
      <c r="D446" s="42" t="s">
        <v>434</v>
      </c>
      <c r="E446" s="42" t="s">
        <v>550</v>
      </c>
      <c r="F446" s="42">
        <v>813800</v>
      </c>
      <c r="G446" s="48">
        <v>0</v>
      </c>
      <c r="H446" s="45">
        <v>2498.63</v>
      </c>
      <c r="I446" s="45">
        <f>SUMIFS('שכר 11.2024'!N:N,'שכר 11.2024'!C:C,C:C,'שכר 11.2024'!F:F,F:F)</f>
        <v>0</v>
      </c>
      <c r="J446" s="45">
        <f t="shared" si="24"/>
        <v>2498.63</v>
      </c>
      <c r="K446" s="61">
        <f t="shared" si="25"/>
        <v>1.0349999999999999</v>
      </c>
      <c r="L446" s="45">
        <f t="shared" si="26"/>
        <v>2586.08205</v>
      </c>
      <c r="M446" s="45">
        <f t="shared" si="27"/>
        <v>0</v>
      </c>
    </row>
    <row r="447" spans="1:13" outlineLevel="2" x14ac:dyDescent="0.35">
      <c r="A447" s="42">
        <v>1813800110</v>
      </c>
      <c r="B447" s="42" t="str">
        <f>VLOOKUP(A447,'תקציב מפורט 2025'!A:O,2,FALSE)</f>
        <v>קיטנות אביב משכורת</v>
      </c>
      <c r="C447" s="42">
        <v>207968652</v>
      </c>
      <c r="D447" s="42" t="s">
        <v>442</v>
      </c>
      <c r="E447" s="42" t="s">
        <v>1827</v>
      </c>
      <c r="F447" s="42">
        <v>813800</v>
      </c>
      <c r="G447" s="48">
        <v>0</v>
      </c>
      <c r="H447" s="45">
        <v>1232.6600000000001</v>
      </c>
      <c r="I447" s="45">
        <f>SUMIFS('שכר 11.2024'!N:N,'שכר 11.2024'!C:C,C:C,'שכר 11.2024'!F:F,F:F)</f>
        <v>0</v>
      </c>
      <c r="J447" s="45">
        <f t="shared" si="24"/>
        <v>1232.6600000000001</v>
      </c>
      <c r="K447" s="61">
        <f t="shared" si="25"/>
        <v>1.0349999999999999</v>
      </c>
      <c r="L447" s="45">
        <f t="shared" si="26"/>
        <v>1275.8031000000001</v>
      </c>
      <c r="M447" s="45">
        <f t="shared" si="27"/>
        <v>0</v>
      </c>
    </row>
    <row r="448" spans="1:13" outlineLevel="2" x14ac:dyDescent="0.35">
      <c r="A448" s="42">
        <v>1813800110</v>
      </c>
      <c r="B448" s="42" t="str">
        <f>VLOOKUP(A448,'תקציב מפורט 2025'!A:O,2,FALSE)</f>
        <v>קיטנות אביב משכורת</v>
      </c>
      <c r="C448" s="42">
        <v>208639104</v>
      </c>
      <c r="D448" s="42" t="s">
        <v>948</v>
      </c>
      <c r="E448" s="42" t="s">
        <v>1852</v>
      </c>
      <c r="F448" s="42">
        <v>813800</v>
      </c>
      <c r="G448" s="48">
        <v>0</v>
      </c>
      <c r="H448" s="45">
        <v>1998.9</v>
      </c>
      <c r="I448" s="45">
        <f>SUMIFS('שכר 11.2024'!N:N,'שכר 11.2024'!C:C,C:C,'שכר 11.2024'!F:F,F:F)</f>
        <v>0</v>
      </c>
      <c r="J448" s="45">
        <f t="shared" si="24"/>
        <v>1998.9</v>
      </c>
      <c r="K448" s="61">
        <f t="shared" si="25"/>
        <v>1.0349999999999999</v>
      </c>
      <c r="L448" s="45">
        <f t="shared" si="26"/>
        <v>2068.8615</v>
      </c>
      <c r="M448" s="45">
        <f t="shared" si="27"/>
        <v>0</v>
      </c>
    </row>
    <row r="449" spans="1:13" outlineLevel="2" x14ac:dyDescent="0.35">
      <c r="A449" s="42">
        <v>1813800110</v>
      </c>
      <c r="B449" s="42" t="str">
        <f>VLOOKUP(A449,'תקציב מפורט 2025'!A:O,2,FALSE)</f>
        <v>קיטנות אביב משכורת</v>
      </c>
      <c r="C449" s="42">
        <v>208716647</v>
      </c>
      <c r="D449" s="42" t="s">
        <v>442</v>
      </c>
      <c r="E449" s="42" t="s">
        <v>897</v>
      </c>
      <c r="F449" s="42">
        <v>813800</v>
      </c>
      <c r="G449" s="48">
        <v>0</v>
      </c>
      <c r="H449" s="45">
        <v>2498.63</v>
      </c>
      <c r="I449" s="45">
        <f>SUMIFS('שכר 11.2024'!N:N,'שכר 11.2024'!C:C,C:C,'שכר 11.2024'!F:F,F:F)</f>
        <v>0</v>
      </c>
      <c r="J449" s="45">
        <f t="shared" si="24"/>
        <v>2498.63</v>
      </c>
      <c r="K449" s="61">
        <f t="shared" si="25"/>
        <v>1.0349999999999999</v>
      </c>
      <c r="L449" s="45">
        <f t="shared" si="26"/>
        <v>2586.08205</v>
      </c>
      <c r="M449" s="45">
        <f t="shared" si="27"/>
        <v>0</v>
      </c>
    </row>
    <row r="450" spans="1:13" outlineLevel="2" x14ac:dyDescent="0.35">
      <c r="A450" s="42">
        <v>1813800110</v>
      </c>
      <c r="B450" s="42" t="str">
        <f>VLOOKUP(A450,'תקציב מפורט 2025'!A:O,2,FALSE)</f>
        <v>קיטנות אביב משכורת</v>
      </c>
      <c r="C450" s="42">
        <v>209546902</v>
      </c>
      <c r="D450" s="42" t="s">
        <v>434</v>
      </c>
      <c r="E450" s="42" t="s">
        <v>542</v>
      </c>
      <c r="F450" s="42">
        <v>813800</v>
      </c>
      <c r="G450" s="48">
        <v>0</v>
      </c>
      <c r="H450" s="45">
        <v>1240.96</v>
      </c>
      <c r="I450" s="45">
        <f>SUMIFS('שכר 11.2024'!N:N,'שכר 11.2024'!C:C,C:C,'שכר 11.2024'!F:F,F:F)</f>
        <v>0</v>
      </c>
      <c r="J450" s="45">
        <f t="shared" si="24"/>
        <v>1240.96</v>
      </c>
      <c r="K450" s="61">
        <f t="shared" si="25"/>
        <v>1.0349999999999999</v>
      </c>
      <c r="L450" s="45">
        <f t="shared" si="26"/>
        <v>1284.3935999999999</v>
      </c>
      <c r="M450" s="45">
        <f t="shared" si="27"/>
        <v>0</v>
      </c>
    </row>
    <row r="451" spans="1:13" outlineLevel="2" x14ac:dyDescent="0.35">
      <c r="A451" s="42">
        <v>1813800110</v>
      </c>
      <c r="B451" s="42" t="str">
        <f>VLOOKUP(A451,'תקציב מפורט 2025'!A:O,2,FALSE)</f>
        <v>קיטנות אביב משכורת</v>
      </c>
      <c r="C451" s="42">
        <v>211320296</v>
      </c>
      <c r="D451" s="42" t="s">
        <v>515</v>
      </c>
      <c r="E451" s="42" t="s">
        <v>449</v>
      </c>
      <c r="F451" s="42">
        <v>813800</v>
      </c>
      <c r="G451" s="48">
        <v>0</v>
      </c>
      <c r="H451" s="45">
        <v>1232.68</v>
      </c>
      <c r="I451" s="45">
        <f>SUMIFS('שכר 11.2024'!N:N,'שכר 11.2024'!C:C,C:C,'שכר 11.2024'!F:F,F:F)</f>
        <v>0</v>
      </c>
      <c r="J451" s="45">
        <f t="shared" si="24"/>
        <v>1232.68</v>
      </c>
      <c r="K451" s="61">
        <f t="shared" si="25"/>
        <v>1.0349999999999999</v>
      </c>
      <c r="L451" s="45">
        <f t="shared" si="26"/>
        <v>1275.8237999999999</v>
      </c>
      <c r="M451" s="45">
        <f t="shared" si="27"/>
        <v>0</v>
      </c>
    </row>
    <row r="452" spans="1:13" outlineLevel="2" x14ac:dyDescent="0.35">
      <c r="A452" s="42">
        <v>1813800110</v>
      </c>
      <c r="B452" s="42" t="str">
        <f>VLOOKUP(A452,'תקציב מפורט 2025'!A:O,2,FALSE)</f>
        <v>קיטנות אביב משכורת</v>
      </c>
      <c r="C452" s="42">
        <v>211447255</v>
      </c>
      <c r="D452" s="42" t="s">
        <v>434</v>
      </c>
      <c r="E452" s="42" t="s">
        <v>1828</v>
      </c>
      <c r="F452" s="42">
        <v>813800</v>
      </c>
      <c r="G452" s="48">
        <v>0</v>
      </c>
      <c r="H452" s="45">
        <v>2498.64</v>
      </c>
      <c r="I452" s="45">
        <f>SUMIFS('שכר 11.2024'!N:N,'שכר 11.2024'!C:C,C:C,'שכר 11.2024'!F:F,F:F)</f>
        <v>0</v>
      </c>
      <c r="J452" s="45">
        <f t="shared" si="24"/>
        <v>2498.64</v>
      </c>
      <c r="K452" s="61">
        <f t="shared" si="25"/>
        <v>1.0349999999999999</v>
      </c>
      <c r="L452" s="45">
        <f t="shared" si="26"/>
        <v>2586.0923999999995</v>
      </c>
      <c r="M452" s="45">
        <f t="shared" si="27"/>
        <v>0</v>
      </c>
    </row>
    <row r="453" spans="1:13" outlineLevel="2" x14ac:dyDescent="0.35">
      <c r="A453" s="42">
        <v>1813800110</v>
      </c>
      <c r="B453" s="42" t="str">
        <f>VLOOKUP(A453,'תקציב מפורט 2025'!A:O,2,FALSE)</f>
        <v>קיטנות אביב משכורת</v>
      </c>
      <c r="C453" s="42">
        <v>213752660</v>
      </c>
      <c r="D453" s="42" t="s">
        <v>448</v>
      </c>
      <c r="E453" s="42" t="s">
        <v>1796</v>
      </c>
      <c r="F453" s="42">
        <v>813800</v>
      </c>
      <c r="G453" s="48">
        <v>0</v>
      </c>
      <c r="H453" s="45">
        <v>1232.6600000000001</v>
      </c>
      <c r="I453" s="45">
        <f>SUMIFS('שכר 11.2024'!N:N,'שכר 11.2024'!C:C,C:C,'שכר 11.2024'!F:F,F:F)</f>
        <v>0</v>
      </c>
      <c r="J453" s="45">
        <f t="shared" si="24"/>
        <v>1232.6600000000001</v>
      </c>
      <c r="K453" s="61">
        <f t="shared" si="25"/>
        <v>1.0349999999999999</v>
      </c>
      <c r="L453" s="45">
        <f t="shared" si="26"/>
        <v>1275.8031000000001</v>
      </c>
      <c r="M453" s="45">
        <f t="shared" si="27"/>
        <v>0</v>
      </c>
    </row>
    <row r="454" spans="1:13" outlineLevel="2" x14ac:dyDescent="0.35">
      <c r="A454" s="42">
        <v>1813800110</v>
      </c>
      <c r="B454" s="42" t="str">
        <f>VLOOKUP(A454,'תקציב מפורט 2025'!A:O,2,FALSE)</f>
        <v>קיטנות אביב משכורת</v>
      </c>
      <c r="C454" s="42">
        <v>214497927</v>
      </c>
      <c r="D454" s="42" t="s">
        <v>933</v>
      </c>
      <c r="E454" s="42" t="s">
        <v>1829</v>
      </c>
      <c r="F454" s="42">
        <v>813800</v>
      </c>
      <c r="G454" s="48">
        <v>0</v>
      </c>
      <c r="H454" s="45">
        <v>1665.75</v>
      </c>
      <c r="I454" s="45">
        <f>SUMIFS('שכר 11.2024'!N:N,'שכר 11.2024'!C:C,C:C,'שכר 11.2024'!F:F,F:F)</f>
        <v>0</v>
      </c>
      <c r="J454" s="45">
        <f t="shared" si="24"/>
        <v>1665.75</v>
      </c>
      <c r="K454" s="61">
        <f t="shared" si="25"/>
        <v>1.0349999999999999</v>
      </c>
      <c r="L454" s="45">
        <f t="shared" si="26"/>
        <v>1724.0512499999998</v>
      </c>
      <c r="M454" s="45">
        <f t="shared" si="27"/>
        <v>0</v>
      </c>
    </row>
    <row r="455" spans="1:13" outlineLevel="2" x14ac:dyDescent="0.35">
      <c r="A455" s="42">
        <v>1813800110</v>
      </c>
      <c r="B455" s="42" t="str">
        <f>VLOOKUP(A455,'תקציב מפורט 2025'!A:O,2,FALSE)</f>
        <v>קיטנות אביב משכורת</v>
      </c>
      <c r="C455" s="42">
        <v>214499949</v>
      </c>
      <c r="D455" s="42" t="s">
        <v>1720</v>
      </c>
      <c r="E455" s="42" t="s">
        <v>470</v>
      </c>
      <c r="F455" s="42">
        <v>813800</v>
      </c>
      <c r="G455" s="48">
        <v>0</v>
      </c>
      <c r="H455" s="45">
        <v>986.15</v>
      </c>
      <c r="I455" s="45">
        <f>SUMIFS('שכר 11.2024'!N:N,'שכר 11.2024'!C:C,C:C,'שכר 11.2024'!F:F,F:F)</f>
        <v>0</v>
      </c>
      <c r="J455" s="45">
        <f t="shared" si="24"/>
        <v>986.15</v>
      </c>
      <c r="K455" s="61">
        <f t="shared" si="25"/>
        <v>1.0349999999999999</v>
      </c>
      <c r="L455" s="45">
        <f t="shared" si="26"/>
        <v>1020.6652499999999</v>
      </c>
      <c r="M455" s="45">
        <f t="shared" si="27"/>
        <v>0</v>
      </c>
    </row>
    <row r="456" spans="1:13" outlineLevel="2" x14ac:dyDescent="0.35">
      <c r="A456" s="42">
        <v>1813800110</v>
      </c>
      <c r="B456" s="42" t="str">
        <f>VLOOKUP(A456,'תקציב מפורט 2025'!A:O,2,FALSE)</f>
        <v>קיטנות אביב משכורת</v>
      </c>
      <c r="C456" s="42">
        <v>215388323</v>
      </c>
      <c r="D456" s="42" t="s">
        <v>448</v>
      </c>
      <c r="E456" s="42" t="s">
        <v>1797</v>
      </c>
      <c r="F456" s="42">
        <v>813800</v>
      </c>
      <c r="G456" s="48">
        <v>0</v>
      </c>
      <c r="H456" s="45">
        <v>1232.67</v>
      </c>
      <c r="I456" s="45">
        <f>SUMIFS('שכר 11.2024'!N:N,'שכר 11.2024'!C:C,C:C,'שכר 11.2024'!F:F,F:F)</f>
        <v>0</v>
      </c>
      <c r="J456" s="45">
        <f t="shared" si="24"/>
        <v>1232.67</v>
      </c>
      <c r="K456" s="61">
        <f t="shared" si="25"/>
        <v>1.0349999999999999</v>
      </c>
      <c r="L456" s="45">
        <f t="shared" si="26"/>
        <v>1275.8134499999999</v>
      </c>
      <c r="M456" s="45">
        <f t="shared" si="27"/>
        <v>0</v>
      </c>
    </row>
    <row r="457" spans="1:13" outlineLevel="2" x14ac:dyDescent="0.35">
      <c r="A457" s="42">
        <v>1813800110</v>
      </c>
      <c r="B457" s="42" t="str">
        <f>VLOOKUP(A457,'תקציב מפורט 2025'!A:O,2,FALSE)</f>
        <v>קיטנות אביב משכורת</v>
      </c>
      <c r="C457" s="42">
        <v>300271640</v>
      </c>
      <c r="D457" s="42" t="s">
        <v>448</v>
      </c>
      <c r="E457" s="42" t="s">
        <v>827</v>
      </c>
      <c r="F457" s="42">
        <v>813800</v>
      </c>
      <c r="G457" s="48">
        <v>0</v>
      </c>
      <c r="H457" s="45">
        <v>2088.9</v>
      </c>
      <c r="I457" s="45">
        <f>SUMIFS('שכר 11.2024'!N:N,'שכר 11.2024'!C:C,C:C,'שכר 11.2024'!F:F,F:F)</f>
        <v>0</v>
      </c>
      <c r="J457" s="45">
        <f t="shared" si="24"/>
        <v>2088.9</v>
      </c>
      <c r="K457" s="61">
        <f t="shared" si="25"/>
        <v>1.0349999999999999</v>
      </c>
      <c r="L457" s="45">
        <f t="shared" si="26"/>
        <v>2162.0115000000001</v>
      </c>
      <c r="M457" s="45">
        <f t="shared" si="27"/>
        <v>0</v>
      </c>
    </row>
    <row r="458" spans="1:13" outlineLevel="2" x14ac:dyDescent="0.35">
      <c r="A458" s="42">
        <v>1813800110</v>
      </c>
      <c r="B458" s="42" t="str">
        <f>VLOOKUP(A458,'תקציב מפורט 2025'!A:O,2,FALSE)</f>
        <v>קיטנות אביב משכורת</v>
      </c>
      <c r="C458" s="42">
        <v>300837937</v>
      </c>
      <c r="D458" s="42" t="s">
        <v>574</v>
      </c>
      <c r="E458" s="42" t="s">
        <v>918</v>
      </c>
      <c r="F458" s="42">
        <v>813800</v>
      </c>
      <c r="G458" s="48">
        <v>0</v>
      </c>
      <c r="H458" s="45">
        <v>1998.9</v>
      </c>
      <c r="I458" s="45">
        <f>SUMIFS('שכר 11.2024'!N:N,'שכר 11.2024'!C:C,C:C,'שכר 11.2024'!F:F,F:F)</f>
        <v>0</v>
      </c>
      <c r="J458" s="45">
        <f t="shared" si="24"/>
        <v>1998.9</v>
      </c>
      <c r="K458" s="61">
        <f t="shared" si="25"/>
        <v>1.0349999999999999</v>
      </c>
      <c r="L458" s="45">
        <f t="shared" si="26"/>
        <v>2068.8615</v>
      </c>
      <c r="M458" s="45">
        <f t="shared" si="27"/>
        <v>0</v>
      </c>
    </row>
    <row r="459" spans="1:13" outlineLevel="2" x14ac:dyDescent="0.35">
      <c r="A459" s="42">
        <v>1813800110</v>
      </c>
      <c r="B459" s="42" t="str">
        <f>VLOOKUP(A459,'תקציב מפורט 2025'!A:O,2,FALSE)</f>
        <v>קיטנות אביב משכורת</v>
      </c>
      <c r="C459" s="42">
        <v>300838935</v>
      </c>
      <c r="D459" s="42" t="s">
        <v>434</v>
      </c>
      <c r="E459" s="42" t="s">
        <v>1722</v>
      </c>
      <c r="F459" s="42">
        <v>813800</v>
      </c>
      <c r="G459" s="48">
        <v>0</v>
      </c>
      <c r="H459" s="45">
        <v>1232.67</v>
      </c>
      <c r="I459" s="45">
        <f>SUMIFS('שכר 11.2024'!N:N,'שכר 11.2024'!C:C,C:C,'שכר 11.2024'!F:F,F:F)</f>
        <v>0</v>
      </c>
      <c r="J459" s="45">
        <f t="shared" si="24"/>
        <v>1232.67</v>
      </c>
      <c r="K459" s="61">
        <f t="shared" si="25"/>
        <v>1.0349999999999999</v>
      </c>
      <c r="L459" s="45">
        <f t="shared" si="26"/>
        <v>1275.8134499999999</v>
      </c>
      <c r="M459" s="45">
        <f t="shared" si="27"/>
        <v>0</v>
      </c>
    </row>
    <row r="460" spans="1:13" outlineLevel="2" x14ac:dyDescent="0.35">
      <c r="A460" s="42">
        <v>1813800110</v>
      </c>
      <c r="B460" s="42" t="str">
        <f>VLOOKUP(A460,'תקציב מפורט 2025'!A:O,2,FALSE)</f>
        <v>קיטנות אביב משכורת</v>
      </c>
      <c r="C460" s="42">
        <v>301407201</v>
      </c>
      <c r="D460" s="42" t="s">
        <v>434</v>
      </c>
      <c r="E460" s="42" t="s">
        <v>544</v>
      </c>
      <c r="F460" s="42">
        <v>813800</v>
      </c>
      <c r="G460" s="48">
        <v>0</v>
      </c>
      <c r="H460" s="45">
        <v>1232.68</v>
      </c>
      <c r="I460" s="45">
        <f>SUMIFS('שכר 11.2024'!N:N,'שכר 11.2024'!C:C,C:C,'שכר 11.2024'!F:F,F:F)</f>
        <v>0</v>
      </c>
      <c r="J460" s="45">
        <f t="shared" si="24"/>
        <v>1232.68</v>
      </c>
      <c r="K460" s="61">
        <f t="shared" si="25"/>
        <v>1.0349999999999999</v>
      </c>
      <c r="L460" s="45">
        <f t="shared" si="26"/>
        <v>1275.8237999999999</v>
      </c>
      <c r="M460" s="45">
        <f t="shared" si="27"/>
        <v>0</v>
      </c>
    </row>
    <row r="461" spans="1:13" outlineLevel="2" x14ac:dyDescent="0.35">
      <c r="A461" s="42">
        <v>1813800110</v>
      </c>
      <c r="B461" s="42" t="str">
        <f>VLOOKUP(A461,'תקציב מפורט 2025'!A:O,2,FALSE)</f>
        <v>קיטנות אביב משכורת</v>
      </c>
      <c r="C461" s="42">
        <v>301477782</v>
      </c>
      <c r="D461" s="42" t="s">
        <v>439</v>
      </c>
      <c r="E461" s="42" t="s">
        <v>828</v>
      </c>
      <c r="F461" s="42">
        <v>813800</v>
      </c>
      <c r="G461" s="48">
        <v>0</v>
      </c>
      <c r="H461" s="45">
        <v>1232.68</v>
      </c>
      <c r="I461" s="45">
        <f>SUMIFS('שכר 11.2024'!N:N,'שכר 11.2024'!C:C,C:C,'שכר 11.2024'!F:F,F:F)</f>
        <v>0</v>
      </c>
      <c r="J461" s="45">
        <f t="shared" si="24"/>
        <v>1232.68</v>
      </c>
      <c r="K461" s="61">
        <f t="shared" si="25"/>
        <v>1.0349999999999999</v>
      </c>
      <c r="L461" s="45">
        <f t="shared" si="26"/>
        <v>1275.8237999999999</v>
      </c>
      <c r="M461" s="45">
        <f t="shared" si="27"/>
        <v>0</v>
      </c>
    </row>
    <row r="462" spans="1:13" outlineLevel="2" x14ac:dyDescent="0.35">
      <c r="A462" s="42">
        <v>1813800110</v>
      </c>
      <c r="B462" s="42" t="str">
        <f>VLOOKUP(A462,'תקציב מפורט 2025'!A:O,2,FALSE)</f>
        <v>קיטנות אביב משכורת</v>
      </c>
      <c r="C462" s="42">
        <v>301586566</v>
      </c>
      <c r="D462" s="42" t="s">
        <v>495</v>
      </c>
      <c r="E462" s="42" t="s">
        <v>558</v>
      </c>
      <c r="F462" s="42">
        <v>813800</v>
      </c>
      <c r="G462" s="48">
        <v>0</v>
      </c>
      <c r="H462" s="45">
        <v>2802.37</v>
      </c>
      <c r="I462" s="45">
        <f>SUMIFS('שכר 11.2024'!N:N,'שכר 11.2024'!C:C,C:C,'שכר 11.2024'!F:F,F:F)</f>
        <v>0</v>
      </c>
      <c r="J462" s="45">
        <f t="shared" si="24"/>
        <v>2802.37</v>
      </c>
      <c r="K462" s="61">
        <f t="shared" si="25"/>
        <v>1.0349999999999999</v>
      </c>
      <c r="L462" s="45">
        <f t="shared" si="26"/>
        <v>2900.4529499999999</v>
      </c>
      <c r="M462" s="45">
        <f t="shared" si="27"/>
        <v>0</v>
      </c>
    </row>
    <row r="463" spans="1:13" outlineLevel="2" x14ac:dyDescent="0.35">
      <c r="A463" s="42">
        <v>1813800110</v>
      </c>
      <c r="B463" s="42" t="str">
        <f>VLOOKUP(A463,'תקציב מפורט 2025'!A:O,2,FALSE)</f>
        <v>קיטנות אביב משכורת</v>
      </c>
      <c r="C463" s="42">
        <v>301595583</v>
      </c>
      <c r="D463" s="42" t="s">
        <v>434</v>
      </c>
      <c r="E463" s="42" t="s">
        <v>919</v>
      </c>
      <c r="F463" s="42">
        <v>813800</v>
      </c>
      <c r="G463" s="48">
        <v>97</v>
      </c>
      <c r="H463" s="45">
        <v>0</v>
      </c>
      <c r="I463" s="45">
        <f>SUMIFS('שכר 11.2024'!N:N,'שכר 11.2024'!C:C,C:C,'שכר 11.2024'!F:F,F:F)</f>
        <v>0</v>
      </c>
      <c r="J463" s="45">
        <f t="shared" si="24"/>
        <v>0</v>
      </c>
      <c r="K463" s="61">
        <f t="shared" si="25"/>
        <v>1.0349999999999999</v>
      </c>
      <c r="L463" s="45">
        <f t="shared" si="26"/>
        <v>0</v>
      </c>
      <c r="M463" s="45">
        <f t="shared" si="27"/>
        <v>8.8181818181818181E-2</v>
      </c>
    </row>
    <row r="464" spans="1:13" outlineLevel="2" x14ac:dyDescent="0.35">
      <c r="A464" s="42">
        <v>1813800110</v>
      </c>
      <c r="B464" s="42" t="str">
        <f>VLOOKUP(A464,'תקציב מפורט 2025'!A:O,2,FALSE)</f>
        <v>קיטנות אביב משכורת</v>
      </c>
      <c r="C464" s="42">
        <v>301915906</v>
      </c>
      <c r="D464" s="42" t="s">
        <v>837</v>
      </c>
      <c r="E464" s="42" t="s">
        <v>477</v>
      </c>
      <c r="F464" s="42">
        <v>813800</v>
      </c>
      <c r="G464" s="48">
        <v>0</v>
      </c>
      <c r="H464" s="45">
        <v>1232.6500000000001</v>
      </c>
      <c r="I464" s="45">
        <f>SUMIFS('שכר 11.2024'!N:N,'שכר 11.2024'!C:C,C:C,'שכר 11.2024'!F:F,F:F)</f>
        <v>0</v>
      </c>
      <c r="J464" s="45">
        <f t="shared" si="24"/>
        <v>1232.6500000000001</v>
      </c>
      <c r="K464" s="61">
        <f t="shared" si="25"/>
        <v>1.0349999999999999</v>
      </c>
      <c r="L464" s="45">
        <f t="shared" si="26"/>
        <v>1275.7927500000001</v>
      </c>
      <c r="M464" s="45">
        <f t="shared" si="27"/>
        <v>0</v>
      </c>
    </row>
    <row r="465" spans="1:13" outlineLevel="2" x14ac:dyDescent="0.35">
      <c r="A465" s="42">
        <v>1813800110</v>
      </c>
      <c r="B465" s="42" t="str">
        <f>VLOOKUP(A465,'תקציב מפורט 2025'!A:O,2,FALSE)</f>
        <v>קיטנות אביב משכורת</v>
      </c>
      <c r="C465" s="42">
        <v>302649058</v>
      </c>
      <c r="D465" s="42" t="s">
        <v>964</v>
      </c>
      <c r="E465" s="42" t="s">
        <v>965</v>
      </c>
      <c r="F465" s="42">
        <v>813800</v>
      </c>
      <c r="G465" s="48">
        <v>0</v>
      </c>
      <c r="H465" s="45">
        <v>1341.49</v>
      </c>
      <c r="I465" s="45">
        <f>SUMIFS('שכר 11.2024'!N:N,'שכר 11.2024'!C:C,C:C,'שכר 11.2024'!F:F,F:F)</f>
        <v>0</v>
      </c>
      <c r="J465" s="45">
        <f t="shared" si="24"/>
        <v>1341.49</v>
      </c>
      <c r="K465" s="61">
        <f t="shared" si="25"/>
        <v>1.0349999999999999</v>
      </c>
      <c r="L465" s="45">
        <f t="shared" si="26"/>
        <v>1388.4421499999999</v>
      </c>
      <c r="M465" s="45">
        <f t="shared" si="27"/>
        <v>0</v>
      </c>
    </row>
    <row r="466" spans="1:13" outlineLevel="2" x14ac:dyDescent="0.35">
      <c r="A466" s="42">
        <v>1813800110</v>
      </c>
      <c r="B466" s="42" t="str">
        <f>VLOOKUP(A466,'תקציב מפורט 2025'!A:O,2,FALSE)</f>
        <v>קיטנות אביב משכורת</v>
      </c>
      <c r="C466" s="42">
        <v>303168660</v>
      </c>
      <c r="D466" s="42" t="s">
        <v>434</v>
      </c>
      <c r="E466" s="42" t="s">
        <v>966</v>
      </c>
      <c r="F466" s="42">
        <v>813800</v>
      </c>
      <c r="G466" s="48">
        <v>0</v>
      </c>
      <c r="H466" s="45">
        <v>2915.05</v>
      </c>
      <c r="I466" s="45">
        <f>SUMIFS('שכר 11.2024'!N:N,'שכר 11.2024'!C:C,C:C,'שכר 11.2024'!F:F,F:F)</f>
        <v>0</v>
      </c>
      <c r="J466" s="45">
        <f t="shared" si="24"/>
        <v>2915.05</v>
      </c>
      <c r="K466" s="61">
        <f t="shared" si="25"/>
        <v>1.0349999999999999</v>
      </c>
      <c r="L466" s="45">
        <f t="shared" si="26"/>
        <v>3017.0767500000002</v>
      </c>
      <c r="M466" s="45">
        <f t="shared" si="27"/>
        <v>0</v>
      </c>
    </row>
    <row r="467" spans="1:13" outlineLevel="2" x14ac:dyDescent="0.35">
      <c r="A467" s="42">
        <v>1813800110</v>
      </c>
      <c r="B467" s="42" t="str">
        <f>VLOOKUP(A467,'תקציב מפורט 2025'!A:O,2,FALSE)</f>
        <v>קיטנות אביב משכורת</v>
      </c>
      <c r="C467" s="42">
        <v>305254989</v>
      </c>
      <c r="D467" s="42" t="s">
        <v>448</v>
      </c>
      <c r="E467" s="42" t="s">
        <v>829</v>
      </c>
      <c r="F467" s="42">
        <v>813800</v>
      </c>
      <c r="G467" s="48">
        <v>0</v>
      </c>
      <c r="H467" s="45">
        <v>1232.69</v>
      </c>
      <c r="I467" s="45">
        <f>SUMIFS('שכר 11.2024'!N:N,'שכר 11.2024'!C:C,C:C,'שכר 11.2024'!F:F,F:F)</f>
        <v>0</v>
      </c>
      <c r="J467" s="45">
        <f t="shared" si="24"/>
        <v>1232.69</v>
      </c>
      <c r="K467" s="61">
        <f t="shared" si="25"/>
        <v>1.0349999999999999</v>
      </c>
      <c r="L467" s="45">
        <f t="shared" si="26"/>
        <v>1275.8341499999999</v>
      </c>
      <c r="M467" s="45">
        <f t="shared" si="27"/>
        <v>0</v>
      </c>
    </row>
    <row r="468" spans="1:13" outlineLevel="2" x14ac:dyDescent="0.35">
      <c r="A468" s="42">
        <v>1813800110</v>
      </c>
      <c r="B468" s="42" t="str">
        <f>VLOOKUP(A468,'תקציב מפורט 2025'!A:O,2,FALSE)</f>
        <v>קיטנות אביב משכורת</v>
      </c>
      <c r="C468" s="42">
        <v>305255341</v>
      </c>
      <c r="D468" s="42" t="s">
        <v>486</v>
      </c>
      <c r="E468" s="42" t="s">
        <v>841</v>
      </c>
      <c r="F468" s="42">
        <v>813800</v>
      </c>
      <c r="G468" s="48">
        <v>0</v>
      </c>
      <c r="H468" s="45">
        <v>1245.5899999999999</v>
      </c>
      <c r="I468" s="45">
        <f>SUMIFS('שכר 11.2024'!N:N,'שכר 11.2024'!C:C,C:C,'שכר 11.2024'!F:F,F:F)</f>
        <v>0</v>
      </c>
      <c r="J468" s="45">
        <f t="shared" si="24"/>
        <v>1245.5899999999999</v>
      </c>
      <c r="K468" s="61">
        <f t="shared" si="25"/>
        <v>1.0349999999999999</v>
      </c>
      <c r="L468" s="45">
        <f t="shared" si="26"/>
        <v>1289.1856499999999</v>
      </c>
      <c r="M468" s="45">
        <f t="shared" si="27"/>
        <v>0</v>
      </c>
    </row>
    <row r="469" spans="1:13" outlineLevel="2" x14ac:dyDescent="0.35">
      <c r="A469" s="42">
        <v>1813800110</v>
      </c>
      <c r="B469" s="42" t="str">
        <f>VLOOKUP(A469,'תקציב מפורט 2025'!A:O,2,FALSE)</f>
        <v>קיטנות אביב משכורת</v>
      </c>
      <c r="C469" s="42">
        <v>305302903</v>
      </c>
      <c r="D469" s="42" t="s">
        <v>434</v>
      </c>
      <c r="E469" s="42" t="s">
        <v>897</v>
      </c>
      <c r="F469" s="42">
        <v>813800</v>
      </c>
      <c r="G469" s="48">
        <v>0</v>
      </c>
      <c r="H469" s="45">
        <v>3102.12</v>
      </c>
      <c r="I469" s="45">
        <f>SUMIFS('שכר 11.2024'!N:N,'שכר 11.2024'!C:C,C:C,'שכר 11.2024'!F:F,F:F)</f>
        <v>0</v>
      </c>
      <c r="J469" s="45">
        <f t="shared" si="24"/>
        <v>3102.12</v>
      </c>
      <c r="K469" s="61">
        <f t="shared" si="25"/>
        <v>1.0349999999999999</v>
      </c>
      <c r="L469" s="45">
        <f t="shared" si="26"/>
        <v>3210.6941999999995</v>
      </c>
      <c r="M469" s="45">
        <f t="shared" si="27"/>
        <v>0</v>
      </c>
    </row>
    <row r="470" spans="1:13" outlineLevel="2" x14ac:dyDescent="0.35">
      <c r="A470" s="42">
        <v>1813800110</v>
      </c>
      <c r="B470" s="42" t="str">
        <f>VLOOKUP(A470,'תקציב מפורט 2025'!A:O,2,FALSE)</f>
        <v>קיטנות אביב משכורת</v>
      </c>
      <c r="C470" s="42">
        <v>307957928</v>
      </c>
      <c r="D470" s="42" t="s">
        <v>1838</v>
      </c>
      <c r="E470" s="42" t="s">
        <v>1839</v>
      </c>
      <c r="F470" s="42">
        <v>813800</v>
      </c>
      <c r="G470" s="48">
        <v>0</v>
      </c>
      <c r="H470" s="45">
        <v>2498.65</v>
      </c>
      <c r="I470" s="45">
        <f>SUMIFS('שכר 11.2024'!N:N,'שכר 11.2024'!C:C,C:C,'שכר 11.2024'!F:F,F:F)</f>
        <v>0</v>
      </c>
      <c r="J470" s="45">
        <f t="shared" si="24"/>
        <v>2498.65</v>
      </c>
      <c r="K470" s="61">
        <f t="shared" si="25"/>
        <v>1.0349999999999999</v>
      </c>
      <c r="L470" s="45">
        <f t="shared" si="26"/>
        <v>2586.10275</v>
      </c>
      <c r="M470" s="45">
        <f t="shared" si="27"/>
        <v>0</v>
      </c>
    </row>
    <row r="471" spans="1:13" outlineLevel="2" x14ac:dyDescent="0.35">
      <c r="A471" s="42">
        <v>1813800110</v>
      </c>
      <c r="B471" s="42" t="str">
        <f>VLOOKUP(A471,'תקציב מפורט 2025'!A:O,2,FALSE)</f>
        <v>קיטנות אביב משכורת</v>
      </c>
      <c r="C471" s="42">
        <v>308351121</v>
      </c>
      <c r="D471" s="42" t="s">
        <v>442</v>
      </c>
      <c r="E471" s="42" t="s">
        <v>1726</v>
      </c>
      <c r="F471" s="42">
        <v>813800</v>
      </c>
      <c r="G471" s="48">
        <v>0</v>
      </c>
      <c r="H471" s="45">
        <v>1665.75</v>
      </c>
      <c r="I471" s="45">
        <f>SUMIFS('שכר 11.2024'!N:N,'שכר 11.2024'!C:C,C:C,'שכר 11.2024'!F:F,F:F)</f>
        <v>0</v>
      </c>
      <c r="J471" s="45">
        <f t="shared" si="24"/>
        <v>1665.75</v>
      </c>
      <c r="K471" s="61">
        <f t="shared" si="25"/>
        <v>1.0349999999999999</v>
      </c>
      <c r="L471" s="45">
        <f t="shared" si="26"/>
        <v>1724.0512499999998</v>
      </c>
      <c r="M471" s="45">
        <f t="shared" si="27"/>
        <v>0</v>
      </c>
    </row>
    <row r="472" spans="1:13" outlineLevel="2" x14ac:dyDescent="0.35">
      <c r="A472" s="42">
        <v>1813800110</v>
      </c>
      <c r="B472" s="42" t="str">
        <f>VLOOKUP(A472,'תקציב מפורט 2025'!A:O,2,FALSE)</f>
        <v>קיטנות אביב משכורת</v>
      </c>
      <c r="C472" s="42">
        <v>308351204</v>
      </c>
      <c r="D472" s="42" t="s">
        <v>442</v>
      </c>
      <c r="E472" s="42" t="s">
        <v>480</v>
      </c>
      <c r="F472" s="42">
        <v>813800</v>
      </c>
      <c r="G472" s="48">
        <v>0</v>
      </c>
      <c r="H472" s="45">
        <v>1232.67</v>
      </c>
      <c r="I472" s="45">
        <f>SUMIFS('שכר 11.2024'!N:N,'שכר 11.2024'!C:C,C:C,'שכר 11.2024'!F:F,F:F)</f>
        <v>0</v>
      </c>
      <c r="J472" s="45">
        <f t="shared" si="24"/>
        <v>1232.67</v>
      </c>
      <c r="K472" s="61">
        <f t="shared" si="25"/>
        <v>1.0349999999999999</v>
      </c>
      <c r="L472" s="45">
        <f t="shared" si="26"/>
        <v>1275.8134499999999</v>
      </c>
      <c r="M472" s="45">
        <f t="shared" si="27"/>
        <v>0</v>
      </c>
    </row>
    <row r="473" spans="1:13" outlineLevel="2" x14ac:dyDescent="0.35">
      <c r="A473" s="42">
        <v>1813800110</v>
      </c>
      <c r="B473" s="42" t="str">
        <f>VLOOKUP(A473,'תקציב מפורט 2025'!A:O,2,FALSE)</f>
        <v>קיטנות אביב משכורת</v>
      </c>
      <c r="C473" s="42">
        <v>311540066</v>
      </c>
      <c r="D473" s="42" t="s">
        <v>857</v>
      </c>
      <c r="E473" s="42" t="s">
        <v>1819</v>
      </c>
      <c r="F473" s="42">
        <v>813800</v>
      </c>
      <c r="G473" s="48">
        <v>0</v>
      </c>
      <c r="H473" s="45">
        <v>2498.64</v>
      </c>
      <c r="I473" s="45">
        <f>SUMIFS('שכר 11.2024'!N:N,'שכר 11.2024'!C:C,C:C,'שכר 11.2024'!F:F,F:F)</f>
        <v>0</v>
      </c>
      <c r="J473" s="45">
        <f t="shared" si="24"/>
        <v>2498.64</v>
      </c>
      <c r="K473" s="61">
        <f t="shared" si="25"/>
        <v>1.0349999999999999</v>
      </c>
      <c r="L473" s="45">
        <f t="shared" si="26"/>
        <v>2586.0923999999995</v>
      </c>
      <c r="M473" s="45">
        <f t="shared" si="27"/>
        <v>0</v>
      </c>
    </row>
    <row r="474" spans="1:13" outlineLevel="2" x14ac:dyDescent="0.35">
      <c r="A474" s="42">
        <v>1813800110</v>
      </c>
      <c r="B474" s="42" t="str">
        <f>VLOOKUP(A474,'תקציב מפורט 2025'!A:O,2,FALSE)</f>
        <v>קיטנות אביב משכורת</v>
      </c>
      <c r="C474" s="42">
        <v>312428485</v>
      </c>
      <c r="D474" s="42" t="s">
        <v>434</v>
      </c>
      <c r="E474" s="42" t="s">
        <v>1798</v>
      </c>
      <c r="F474" s="42">
        <v>813800</v>
      </c>
      <c r="G474" s="48">
        <v>0</v>
      </c>
      <c r="H474" s="45">
        <v>1232.67</v>
      </c>
      <c r="I474" s="45">
        <f>SUMIFS('שכר 11.2024'!N:N,'שכר 11.2024'!C:C,C:C,'שכר 11.2024'!F:F,F:F)</f>
        <v>0</v>
      </c>
      <c r="J474" s="45">
        <f t="shared" si="24"/>
        <v>1232.67</v>
      </c>
      <c r="K474" s="61">
        <f t="shared" si="25"/>
        <v>1.0349999999999999</v>
      </c>
      <c r="L474" s="45">
        <f t="shared" si="26"/>
        <v>1275.8134499999999</v>
      </c>
      <c r="M474" s="45">
        <f t="shared" si="27"/>
        <v>0</v>
      </c>
    </row>
    <row r="475" spans="1:13" outlineLevel="2" x14ac:dyDescent="0.35">
      <c r="A475" s="42">
        <v>1813800110</v>
      </c>
      <c r="B475" s="42" t="str">
        <f>VLOOKUP(A475,'תקציב מפורט 2025'!A:O,2,FALSE)</f>
        <v>קיטנות אביב משכורת</v>
      </c>
      <c r="C475" s="42">
        <v>314057803</v>
      </c>
      <c r="D475" s="42" t="s">
        <v>921</v>
      </c>
      <c r="E475" s="42" t="s">
        <v>438</v>
      </c>
      <c r="F475" s="42">
        <v>813800</v>
      </c>
      <c r="G475" s="48">
        <v>0</v>
      </c>
      <c r="H475" s="45">
        <v>1998.9</v>
      </c>
      <c r="I475" s="45">
        <f>SUMIFS('שכר 11.2024'!N:N,'שכר 11.2024'!C:C,C:C,'שכר 11.2024'!F:F,F:F)</f>
        <v>0</v>
      </c>
      <c r="J475" s="45">
        <f t="shared" si="24"/>
        <v>1998.9</v>
      </c>
      <c r="K475" s="61">
        <f t="shared" si="25"/>
        <v>1.0349999999999999</v>
      </c>
      <c r="L475" s="45">
        <f t="shared" si="26"/>
        <v>2068.8615</v>
      </c>
      <c r="M475" s="45">
        <f t="shared" si="27"/>
        <v>0</v>
      </c>
    </row>
    <row r="476" spans="1:13" outlineLevel="2" x14ac:dyDescent="0.35">
      <c r="A476" s="42">
        <v>1813800110</v>
      </c>
      <c r="B476" s="42" t="str">
        <f>VLOOKUP(A476,'תקציב מפורט 2025'!A:O,2,FALSE)</f>
        <v>קיטנות אביב משכורת</v>
      </c>
      <c r="C476" s="42">
        <v>314642828</v>
      </c>
      <c r="D476" s="42" t="s">
        <v>434</v>
      </c>
      <c r="E476" s="42" t="s">
        <v>1728</v>
      </c>
      <c r="F476" s="42">
        <v>813800</v>
      </c>
      <c r="G476" s="48">
        <v>0</v>
      </c>
      <c r="H476" s="45">
        <v>1665.77</v>
      </c>
      <c r="I476" s="45">
        <f>SUMIFS('שכר 11.2024'!N:N,'שכר 11.2024'!C:C,C:C,'שכר 11.2024'!F:F,F:F)</f>
        <v>0</v>
      </c>
      <c r="J476" s="45">
        <f t="shared" si="24"/>
        <v>1665.77</v>
      </c>
      <c r="K476" s="61">
        <f t="shared" si="25"/>
        <v>1.0349999999999999</v>
      </c>
      <c r="L476" s="45">
        <f t="shared" si="26"/>
        <v>1724.0719499999998</v>
      </c>
      <c r="M476" s="45">
        <f t="shared" si="27"/>
        <v>0</v>
      </c>
    </row>
    <row r="477" spans="1:13" outlineLevel="2" x14ac:dyDescent="0.35">
      <c r="A477" s="42">
        <v>1813800110</v>
      </c>
      <c r="B477" s="42" t="str">
        <f>VLOOKUP(A477,'תקציב מפורט 2025'!A:O,2,FALSE)</f>
        <v>קיטנות אביב משכורת</v>
      </c>
      <c r="C477" s="42">
        <v>315051284</v>
      </c>
      <c r="D477" s="42" t="s">
        <v>442</v>
      </c>
      <c r="E477" s="42" t="s">
        <v>1853</v>
      </c>
      <c r="F477" s="42">
        <v>813800</v>
      </c>
      <c r="G477" s="48">
        <v>0</v>
      </c>
      <c r="H477" s="45">
        <v>1665.75</v>
      </c>
      <c r="I477" s="45">
        <f>SUMIFS('שכר 11.2024'!N:N,'שכר 11.2024'!C:C,C:C,'שכר 11.2024'!F:F,F:F)</f>
        <v>0</v>
      </c>
      <c r="J477" s="45">
        <f t="shared" si="24"/>
        <v>1665.75</v>
      </c>
      <c r="K477" s="61">
        <f t="shared" si="25"/>
        <v>1.0349999999999999</v>
      </c>
      <c r="L477" s="45">
        <f t="shared" si="26"/>
        <v>1724.0512499999998</v>
      </c>
      <c r="M477" s="45">
        <f t="shared" si="27"/>
        <v>0</v>
      </c>
    </row>
    <row r="478" spans="1:13" outlineLevel="2" x14ac:dyDescent="0.35">
      <c r="A478" s="42">
        <v>1813800110</v>
      </c>
      <c r="B478" s="42" t="str">
        <f>VLOOKUP(A478,'תקציב מפורט 2025'!A:O,2,FALSE)</f>
        <v>קיטנות אביב משכורת</v>
      </c>
      <c r="C478" s="42">
        <v>315227736</v>
      </c>
      <c r="D478" s="42" t="s">
        <v>442</v>
      </c>
      <c r="E478" s="42" t="s">
        <v>922</v>
      </c>
      <c r="F478" s="42">
        <v>813800</v>
      </c>
      <c r="G478" s="48">
        <v>0</v>
      </c>
      <c r="H478" s="45">
        <v>1232.6400000000001</v>
      </c>
      <c r="I478" s="45">
        <f>SUMIFS('שכר 11.2024'!N:N,'שכר 11.2024'!C:C,C:C,'שכר 11.2024'!F:F,F:F)</f>
        <v>0</v>
      </c>
      <c r="J478" s="45">
        <f t="shared" si="24"/>
        <v>1232.6400000000001</v>
      </c>
      <c r="K478" s="61">
        <f t="shared" si="25"/>
        <v>1.0349999999999999</v>
      </c>
      <c r="L478" s="45">
        <f t="shared" si="26"/>
        <v>1275.7824000000001</v>
      </c>
      <c r="M478" s="45">
        <f t="shared" si="27"/>
        <v>0</v>
      </c>
    </row>
    <row r="479" spans="1:13" outlineLevel="2" x14ac:dyDescent="0.35">
      <c r="A479" s="42">
        <v>1813800110</v>
      </c>
      <c r="B479" s="42" t="str">
        <f>VLOOKUP(A479,'תקציב מפורט 2025'!A:O,2,FALSE)</f>
        <v>קיטנות אביב משכורת</v>
      </c>
      <c r="C479" s="42">
        <v>315252098</v>
      </c>
      <c r="D479" s="42" t="s">
        <v>448</v>
      </c>
      <c r="E479" s="42" t="s">
        <v>441</v>
      </c>
      <c r="F479" s="42">
        <v>813800</v>
      </c>
      <c r="G479" s="48">
        <v>0</v>
      </c>
      <c r="H479" s="45">
        <v>1665.75</v>
      </c>
      <c r="I479" s="45">
        <f>SUMIFS('שכר 11.2024'!N:N,'שכר 11.2024'!C:C,C:C,'שכר 11.2024'!F:F,F:F)</f>
        <v>0</v>
      </c>
      <c r="J479" s="45">
        <f t="shared" si="24"/>
        <v>1665.75</v>
      </c>
      <c r="K479" s="61">
        <f t="shared" si="25"/>
        <v>1.0349999999999999</v>
      </c>
      <c r="L479" s="45">
        <f t="shared" si="26"/>
        <v>1724.0512499999998</v>
      </c>
      <c r="M479" s="45">
        <f t="shared" si="27"/>
        <v>0</v>
      </c>
    </row>
    <row r="480" spans="1:13" outlineLevel="2" x14ac:dyDescent="0.35">
      <c r="A480" s="42">
        <v>1813800110</v>
      </c>
      <c r="B480" s="42" t="str">
        <f>VLOOKUP(A480,'תקציב מפורט 2025'!A:O,2,FALSE)</f>
        <v>קיטנות אביב משכורת</v>
      </c>
      <c r="C480" s="42">
        <v>315914226</v>
      </c>
      <c r="D480" s="42" t="s">
        <v>516</v>
      </c>
      <c r="E480" s="42" t="s">
        <v>1840</v>
      </c>
      <c r="F480" s="42">
        <v>813800</v>
      </c>
      <c r="G480" s="48">
        <v>0</v>
      </c>
      <c r="H480" s="45">
        <v>2498.65</v>
      </c>
      <c r="I480" s="45">
        <f>SUMIFS('שכר 11.2024'!N:N,'שכר 11.2024'!C:C,C:C,'שכר 11.2024'!F:F,F:F)</f>
        <v>0</v>
      </c>
      <c r="J480" s="45">
        <f t="shared" si="24"/>
        <v>2498.65</v>
      </c>
      <c r="K480" s="61">
        <f t="shared" si="25"/>
        <v>1.0349999999999999</v>
      </c>
      <c r="L480" s="45">
        <f t="shared" si="26"/>
        <v>2586.10275</v>
      </c>
      <c r="M480" s="45">
        <f t="shared" si="27"/>
        <v>0</v>
      </c>
    </row>
    <row r="481" spans="1:13" outlineLevel="2" x14ac:dyDescent="0.35">
      <c r="A481" s="42">
        <v>1813800110</v>
      </c>
      <c r="B481" s="42" t="str">
        <f>VLOOKUP(A481,'תקציב מפורט 2025'!A:O,2,FALSE)</f>
        <v>קיטנות אביב משכורת</v>
      </c>
      <c r="C481" s="42">
        <v>316170729</v>
      </c>
      <c r="D481" s="42" t="s">
        <v>434</v>
      </c>
      <c r="E481" s="42" t="s">
        <v>842</v>
      </c>
      <c r="F481" s="42">
        <v>813800</v>
      </c>
      <c r="G481" s="48">
        <v>0</v>
      </c>
      <c r="H481" s="45">
        <v>1249.21</v>
      </c>
      <c r="I481" s="45">
        <f>SUMIFS('שכר 11.2024'!N:N,'שכר 11.2024'!C:C,C:C,'שכר 11.2024'!F:F,F:F)</f>
        <v>0</v>
      </c>
      <c r="J481" s="45">
        <f t="shared" si="24"/>
        <v>1249.21</v>
      </c>
      <c r="K481" s="61">
        <f t="shared" si="25"/>
        <v>1.0349999999999999</v>
      </c>
      <c r="L481" s="45">
        <f t="shared" si="26"/>
        <v>1292.93235</v>
      </c>
      <c r="M481" s="45">
        <f t="shared" si="27"/>
        <v>0</v>
      </c>
    </row>
    <row r="482" spans="1:13" outlineLevel="2" x14ac:dyDescent="0.35">
      <c r="A482" s="42">
        <v>1813800110</v>
      </c>
      <c r="B482" s="42" t="str">
        <f>VLOOKUP(A482,'תקציב מפורט 2025'!A:O,2,FALSE)</f>
        <v>קיטנות אביב משכורת</v>
      </c>
      <c r="C482" s="42">
        <v>316173244</v>
      </c>
      <c r="D482" s="42" t="s">
        <v>490</v>
      </c>
      <c r="E482" s="42" t="s">
        <v>934</v>
      </c>
      <c r="F482" s="42">
        <v>813800</v>
      </c>
      <c r="G482" s="48">
        <v>16.8</v>
      </c>
      <c r="H482" s="45">
        <v>0.01</v>
      </c>
      <c r="I482" s="45">
        <f>SUMIFS('שכר 11.2024'!N:N,'שכר 11.2024'!C:C,C:C,'שכר 11.2024'!F:F,F:F)</f>
        <v>0</v>
      </c>
      <c r="J482" s="45">
        <f t="shared" si="24"/>
        <v>0.01</v>
      </c>
      <c r="K482" s="61">
        <f t="shared" si="25"/>
        <v>1.0349999999999999</v>
      </c>
      <c r="L482" s="45">
        <f t="shared" si="26"/>
        <v>1.035E-2</v>
      </c>
      <c r="M482" s="45">
        <f t="shared" si="27"/>
        <v>1.5272727272727273E-2</v>
      </c>
    </row>
    <row r="483" spans="1:13" outlineLevel="2" x14ac:dyDescent="0.35">
      <c r="A483" s="42">
        <v>1813800110</v>
      </c>
      <c r="B483" s="42" t="str">
        <f>VLOOKUP(A483,'תקציב מפורט 2025'!A:O,2,FALSE)</f>
        <v>קיטנות אביב משכורת</v>
      </c>
      <c r="C483" s="42">
        <v>316458348</v>
      </c>
      <c r="D483" s="42" t="s">
        <v>434</v>
      </c>
      <c r="E483" s="42" t="s">
        <v>830</v>
      </c>
      <c r="F483" s="42">
        <v>813800</v>
      </c>
      <c r="G483" s="48">
        <v>0</v>
      </c>
      <c r="H483" s="45">
        <v>1301.27</v>
      </c>
      <c r="I483" s="45">
        <f>SUMIFS('שכר 11.2024'!N:N,'שכר 11.2024'!C:C,C:C,'שכר 11.2024'!F:F,F:F)</f>
        <v>0</v>
      </c>
      <c r="J483" s="45">
        <f t="shared" si="24"/>
        <v>1301.27</v>
      </c>
      <c r="K483" s="61">
        <f t="shared" si="25"/>
        <v>1.0349999999999999</v>
      </c>
      <c r="L483" s="45">
        <f t="shared" si="26"/>
        <v>1346.8144499999999</v>
      </c>
      <c r="M483" s="45">
        <f t="shared" si="27"/>
        <v>0</v>
      </c>
    </row>
    <row r="484" spans="1:13" outlineLevel="2" x14ac:dyDescent="0.35">
      <c r="A484" s="42">
        <v>1813800110</v>
      </c>
      <c r="B484" s="42" t="str">
        <f>VLOOKUP(A484,'תקציב מפורט 2025'!A:O,2,FALSE)</f>
        <v>קיטנות אביב משכורת</v>
      </c>
      <c r="C484" s="42">
        <v>316545250</v>
      </c>
      <c r="D484" s="42" t="s">
        <v>516</v>
      </c>
      <c r="E484" s="42" t="s">
        <v>1854</v>
      </c>
      <c r="F484" s="42">
        <v>813800</v>
      </c>
      <c r="G484" s="48">
        <v>0</v>
      </c>
      <c r="H484" s="45">
        <v>2498.63</v>
      </c>
      <c r="I484" s="45">
        <f>SUMIFS('שכר 11.2024'!N:N,'שכר 11.2024'!C:C,C:C,'שכר 11.2024'!F:F,F:F)</f>
        <v>0</v>
      </c>
      <c r="J484" s="45">
        <f t="shared" si="24"/>
        <v>2498.63</v>
      </c>
      <c r="K484" s="61">
        <f t="shared" si="25"/>
        <v>1.0349999999999999</v>
      </c>
      <c r="L484" s="45">
        <f t="shared" si="26"/>
        <v>2586.08205</v>
      </c>
      <c r="M484" s="45">
        <f t="shared" si="27"/>
        <v>0</v>
      </c>
    </row>
    <row r="485" spans="1:13" outlineLevel="2" x14ac:dyDescent="0.35">
      <c r="A485" s="42">
        <v>1813800110</v>
      </c>
      <c r="B485" s="42" t="str">
        <f>VLOOKUP(A485,'תקציב מפורט 2025'!A:O,2,FALSE)</f>
        <v>קיטנות אביב משכורת</v>
      </c>
      <c r="C485" s="42">
        <v>317849073</v>
      </c>
      <c r="D485" s="42" t="s">
        <v>434</v>
      </c>
      <c r="E485" s="42" t="s">
        <v>459</v>
      </c>
      <c r="F485" s="42">
        <v>813800</v>
      </c>
      <c r="G485" s="48">
        <v>0</v>
      </c>
      <c r="H485" s="45">
        <v>374.21</v>
      </c>
      <c r="I485" s="45">
        <f>SUMIFS('שכר 11.2024'!N:N,'שכר 11.2024'!C:C,C:C,'שכר 11.2024'!F:F,F:F)</f>
        <v>0</v>
      </c>
      <c r="J485" s="45">
        <f t="shared" ref="J485:J549" si="28">H485+I485</f>
        <v>374.21</v>
      </c>
      <c r="K485" s="61">
        <f t="shared" ref="K485:K549" si="29">3.5/100+1</f>
        <v>1.0349999999999999</v>
      </c>
      <c r="L485" s="45">
        <f t="shared" ref="L485:L549" si="30">J485*K485</f>
        <v>387.30734999999993</v>
      </c>
      <c r="M485" s="45">
        <f t="shared" ref="M485:M549" si="31">G485/1100</f>
        <v>0</v>
      </c>
    </row>
    <row r="486" spans="1:13" outlineLevel="2" x14ac:dyDescent="0.35">
      <c r="A486" s="42">
        <v>1813800110</v>
      </c>
      <c r="B486" s="42" t="str">
        <f>VLOOKUP(A486,'תקציב מפורט 2025'!A:O,2,FALSE)</f>
        <v>קיטנות אביב משכורת</v>
      </c>
      <c r="C486" s="42">
        <v>318246774</v>
      </c>
      <c r="D486" s="42" t="s">
        <v>486</v>
      </c>
      <c r="E486" s="42" t="s">
        <v>1849</v>
      </c>
      <c r="F486" s="42">
        <v>813800</v>
      </c>
      <c r="G486" s="48">
        <v>0</v>
      </c>
      <c r="H486" s="45">
        <v>2915.09</v>
      </c>
      <c r="I486" s="45">
        <f>SUMIFS('שכר 11.2024'!N:N,'שכר 11.2024'!C:C,C:C,'שכר 11.2024'!F:F,F:F)</f>
        <v>0</v>
      </c>
      <c r="J486" s="45">
        <f t="shared" si="28"/>
        <v>2915.09</v>
      </c>
      <c r="K486" s="61">
        <f t="shared" si="29"/>
        <v>1.0349999999999999</v>
      </c>
      <c r="L486" s="45">
        <f t="shared" si="30"/>
        <v>3017.1181499999998</v>
      </c>
      <c r="M486" s="45">
        <f t="shared" si="31"/>
        <v>0</v>
      </c>
    </row>
    <row r="487" spans="1:13" outlineLevel="2" x14ac:dyDescent="0.35">
      <c r="A487" s="42">
        <v>1813800110</v>
      </c>
      <c r="B487" s="42" t="str">
        <f>VLOOKUP(A487,'תקציב מפורט 2025'!A:O,2,FALSE)</f>
        <v>קיטנות אביב משכורת</v>
      </c>
      <c r="C487" s="42">
        <v>324881523</v>
      </c>
      <c r="D487" s="42" t="s">
        <v>434</v>
      </c>
      <c r="E487" s="42" t="s">
        <v>449</v>
      </c>
      <c r="F487" s="42">
        <v>813800</v>
      </c>
      <c r="G487" s="48">
        <v>0</v>
      </c>
      <c r="H487" s="45">
        <v>1232.6500000000001</v>
      </c>
      <c r="I487" s="45">
        <f>SUMIFS('שכר 11.2024'!N:N,'שכר 11.2024'!C:C,C:C,'שכר 11.2024'!F:F,F:F)</f>
        <v>0</v>
      </c>
      <c r="J487" s="45">
        <f t="shared" si="28"/>
        <v>1232.6500000000001</v>
      </c>
      <c r="K487" s="61">
        <f t="shared" si="29"/>
        <v>1.0349999999999999</v>
      </c>
      <c r="L487" s="45">
        <f t="shared" si="30"/>
        <v>1275.7927500000001</v>
      </c>
      <c r="M487" s="45">
        <f t="shared" si="31"/>
        <v>0</v>
      </c>
    </row>
    <row r="488" spans="1:13" outlineLevel="2" x14ac:dyDescent="0.35">
      <c r="A488" s="42">
        <v>1813800110</v>
      </c>
      <c r="B488" s="42" t="str">
        <f>VLOOKUP(A488,'תקציב מפורט 2025'!A:O,2,FALSE)</f>
        <v>קיטנות אביב משכורת</v>
      </c>
      <c r="C488" s="42">
        <v>328163282</v>
      </c>
      <c r="D488" s="42" t="s">
        <v>442</v>
      </c>
      <c r="E488" s="42" t="s">
        <v>1731</v>
      </c>
      <c r="F488" s="42">
        <v>813800</v>
      </c>
      <c r="G488" s="48">
        <v>0</v>
      </c>
      <c r="H488" s="45">
        <v>1232.68</v>
      </c>
      <c r="I488" s="45">
        <f>SUMIFS('שכר 11.2024'!N:N,'שכר 11.2024'!C:C,C:C,'שכר 11.2024'!F:F,F:F)</f>
        <v>0</v>
      </c>
      <c r="J488" s="45">
        <f t="shared" si="28"/>
        <v>1232.68</v>
      </c>
      <c r="K488" s="61">
        <f t="shared" si="29"/>
        <v>1.0349999999999999</v>
      </c>
      <c r="L488" s="45">
        <f t="shared" si="30"/>
        <v>1275.8237999999999</v>
      </c>
      <c r="M488" s="45">
        <f t="shared" si="31"/>
        <v>0</v>
      </c>
    </row>
    <row r="489" spans="1:13" outlineLevel="2" x14ac:dyDescent="0.35">
      <c r="A489" s="42">
        <v>1813800110</v>
      </c>
      <c r="B489" s="42" t="str">
        <f>VLOOKUP(A489,'תקציב מפורט 2025'!A:O,2,FALSE)</f>
        <v>קיטנות אביב משכורת</v>
      </c>
      <c r="C489" s="42">
        <v>345602023</v>
      </c>
      <c r="D489" s="42" t="s">
        <v>434</v>
      </c>
      <c r="E489" s="42" t="s">
        <v>1740</v>
      </c>
      <c r="F489" s="42">
        <v>813800</v>
      </c>
      <c r="G489" s="48">
        <v>0</v>
      </c>
      <c r="H489" s="45">
        <v>2498.63</v>
      </c>
      <c r="I489" s="45">
        <f>SUMIFS('שכר 11.2024'!N:N,'שכר 11.2024'!C:C,C:C,'שכר 11.2024'!F:F,F:F)</f>
        <v>0</v>
      </c>
      <c r="J489" s="45">
        <f t="shared" si="28"/>
        <v>2498.63</v>
      </c>
      <c r="K489" s="61">
        <f t="shared" si="29"/>
        <v>1.0349999999999999</v>
      </c>
      <c r="L489" s="45">
        <f t="shared" si="30"/>
        <v>2586.08205</v>
      </c>
      <c r="M489" s="45">
        <f t="shared" si="31"/>
        <v>0</v>
      </c>
    </row>
    <row r="490" spans="1:13" outlineLevel="1" x14ac:dyDescent="0.35">
      <c r="A490" s="63" t="s">
        <v>2016</v>
      </c>
      <c r="B490" s="63"/>
      <c r="C490" s="63"/>
      <c r="D490" s="63"/>
      <c r="E490" s="63"/>
      <c r="F490" s="63"/>
      <c r="G490" s="73">
        <f>SUBTOTAL(9,G380:G489)</f>
        <v>113.8</v>
      </c>
      <c r="H490" s="64">
        <f>SUBTOTAL(9,H380:H489)</f>
        <v>182155.12999999995</v>
      </c>
      <c r="I490" s="64">
        <f>SUBTOTAL(9,I380:I489)</f>
        <v>0</v>
      </c>
      <c r="J490" s="64">
        <f>SUBTOTAL(9,J380:J489)</f>
        <v>182155.12999999995</v>
      </c>
      <c r="K490" s="65"/>
      <c r="L490" s="64">
        <f>SUBTOTAL(9,L380:L489)</f>
        <v>188530.55954999989</v>
      </c>
      <c r="M490" s="64">
        <f>SUBTOTAL(9,M380:M489)</f>
        <v>0.10345454545454545</v>
      </c>
    </row>
    <row r="491" spans="1:13" outlineLevel="2" x14ac:dyDescent="0.35">
      <c r="A491" s="42">
        <v>1813810110</v>
      </c>
      <c r="B491" s="42" t="str">
        <f>VLOOKUP(A491,'תקציב מפורט 2025'!A:O,2,FALSE)</f>
        <v>קיטנות קיץ משכורת</v>
      </c>
      <c r="C491" s="42">
        <v>21578026</v>
      </c>
      <c r="D491" s="42" t="s">
        <v>434</v>
      </c>
      <c r="E491" s="42" t="s">
        <v>453</v>
      </c>
      <c r="F491" s="42">
        <v>813810</v>
      </c>
      <c r="G491" s="48">
        <v>0</v>
      </c>
      <c r="H491" s="45">
        <v>8407.1200000000008</v>
      </c>
      <c r="I491" s="45">
        <f>SUMIFS('שכר 11.2024'!N:N,'שכר 11.2024'!C:C,C:C,'שכר 11.2024'!F:F,F:F)</f>
        <v>0</v>
      </c>
      <c r="J491" s="45">
        <f t="shared" si="28"/>
        <v>8407.1200000000008</v>
      </c>
      <c r="K491" s="61">
        <f t="shared" si="29"/>
        <v>1.0349999999999999</v>
      </c>
      <c r="L491" s="45">
        <f t="shared" si="30"/>
        <v>8701.369200000001</v>
      </c>
      <c r="M491" s="45">
        <f t="shared" si="31"/>
        <v>0</v>
      </c>
    </row>
    <row r="492" spans="1:13" outlineLevel="2" x14ac:dyDescent="0.35">
      <c r="A492" s="42">
        <v>1813810110</v>
      </c>
      <c r="B492" s="42" t="str">
        <f>VLOOKUP(A492,'תקציב מפורט 2025'!A:O,2,FALSE)</f>
        <v>קיטנות קיץ משכורת</v>
      </c>
      <c r="C492" s="42">
        <v>21578653</v>
      </c>
      <c r="D492" s="42" t="s">
        <v>434</v>
      </c>
      <c r="E492" s="42" t="s">
        <v>1855</v>
      </c>
      <c r="F492" s="42">
        <v>813810</v>
      </c>
      <c r="G492" s="48">
        <v>0</v>
      </c>
      <c r="H492" s="45">
        <v>0</v>
      </c>
      <c r="I492" s="45">
        <f>SUMIFS('שכר 11.2024'!N:N,'שכר 11.2024'!C:C,C:C,'שכר 11.2024'!F:F,F:F)</f>
        <v>0</v>
      </c>
      <c r="J492" s="45">
        <f t="shared" si="28"/>
        <v>0</v>
      </c>
      <c r="K492" s="61">
        <f t="shared" si="29"/>
        <v>1.0349999999999999</v>
      </c>
      <c r="L492" s="45">
        <f t="shared" si="30"/>
        <v>0</v>
      </c>
      <c r="M492" s="45">
        <f t="shared" si="31"/>
        <v>0</v>
      </c>
    </row>
    <row r="493" spans="1:13" outlineLevel="2" x14ac:dyDescent="0.35">
      <c r="A493" s="42">
        <v>1813810110</v>
      </c>
      <c r="B493" s="42" t="str">
        <f>VLOOKUP(A493,'תקציב מפורט 2025'!A:O,2,FALSE)</f>
        <v>קיטנות קיץ משכורת</v>
      </c>
      <c r="C493" s="42">
        <v>23125545</v>
      </c>
      <c r="D493" s="42" t="s">
        <v>563</v>
      </c>
      <c r="E493" s="42" t="s">
        <v>562</v>
      </c>
      <c r="F493" s="42">
        <v>813810</v>
      </c>
      <c r="G493" s="48">
        <v>0</v>
      </c>
      <c r="H493" s="45">
        <v>1268.24</v>
      </c>
      <c r="I493" s="45">
        <f>SUMIFS('שכר 11.2024'!N:N,'שכר 11.2024'!C:C,C:C,'שכר 11.2024'!F:F,F:F)</f>
        <v>0</v>
      </c>
      <c r="J493" s="45">
        <f t="shared" si="28"/>
        <v>1268.24</v>
      </c>
      <c r="K493" s="61">
        <f t="shared" si="29"/>
        <v>1.0349999999999999</v>
      </c>
      <c r="L493" s="45">
        <f t="shared" si="30"/>
        <v>1312.6283999999998</v>
      </c>
      <c r="M493" s="45">
        <f t="shared" si="31"/>
        <v>0</v>
      </c>
    </row>
    <row r="494" spans="1:13" outlineLevel="2" x14ac:dyDescent="0.35">
      <c r="A494" s="42">
        <v>1813810110</v>
      </c>
      <c r="B494" s="42" t="str">
        <f>VLOOKUP(A494,'תקציב מפורט 2025'!A:O,2,FALSE)</f>
        <v>קיטנות קיץ משכורת</v>
      </c>
      <c r="C494" s="42">
        <v>23188105</v>
      </c>
      <c r="D494" s="42" t="s">
        <v>486</v>
      </c>
      <c r="E494" s="42" t="s">
        <v>1737</v>
      </c>
      <c r="F494" s="42">
        <v>813810</v>
      </c>
      <c r="G494" s="48">
        <v>0</v>
      </c>
      <c r="H494" s="45">
        <v>1267</v>
      </c>
      <c r="I494" s="45">
        <f>SUMIFS('שכר 11.2024'!N:N,'שכר 11.2024'!C:C,C:C,'שכר 11.2024'!F:F,F:F)</f>
        <v>0</v>
      </c>
      <c r="J494" s="45">
        <f t="shared" si="28"/>
        <v>1267</v>
      </c>
      <c r="K494" s="61">
        <f t="shared" si="29"/>
        <v>1.0349999999999999</v>
      </c>
      <c r="L494" s="45">
        <f t="shared" si="30"/>
        <v>1311.3449999999998</v>
      </c>
      <c r="M494" s="45">
        <f t="shared" si="31"/>
        <v>0</v>
      </c>
    </row>
    <row r="495" spans="1:13" outlineLevel="2" x14ac:dyDescent="0.35">
      <c r="A495" s="42">
        <v>1813810110</v>
      </c>
      <c r="B495" s="42" t="str">
        <f>VLOOKUP(A495,'תקציב מפורט 2025'!A:O,2,FALSE)</f>
        <v>קיטנות קיץ משכורת</v>
      </c>
      <c r="C495" s="42">
        <v>24720567</v>
      </c>
      <c r="D495" s="42" t="s">
        <v>1727</v>
      </c>
      <c r="E495" s="42" t="s">
        <v>549</v>
      </c>
      <c r="F495" s="42">
        <v>813810</v>
      </c>
      <c r="G495" s="48">
        <v>0</v>
      </c>
      <c r="H495" s="45">
        <v>1261</v>
      </c>
      <c r="I495" s="45">
        <f>SUMIFS('שכר 11.2024'!N:N,'שכר 11.2024'!C:C,C:C,'שכר 11.2024'!F:F,F:F)</f>
        <v>0</v>
      </c>
      <c r="J495" s="45">
        <f t="shared" si="28"/>
        <v>1261</v>
      </c>
      <c r="K495" s="61">
        <f t="shared" si="29"/>
        <v>1.0349999999999999</v>
      </c>
      <c r="L495" s="45">
        <f t="shared" si="30"/>
        <v>1305.135</v>
      </c>
      <c r="M495" s="45">
        <f t="shared" si="31"/>
        <v>0</v>
      </c>
    </row>
    <row r="496" spans="1:13" outlineLevel="2" x14ac:dyDescent="0.35">
      <c r="A496" s="42">
        <v>1813810110</v>
      </c>
      <c r="B496" s="42" t="str">
        <f>VLOOKUP(A496,'תקציב מפורט 2025'!A:O,2,FALSE)</f>
        <v>קיטנות קיץ משכורת</v>
      </c>
      <c r="C496" s="42">
        <v>24765778</v>
      </c>
      <c r="D496" s="42" t="s">
        <v>520</v>
      </c>
      <c r="E496" s="42" t="s">
        <v>560</v>
      </c>
      <c r="F496" s="42">
        <v>813810</v>
      </c>
      <c r="G496" s="48">
        <v>0</v>
      </c>
      <c r="H496" s="45">
        <v>5088.17</v>
      </c>
      <c r="I496" s="45">
        <f>SUMIFS('שכר 11.2024'!N:N,'שכר 11.2024'!C:C,C:C,'שכר 11.2024'!F:F,F:F)</f>
        <v>0</v>
      </c>
      <c r="J496" s="45">
        <f t="shared" si="28"/>
        <v>5088.17</v>
      </c>
      <c r="K496" s="61">
        <f t="shared" si="29"/>
        <v>1.0349999999999999</v>
      </c>
      <c r="L496" s="45">
        <f t="shared" si="30"/>
        <v>5266.2559499999998</v>
      </c>
      <c r="M496" s="45">
        <f t="shared" si="31"/>
        <v>0</v>
      </c>
    </row>
    <row r="497" spans="1:13" outlineLevel="2" x14ac:dyDescent="0.35">
      <c r="A497" s="42">
        <v>1813810110</v>
      </c>
      <c r="B497" s="42" t="str">
        <f>VLOOKUP(A497,'תקציב מפורט 2025'!A:O,2,FALSE)</f>
        <v>קיטנות קיץ משכורת</v>
      </c>
      <c r="C497" s="42">
        <v>25907551</v>
      </c>
      <c r="D497" s="42" t="s">
        <v>932</v>
      </c>
      <c r="E497" s="42" t="s">
        <v>1856</v>
      </c>
      <c r="F497" s="42">
        <v>813810</v>
      </c>
      <c r="G497" s="48">
        <v>0</v>
      </c>
      <c r="H497" s="45">
        <v>7495.98</v>
      </c>
      <c r="I497" s="45">
        <f>SUMIFS('שכר 11.2024'!N:N,'שכר 11.2024'!C:C,C:C,'שכר 11.2024'!F:F,F:F)</f>
        <v>0</v>
      </c>
      <c r="J497" s="45">
        <f t="shared" si="28"/>
        <v>7495.98</v>
      </c>
      <c r="K497" s="61">
        <f t="shared" si="29"/>
        <v>1.0349999999999999</v>
      </c>
      <c r="L497" s="45">
        <f t="shared" si="30"/>
        <v>7758.3392999999987</v>
      </c>
      <c r="M497" s="45">
        <f t="shared" si="31"/>
        <v>0</v>
      </c>
    </row>
    <row r="498" spans="1:13" outlineLevel="2" x14ac:dyDescent="0.35">
      <c r="A498" s="42">
        <v>1813810110</v>
      </c>
      <c r="B498" s="42" t="str">
        <f>VLOOKUP(A498,'תקציב מפורט 2025'!A:O,2,FALSE)</f>
        <v>קיטנות קיץ משכורת</v>
      </c>
      <c r="C498" s="42">
        <v>25908609</v>
      </c>
      <c r="D498" s="42" t="s">
        <v>434</v>
      </c>
      <c r="E498" s="42" t="s">
        <v>544</v>
      </c>
      <c r="F498" s="42">
        <v>813810</v>
      </c>
      <c r="G498" s="48">
        <v>0</v>
      </c>
      <c r="H498" s="45">
        <v>1894.47</v>
      </c>
      <c r="I498" s="45">
        <f>SUMIFS('שכר 11.2024'!N:N,'שכר 11.2024'!C:C,C:C,'שכר 11.2024'!F:F,F:F)</f>
        <v>0</v>
      </c>
      <c r="J498" s="45">
        <f t="shared" si="28"/>
        <v>1894.47</v>
      </c>
      <c r="K498" s="61">
        <f t="shared" si="29"/>
        <v>1.0349999999999999</v>
      </c>
      <c r="L498" s="45">
        <f t="shared" si="30"/>
        <v>1960.7764499999998</v>
      </c>
      <c r="M498" s="45">
        <f t="shared" si="31"/>
        <v>0</v>
      </c>
    </row>
    <row r="499" spans="1:13" outlineLevel="2" x14ac:dyDescent="0.35">
      <c r="A499" s="42">
        <v>1813810110</v>
      </c>
      <c r="B499" s="42" t="str">
        <f>VLOOKUP(A499,'תקציב מפורט 2025'!A:O,2,FALSE)</f>
        <v>קיטנות קיץ משכורת</v>
      </c>
      <c r="C499" s="42">
        <v>26167502</v>
      </c>
      <c r="D499" s="42" t="s">
        <v>442</v>
      </c>
      <c r="E499" s="42" t="s">
        <v>558</v>
      </c>
      <c r="F499" s="42">
        <v>813810</v>
      </c>
      <c r="G499" s="48">
        <v>0</v>
      </c>
      <c r="H499" s="45">
        <v>1762.89</v>
      </c>
      <c r="I499" s="45">
        <f>SUMIFS('שכר 11.2024'!N:N,'שכר 11.2024'!C:C,C:C,'שכר 11.2024'!F:F,F:F)</f>
        <v>0</v>
      </c>
      <c r="J499" s="45">
        <f t="shared" si="28"/>
        <v>1762.89</v>
      </c>
      <c r="K499" s="61">
        <f t="shared" si="29"/>
        <v>1.0349999999999999</v>
      </c>
      <c r="L499" s="45">
        <f t="shared" si="30"/>
        <v>1824.59115</v>
      </c>
      <c r="M499" s="45">
        <f t="shared" si="31"/>
        <v>0</v>
      </c>
    </row>
    <row r="500" spans="1:13" outlineLevel="2" x14ac:dyDescent="0.35">
      <c r="A500" s="42">
        <v>1813810110</v>
      </c>
      <c r="B500" s="42" t="str">
        <f>VLOOKUP(A500,'תקציב מפורט 2025'!A:O,2,FALSE)</f>
        <v>קיטנות קיץ משכורת</v>
      </c>
      <c r="C500" s="42">
        <v>26183228</v>
      </c>
      <c r="D500" s="42" t="s">
        <v>434</v>
      </c>
      <c r="E500" s="42" t="s">
        <v>597</v>
      </c>
      <c r="F500" s="42">
        <v>813810</v>
      </c>
      <c r="G500" s="48">
        <v>0</v>
      </c>
      <c r="H500" s="45">
        <v>1888.65</v>
      </c>
      <c r="I500" s="45">
        <f>SUMIFS('שכר 11.2024'!N:N,'שכר 11.2024'!C:C,C:C,'שכר 11.2024'!F:F,F:F)</f>
        <v>0</v>
      </c>
      <c r="J500" s="45">
        <f t="shared" si="28"/>
        <v>1888.65</v>
      </c>
      <c r="K500" s="61">
        <f t="shared" si="29"/>
        <v>1.0349999999999999</v>
      </c>
      <c r="L500" s="45">
        <f t="shared" si="30"/>
        <v>1954.7527499999999</v>
      </c>
      <c r="M500" s="45">
        <f t="shared" si="31"/>
        <v>0</v>
      </c>
    </row>
    <row r="501" spans="1:13" outlineLevel="2" x14ac:dyDescent="0.35">
      <c r="A501" s="42">
        <v>1813810110</v>
      </c>
      <c r="B501" s="42" t="str">
        <f>VLOOKUP(A501,'תקציב מפורט 2025'!A:O,2,FALSE)</f>
        <v>קיטנות קיץ משכורת</v>
      </c>
      <c r="C501" s="42">
        <v>26258533</v>
      </c>
      <c r="D501" s="42" t="s">
        <v>448</v>
      </c>
      <c r="E501" s="42" t="s">
        <v>473</v>
      </c>
      <c r="F501" s="42">
        <v>813810</v>
      </c>
      <c r="G501" s="48">
        <v>0</v>
      </c>
      <c r="H501" s="45">
        <v>1689.19</v>
      </c>
      <c r="I501" s="45">
        <f>SUMIFS('שכר 11.2024'!N:N,'שכר 11.2024'!C:C,C:C,'שכר 11.2024'!F:F,F:F)</f>
        <v>0</v>
      </c>
      <c r="J501" s="45">
        <f t="shared" si="28"/>
        <v>1689.19</v>
      </c>
      <c r="K501" s="61">
        <f t="shared" si="29"/>
        <v>1.0349999999999999</v>
      </c>
      <c r="L501" s="45">
        <f t="shared" si="30"/>
        <v>1748.3116499999999</v>
      </c>
      <c r="M501" s="45">
        <f t="shared" si="31"/>
        <v>0</v>
      </c>
    </row>
    <row r="502" spans="1:13" outlineLevel="2" x14ac:dyDescent="0.35">
      <c r="A502" s="42">
        <v>1813810110</v>
      </c>
      <c r="B502" s="42" t="str">
        <f>VLOOKUP(A502,'תקציב מפורט 2025'!A:O,2,FALSE)</f>
        <v>קיטנות קיץ משכורת</v>
      </c>
      <c r="C502" s="42">
        <v>26273045</v>
      </c>
      <c r="D502" s="42" t="s">
        <v>442</v>
      </c>
      <c r="E502" s="42" t="s">
        <v>592</v>
      </c>
      <c r="F502" s="42">
        <v>813810</v>
      </c>
      <c r="G502" s="48">
        <v>0</v>
      </c>
      <c r="H502" s="45">
        <v>1263.67</v>
      </c>
      <c r="I502" s="45">
        <f>SUMIFS('שכר 11.2024'!N:N,'שכר 11.2024'!C:C,C:C,'שכר 11.2024'!F:F,F:F)</f>
        <v>0</v>
      </c>
      <c r="J502" s="45">
        <f t="shared" si="28"/>
        <v>1263.67</v>
      </c>
      <c r="K502" s="61">
        <f t="shared" si="29"/>
        <v>1.0349999999999999</v>
      </c>
      <c r="L502" s="45">
        <f t="shared" si="30"/>
        <v>1307.8984499999999</v>
      </c>
      <c r="M502" s="45">
        <f t="shared" si="31"/>
        <v>0</v>
      </c>
    </row>
    <row r="503" spans="1:13" outlineLevel="2" x14ac:dyDescent="0.35">
      <c r="A503" s="42">
        <v>1813810110</v>
      </c>
      <c r="B503" s="42" t="str">
        <f>VLOOKUP(A503,'תקציב מפורט 2025'!A:O,2,FALSE)</f>
        <v>קיטנות קיץ משכורת</v>
      </c>
      <c r="C503" s="42">
        <v>26273359</v>
      </c>
      <c r="D503" s="42" t="s">
        <v>933</v>
      </c>
      <c r="E503" s="42" t="s">
        <v>1857</v>
      </c>
      <c r="F503" s="42">
        <v>813810</v>
      </c>
      <c r="G503" s="48">
        <v>0</v>
      </c>
      <c r="H503" s="45">
        <v>7495.98</v>
      </c>
      <c r="I503" s="45">
        <f>SUMIFS('שכר 11.2024'!N:N,'שכר 11.2024'!C:C,C:C,'שכר 11.2024'!F:F,F:F)</f>
        <v>0</v>
      </c>
      <c r="J503" s="45">
        <f t="shared" si="28"/>
        <v>7495.98</v>
      </c>
      <c r="K503" s="61">
        <f t="shared" si="29"/>
        <v>1.0349999999999999</v>
      </c>
      <c r="L503" s="45">
        <f t="shared" si="30"/>
        <v>7758.3392999999987</v>
      </c>
      <c r="M503" s="45">
        <f t="shared" si="31"/>
        <v>0</v>
      </c>
    </row>
    <row r="504" spans="1:13" outlineLevel="2" x14ac:dyDescent="0.35">
      <c r="A504" s="42">
        <v>1813810110</v>
      </c>
      <c r="B504" s="42" t="str">
        <f>VLOOKUP(A504,'תקציב מפורט 2025'!A:O,2,FALSE)</f>
        <v>קיטנות קיץ משכורת</v>
      </c>
      <c r="C504" s="42">
        <v>26273979</v>
      </c>
      <c r="D504" s="42" t="s">
        <v>488</v>
      </c>
      <c r="E504" s="42" t="s">
        <v>487</v>
      </c>
      <c r="F504" s="42">
        <v>813810</v>
      </c>
      <c r="G504" s="48">
        <v>0</v>
      </c>
      <c r="H504" s="45">
        <v>1410.21</v>
      </c>
      <c r="I504" s="45">
        <f>SUMIFS('שכר 11.2024'!N:N,'שכר 11.2024'!C:C,C:C,'שכר 11.2024'!F:F,F:F)</f>
        <v>0</v>
      </c>
      <c r="J504" s="45">
        <f t="shared" si="28"/>
        <v>1410.21</v>
      </c>
      <c r="K504" s="61">
        <f t="shared" si="29"/>
        <v>1.0349999999999999</v>
      </c>
      <c r="L504" s="45">
        <f t="shared" si="30"/>
        <v>1459.56735</v>
      </c>
      <c r="M504" s="45">
        <f t="shared" si="31"/>
        <v>0</v>
      </c>
    </row>
    <row r="505" spans="1:13" outlineLevel="2" x14ac:dyDescent="0.35">
      <c r="A505" s="42">
        <v>1813810110</v>
      </c>
      <c r="B505" s="42" t="str">
        <f>VLOOKUP(A505,'תקציב מפורט 2025'!A:O,2,FALSE)</f>
        <v>קיטנות קיץ משכורת</v>
      </c>
      <c r="C505" s="42">
        <v>26274464</v>
      </c>
      <c r="D505" s="42" t="s">
        <v>515</v>
      </c>
      <c r="E505" s="42" t="s">
        <v>822</v>
      </c>
      <c r="F505" s="42">
        <v>813810</v>
      </c>
      <c r="G505" s="48">
        <v>0</v>
      </c>
      <c r="H505" s="45">
        <v>4580.84</v>
      </c>
      <c r="I505" s="45">
        <f>SUMIFS('שכר 11.2024'!N:N,'שכר 11.2024'!C:C,C:C,'שכר 11.2024'!F:F,F:F)</f>
        <v>0</v>
      </c>
      <c r="J505" s="45">
        <f t="shared" si="28"/>
        <v>4580.84</v>
      </c>
      <c r="K505" s="61">
        <f t="shared" si="29"/>
        <v>1.0349999999999999</v>
      </c>
      <c r="L505" s="45">
        <f t="shared" si="30"/>
        <v>4741.1693999999998</v>
      </c>
      <c r="M505" s="45">
        <f t="shared" si="31"/>
        <v>0</v>
      </c>
    </row>
    <row r="506" spans="1:13" outlineLevel="2" x14ac:dyDescent="0.35">
      <c r="A506" s="42">
        <v>1813810110</v>
      </c>
      <c r="B506" s="42" t="str">
        <f>VLOOKUP(A506,'תקציב מפורט 2025'!A:O,2,FALSE)</f>
        <v>קיטנות קיץ משכורת</v>
      </c>
      <c r="C506" s="42">
        <v>26276014</v>
      </c>
      <c r="D506" s="42" t="s">
        <v>442</v>
      </c>
      <c r="E506" s="42" t="s">
        <v>832</v>
      </c>
      <c r="F506" s="42">
        <v>813810</v>
      </c>
      <c r="G506" s="48">
        <v>0</v>
      </c>
      <c r="H506" s="45">
        <v>1388.51</v>
      </c>
      <c r="I506" s="45">
        <f>SUMIFS('שכר 11.2024'!N:N,'שכר 11.2024'!C:C,C:C,'שכר 11.2024'!F:F,F:F)</f>
        <v>0</v>
      </c>
      <c r="J506" s="45">
        <f t="shared" si="28"/>
        <v>1388.51</v>
      </c>
      <c r="K506" s="61">
        <f t="shared" si="29"/>
        <v>1.0349999999999999</v>
      </c>
      <c r="L506" s="45">
        <f t="shared" si="30"/>
        <v>1437.1078499999999</v>
      </c>
      <c r="M506" s="45">
        <f t="shared" si="31"/>
        <v>0</v>
      </c>
    </row>
    <row r="507" spans="1:13" outlineLevel="2" x14ac:dyDescent="0.35">
      <c r="A507" s="42">
        <v>1813810110</v>
      </c>
      <c r="B507" s="42" t="str">
        <f>VLOOKUP(A507,'תקציב מפורט 2025'!A:O,2,FALSE)</f>
        <v>קיטנות קיץ משכורת</v>
      </c>
      <c r="C507" s="42">
        <v>26278861</v>
      </c>
      <c r="D507" s="42" t="s">
        <v>434</v>
      </c>
      <c r="E507" s="42" t="s">
        <v>590</v>
      </c>
      <c r="F507" s="42">
        <v>813810</v>
      </c>
      <c r="G507" s="48">
        <v>0</v>
      </c>
      <c r="H507" s="45">
        <v>1766.82</v>
      </c>
      <c r="I507" s="45">
        <f>SUMIFS('שכר 11.2024'!N:N,'שכר 11.2024'!C:C,C:C,'שכר 11.2024'!F:F,F:F)</f>
        <v>0</v>
      </c>
      <c r="J507" s="45">
        <f t="shared" si="28"/>
        <v>1766.82</v>
      </c>
      <c r="K507" s="61">
        <f t="shared" si="29"/>
        <v>1.0349999999999999</v>
      </c>
      <c r="L507" s="45">
        <f t="shared" si="30"/>
        <v>1828.6586999999997</v>
      </c>
      <c r="M507" s="45">
        <f t="shared" si="31"/>
        <v>0</v>
      </c>
    </row>
    <row r="508" spans="1:13" outlineLevel="2" x14ac:dyDescent="0.35">
      <c r="A508" s="42">
        <v>1813810110</v>
      </c>
      <c r="B508" s="42" t="str">
        <f>VLOOKUP(A508,'תקציב מפורט 2025'!A:O,2,FALSE)</f>
        <v>קיטנות קיץ משכורת</v>
      </c>
      <c r="C508" s="42">
        <v>26356477</v>
      </c>
      <c r="D508" s="42" t="s">
        <v>448</v>
      </c>
      <c r="E508" s="42" t="s">
        <v>1701</v>
      </c>
      <c r="F508" s="42">
        <v>813810</v>
      </c>
      <c r="G508" s="48">
        <v>0</v>
      </c>
      <c r="H508" s="45">
        <v>1135.97</v>
      </c>
      <c r="I508" s="45">
        <f>SUMIFS('שכר 11.2024'!N:N,'שכר 11.2024'!C:C,C:C,'שכר 11.2024'!F:F,F:F)</f>
        <v>0</v>
      </c>
      <c r="J508" s="45">
        <f t="shared" si="28"/>
        <v>1135.97</v>
      </c>
      <c r="K508" s="61">
        <f t="shared" si="29"/>
        <v>1.0349999999999999</v>
      </c>
      <c r="L508" s="45">
        <f t="shared" si="30"/>
        <v>1175.7289499999999</v>
      </c>
      <c r="M508" s="45">
        <f t="shared" si="31"/>
        <v>0</v>
      </c>
    </row>
    <row r="509" spans="1:13" outlineLevel="2" x14ac:dyDescent="0.35">
      <c r="A509" s="42">
        <v>1813810110</v>
      </c>
      <c r="B509" s="42" t="str">
        <f>VLOOKUP(A509,'תקציב מפורט 2025'!A:O,2,FALSE)</f>
        <v>קיטנות קיץ משכורת</v>
      </c>
      <c r="C509" s="42">
        <v>27505072</v>
      </c>
      <c r="D509" s="42" t="s">
        <v>935</v>
      </c>
      <c r="E509" s="42" t="s">
        <v>578</v>
      </c>
      <c r="F509" s="42">
        <v>813810</v>
      </c>
      <c r="G509" s="48">
        <v>0</v>
      </c>
      <c r="H509" s="45">
        <v>1691.12</v>
      </c>
      <c r="I509" s="45">
        <f>SUMIFS('שכר 11.2024'!N:N,'שכר 11.2024'!C:C,C:C,'שכר 11.2024'!F:F,F:F)</f>
        <v>0</v>
      </c>
      <c r="J509" s="45">
        <f t="shared" si="28"/>
        <v>1691.12</v>
      </c>
      <c r="K509" s="61">
        <f t="shared" si="29"/>
        <v>1.0349999999999999</v>
      </c>
      <c r="L509" s="45">
        <f t="shared" si="30"/>
        <v>1750.3091999999997</v>
      </c>
      <c r="M509" s="45">
        <f t="shared" si="31"/>
        <v>0</v>
      </c>
    </row>
    <row r="510" spans="1:13" outlineLevel="2" x14ac:dyDescent="0.35">
      <c r="A510" s="42">
        <v>1813810110</v>
      </c>
      <c r="B510" s="42" t="str">
        <f>VLOOKUP(A510,'תקציב מפורט 2025'!A:O,2,FALSE)</f>
        <v>קיטנות קיץ משכורת</v>
      </c>
      <c r="C510" s="42">
        <v>27528645</v>
      </c>
      <c r="D510" s="42" t="s">
        <v>538</v>
      </c>
      <c r="E510" s="42" t="s">
        <v>575</v>
      </c>
      <c r="F510" s="42">
        <v>813810</v>
      </c>
      <c r="G510" s="48">
        <v>0</v>
      </c>
      <c r="H510" s="45">
        <v>1267.33</v>
      </c>
      <c r="I510" s="45">
        <f>SUMIFS('שכר 11.2024'!N:N,'שכר 11.2024'!C:C,C:C,'שכר 11.2024'!F:F,F:F)</f>
        <v>0</v>
      </c>
      <c r="J510" s="45">
        <f t="shared" si="28"/>
        <v>1267.33</v>
      </c>
      <c r="K510" s="61">
        <f t="shared" si="29"/>
        <v>1.0349999999999999</v>
      </c>
      <c r="L510" s="45">
        <f t="shared" si="30"/>
        <v>1311.6865499999999</v>
      </c>
      <c r="M510" s="45">
        <f t="shared" si="31"/>
        <v>0</v>
      </c>
    </row>
    <row r="511" spans="1:13" outlineLevel="2" x14ac:dyDescent="0.35">
      <c r="A511" s="42">
        <v>1813810110</v>
      </c>
      <c r="B511" s="42" t="str">
        <f>VLOOKUP(A511,'תקציב מפורט 2025'!A:O,2,FALSE)</f>
        <v>קיטנות קיץ משכורת</v>
      </c>
      <c r="C511" s="42">
        <v>27666940</v>
      </c>
      <c r="D511" s="42" t="s">
        <v>541</v>
      </c>
      <c r="E511" s="42" t="s">
        <v>1858</v>
      </c>
      <c r="F511" s="42">
        <v>813810</v>
      </c>
      <c r="G511" s="48">
        <v>0</v>
      </c>
      <c r="H511" s="45">
        <v>7495.98</v>
      </c>
      <c r="I511" s="45">
        <f>SUMIFS('שכר 11.2024'!N:N,'שכר 11.2024'!C:C,C:C,'שכר 11.2024'!F:F,F:F)</f>
        <v>0</v>
      </c>
      <c r="J511" s="45">
        <f t="shared" si="28"/>
        <v>7495.98</v>
      </c>
      <c r="K511" s="61">
        <f t="shared" si="29"/>
        <v>1.0349999999999999</v>
      </c>
      <c r="L511" s="45">
        <f t="shared" si="30"/>
        <v>7758.3392999999987</v>
      </c>
      <c r="M511" s="45">
        <f t="shared" si="31"/>
        <v>0</v>
      </c>
    </row>
    <row r="512" spans="1:13" outlineLevel="2" x14ac:dyDescent="0.35">
      <c r="A512" s="42">
        <v>1813810110</v>
      </c>
      <c r="B512" s="42" t="str">
        <f>VLOOKUP(A512,'תקציב מפורט 2025'!A:O,2,FALSE)</f>
        <v>קיטנות קיץ משכורת</v>
      </c>
      <c r="C512" s="42">
        <v>27669001</v>
      </c>
      <c r="D512" s="42" t="s">
        <v>512</v>
      </c>
      <c r="E512" s="42" t="s">
        <v>926</v>
      </c>
      <c r="F512" s="42">
        <v>813810</v>
      </c>
      <c r="G512" s="48">
        <v>0</v>
      </c>
      <c r="H512" s="45">
        <v>7495.98</v>
      </c>
      <c r="I512" s="45">
        <f>SUMIFS('שכר 11.2024'!N:N,'שכר 11.2024'!C:C,C:C,'שכר 11.2024'!F:F,F:F)</f>
        <v>0</v>
      </c>
      <c r="J512" s="45">
        <f t="shared" si="28"/>
        <v>7495.98</v>
      </c>
      <c r="K512" s="61">
        <f t="shared" si="29"/>
        <v>1.0349999999999999</v>
      </c>
      <c r="L512" s="45">
        <f t="shared" si="30"/>
        <v>7758.3392999999987</v>
      </c>
      <c r="M512" s="45">
        <f t="shared" si="31"/>
        <v>0</v>
      </c>
    </row>
    <row r="513" spans="1:13" outlineLevel="2" x14ac:dyDescent="0.35">
      <c r="A513" s="42">
        <v>1813810110</v>
      </c>
      <c r="B513" s="42" t="str">
        <f>VLOOKUP(A513,'תקציב מפורט 2025'!A:O,2,FALSE)</f>
        <v>קיטנות קיץ משכורת</v>
      </c>
      <c r="C513" s="42">
        <v>27673730</v>
      </c>
      <c r="D513" s="42" t="s">
        <v>434</v>
      </c>
      <c r="E513" s="42" t="s">
        <v>559</v>
      </c>
      <c r="F513" s="42">
        <v>813810</v>
      </c>
      <c r="G513" s="48">
        <v>0</v>
      </c>
      <c r="H513" s="45">
        <v>1577.68</v>
      </c>
      <c r="I513" s="45">
        <f>SUMIFS('שכר 11.2024'!N:N,'שכר 11.2024'!C:C,C:C,'שכר 11.2024'!F:F,F:F)</f>
        <v>0</v>
      </c>
      <c r="J513" s="45">
        <f t="shared" si="28"/>
        <v>1577.68</v>
      </c>
      <c r="K513" s="61">
        <f t="shared" si="29"/>
        <v>1.0349999999999999</v>
      </c>
      <c r="L513" s="45">
        <f t="shared" si="30"/>
        <v>1632.8987999999999</v>
      </c>
      <c r="M513" s="45">
        <f t="shared" si="31"/>
        <v>0</v>
      </c>
    </row>
    <row r="514" spans="1:13" outlineLevel="2" x14ac:dyDescent="0.35">
      <c r="A514" s="42">
        <v>1813810110</v>
      </c>
      <c r="B514" s="42" t="str">
        <f>VLOOKUP(A514,'תקציב מפורט 2025'!A:O,2,FALSE)</f>
        <v>קיטנות קיץ משכורת</v>
      </c>
      <c r="C514" s="42">
        <v>28254712</v>
      </c>
      <c r="D514" s="42" t="s">
        <v>442</v>
      </c>
      <c r="E514" s="42" t="s">
        <v>570</v>
      </c>
      <c r="F514" s="42">
        <v>813810</v>
      </c>
      <c r="G514" s="48">
        <v>0</v>
      </c>
      <c r="H514" s="45">
        <v>1265.68</v>
      </c>
      <c r="I514" s="45">
        <f>SUMIFS('שכר 11.2024'!N:N,'שכר 11.2024'!C:C,C:C,'שכר 11.2024'!F:F,F:F)</f>
        <v>0</v>
      </c>
      <c r="J514" s="45">
        <f t="shared" si="28"/>
        <v>1265.68</v>
      </c>
      <c r="K514" s="61">
        <f t="shared" si="29"/>
        <v>1.0349999999999999</v>
      </c>
      <c r="L514" s="45">
        <f t="shared" si="30"/>
        <v>1309.9787999999999</v>
      </c>
      <c r="M514" s="45">
        <f t="shared" si="31"/>
        <v>0</v>
      </c>
    </row>
    <row r="515" spans="1:13" outlineLevel="2" x14ac:dyDescent="0.35">
      <c r="A515" s="42">
        <v>1813810110</v>
      </c>
      <c r="B515" s="42" t="str">
        <f>VLOOKUP(A515,'תקציב מפורט 2025'!A:O,2,FALSE)</f>
        <v>קיטנות קיץ משכורת</v>
      </c>
      <c r="C515" s="42">
        <v>28303675</v>
      </c>
      <c r="D515" s="42" t="s">
        <v>1843</v>
      </c>
      <c r="E515" s="42" t="s">
        <v>1844</v>
      </c>
      <c r="F515" s="42">
        <v>813810</v>
      </c>
      <c r="G515" s="48">
        <v>0</v>
      </c>
      <c r="H515" s="45">
        <v>6996.15</v>
      </c>
      <c r="I515" s="45">
        <f>SUMIFS('שכר 11.2024'!N:N,'שכר 11.2024'!C:C,C:C,'שכר 11.2024'!F:F,F:F)</f>
        <v>0</v>
      </c>
      <c r="J515" s="45">
        <f t="shared" si="28"/>
        <v>6996.15</v>
      </c>
      <c r="K515" s="61">
        <f t="shared" si="29"/>
        <v>1.0349999999999999</v>
      </c>
      <c r="L515" s="45">
        <f t="shared" si="30"/>
        <v>7241.0152499999995</v>
      </c>
      <c r="M515" s="45">
        <f t="shared" si="31"/>
        <v>0</v>
      </c>
    </row>
    <row r="516" spans="1:13" outlineLevel="2" x14ac:dyDescent="0.35">
      <c r="A516" s="42">
        <v>1813810110</v>
      </c>
      <c r="B516" s="42" t="str">
        <f>VLOOKUP(A516,'תקציב מפורט 2025'!A:O,2,FALSE)</f>
        <v>קיטנות קיץ משכורת</v>
      </c>
      <c r="C516" s="42">
        <v>29133667</v>
      </c>
      <c r="D516" s="42" t="s">
        <v>442</v>
      </c>
      <c r="E516" s="42" t="s">
        <v>1859</v>
      </c>
      <c r="F516" s="42">
        <v>813810</v>
      </c>
      <c r="G516" s="48">
        <v>0</v>
      </c>
      <c r="H516" s="45">
        <v>7745.87</v>
      </c>
      <c r="I516" s="45">
        <f>SUMIFS('שכר 11.2024'!N:N,'שכר 11.2024'!C:C,C:C,'שכר 11.2024'!F:F,F:F)</f>
        <v>0</v>
      </c>
      <c r="J516" s="45">
        <f t="shared" si="28"/>
        <v>7745.87</v>
      </c>
      <c r="K516" s="61">
        <f t="shared" si="29"/>
        <v>1.0349999999999999</v>
      </c>
      <c r="L516" s="45">
        <f t="shared" si="30"/>
        <v>8016.975449999999</v>
      </c>
      <c r="M516" s="45">
        <f t="shared" si="31"/>
        <v>0</v>
      </c>
    </row>
    <row r="517" spans="1:13" outlineLevel="2" x14ac:dyDescent="0.35">
      <c r="A517" s="42">
        <v>1813810110</v>
      </c>
      <c r="B517" s="42" t="str">
        <f>VLOOKUP(A517,'תקציב מפורט 2025'!A:O,2,FALSE)</f>
        <v>קיטנות קיץ משכורת</v>
      </c>
      <c r="C517" s="42">
        <v>29790938</v>
      </c>
      <c r="D517" s="42" t="s">
        <v>434</v>
      </c>
      <c r="E517" s="42" t="s">
        <v>568</v>
      </c>
      <c r="F517" s="42">
        <v>813810</v>
      </c>
      <c r="G517" s="48">
        <v>0</v>
      </c>
      <c r="H517" s="45">
        <v>1457.61</v>
      </c>
      <c r="I517" s="45">
        <f>SUMIFS('שכר 11.2024'!N:N,'שכר 11.2024'!C:C,C:C,'שכר 11.2024'!F:F,F:F)</f>
        <v>0</v>
      </c>
      <c r="J517" s="45">
        <f t="shared" si="28"/>
        <v>1457.61</v>
      </c>
      <c r="K517" s="61">
        <f t="shared" si="29"/>
        <v>1.0349999999999999</v>
      </c>
      <c r="L517" s="45">
        <f t="shared" si="30"/>
        <v>1508.6263499999998</v>
      </c>
      <c r="M517" s="45">
        <f t="shared" si="31"/>
        <v>0</v>
      </c>
    </row>
    <row r="518" spans="1:13" outlineLevel="2" x14ac:dyDescent="0.35">
      <c r="A518" s="42">
        <v>1813810110</v>
      </c>
      <c r="B518" s="42" t="str">
        <f>VLOOKUP(A518,'תקציב מפורט 2025'!A:O,2,FALSE)</f>
        <v>קיטנות קיץ משכורת</v>
      </c>
      <c r="C518" s="42">
        <v>29791498</v>
      </c>
      <c r="D518" s="42" t="s">
        <v>1860</v>
      </c>
      <c r="E518" s="42" t="s">
        <v>1861</v>
      </c>
      <c r="F518" s="42">
        <v>813810</v>
      </c>
      <c r="G518" s="48">
        <v>0</v>
      </c>
      <c r="H518" s="45">
        <v>7495.98</v>
      </c>
      <c r="I518" s="45">
        <f>SUMIFS('שכר 11.2024'!N:N,'שכר 11.2024'!C:C,C:C,'שכר 11.2024'!F:F,F:F)</f>
        <v>0</v>
      </c>
      <c r="J518" s="45">
        <f t="shared" si="28"/>
        <v>7495.98</v>
      </c>
      <c r="K518" s="61">
        <f t="shared" si="29"/>
        <v>1.0349999999999999</v>
      </c>
      <c r="L518" s="45">
        <f t="shared" si="30"/>
        <v>7758.3392999999987</v>
      </c>
      <c r="M518" s="45">
        <f t="shared" si="31"/>
        <v>0</v>
      </c>
    </row>
    <row r="519" spans="1:13" outlineLevel="2" x14ac:dyDescent="0.35">
      <c r="A519" s="42">
        <v>1813810110</v>
      </c>
      <c r="B519" s="42" t="str">
        <f>VLOOKUP(A519,'תקציב מפורט 2025'!A:O,2,FALSE)</f>
        <v>קיטנות קיץ משכורת</v>
      </c>
      <c r="C519" s="42">
        <v>29816683</v>
      </c>
      <c r="D519" s="42" t="s">
        <v>546</v>
      </c>
      <c r="E519" s="42" t="s">
        <v>558</v>
      </c>
      <c r="F519" s="42">
        <v>813810</v>
      </c>
      <c r="G519" s="48">
        <v>0</v>
      </c>
      <c r="H519" s="45">
        <v>3242.67</v>
      </c>
      <c r="I519" s="45">
        <f>SUMIFS('שכר 11.2024'!N:N,'שכר 11.2024'!C:C,C:C,'שכר 11.2024'!F:F,F:F)</f>
        <v>0</v>
      </c>
      <c r="J519" s="45">
        <f t="shared" si="28"/>
        <v>3242.67</v>
      </c>
      <c r="K519" s="61">
        <f t="shared" si="29"/>
        <v>1.0349999999999999</v>
      </c>
      <c r="L519" s="45">
        <f t="shared" si="30"/>
        <v>3356.16345</v>
      </c>
      <c r="M519" s="45">
        <f t="shared" si="31"/>
        <v>0</v>
      </c>
    </row>
    <row r="520" spans="1:13" outlineLevel="2" x14ac:dyDescent="0.35">
      <c r="A520" s="42">
        <v>1813810110</v>
      </c>
      <c r="B520" s="42" t="str">
        <f>VLOOKUP(A520,'תקציב מפורט 2025'!A:O,2,FALSE)</f>
        <v>קיטנות קיץ משכורת</v>
      </c>
      <c r="C520" s="42">
        <v>29817244</v>
      </c>
      <c r="D520" s="42" t="s">
        <v>434</v>
      </c>
      <c r="E520" s="42" t="s">
        <v>848</v>
      </c>
      <c r="F520" s="42">
        <v>813810</v>
      </c>
      <c r="G520" s="48">
        <v>0</v>
      </c>
      <c r="H520" s="45">
        <v>3470.3</v>
      </c>
      <c r="I520" s="45">
        <f>SUMIFS('שכר 11.2024'!N:N,'שכר 11.2024'!C:C,C:C,'שכר 11.2024'!F:F,F:F)</f>
        <v>0</v>
      </c>
      <c r="J520" s="45">
        <f t="shared" si="28"/>
        <v>3470.3</v>
      </c>
      <c r="K520" s="61">
        <f t="shared" si="29"/>
        <v>1.0349999999999999</v>
      </c>
      <c r="L520" s="45">
        <f t="shared" si="30"/>
        <v>3591.7604999999999</v>
      </c>
      <c r="M520" s="45">
        <f t="shared" si="31"/>
        <v>0</v>
      </c>
    </row>
    <row r="521" spans="1:13" outlineLevel="2" x14ac:dyDescent="0.35">
      <c r="A521" s="42">
        <v>1813810110</v>
      </c>
      <c r="B521" s="42" t="str">
        <f>VLOOKUP(A521,'תקציב מפורט 2025'!A:O,2,FALSE)</f>
        <v>קיטנות קיץ משכורת</v>
      </c>
      <c r="C521" s="42">
        <v>29843679</v>
      </c>
      <c r="D521" s="42" t="s">
        <v>448</v>
      </c>
      <c r="E521" s="42" t="s">
        <v>834</v>
      </c>
      <c r="F521" s="42">
        <v>813810</v>
      </c>
      <c r="G521" s="48">
        <v>0</v>
      </c>
      <c r="H521" s="45">
        <v>2368.9499999999998</v>
      </c>
      <c r="I521" s="45">
        <f>SUMIFS('שכר 11.2024'!N:N,'שכר 11.2024'!C:C,C:C,'שכר 11.2024'!F:F,F:F)</f>
        <v>0</v>
      </c>
      <c r="J521" s="45">
        <f t="shared" si="28"/>
        <v>2368.9499999999998</v>
      </c>
      <c r="K521" s="61">
        <f t="shared" si="29"/>
        <v>1.0349999999999999</v>
      </c>
      <c r="L521" s="45">
        <f t="shared" si="30"/>
        <v>2451.8632499999994</v>
      </c>
      <c r="M521" s="45">
        <f t="shared" si="31"/>
        <v>0</v>
      </c>
    </row>
    <row r="522" spans="1:13" outlineLevel="2" x14ac:dyDescent="0.35">
      <c r="A522" s="42">
        <v>1813810110</v>
      </c>
      <c r="B522" s="42" t="str">
        <f>VLOOKUP(A522,'תקציב מפורט 2025'!A:O,2,FALSE)</f>
        <v>קיטנות קיץ משכורת</v>
      </c>
      <c r="C522" s="42">
        <v>29868148</v>
      </c>
      <c r="D522" s="42" t="s">
        <v>448</v>
      </c>
      <c r="E522" s="42" t="s">
        <v>473</v>
      </c>
      <c r="F522" s="42">
        <v>813810</v>
      </c>
      <c r="G522" s="48">
        <v>0</v>
      </c>
      <c r="H522" s="45">
        <v>1462.26</v>
      </c>
      <c r="I522" s="45">
        <f>SUMIFS('שכר 11.2024'!N:N,'שכר 11.2024'!C:C,C:C,'שכר 11.2024'!F:F,F:F)</f>
        <v>0</v>
      </c>
      <c r="J522" s="45">
        <f t="shared" si="28"/>
        <v>1462.26</v>
      </c>
      <c r="K522" s="61">
        <f t="shared" si="29"/>
        <v>1.0349999999999999</v>
      </c>
      <c r="L522" s="45">
        <f t="shared" si="30"/>
        <v>1513.4390999999998</v>
      </c>
      <c r="M522" s="45">
        <f t="shared" si="31"/>
        <v>0</v>
      </c>
    </row>
    <row r="523" spans="1:13" outlineLevel="2" x14ac:dyDescent="0.35">
      <c r="A523" s="42">
        <v>1813810110</v>
      </c>
      <c r="B523" s="42" t="str">
        <f>VLOOKUP(A523,'תקציב מפורט 2025'!A:O,2,FALSE)</f>
        <v>קיטנות קיץ משכורת</v>
      </c>
      <c r="C523" s="42">
        <v>31452022</v>
      </c>
      <c r="D523" s="42" t="s">
        <v>538</v>
      </c>
      <c r="E523" s="42" t="s">
        <v>937</v>
      </c>
      <c r="F523" s="42">
        <v>813810</v>
      </c>
      <c r="G523" s="48">
        <v>0</v>
      </c>
      <c r="H523" s="45">
        <v>1575.06</v>
      </c>
      <c r="I523" s="45">
        <f>SUMIFS('שכר 11.2024'!N:N,'שכר 11.2024'!C:C,C:C,'שכר 11.2024'!F:F,F:F)</f>
        <v>0</v>
      </c>
      <c r="J523" s="45">
        <f t="shared" si="28"/>
        <v>1575.06</v>
      </c>
      <c r="K523" s="61">
        <f t="shared" si="29"/>
        <v>1.0349999999999999</v>
      </c>
      <c r="L523" s="45">
        <f t="shared" si="30"/>
        <v>1630.1870999999999</v>
      </c>
      <c r="M523" s="45">
        <f t="shared" si="31"/>
        <v>0</v>
      </c>
    </row>
    <row r="524" spans="1:13" outlineLevel="2" x14ac:dyDescent="0.35">
      <c r="A524" s="42">
        <v>1813810110</v>
      </c>
      <c r="B524" s="42" t="str">
        <f>VLOOKUP(A524,'תקציב מפורט 2025'!A:O,2,FALSE)</f>
        <v>קיטנות קיץ משכורת</v>
      </c>
      <c r="C524" s="42">
        <v>31455660</v>
      </c>
      <c r="D524" s="42" t="s">
        <v>434</v>
      </c>
      <c r="E524" s="42" t="s">
        <v>589</v>
      </c>
      <c r="F524" s="42">
        <v>813810</v>
      </c>
      <c r="G524" s="48">
        <v>0</v>
      </c>
      <c r="H524" s="45">
        <v>1767.93</v>
      </c>
      <c r="I524" s="45">
        <f>SUMIFS('שכר 11.2024'!N:N,'שכר 11.2024'!C:C,C:C,'שכר 11.2024'!F:F,F:F)</f>
        <v>0</v>
      </c>
      <c r="J524" s="45">
        <f t="shared" si="28"/>
        <v>1767.93</v>
      </c>
      <c r="K524" s="61">
        <f t="shared" si="29"/>
        <v>1.0349999999999999</v>
      </c>
      <c r="L524" s="45">
        <f t="shared" si="30"/>
        <v>1829.80755</v>
      </c>
      <c r="M524" s="45">
        <f t="shared" si="31"/>
        <v>0</v>
      </c>
    </row>
    <row r="525" spans="1:13" outlineLevel="2" x14ac:dyDescent="0.35">
      <c r="A525" s="42">
        <v>1813810110</v>
      </c>
      <c r="B525" s="42" t="str">
        <f>VLOOKUP(A525,'תקציב מפורט 2025'!A:O,2,FALSE)</f>
        <v>קיטנות קיץ משכורת</v>
      </c>
      <c r="C525" s="42">
        <v>31547227</v>
      </c>
      <c r="D525" s="42" t="s">
        <v>1742</v>
      </c>
      <c r="E525" s="42" t="s">
        <v>557</v>
      </c>
      <c r="F525" s="42">
        <v>813810</v>
      </c>
      <c r="G525" s="48">
        <v>0</v>
      </c>
      <c r="H525" s="45">
        <v>2982.22</v>
      </c>
      <c r="I525" s="45">
        <f>SUMIFS('שכר 11.2024'!N:N,'שכר 11.2024'!C:C,C:C,'שכר 11.2024'!F:F,F:F)</f>
        <v>0</v>
      </c>
      <c r="J525" s="45">
        <f t="shared" si="28"/>
        <v>2982.22</v>
      </c>
      <c r="K525" s="61">
        <f t="shared" si="29"/>
        <v>1.0349999999999999</v>
      </c>
      <c r="L525" s="45">
        <f t="shared" si="30"/>
        <v>3086.5976999999993</v>
      </c>
      <c r="M525" s="45">
        <f t="shared" si="31"/>
        <v>0</v>
      </c>
    </row>
    <row r="526" spans="1:13" outlineLevel="2" x14ac:dyDescent="0.35">
      <c r="A526" s="42">
        <v>1813810110</v>
      </c>
      <c r="B526" s="42" t="str">
        <f>VLOOKUP(A526,'תקציב מפורט 2025'!A:O,2,FALSE)</f>
        <v>קיטנות קיץ משכורת</v>
      </c>
      <c r="C526" s="42">
        <v>31594468</v>
      </c>
      <c r="D526" s="42" t="s">
        <v>434</v>
      </c>
      <c r="E526" s="42" t="s">
        <v>588</v>
      </c>
      <c r="F526" s="42">
        <v>813810</v>
      </c>
      <c r="G526" s="48">
        <v>0</v>
      </c>
      <c r="H526" s="45">
        <v>1769.44</v>
      </c>
      <c r="I526" s="45">
        <f>SUMIFS('שכר 11.2024'!N:N,'שכר 11.2024'!C:C,C:C,'שכר 11.2024'!F:F,F:F)</f>
        <v>0</v>
      </c>
      <c r="J526" s="45">
        <f t="shared" si="28"/>
        <v>1769.44</v>
      </c>
      <c r="K526" s="61">
        <f t="shared" si="29"/>
        <v>1.0349999999999999</v>
      </c>
      <c r="L526" s="45">
        <f t="shared" si="30"/>
        <v>1831.3704</v>
      </c>
      <c r="M526" s="45">
        <f t="shared" si="31"/>
        <v>0</v>
      </c>
    </row>
    <row r="527" spans="1:13" outlineLevel="2" x14ac:dyDescent="0.35">
      <c r="A527" s="42">
        <v>1813810110</v>
      </c>
      <c r="B527" s="42" t="str">
        <f>VLOOKUP(A527,'תקציב מפורט 2025'!A:O,2,FALSE)</f>
        <v>קיטנות קיץ משכורת</v>
      </c>
      <c r="C527" s="42">
        <v>31595689</v>
      </c>
      <c r="D527" s="42" t="s">
        <v>434</v>
      </c>
      <c r="E527" s="42" t="s">
        <v>567</v>
      </c>
      <c r="F527" s="42">
        <v>813810</v>
      </c>
      <c r="G527" s="48">
        <v>0</v>
      </c>
      <c r="H527" s="45">
        <v>1894.87</v>
      </c>
      <c r="I527" s="45">
        <f>SUMIFS('שכר 11.2024'!N:N,'שכר 11.2024'!C:C,C:C,'שכר 11.2024'!F:F,F:F)</f>
        <v>0</v>
      </c>
      <c r="J527" s="45">
        <f t="shared" si="28"/>
        <v>1894.87</v>
      </c>
      <c r="K527" s="61">
        <f t="shared" si="29"/>
        <v>1.0349999999999999</v>
      </c>
      <c r="L527" s="45">
        <f t="shared" si="30"/>
        <v>1961.1904499999998</v>
      </c>
      <c r="M527" s="45">
        <f t="shared" si="31"/>
        <v>0</v>
      </c>
    </row>
    <row r="528" spans="1:13" outlineLevel="2" x14ac:dyDescent="0.35">
      <c r="A528" s="42">
        <v>1813810110</v>
      </c>
      <c r="B528" s="42" t="str">
        <f>VLOOKUP(A528,'תקציב מפורט 2025'!A:O,2,FALSE)</f>
        <v>קיטנות קיץ משכורת</v>
      </c>
      <c r="C528" s="42">
        <v>31693484</v>
      </c>
      <c r="D528" s="42" t="s">
        <v>434</v>
      </c>
      <c r="E528" s="42" t="s">
        <v>551</v>
      </c>
      <c r="F528" s="42">
        <v>813810</v>
      </c>
      <c r="G528" s="48">
        <v>0</v>
      </c>
      <c r="H528" s="45">
        <v>1262.55</v>
      </c>
      <c r="I528" s="45">
        <f>SUMIFS('שכר 11.2024'!N:N,'שכר 11.2024'!C:C,C:C,'שכר 11.2024'!F:F,F:F)</f>
        <v>0</v>
      </c>
      <c r="J528" s="45">
        <f t="shared" si="28"/>
        <v>1262.55</v>
      </c>
      <c r="K528" s="61">
        <f t="shared" si="29"/>
        <v>1.0349999999999999</v>
      </c>
      <c r="L528" s="45">
        <f t="shared" si="30"/>
        <v>1306.7392499999999</v>
      </c>
      <c r="M528" s="45">
        <f t="shared" si="31"/>
        <v>0</v>
      </c>
    </row>
    <row r="529" spans="1:13" outlineLevel="2" x14ac:dyDescent="0.35">
      <c r="A529" s="42">
        <v>1813810110</v>
      </c>
      <c r="B529" s="42" t="str">
        <f>VLOOKUP(A529,'תקציב מפורט 2025'!A:O,2,FALSE)</f>
        <v>קיטנות קיץ משכורת</v>
      </c>
      <c r="C529" s="42">
        <v>32521395</v>
      </c>
      <c r="D529" s="42" t="s">
        <v>954</v>
      </c>
      <c r="E529" s="42" t="s">
        <v>581</v>
      </c>
      <c r="F529" s="42">
        <v>813810</v>
      </c>
      <c r="G529" s="48">
        <v>0</v>
      </c>
      <c r="H529" s="45">
        <v>1573.39</v>
      </c>
      <c r="I529" s="45">
        <f>SUMIFS('שכר 11.2024'!N:N,'שכר 11.2024'!C:C,C:C,'שכר 11.2024'!F:F,F:F)</f>
        <v>0</v>
      </c>
      <c r="J529" s="45">
        <f t="shared" si="28"/>
        <v>1573.39</v>
      </c>
      <c r="K529" s="61">
        <f t="shared" si="29"/>
        <v>1.0349999999999999</v>
      </c>
      <c r="L529" s="45">
        <f t="shared" si="30"/>
        <v>1628.45865</v>
      </c>
      <c r="M529" s="45">
        <f t="shared" si="31"/>
        <v>0</v>
      </c>
    </row>
    <row r="530" spans="1:13" outlineLevel="2" x14ac:dyDescent="0.35">
      <c r="A530" s="42">
        <v>1813810110</v>
      </c>
      <c r="B530" s="42" t="str">
        <f>VLOOKUP(A530,'תקציב מפורט 2025'!A:O,2,FALSE)</f>
        <v>קיטנות קיץ משכורת</v>
      </c>
      <c r="C530" s="42">
        <v>32523425</v>
      </c>
      <c r="D530" s="42" t="s">
        <v>486</v>
      </c>
      <c r="E530" s="42" t="s">
        <v>578</v>
      </c>
      <c r="F530" s="42">
        <v>813810</v>
      </c>
      <c r="G530" s="48">
        <v>0</v>
      </c>
      <c r="H530" s="45">
        <v>1125.05</v>
      </c>
      <c r="I530" s="45">
        <f>SUMIFS('שכר 11.2024'!N:N,'שכר 11.2024'!C:C,C:C,'שכר 11.2024'!F:F,F:F)</f>
        <v>0</v>
      </c>
      <c r="J530" s="45">
        <f t="shared" si="28"/>
        <v>1125.05</v>
      </c>
      <c r="K530" s="61">
        <f t="shared" si="29"/>
        <v>1.0349999999999999</v>
      </c>
      <c r="L530" s="45">
        <f t="shared" si="30"/>
        <v>1164.4267499999999</v>
      </c>
      <c r="M530" s="45">
        <f t="shared" si="31"/>
        <v>0</v>
      </c>
    </row>
    <row r="531" spans="1:13" outlineLevel="2" x14ac:dyDescent="0.35">
      <c r="A531" s="42">
        <v>1813810110</v>
      </c>
      <c r="B531" s="42" t="str">
        <f>VLOOKUP(A531,'תקציב מפורט 2025'!A:O,2,FALSE)</f>
        <v>קיטנות קיץ משכורת</v>
      </c>
      <c r="C531" s="42">
        <v>33105438</v>
      </c>
      <c r="D531" s="42" t="s">
        <v>596</v>
      </c>
      <c r="E531" s="42" t="s">
        <v>534</v>
      </c>
      <c r="F531" s="42">
        <v>813810</v>
      </c>
      <c r="G531" s="48">
        <v>0</v>
      </c>
      <c r="H531" s="45">
        <v>1641.43</v>
      </c>
      <c r="I531" s="45">
        <f>SUMIFS('שכר 11.2024'!N:N,'שכר 11.2024'!C:C,C:C,'שכר 11.2024'!F:F,F:F)</f>
        <v>0</v>
      </c>
      <c r="J531" s="45">
        <f t="shared" si="28"/>
        <v>1641.43</v>
      </c>
      <c r="K531" s="61">
        <f t="shared" si="29"/>
        <v>1.0349999999999999</v>
      </c>
      <c r="L531" s="45">
        <f t="shared" si="30"/>
        <v>1698.88005</v>
      </c>
      <c r="M531" s="45">
        <f t="shared" si="31"/>
        <v>0</v>
      </c>
    </row>
    <row r="532" spans="1:13" outlineLevel="2" x14ac:dyDescent="0.35">
      <c r="A532" s="42">
        <v>1813810110</v>
      </c>
      <c r="B532" s="42" t="str">
        <f>VLOOKUP(A532,'תקציב מפורט 2025'!A:O,2,FALSE)</f>
        <v>קיטנות קיץ משכורת</v>
      </c>
      <c r="C532" s="42">
        <v>33107285</v>
      </c>
      <c r="D532" s="42" t="s">
        <v>434</v>
      </c>
      <c r="E532" s="42" t="s">
        <v>938</v>
      </c>
      <c r="F532" s="42">
        <v>813810</v>
      </c>
      <c r="G532" s="48">
        <v>0</v>
      </c>
      <c r="H532" s="45">
        <v>1691.58</v>
      </c>
      <c r="I532" s="45">
        <f>SUMIFS('שכר 11.2024'!N:N,'שכר 11.2024'!C:C,C:C,'שכר 11.2024'!F:F,F:F)</f>
        <v>0</v>
      </c>
      <c r="J532" s="45">
        <f t="shared" si="28"/>
        <v>1691.58</v>
      </c>
      <c r="K532" s="61">
        <f t="shared" si="29"/>
        <v>1.0349999999999999</v>
      </c>
      <c r="L532" s="45">
        <f t="shared" si="30"/>
        <v>1750.7852999999998</v>
      </c>
      <c r="M532" s="45">
        <f t="shared" si="31"/>
        <v>0</v>
      </c>
    </row>
    <row r="533" spans="1:13" outlineLevel="2" x14ac:dyDescent="0.35">
      <c r="A533" s="42">
        <v>1813810110</v>
      </c>
      <c r="B533" s="42" t="str">
        <f>VLOOKUP(A533,'תקציב מפורט 2025'!A:O,2,FALSE)</f>
        <v>קיטנות קיץ משכורת</v>
      </c>
      <c r="C533" s="42">
        <v>33130634</v>
      </c>
      <c r="D533" s="42" t="s">
        <v>1846</v>
      </c>
      <c r="E533" s="42" t="s">
        <v>572</v>
      </c>
      <c r="F533" s="42">
        <v>813810</v>
      </c>
      <c r="G533" s="48">
        <v>0</v>
      </c>
      <c r="H533" s="45">
        <v>7495.88</v>
      </c>
      <c r="I533" s="45">
        <f>SUMIFS('שכר 11.2024'!N:N,'שכר 11.2024'!C:C,C:C,'שכר 11.2024'!F:F,F:F)</f>
        <v>0</v>
      </c>
      <c r="J533" s="45">
        <f t="shared" si="28"/>
        <v>7495.88</v>
      </c>
      <c r="K533" s="61">
        <f t="shared" si="29"/>
        <v>1.0349999999999999</v>
      </c>
      <c r="L533" s="45">
        <f t="shared" si="30"/>
        <v>7758.2357999999995</v>
      </c>
      <c r="M533" s="45">
        <f t="shared" si="31"/>
        <v>0</v>
      </c>
    </row>
    <row r="534" spans="1:13" outlineLevel="2" x14ac:dyDescent="0.35">
      <c r="A534" s="42">
        <v>1813810110</v>
      </c>
      <c r="B534" s="42" t="str">
        <f>VLOOKUP(A534,'תקציב מפורט 2025'!A:O,2,FALSE)</f>
        <v>קיטנות קיץ משכורת</v>
      </c>
      <c r="C534" s="42">
        <v>33395112</v>
      </c>
      <c r="D534" s="42" t="s">
        <v>540</v>
      </c>
      <c r="E534" s="42" t="s">
        <v>1791</v>
      </c>
      <c r="F534" s="42">
        <v>813810</v>
      </c>
      <c r="G534" s="48">
        <v>0</v>
      </c>
      <c r="H534" s="45">
        <v>4164.38</v>
      </c>
      <c r="I534" s="45">
        <f>SUMIFS('שכר 11.2024'!N:N,'שכר 11.2024'!C:C,C:C,'שכר 11.2024'!F:F,F:F)</f>
        <v>0</v>
      </c>
      <c r="J534" s="45">
        <f t="shared" si="28"/>
        <v>4164.38</v>
      </c>
      <c r="K534" s="61">
        <f t="shared" si="29"/>
        <v>1.0349999999999999</v>
      </c>
      <c r="L534" s="45">
        <f t="shared" si="30"/>
        <v>4310.1332999999995</v>
      </c>
      <c r="M534" s="45">
        <f t="shared" si="31"/>
        <v>0</v>
      </c>
    </row>
    <row r="535" spans="1:13" outlineLevel="2" x14ac:dyDescent="0.35">
      <c r="A535" s="42">
        <v>1813810110</v>
      </c>
      <c r="B535" s="42" t="str">
        <f>VLOOKUP(A535,'תקציב מפורט 2025'!A:O,2,FALSE)</f>
        <v>קיטנות קיץ משכורת</v>
      </c>
      <c r="C535" s="42">
        <v>33426065</v>
      </c>
      <c r="D535" s="42" t="s">
        <v>486</v>
      </c>
      <c r="E535" s="42" t="s">
        <v>582</v>
      </c>
      <c r="F535" s="42">
        <v>813810</v>
      </c>
      <c r="G535" s="48">
        <v>0</v>
      </c>
      <c r="H535" s="45">
        <v>1893.12</v>
      </c>
      <c r="I535" s="45">
        <f>SUMIFS('שכר 11.2024'!N:N,'שכר 11.2024'!C:C,C:C,'שכר 11.2024'!F:F,F:F)</f>
        <v>0</v>
      </c>
      <c r="J535" s="45">
        <f t="shared" si="28"/>
        <v>1893.12</v>
      </c>
      <c r="K535" s="61">
        <f t="shared" si="29"/>
        <v>1.0349999999999999</v>
      </c>
      <c r="L535" s="45">
        <f t="shared" si="30"/>
        <v>1959.3791999999996</v>
      </c>
      <c r="M535" s="45">
        <f t="shared" si="31"/>
        <v>0</v>
      </c>
    </row>
    <row r="536" spans="1:13" outlineLevel="2" x14ac:dyDescent="0.35">
      <c r="A536" s="42">
        <v>1813810110</v>
      </c>
      <c r="B536" s="42" t="str">
        <f>VLOOKUP(A536,'תקציב מפורט 2025'!A:O,2,FALSE)</f>
        <v>קיטנות קיץ משכורת</v>
      </c>
      <c r="C536" s="42">
        <v>33428020</v>
      </c>
      <c r="D536" s="42" t="s">
        <v>595</v>
      </c>
      <c r="E536" s="42" t="s">
        <v>436</v>
      </c>
      <c r="F536" s="42">
        <v>813810</v>
      </c>
      <c r="G536" s="48">
        <v>0</v>
      </c>
      <c r="H536" s="45">
        <v>1894.5</v>
      </c>
      <c r="I536" s="45">
        <f>SUMIFS('שכר 11.2024'!N:N,'שכר 11.2024'!C:C,C:C,'שכר 11.2024'!F:F,F:F)</f>
        <v>0</v>
      </c>
      <c r="J536" s="45">
        <f t="shared" si="28"/>
        <v>1894.5</v>
      </c>
      <c r="K536" s="61">
        <f t="shared" si="29"/>
        <v>1.0349999999999999</v>
      </c>
      <c r="L536" s="45">
        <f t="shared" si="30"/>
        <v>1960.8074999999999</v>
      </c>
      <c r="M536" s="45">
        <f t="shared" si="31"/>
        <v>0</v>
      </c>
    </row>
    <row r="537" spans="1:13" outlineLevel="2" x14ac:dyDescent="0.35">
      <c r="A537" s="42">
        <v>1813810110</v>
      </c>
      <c r="B537" s="42" t="str">
        <f>VLOOKUP(A537,'תקציב מפורט 2025'!A:O,2,FALSE)</f>
        <v>קיטנות קיץ משכורת</v>
      </c>
      <c r="C537" s="42">
        <v>33444837</v>
      </c>
      <c r="D537" s="42" t="s">
        <v>434</v>
      </c>
      <c r="E537" s="42" t="s">
        <v>587</v>
      </c>
      <c r="F537" s="42">
        <v>813810</v>
      </c>
      <c r="G537" s="48">
        <v>0</v>
      </c>
      <c r="H537" s="45">
        <v>756.83</v>
      </c>
      <c r="I537" s="45">
        <f>SUMIFS('שכר 11.2024'!N:N,'שכר 11.2024'!C:C,C:C,'שכר 11.2024'!F:F,F:F)</f>
        <v>0</v>
      </c>
      <c r="J537" s="45">
        <f t="shared" si="28"/>
        <v>756.83</v>
      </c>
      <c r="K537" s="61">
        <f t="shared" si="29"/>
        <v>1.0349999999999999</v>
      </c>
      <c r="L537" s="45">
        <f t="shared" si="30"/>
        <v>783.31904999999995</v>
      </c>
      <c r="M537" s="45">
        <f t="shared" si="31"/>
        <v>0</v>
      </c>
    </row>
    <row r="538" spans="1:13" outlineLevel="2" x14ac:dyDescent="0.35">
      <c r="A538" s="42">
        <v>1813810110</v>
      </c>
      <c r="B538" s="42" t="str">
        <f>VLOOKUP(A538,'תקציב מפורט 2025'!A:O,2,FALSE)</f>
        <v>קיטנות קיץ משכורת</v>
      </c>
      <c r="C538" s="42">
        <v>33610361</v>
      </c>
      <c r="D538" s="42" t="s">
        <v>1743</v>
      </c>
      <c r="E538" s="42" t="s">
        <v>941</v>
      </c>
      <c r="F538" s="42">
        <v>813810</v>
      </c>
      <c r="G538" s="48">
        <v>0</v>
      </c>
      <c r="H538" s="45">
        <v>4321.3599999999997</v>
      </c>
      <c r="I538" s="45">
        <f>SUMIFS('שכר 11.2024'!N:N,'שכר 11.2024'!C:C,C:C,'שכר 11.2024'!F:F,F:F)</f>
        <v>0</v>
      </c>
      <c r="J538" s="45">
        <f t="shared" si="28"/>
        <v>4321.3599999999997</v>
      </c>
      <c r="K538" s="61">
        <f t="shared" si="29"/>
        <v>1.0349999999999999</v>
      </c>
      <c r="L538" s="45">
        <f t="shared" si="30"/>
        <v>4472.6075999999994</v>
      </c>
      <c r="M538" s="45">
        <f t="shared" si="31"/>
        <v>0</v>
      </c>
    </row>
    <row r="539" spans="1:13" outlineLevel="2" x14ac:dyDescent="0.35">
      <c r="A539" s="42">
        <v>1813810110</v>
      </c>
      <c r="B539" s="42" t="str">
        <f>VLOOKUP(A539,'תקציב מפורט 2025'!A:O,2,FALSE)</f>
        <v>קיטנות קיץ משכורת</v>
      </c>
      <c r="C539" s="42">
        <v>33800699</v>
      </c>
      <c r="D539" s="42" t="s">
        <v>448</v>
      </c>
      <c r="E539" s="42" t="s">
        <v>580</v>
      </c>
      <c r="F539" s="42">
        <v>813810</v>
      </c>
      <c r="G539" s="48">
        <v>0</v>
      </c>
      <c r="H539" s="45">
        <v>1235.44</v>
      </c>
      <c r="I539" s="45">
        <f>SUMIFS('שכר 11.2024'!N:N,'שכר 11.2024'!C:C,C:C,'שכר 11.2024'!F:F,F:F)</f>
        <v>0</v>
      </c>
      <c r="J539" s="45">
        <f t="shared" si="28"/>
        <v>1235.44</v>
      </c>
      <c r="K539" s="61">
        <f t="shared" si="29"/>
        <v>1.0349999999999999</v>
      </c>
      <c r="L539" s="45">
        <f t="shared" si="30"/>
        <v>1278.6804</v>
      </c>
      <c r="M539" s="45">
        <f t="shared" si="31"/>
        <v>0</v>
      </c>
    </row>
    <row r="540" spans="1:13" outlineLevel="2" x14ac:dyDescent="0.35">
      <c r="A540" s="42">
        <v>1813810110</v>
      </c>
      <c r="B540" s="42" t="str">
        <f>VLOOKUP(A540,'תקציב מפורט 2025'!A:O,2,FALSE)</f>
        <v>קיטנות קיץ משכורת</v>
      </c>
      <c r="C540" s="42">
        <v>33804816</v>
      </c>
      <c r="D540" s="42" t="s">
        <v>434</v>
      </c>
      <c r="E540" s="42" t="s">
        <v>457</v>
      </c>
      <c r="F540" s="42">
        <v>813810</v>
      </c>
      <c r="G540" s="48">
        <v>0</v>
      </c>
      <c r="H540" s="45">
        <v>4068.92</v>
      </c>
      <c r="I540" s="45">
        <f>SUMIFS('שכר 11.2024'!N:N,'שכר 11.2024'!C:C,C:C,'שכר 11.2024'!F:F,F:F)</f>
        <v>0</v>
      </c>
      <c r="J540" s="45">
        <f t="shared" si="28"/>
        <v>4068.92</v>
      </c>
      <c r="K540" s="61">
        <f t="shared" si="29"/>
        <v>1.0349999999999999</v>
      </c>
      <c r="L540" s="45">
        <f t="shared" si="30"/>
        <v>4211.3321999999998</v>
      </c>
      <c r="M540" s="45">
        <f t="shared" si="31"/>
        <v>0</v>
      </c>
    </row>
    <row r="541" spans="1:13" outlineLevel="2" x14ac:dyDescent="0.35">
      <c r="A541" s="42">
        <v>1813810110</v>
      </c>
      <c r="B541" s="42" t="str">
        <f>VLOOKUP(A541,'תקציב מפורט 2025'!A:O,2,FALSE)</f>
        <v>קיטנות קיץ משכורת</v>
      </c>
      <c r="C541" s="42">
        <v>33813346</v>
      </c>
      <c r="D541" s="42" t="s">
        <v>1738</v>
      </c>
      <c r="E541" s="42" t="s">
        <v>853</v>
      </c>
      <c r="F541" s="42">
        <v>813810</v>
      </c>
      <c r="G541" s="48">
        <v>0</v>
      </c>
      <c r="H541" s="45">
        <v>1121.1099999999999</v>
      </c>
      <c r="I541" s="45">
        <f>SUMIFS('שכר 11.2024'!N:N,'שכר 11.2024'!C:C,C:C,'שכר 11.2024'!F:F,F:F)</f>
        <v>0</v>
      </c>
      <c r="J541" s="45">
        <f t="shared" si="28"/>
        <v>1121.1099999999999</v>
      </c>
      <c r="K541" s="61">
        <f t="shared" si="29"/>
        <v>1.0349999999999999</v>
      </c>
      <c r="L541" s="45">
        <f t="shared" si="30"/>
        <v>1160.3488499999999</v>
      </c>
      <c r="M541" s="45">
        <f t="shared" si="31"/>
        <v>0</v>
      </c>
    </row>
    <row r="542" spans="1:13" outlineLevel="2" x14ac:dyDescent="0.35">
      <c r="A542" s="42">
        <v>1813810110</v>
      </c>
      <c r="B542" s="42" t="str">
        <f>VLOOKUP(A542,'תקציב מפורט 2025'!A:O,2,FALSE)</f>
        <v>קיטנות קיץ משכורת</v>
      </c>
      <c r="C542" s="42">
        <v>34264804</v>
      </c>
      <c r="D542" s="42" t="s">
        <v>434</v>
      </c>
      <c r="E542" s="42" t="s">
        <v>552</v>
      </c>
      <c r="F542" s="42">
        <v>813810</v>
      </c>
      <c r="G542" s="48">
        <v>0</v>
      </c>
      <c r="H542" s="45">
        <v>4574.32</v>
      </c>
      <c r="I542" s="45">
        <f>SUMIFS('שכר 11.2024'!N:N,'שכר 11.2024'!C:C,C:C,'שכר 11.2024'!F:F,F:F)</f>
        <v>0</v>
      </c>
      <c r="J542" s="45">
        <f t="shared" si="28"/>
        <v>4574.32</v>
      </c>
      <c r="K542" s="61">
        <f t="shared" si="29"/>
        <v>1.0349999999999999</v>
      </c>
      <c r="L542" s="45">
        <f t="shared" si="30"/>
        <v>4734.4211999999998</v>
      </c>
      <c r="M542" s="45">
        <f t="shared" si="31"/>
        <v>0</v>
      </c>
    </row>
    <row r="543" spans="1:13" outlineLevel="2" x14ac:dyDescent="0.35">
      <c r="A543" s="42">
        <v>1813810110</v>
      </c>
      <c r="B543" s="42" t="str">
        <f>VLOOKUP(A543,'תקציב מפורט 2025'!A:O,2,FALSE)</f>
        <v>קיטנות קיץ משכורת</v>
      </c>
      <c r="C543" s="42">
        <v>34555235</v>
      </c>
      <c r="D543" s="42" t="s">
        <v>434</v>
      </c>
      <c r="E543" s="42" t="s">
        <v>1704</v>
      </c>
      <c r="F543" s="42">
        <v>813810</v>
      </c>
      <c r="G543" s="48">
        <v>0</v>
      </c>
      <c r="H543" s="45">
        <v>1005.14</v>
      </c>
      <c r="I543" s="45">
        <f>SUMIFS('שכר 11.2024'!N:N,'שכר 11.2024'!C:C,C:C,'שכר 11.2024'!F:F,F:F)</f>
        <v>0</v>
      </c>
      <c r="J543" s="45">
        <f t="shared" si="28"/>
        <v>1005.14</v>
      </c>
      <c r="K543" s="61">
        <f t="shared" si="29"/>
        <v>1.0349999999999999</v>
      </c>
      <c r="L543" s="45">
        <f t="shared" si="30"/>
        <v>1040.3199</v>
      </c>
      <c r="M543" s="45">
        <f t="shared" si="31"/>
        <v>0</v>
      </c>
    </row>
    <row r="544" spans="1:13" outlineLevel="2" x14ac:dyDescent="0.35">
      <c r="A544" s="42">
        <v>1813810110</v>
      </c>
      <c r="B544" s="42" t="str">
        <f>VLOOKUP(A544,'תקציב מפורט 2025'!A:O,2,FALSE)</f>
        <v>קיטנות קיץ משכורת</v>
      </c>
      <c r="C544" s="42">
        <v>34555789</v>
      </c>
      <c r="D544" s="42" t="s">
        <v>446</v>
      </c>
      <c r="E544" s="42" t="s">
        <v>524</v>
      </c>
      <c r="F544" s="42">
        <v>813810</v>
      </c>
      <c r="G544" s="48">
        <v>0</v>
      </c>
      <c r="H544" s="45">
        <v>4478.76</v>
      </c>
      <c r="I544" s="45">
        <f>SUMIFS('שכר 11.2024'!N:N,'שכר 11.2024'!C:C,C:C,'שכר 11.2024'!F:F,F:F)</f>
        <v>0</v>
      </c>
      <c r="J544" s="45">
        <f t="shared" si="28"/>
        <v>4478.76</v>
      </c>
      <c r="K544" s="61">
        <f t="shared" si="29"/>
        <v>1.0349999999999999</v>
      </c>
      <c r="L544" s="45">
        <f t="shared" si="30"/>
        <v>4635.5165999999999</v>
      </c>
      <c r="M544" s="45">
        <f t="shared" si="31"/>
        <v>0</v>
      </c>
    </row>
    <row r="545" spans="1:13" outlineLevel="2" x14ac:dyDescent="0.35">
      <c r="A545" s="42">
        <v>1813810110</v>
      </c>
      <c r="B545" s="42" t="str">
        <f>VLOOKUP(A545,'תקציב מפורט 2025'!A:O,2,FALSE)</f>
        <v>קיטנות קיץ משכורת</v>
      </c>
      <c r="C545" s="42">
        <v>34576298</v>
      </c>
      <c r="D545" s="42" t="s">
        <v>823</v>
      </c>
      <c r="E545" s="42" t="s">
        <v>550</v>
      </c>
      <c r="F545" s="42">
        <v>813810</v>
      </c>
      <c r="G545" s="48">
        <v>0</v>
      </c>
      <c r="H545" s="45">
        <v>1767.53</v>
      </c>
      <c r="I545" s="45">
        <f>SUMIFS('שכר 11.2024'!N:N,'שכר 11.2024'!C:C,C:C,'שכר 11.2024'!F:F,F:F)</f>
        <v>0</v>
      </c>
      <c r="J545" s="45">
        <f t="shared" si="28"/>
        <v>1767.53</v>
      </c>
      <c r="K545" s="61">
        <f t="shared" si="29"/>
        <v>1.0349999999999999</v>
      </c>
      <c r="L545" s="45">
        <f t="shared" si="30"/>
        <v>1829.3935499999998</v>
      </c>
      <c r="M545" s="45">
        <f t="shared" si="31"/>
        <v>0</v>
      </c>
    </row>
    <row r="546" spans="1:13" outlineLevel="2" x14ac:dyDescent="0.35">
      <c r="A546" s="42">
        <v>1813810110</v>
      </c>
      <c r="B546" s="42" t="str">
        <f>VLOOKUP(A546,'תקציב מפורט 2025'!A:O,2,FALSE)</f>
        <v>קיטנות קיץ משכורת</v>
      </c>
      <c r="C546" s="42">
        <v>36068617</v>
      </c>
      <c r="D546" s="42" t="s">
        <v>954</v>
      </c>
      <c r="E546" s="42" t="s">
        <v>571</v>
      </c>
      <c r="F546" s="42">
        <v>813810</v>
      </c>
      <c r="G546" s="48">
        <v>0</v>
      </c>
      <c r="H546" s="45">
        <v>4787.09</v>
      </c>
      <c r="I546" s="45">
        <f>SUMIFS('שכר 11.2024'!N:N,'שכר 11.2024'!C:C,C:C,'שכר 11.2024'!F:F,F:F)</f>
        <v>0</v>
      </c>
      <c r="J546" s="45">
        <f t="shared" si="28"/>
        <v>4787.09</v>
      </c>
      <c r="K546" s="61">
        <f t="shared" si="29"/>
        <v>1.0349999999999999</v>
      </c>
      <c r="L546" s="45">
        <f t="shared" si="30"/>
        <v>4954.6381499999998</v>
      </c>
      <c r="M546" s="45">
        <f t="shared" si="31"/>
        <v>0</v>
      </c>
    </row>
    <row r="547" spans="1:13" outlineLevel="2" x14ac:dyDescent="0.35">
      <c r="A547" s="42">
        <v>1813810110</v>
      </c>
      <c r="B547" s="42" t="str">
        <f>VLOOKUP(A547,'תקציב מפורט 2025'!A:O,2,FALSE)</f>
        <v>קיטנות קיץ משכורת</v>
      </c>
      <c r="C547" s="42">
        <v>36075430</v>
      </c>
      <c r="D547" s="42" t="s">
        <v>545</v>
      </c>
      <c r="E547" s="42" t="s">
        <v>1862</v>
      </c>
      <c r="F547" s="42">
        <v>813810</v>
      </c>
      <c r="G547" s="48">
        <v>0</v>
      </c>
      <c r="H547" s="45">
        <v>9536.52</v>
      </c>
      <c r="I547" s="45">
        <f>SUMIFS('שכר 11.2024'!N:N,'שכר 11.2024'!C:C,C:C,'שכר 11.2024'!F:F,F:F)</f>
        <v>0</v>
      </c>
      <c r="J547" s="45">
        <f t="shared" si="28"/>
        <v>9536.52</v>
      </c>
      <c r="K547" s="61">
        <f t="shared" si="29"/>
        <v>1.0349999999999999</v>
      </c>
      <c r="L547" s="45">
        <f t="shared" si="30"/>
        <v>9870.2981999999993</v>
      </c>
      <c r="M547" s="45">
        <f t="shared" si="31"/>
        <v>0</v>
      </c>
    </row>
    <row r="548" spans="1:13" outlineLevel="2" x14ac:dyDescent="0.35">
      <c r="A548" s="42">
        <v>1813810110</v>
      </c>
      <c r="B548" s="42" t="str">
        <f>VLOOKUP(A548,'תקציב מפורט 2025'!A:O,2,FALSE)</f>
        <v>קיטנות קיץ משכורת</v>
      </c>
      <c r="C548" s="42">
        <v>36391092</v>
      </c>
      <c r="D548" s="42" t="s">
        <v>442</v>
      </c>
      <c r="E548" s="42" t="s">
        <v>586</v>
      </c>
      <c r="F548" s="42">
        <v>813810</v>
      </c>
      <c r="G548" s="48">
        <v>0</v>
      </c>
      <c r="H548" s="45">
        <v>1056.97</v>
      </c>
      <c r="I548" s="45">
        <f>SUMIFS('שכר 11.2024'!N:N,'שכר 11.2024'!C:C,C:C,'שכר 11.2024'!F:F,F:F)</f>
        <v>0</v>
      </c>
      <c r="J548" s="45">
        <f t="shared" si="28"/>
        <v>1056.97</v>
      </c>
      <c r="K548" s="61">
        <f t="shared" si="29"/>
        <v>1.0349999999999999</v>
      </c>
      <c r="L548" s="45">
        <f t="shared" si="30"/>
        <v>1093.9639499999998</v>
      </c>
      <c r="M548" s="45">
        <f t="shared" si="31"/>
        <v>0</v>
      </c>
    </row>
    <row r="549" spans="1:13" outlineLevel="2" x14ac:dyDescent="0.35">
      <c r="A549" s="42">
        <v>1813810110</v>
      </c>
      <c r="B549" s="42" t="str">
        <f>VLOOKUP(A549,'תקציב מפורט 2025'!A:O,2,FALSE)</f>
        <v>קיטנות קיץ משכורת</v>
      </c>
      <c r="C549" s="42">
        <v>36391993</v>
      </c>
      <c r="D549" s="42" t="s">
        <v>835</v>
      </c>
      <c r="E549" s="42" t="s">
        <v>836</v>
      </c>
      <c r="F549" s="42">
        <v>813810</v>
      </c>
      <c r="G549" s="48">
        <v>0</v>
      </c>
      <c r="H549" s="45">
        <v>1684.73</v>
      </c>
      <c r="I549" s="45">
        <f>SUMIFS('שכר 11.2024'!N:N,'שכר 11.2024'!C:C,C:C,'שכר 11.2024'!F:F,F:F)</f>
        <v>0</v>
      </c>
      <c r="J549" s="45">
        <f t="shared" si="28"/>
        <v>1684.73</v>
      </c>
      <c r="K549" s="61">
        <f t="shared" si="29"/>
        <v>1.0349999999999999</v>
      </c>
      <c r="L549" s="45">
        <f t="shared" si="30"/>
        <v>1743.6955499999999</v>
      </c>
      <c r="M549" s="45">
        <f t="shared" si="31"/>
        <v>0</v>
      </c>
    </row>
    <row r="550" spans="1:13" outlineLevel="2" x14ac:dyDescent="0.35">
      <c r="A550" s="42">
        <v>1813810110</v>
      </c>
      <c r="B550" s="42" t="str">
        <f>VLOOKUP(A550,'תקציב מפורט 2025'!A:O,2,FALSE)</f>
        <v>קיטנות קיץ משכורת</v>
      </c>
      <c r="C550" s="42">
        <v>36393023</v>
      </c>
      <c r="D550" s="42" t="s">
        <v>434</v>
      </c>
      <c r="E550" s="42" t="s">
        <v>572</v>
      </c>
      <c r="F550" s="42">
        <v>813810</v>
      </c>
      <c r="G550" s="48">
        <v>0</v>
      </c>
      <c r="H550" s="45">
        <v>7495.88</v>
      </c>
      <c r="I550" s="45">
        <f>SUMIFS('שכר 11.2024'!N:N,'שכר 11.2024'!C:C,C:C,'שכר 11.2024'!F:F,F:F)</f>
        <v>0</v>
      </c>
      <c r="J550" s="45">
        <f t="shared" ref="J550:J613" si="32">H550+I550</f>
        <v>7495.88</v>
      </c>
      <c r="K550" s="61">
        <f t="shared" ref="K550:K613" si="33">3.5/100+1</f>
        <v>1.0349999999999999</v>
      </c>
      <c r="L550" s="45">
        <f t="shared" ref="L550:L613" si="34">J550*K550</f>
        <v>7758.2357999999995</v>
      </c>
      <c r="M550" s="45">
        <f t="shared" ref="M550:M613" si="35">G550/1100</f>
        <v>0</v>
      </c>
    </row>
    <row r="551" spans="1:13" outlineLevel="2" x14ac:dyDescent="0.35">
      <c r="A551" s="42">
        <v>1813810110</v>
      </c>
      <c r="B551" s="42" t="str">
        <f>VLOOKUP(A551,'תקציב מפורט 2025'!A:O,2,FALSE)</f>
        <v>קיטנות קיץ משכורת</v>
      </c>
      <c r="C551" s="42">
        <v>36394484</v>
      </c>
      <c r="D551" s="42" t="s">
        <v>939</v>
      </c>
      <c r="E551" s="42" t="s">
        <v>940</v>
      </c>
      <c r="F551" s="42">
        <v>813810</v>
      </c>
      <c r="G551" s="48">
        <v>0</v>
      </c>
      <c r="H551" s="45">
        <v>7495.98</v>
      </c>
      <c r="I551" s="45">
        <f>SUMIFS('שכר 11.2024'!N:N,'שכר 11.2024'!C:C,C:C,'שכר 11.2024'!F:F,F:F)</f>
        <v>0</v>
      </c>
      <c r="J551" s="45">
        <f t="shared" si="32"/>
        <v>7495.98</v>
      </c>
      <c r="K551" s="61">
        <f t="shared" si="33"/>
        <v>1.0349999999999999</v>
      </c>
      <c r="L551" s="45">
        <f t="shared" si="34"/>
        <v>7758.3392999999987</v>
      </c>
      <c r="M551" s="45">
        <f t="shared" si="35"/>
        <v>0</v>
      </c>
    </row>
    <row r="552" spans="1:13" outlineLevel="2" x14ac:dyDescent="0.35">
      <c r="A552" s="42">
        <v>1813810110</v>
      </c>
      <c r="B552" s="42" t="str">
        <f>VLOOKUP(A552,'תקציב מפורט 2025'!A:O,2,FALSE)</f>
        <v>קיטנות קיץ משכורת</v>
      </c>
      <c r="C552" s="42">
        <v>36482339</v>
      </c>
      <c r="D552" s="42" t="s">
        <v>942</v>
      </c>
      <c r="E552" s="42" t="s">
        <v>485</v>
      </c>
      <c r="F552" s="42">
        <v>813810</v>
      </c>
      <c r="G552" s="48">
        <v>0</v>
      </c>
      <c r="H552" s="45">
        <v>1575.4</v>
      </c>
      <c r="I552" s="45">
        <f>SUMIFS('שכר 11.2024'!N:N,'שכר 11.2024'!C:C,C:C,'שכר 11.2024'!F:F,F:F)</f>
        <v>0</v>
      </c>
      <c r="J552" s="45">
        <f t="shared" si="32"/>
        <v>1575.4</v>
      </c>
      <c r="K552" s="61">
        <f t="shared" si="33"/>
        <v>1.0349999999999999</v>
      </c>
      <c r="L552" s="45">
        <f t="shared" si="34"/>
        <v>1630.539</v>
      </c>
      <c r="M552" s="45">
        <f t="shared" si="35"/>
        <v>0</v>
      </c>
    </row>
    <row r="553" spans="1:13" outlineLevel="2" x14ac:dyDescent="0.35">
      <c r="A553" s="42">
        <v>1813810110</v>
      </c>
      <c r="B553" s="42" t="str">
        <f>VLOOKUP(A553,'תקציב מפורט 2025'!A:O,2,FALSE)</f>
        <v>קיטנות קיץ משכורת</v>
      </c>
      <c r="C553" s="42">
        <v>36655561</v>
      </c>
      <c r="D553" s="42" t="s">
        <v>495</v>
      </c>
      <c r="E553" s="42" t="s">
        <v>909</v>
      </c>
      <c r="F553" s="42">
        <v>813810</v>
      </c>
      <c r="G553" s="48">
        <v>0</v>
      </c>
      <c r="H553" s="45">
        <v>7495.88</v>
      </c>
      <c r="I553" s="45">
        <f>SUMIFS('שכר 11.2024'!N:N,'שכר 11.2024'!C:C,C:C,'שכר 11.2024'!F:F,F:F)</f>
        <v>0</v>
      </c>
      <c r="J553" s="45">
        <f t="shared" si="32"/>
        <v>7495.88</v>
      </c>
      <c r="K553" s="61">
        <f t="shared" si="33"/>
        <v>1.0349999999999999</v>
      </c>
      <c r="L553" s="45">
        <f t="shared" si="34"/>
        <v>7758.2357999999995</v>
      </c>
      <c r="M553" s="45">
        <f t="shared" si="35"/>
        <v>0</v>
      </c>
    </row>
    <row r="554" spans="1:13" outlineLevel="2" x14ac:dyDescent="0.35">
      <c r="A554" s="42">
        <v>1813810110</v>
      </c>
      <c r="B554" s="42" t="str">
        <f>VLOOKUP(A554,'תקציב מפורט 2025'!A:O,2,FALSE)</f>
        <v>קיטנות קיץ משכורת</v>
      </c>
      <c r="C554" s="42">
        <v>37407954</v>
      </c>
      <c r="D554" s="42" t="s">
        <v>490</v>
      </c>
      <c r="E554" s="42" t="s">
        <v>1847</v>
      </c>
      <c r="F554" s="42">
        <v>813810</v>
      </c>
      <c r="G554" s="48">
        <v>0</v>
      </c>
      <c r="H554" s="45">
        <v>7495.88</v>
      </c>
      <c r="I554" s="45">
        <f>SUMIFS('שכר 11.2024'!N:N,'שכר 11.2024'!C:C,C:C,'שכר 11.2024'!F:F,F:F)</f>
        <v>0</v>
      </c>
      <c r="J554" s="45">
        <f t="shared" si="32"/>
        <v>7495.88</v>
      </c>
      <c r="K554" s="61">
        <f t="shared" si="33"/>
        <v>1.0349999999999999</v>
      </c>
      <c r="L554" s="45">
        <f t="shared" si="34"/>
        <v>7758.2357999999995</v>
      </c>
      <c r="M554" s="45">
        <f t="shared" si="35"/>
        <v>0</v>
      </c>
    </row>
    <row r="555" spans="1:13" outlineLevel="2" x14ac:dyDescent="0.35">
      <c r="A555" s="42">
        <v>1813810110</v>
      </c>
      <c r="B555" s="42" t="str">
        <f>VLOOKUP(A555,'תקציב מפורט 2025'!A:O,2,FALSE)</f>
        <v>קיטנות קיץ משכורת</v>
      </c>
      <c r="C555" s="42">
        <v>37412665</v>
      </c>
      <c r="D555" s="42" t="s">
        <v>434</v>
      </c>
      <c r="E555" s="42" t="s">
        <v>582</v>
      </c>
      <c r="F555" s="42">
        <v>813810</v>
      </c>
      <c r="G555" s="48">
        <v>0</v>
      </c>
      <c r="H555" s="45">
        <v>2367.06</v>
      </c>
      <c r="I555" s="45">
        <f>SUMIFS('שכר 11.2024'!N:N,'שכר 11.2024'!C:C,C:C,'שכר 11.2024'!F:F,F:F)</f>
        <v>0</v>
      </c>
      <c r="J555" s="45">
        <f t="shared" si="32"/>
        <v>2367.06</v>
      </c>
      <c r="K555" s="61">
        <f t="shared" si="33"/>
        <v>1.0349999999999999</v>
      </c>
      <c r="L555" s="45">
        <f t="shared" si="34"/>
        <v>2449.9070999999999</v>
      </c>
      <c r="M555" s="45">
        <f t="shared" si="35"/>
        <v>0</v>
      </c>
    </row>
    <row r="556" spans="1:13" outlineLevel="2" x14ac:dyDescent="0.35">
      <c r="A556" s="42">
        <v>1813810110</v>
      </c>
      <c r="B556" s="42" t="str">
        <f>VLOOKUP(A556,'תקציב מפורט 2025'!A:O,2,FALSE)</f>
        <v>קיטנות קיץ משכורת</v>
      </c>
      <c r="C556" s="42">
        <v>37737103</v>
      </c>
      <c r="D556" s="42" t="s">
        <v>526</v>
      </c>
      <c r="E556" s="42" t="s">
        <v>908</v>
      </c>
      <c r="F556" s="42">
        <v>813810</v>
      </c>
      <c r="G556" s="48">
        <v>0</v>
      </c>
      <c r="H556" s="45">
        <v>9536.41</v>
      </c>
      <c r="I556" s="45">
        <f>SUMIFS('שכר 11.2024'!N:N,'שכר 11.2024'!C:C,C:C,'שכר 11.2024'!F:F,F:F)</f>
        <v>0</v>
      </c>
      <c r="J556" s="45">
        <f t="shared" si="32"/>
        <v>9536.41</v>
      </c>
      <c r="K556" s="61">
        <f t="shared" si="33"/>
        <v>1.0349999999999999</v>
      </c>
      <c r="L556" s="45">
        <f t="shared" si="34"/>
        <v>9870.1843499999995</v>
      </c>
      <c r="M556" s="45">
        <f t="shared" si="35"/>
        <v>0</v>
      </c>
    </row>
    <row r="557" spans="1:13" outlineLevel="2" x14ac:dyDescent="0.35">
      <c r="A557" s="42">
        <v>1813810110</v>
      </c>
      <c r="B557" s="42" t="str">
        <f>VLOOKUP(A557,'תקציב מפורט 2025'!A:O,2,FALSE)</f>
        <v>קיטנות קיץ משכורת</v>
      </c>
      <c r="C557" s="42">
        <v>38003646</v>
      </c>
      <c r="D557" s="42" t="s">
        <v>434</v>
      </c>
      <c r="E557" s="42" t="s">
        <v>575</v>
      </c>
      <c r="F557" s="42">
        <v>813810</v>
      </c>
      <c r="G557" s="48">
        <v>0</v>
      </c>
      <c r="H557" s="45">
        <v>1914.81</v>
      </c>
      <c r="I557" s="45">
        <f>SUMIFS('שכר 11.2024'!N:N,'שכר 11.2024'!C:C,C:C,'שכר 11.2024'!F:F,F:F)</f>
        <v>0</v>
      </c>
      <c r="J557" s="45">
        <f t="shared" si="32"/>
        <v>1914.81</v>
      </c>
      <c r="K557" s="61">
        <f t="shared" si="33"/>
        <v>1.0349999999999999</v>
      </c>
      <c r="L557" s="45">
        <f t="shared" si="34"/>
        <v>1981.8283499999998</v>
      </c>
      <c r="M557" s="45">
        <f t="shared" si="35"/>
        <v>0</v>
      </c>
    </row>
    <row r="558" spans="1:13" outlineLevel="2" x14ac:dyDescent="0.35">
      <c r="A558" s="42">
        <v>1813810110</v>
      </c>
      <c r="B558" s="42" t="str">
        <f>VLOOKUP(A558,'תקציב מפורט 2025'!A:O,2,FALSE)</f>
        <v>קיטנות קיץ משכורת</v>
      </c>
      <c r="C558" s="42">
        <v>39129390</v>
      </c>
      <c r="D558" s="42" t="s">
        <v>484</v>
      </c>
      <c r="E558" s="42" t="s">
        <v>438</v>
      </c>
      <c r="F558" s="42">
        <v>813810</v>
      </c>
      <c r="G558" s="48">
        <v>0</v>
      </c>
      <c r="H558" s="45">
        <v>1890.82</v>
      </c>
      <c r="I558" s="45">
        <f>SUMIFS('שכר 11.2024'!N:N,'שכר 11.2024'!C:C,C:C,'שכר 11.2024'!F:F,F:F)</f>
        <v>0</v>
      </c>
      <c r="J558" s="45">
        <f t="shared" si="32"/>
        <v>1890.82</v>
      </c>
      <c r="K558" s="61">
        <f t="shared" si="33"/>
        <v>1.0349999999999999</v>
      </c>
      <c r="L558" s="45">
        <f t="shared" si="34"/>
        <v>1956.9986999999999</v>
      </c>
      <c r="M558" s="45">
        <f t="shared" si="35"/>
        <v>0</v>
      </c>
    </row>
    <row r="559" spans="1:13" outlineLevel="2" x14ac:dyDescent="0.35">
      <c r="A559" s="42">
        <v>1813810110</v>
      </c>
      <c r="B559" s="42" t="str">
        <f>VLOOKUP(A559,'תקציב מפורט 2025'!A:O,2,FALSE)</f>
        <v>קיטנות קיץ משכורת</v>
      </c>
      <c r="C559" s="42">
        <v>39817176</v>
      </c>
      <c r="D559" s="42" t="s">
        <v>442</v>
      </c>
      <c r="E559" s="42" t="s">
        <v>556</v>
      </c>
      <c r="F559" s="42">
        <v>813810</v>
      </c>
      <c r="G559" s="48">
        <v>0</v>
      </c>
      <c r="H559" s="45">
        <v>2815.32</v>
      </c>
      <c r="I559" s="45">
        <f>SUMIFS('שכר 11.2024'!N:N,'שכר 11.2024'!C:C,C:C,'שכר 11.2024'!F:F,F:F)</f>
        <v>0</v>
      </c>
      <c r="J559" s="45">
        <f t="shared" si="32"/>
        <v>2815.32</v>
      </c>
      <c r="K559" s="61">
        <f t="shared" si="33"/>
        <v>1.0349999999999999</v>
      </c>
      <c r="L559" s="45">
        <f t="shared" si="34"/>
        <v>2913.8562000000002</v>
      </c>
      <c r="M559" s="45">
        <f t="shared" si="35"/>
        <v>0</v>
      </c>
    </row>
    <row r="560" spans="1:13" outlineLevel="2" x14ac:dyDescent="0.35">
      <c r="A560" s="42">
        <v>1813810110</v>
      </c>
      <c r="B560" s="42" t="str">
        <f>VLOOKUP(A560,'תקציב מפורט 2025'!A:O,2,FALSE)</f>
        <v>קיטנות קיץ משכורת</v>
      </c>
      <c r="C560" s="42">
        <v>39826649</v>
      </c>
      <c r="D560" s="42" t="s">
        <v>495</v>
      </c>
      <c r="E560" s="42" t="s">
        <v>1825</v>
      </c>
      <c r="F560" s="42">
        <v>813810</v>
      </c>
      <c r="G560" s="48">
        <v>0</v>
      </c>
      <c r="H560" s="45">
        <v>7833.37</v>
      </c>
      <c r="I560" s="45">
        <f>SUMIFS('שכר 11.2024'!N:N,'שכר 11.2024'!C:C,C:C,'שכר 11.2024'!F:F,F:F)</f>
        <v>0</v>
      </c>
      <c r="J560" s="45">
        <f t="shared" si="32"/>
        <v>7833.37</v>
      </c>
      <c r="K560" s="61">
        <f t="shared" si="33"/>
        <v>1.0349999999999999</v>
      </c>
      <c r="L560" s="45">
        <f t="shared" si="34"/>
        <v>8107.537949999999</v>
      </c>
      <c r="M560" s="45">
        <f t="shared" si="35"/>
        <v>0</v>
      </c>
    </row>
    <row r="561" spans="1:13" outlineLevel="2" x14ac:dyDescent="0.35">
      <c r="A561" s="42">
        <v>1813810110</v>
      </c>
      <c r="B561" s="42" t="str">
        <f>VLOOKUP(A561,'תקציב מפורט 2025'!A:O,2,FALSE)</f>
        <v>קיטנות קיץ משכורת</v>
      </c>
      <c r="C561" s="42">
        <v>40463044</v>
      </c>
      <c r="D561" s="42" t="s">
        <v>488</v>
      </c>
      <c r="E561" s="42" t="s">
        <v>586</v>
      </c>
      <c r="F561" s="42">
        <v>813810</v>
      </c>
      <c r="G561" s="48">
        <v>28</v>
      </c>
      <c r="H561" s="45">
        <v>6996.25</v>
      </c>
      <c r="I561" s="45">
        <f>SUMIFS('שכר 11.2024'!N:N,'שכר 11.2024'!C:C,C:C,'שכר 11.2024'!F:F,F:F)</f>
        <v>0</v>
      </c>
      <c r="J561" s="45">
        <f t="shared" si="32"/>
        <v>6996.25</v>
      </c>
      <c r="K561" s="61">
        <f t="shared" si="33"/>
        <v>1.0349999999999999</v>
      </c>
      <c r="L561" s="45">
        <f t="shared" si="34"/>
        <v>7241.1187499999996</v>
      </c>
      <c r="M561" s="45">
        <f t="shared" si="35"/>
        <v>2.5454545454545455E-2</v>
      </c>
    </row>
    <row r="562" spans="1:13" outlineLevel="2" x14ac:dyDescent="0.35">
      <c r="A562" s="42">
        <v>1813810110</v>
      </c>
      <c r="B562" s="42" t="str">
        <f>VLOOKUP(A562,'תקציב מפורט 2025'!A:O,2,FALSE)</f>
        <v>קיטנות קיץ משכורת</v>
      </c>
      <c r="C562" s="42">
        <v>40466393</v>
      </c>
      <c r="D562" s="42" t="s">
        <v>434</v>
      </c>
      <c r="E562" s="42" t="s">
        <v>544</v>
      </c>
      <c r="F562" s="42">
        <v>813810</v>
      </c>
      <c r="G562" s="48">
        <v>0</v>
      </c>
      <c r="H562" s="45">
        <v>1011.49</v>
      </c>
      <c r="I562" s="45">
        <f>SUMIFS('שכר 11.2024'!N:N,'שכר 11.2024'!C:C,C:C,'שכר 11.2024'!F:F,F:F)</f>
        <v>0</v>
      </c>
      <c r="J562" s="45">
        <f t="shared" si="32"/>
        <v>1011.49</v>
      </c>
      <c r="K562" s="61">
        <f t="shared" si="33"/>
        <v>1.0349999999999999</v>
      </c>
      <c r="L562" s="45">
        <f t="shared" si="34"/>
        <v>1046.8921499999999</v>
      </c>
      <c r="M562" s="45">
        <f t="shared" si="35"/>
        <v>0</v>
      </c>
    </row>
    <row r="563" spans="1:13" outlineLevel="2" x14ac:dyDescent="0.35">
      <c r="A563" s="42">
        <v>1813810110</v>
      </c>
      <c r="B563" s="42" t="str">
        <f>VLOOKUP(A563,'תקציב מפורט 2025'!A:O,2,FALSE)</f>
        <v>קיטנות קיץ משכורת</v>
      </c>
      <c r="C563" s="42">
        <v>40809642</v>
      </c>
      <c r="D563" s="42" t="s">
        <v>925</v>
      </c>
      <c r="E563" s="42" t="s">
        <v>566</v>
      </c>
      <c r="F563" s="42">
        <v>813810</v>
      </c>
      <c r="G563" s="48">
        <v>0</v>
      </c>
      <c r="H563" s="45">
        <v>1672.61</v>
      </c>
      <c r="I563" s="45">
        <f>SUMIFS('שכר 11.2024'!N:N,'שכר 11.2024'!C:C,C:C,'שכר 11.2024'!F:F,F:F)</f>
        <v>0</v>
      </c>
      <c r="J563" s="45">
        <f t="shared" si="32"/>
        <v>1672.61</v>
      </c>
      <c r="K563" s="61">
        <f t="shared" si="33"/>
        <v>1.0349999999999999</v>
      </c>
      <c r="L563" s="45">
        <f t="shared" si="34"/>
        <v>1731.1513499999999</v>
      </c>
      <c r="M563" s="45">
        <f t="shared" si="35"/>
        <v>0</v>
      </c>
    </row>
    <row r="564" spans="1:13" outlineLevel="2" x14ac:dyDescent="0.35">
      <c r="A564" s="42">
        <v>1813810110</v>
      </c>
      <c r="B564" s="42" t="str">
        <f>VLOOKUP(A564,'תקציב מפורט 2025'!A:O,2,FALSE)</f>
        <v>קיטנות קיץ משכורת</v>
      </c>
      <c r="C564" s="42">
        <v>40810657</v>
      </c>
      <c r="D564" s="42" t="s">
        <v>837</v>
      </c>
      <c r="E564" s="42" t="s">
        <v>838</v>
      </c>
      <c r="F564" s="42">
        <v>813810</v>
      </c>
      <c r="G564" s="48">
        <v>0</v>
      </c>
      <c r="H564" s="45">
        <v>1348.2</v>
      </c>
      <c r="I564" s="45">
        <f>SUMIFS('שכר 11.2024'!N:N,'שכר 11.2024'!C:C,C:C,'שכר 11.2024'!F:F,F:F)</f>
        <v>0</v>
      </c>
      <c r="J564" s="45">
        <f t="shared" si="32"/>
        <v>1348.2</v>
      </c>
      <c r="K564" s="61">
        <f t="shared" si="33"/>
        <v>1.0349999999999999</v>
      </c>
      <c r="L564" s="45">
        <f t="shared" si="34"/>
        <v>1395.3869999999999</v>
      </c>
      <c r="M564" s="45">
        <f t="shared" si="35"/>
        <v>0</v>
      </c>
    </row>
    <row r="565" spans="1:13" outlineLevel="2" x14ac:dyDescent="0.35">
      <c r="A565" s="42">
        <v>1813810110</v>
      </c>
      <c r="B565" s="42" t="str">
        <f>VLOOKUP(A565,'תקציב מפורט 2025'!A:O,2,FALSE)</f>
        <v>קיטנות קיץ משכורת</v>
      </c>
      <c r="C565" s="42">
        <v>41701228</v>
      </c>
      <c r="D565" s="42" t="s">
        <v>1744</v>
      </c>
      <c r="E565" s="42" t="s">
        <v>555</v>
      </c>
      <c r="F565" s="42">
        <v>813810</v>
      </c>
      <c r="G565" s="48">
        <v>0</v>
      </c>
      <c r="H565" s="45">
        <v>4247.6400000000003</v>
      </c>
      <c r="I565" s="45">
        <f>SUMIFS('שכר 11.2024'!N:N,'שכר 11.2024'!C:C,C:C,'שכר 11.2024'!F:F,F:F)</f>
        <v>0</v>
      </c>
      <c r="J565" s="45">
        <f t="shared" si="32"/>
        <v>4247.6400000000003</v>
      </c>
      <c r="K565" s="61">
        <f t="shared" si="33"/>
        <v>1.0349999999999999</v>
      </c>
      <c r="L565" s="45">
        <f t="shared" si="34"/>
        <v>4396.3073999999997</v>
      </c>
      <c r="M565" s="45">
        <f t="shared" si="35"/>
        <v>0</v>
      </c>
    </row>
    <row r="566" spans="1:13" outlineLevel="2" x14ac:dyDescent="0.35">
      <c r="A566" s="42">
        <v>1813810110</v>
      </c>
      <c r="B566" s="42" t="str">
        <f>VLOOKUP(A566,'תקציב מפורט 2025'!A:O,2,FALSE)</f>
        <v>קיטנות קיץ משכורת</v>
      </c>
      <c r="C566" s="42">
        <v>43469964</v>
      </c>
      <c r="D566" s="42" t="s">
        <v>448</v>
      </c>
      <c r="E566" s="42" t="s">
        <v>483</v>
      </c>
      <c r="F566" s="42">
        <v>813810</v>
      </c>
      <c r="G566" s="48">
        <v>0</v>
      </c>
      <c r="H566" s="45">
        <v>1576.26</v>
      </c>
      <c r="I566" s="45">
        <f>SUMIFS('שכר 11.2024'!N:N,'שכר 11.2024'!C:C,C:C,'שכר 11.2024'!F:F,F:F)</f>
        <v>0</v>
      </c>
      <c r="J566" s="45">
        <f t="shared" si="32"/>
        <v>1576.26</v>
      </c>
      <c r="K566" s="61">
        <f t="shared" si="33"/>
        <v>1.0349999999999999</v>
      </c>
      <c r="L566" s="45">
        <f t="shared" si="34"/>
        <v>1631.4290999999998</v>
      </c>
      <c r="M566" s="45">
        <f t="shared" si="35"/>
        <v>0</v>
      </c>
    </row>
    <row r="567" spans="1:13" outlineLevel="2" x14ac:dyDescent="0.35">
      <c r="A567" s="42">
        <v>1813810110</v>
      </c>
      <c r="B567" s="42" t="str">
        <f>VLOOKUP(A567,'תקציב מפורט 2025'!A:O,2,FALSE)</f>
        <v>קיטנות קיץ משכורת</v>
      </c>
      <c r="C567" s="42">
        <v>43490911</v>
      </c>
      <c r="D567" s="42" t="s">
        <v>442</v>
      </c>
      <c r="E567" s="42" t="s">
        <v>453</v>
      </c>
      <c r="F567" s="42">
        <v>813810</v>
      </c>
      <c r="G567" s="48">
        <v>0</v>
      </c>
      <c r="H567" s="45">
        <v>15990.59</v>
      </c>
      <c r="I567" s="45">
        <f>SUMIFS('שכר 11.2024'!N:N,'שכר 11.2024'!C:C,C:C,'שכר 11.2024'!F:F,F:F)</f>
        <v>0</v>
      </c>
      <c r="J567" s="45">
        <f t="shared" si="32"/>
        <v>15990.59</v>
      </c>
      <c r="K567" s="61">
        <f t="shared" si="33"/>
        <v>1.0349999999999999</v>
      </c>
      <c r="L567" s="45">
        <f t="shared" si="34"/>
        <v>16550.26065</v>
      </c>
      <c r="M567" s="45">
        <f t="shared" si="35"/>
        <v>0</v>
      </c>
    </row>
    <row r="568" spans="1:13" outlineLevel="2" x14ac:dyDescent="0.35">
      <c r="A568" s="42">
        <v>1813810110</v>
      </c>
      <c r="B568" s="42" t="str">
        <f>VLOOKUP(A568,'תקציב מפורט 2025'!A:O,2,FALSE)</f>
        <v>קיטנות קיץ משכורת</v>
      </c>
      <c r="C568" s="42">
        <v>43492578</v>
      </c>
      <c r="D568" s="42" t="s">
        <v>585</v>
      </c>
      <c r="E568" s="42" t="s">
        <v>449</v>
      </c>
      <c r="F568" s="42">
        <v>813810</v>
      </c>
      <c r="G568" s="48">
        <v>0</v>
      </c>
      <c r="H568" s="45">
        <v>2265.6799999999998</v>
      </c>
      <c r="I568" s="45">
        <f>SUMIFS('שכר 11.2024'!N:N,'שכר 11.2024'!C:C,C:C,'שכר 11.2024'!F:F,F:F)</f>
        <v>0</v>
      </c>
      <c r="J568" s="45">
        <f t="shared" si="32"/>
        <v>2265.6799999999998</v>
      </c>
      <c r="K568" s="61">
        <f t="shared" si="33"/>
        <v>1.0349999999999999</v>
      </c>
      <c r="L568" s="45">
        <f t="shared" si="34"/>
        <v>2344.9787999999999</v>
      </c>
      <c r="M568" s="45">
        <f t="shared" si="35"/>
        <v>0</v>
      </c>
    </row>
    <row r="569" spans="1:13" outlineLevel="2" x14ac:dyDescent="0.35">
      <c r="A569" s="42">
        <v>1813810110</v>
      </c>
      <c r="B569" s="42" t="str">
        <f>VLOOKUP(A569,'תקציב מפורט 2025'!A:O,2,FALSE)</f>
        <v>קיטנות קיץ משכורת</v>
      </c>
      <c r="C569" s="42">
        <v>43496264</v>
      </c>
      <c r="D569" s="42" t="s">
        <v>434</v>
      </c>
      <c r="E569" s="42" t="s">
        <v>1863</v>
      </c>
      <c r="F569" s="42">
        <v>813810</v>
      </c>
      <c r="G569" s="48">
        <v>0</v>
      </c>
      <c r="H569" s="45">
        <v>7495.98</v>
      </c>
      <c r="I569" s="45">
        <f>SUMIFS('שכר 11.2024'!N:N,'שכר 11.2024'!C:C,C:C,'שכר 11.2024'!F:F,F:F)</f>
        <v>0</v>
      </c>
      <c r="J569" s="45">
        <f t="shared" si="32"/>
        <v>7495.98</v>
      </c>
      <c r="K569" s="61">
        <f t="shared" si="33"/>
        <v>1.0349999999999999</v>
      </c>
      <c r="L569" s="45">
        <f t="shared" si="34"/>
        <v>7758.3392999999987</v>
      </c>
      <c r="M569" s="45">
        <f t="shared" si="35"/>
        <v>0</v>
      </c>
    </row>
    <row r="570" spans="1:13" outlineLevel="2" x14ac:dyDescent="0.35">
      <c r="A570" s="42">
        <v>1813810110</v>
      </c>
      <c r="B570" s="42" t="str">
        <f>VLOOKUP(A570,'תקציב מפורט 2025'!A:O,2,FALSE)</f>
        <v>קיטנות קיץ משכורת</v>
      </c>
      <c r="C570" s="42">
        <v>49827686</v>
      </c>
      <c r="D570" s="42" t="s">
        <v>448</v>
      </c>
      <c r="E570" s="42" t="s">
        <v>594</v>
      </c>
      <c r="F570" s="42">
        <v>813810</v>
      </c>
      <c r="G570" s="48">
        <v>0</v>
      </c>
      <c r="H570" s="45">
        <v>1529.19</v>
      </c>
      <c r="I570" s="45">
        <f>SUMIFS('שכר 11.2024'!N:N,'שכר 11.2024'!C:C,C:C,'שכר 11.2024'!F:F,F:F)</f>
        <v>0</v>
      </c>
      <c r="J570" s="45">
        <f t="shared" si="32"/>
        <v>1529.19</v>
      </c>
      <c r="K570" s="61">
        <f t="shared" si="33"/>
        <v>1.0349999999999999</v>
      </c>
      <c r="L570" s="45">
        <f t="shared" si="34"/>
        <v>1582.71165</v>
      </c>
      <c r="M570" s="45">
        <f t="shared" si="35"/>
        <v>0</v>
      </c>
    </row>
    <row r="571" spans="1:13" outlineLevel="2" x14ac:dyDescent="0.35">
      <c r="A571" s="42">
        <v>1813810110</v>
      </c>
      <c r="B571" s="42" t="str">
        <f>VLOOKUP(A571,'תקציב מפורט 2025'!A:O,2,FALSE)</f>
        <v>קיטנות קיץ משכורת</v>
      </c>
      <c r="C571" s="42">
        <v>49828908</v>
      </c>
      <c r="D571" s="42" t="s">
        <v>944</v>
      </c>
      <c r="E571" s="42" t="s">
        <v>945</v>
      </c>
      <c r="F571" s="42">
        <v>813810</v>
      </c>
      <c r="G571" s="48">
        <v>0</v>
      </c>
      <c r="H571" s="45">
        <v>7495.98</v>
      </c>
      <c r="I571" s="45">
        <f>SUMIFS('שכר 11.2024'!N:N,'שכר 11.2024'!C:C,C:C,'שכר 11.2024'!F:F,F:F)</f>
        <v>0</v>
      </c>
      <c r="J571" s="45">
        <f t="shared" si="32"/>
        <v>7495.98</v>
      </c>
      <c r="K571" s="61">
        <f t="shared" si="33"/>
        <v>1.0349999999999999</v>
      </c>
      <c r="L571" s="45">
        <f t="shared" si="34"/>
        <v>7758.3392999999987</v>
      </c>
      <c r="M571" s="45">
        <f t="shared" si="35"/>
        <v>0</v>
      </c>
    </row>
    <row r="572" spans="1:13" outlineLevel="2" x14ac:dyDescent="0.35">
      <c r="A572" s="42">
        <v>1813810110</v>
      </c>
      <c r="B572" s="42" t="str">
        <f>VLOOKUP(A572,'תקציב מפורט 2025'!A:O,2,FALSE)</f>
        <v>קיטנות קיץ משכורת</v>
      </c>
      <c r="C572" s="42">
        <v>56315336</v>
      </c>
      <c r="D572" s="42" t="s">
        <v>437</v>
      </c>
      <c r="E572" s="42" t="s">
        <v>436</v>
      </c>
      <c r="F572" s="42">
        <v>813810</v>
      </c>
      <c r="G572" s="48">
        <v>0</v>
      </c>
      <c r="H572" s="45">
        <v>4439.55</v>
      </c>
      <c r="I572" s="45">
        <f>SUMIFS('שכר 11.2024'!N:N,'שכר 11.2024'!C:C,C:C,'שכר 11.2024'!F:F,F:F)</f>
        <v>0</v>
      </c>
      <c r="J572" s="45">
        <f t="shared" si="32"/>
        <v>4439.55</v>
      </c>
      <c r="K572" s="61">
        <f t="shared" si="33"/>
        <v>1.0349999999999999</v>
      </c>
      <c r="L572" s="45">
        <f t="shared" si="34"/>
        <v>4594.9342500000002</v>
      </c>
      <c r="M572" s="45">
        <f t="shared" si="35"/>
        <v>0</v>
      </c>
    </row>
    <row r="573" spans="1:13" outlineLevel="2" x14ac:dyDescent="0.35">
      <c r="A573" s="42">
        <v>1813810110</v>
      </c>
      <c r="B573" s="42" t="str">
        <f>VLOOKUP(A573,'תקציב מפורט 2025'!A:O,2,FALSE)</f>
        <v>קיטנות קיץ משכורת</v>
      </c>
      <c r="C573" s="42">
        <v>59478925</v>
      </c>
      <c r="D573" s="42" t="s">
        <v>565</v>
      </c>
      <c r="E573" s="42" t="s">
        <v>564</v>
      </c>
      <c r="F573" s="42">
        <v>813810</v>
      </c>
      <c r="G573" s="48">
        <v>0</v>
      </c>
      <c r="H573" s="45">
        <v>1126.6500000000001</v>
      </c>
      <c r="I573" s="45">
        <f>SUMIFS('שכר 11.2024'!N:N,'שכר 11.2024'!C:C,C:C,'שכר 11.2024'!F:F,F:F)</f>
        <v>0</v>
      </c>
      <c r="J573" s="45">
        <f t="shared" si="32"/>
        <v>1126.6500000000001</v>
      </c>
      <c r="K573" s="61">
        <f t="shared" si="33"/>
        <v>1.0349999999999999</v>
      </c>
      <c r="L573" s="45">
        <f t="shared" si="34"/>
        <v>1166.08275</v>
      </c>
      <c r="M573" s="45">
        <f t="shared" si="35"/>
        <v>0</v>
      </c>
    </row>
    <row r="574" spans="1:13" outlineLevel="2" x14ac:dyDescent="0.35">
      <c r="A574" s="42">
        <v>1813810110</v>
      </c>
      <c r="B574" s="42" t="str">
        <f>VLOOKUP(A574,'תקציב מפורט 2025'!A:O,2,FALSE)</f>
        <v>קיטנות קיץ משכורת</v>
      </c>
      <c r="C574" s="42">
        <v>60141090</v>
      </c>
      <c r="D574" s="42" t="s">
        <v>434</v>
      </c>
      <c r="E574" s="42" t="s">
        <v>481</v>
      </c>
      <c r="F574" s="42">
        <v>813810</v>
      </c>
      <c r="G574" s="48">
        <v>0</v>
      </c>
      <c r="H574" s="45">
        <v>941.73</v>
      </c>
      <c r="I574" s="45">
        <f>SUMIFS('שכר 11.2024'!N:N,'שכר 11.2024'!C:C,C:C,'שכר 11.2024'!F:F,F:F)</f>
        <v>0</v>
      </c>
      <c r="J574" s="45">
        <f t="shared" si="32"/>
        <v>941.73</v>
      </c>
      <c r="K574" s="61">
        <f t="shared" si="33"/>
        <v>1.0349999999999999</v>
      </c>
      <c r="L574" s="45">
        <f t="shared" si="34"/>
        <v>974.69054999999992</v>
      </c>
      <c r="M574" s="45">
        <f t="shared" si="35"/>
        <v>0</v>
      </c>
    </row>
    <row r="575" spans="1:13" outlineLevel="2" x14ac:dyDescent="0.35">
      <c r="A575" s="42">
        <v>1813810110</v>
      </c>
      <c r="B575" s="42" t="str">
        <f>VLOOKUP(A575,'תקציב מפורט 2025'!A:O,2,FALSE)</f>
        <v>קיטנות קיץ משכורת</v>
      </c>
      <c r="C575" s="42">
        <v>60142221</v>
      </c>
      <c r="D575" s="42" t="s">
        <v>442</v>
      </c>
      <c r="E575" s="42" t="s">
        <v>855</v>
      </c>
      <c r="F575" s="42">
        <v>813810</v>
      </c>
      <c r="G575" s="48">
        <v>0</v>
      </c>
      <c r="H575" s="45">
        <v>4258.8</v>
      </c>
      <c r="I575" s="45">
        <f>SUMIFS('שכר 11.2024'!N:N,'שכר 11.2024'!C:C,C:C,'שכר 11.2024'!F:F,F:F)</f>
        <v>0</v>
      </c>
      <c r="J575" s="45">
        <f t="shared" si="32"/>
        <v>4258.8</v>
      </c>
      <c r="K575" s="61">
        <f t="shared" si="33"/>
        <v>1.0349999999999999</v>
      </c>
      <c r="L575" s="45">
        <f t="shared" si="34"/>
        <v>4407.8580000000002</v>
      </c>
      <c r="M575" s="45">
        <f t="shared" si="35"/>
        <v>0</v>
      </c>
    </row>
    <row r="576" spans="1:13" outlineLevel="2" x14ac:dyDescent="0.35">
      <c r="A576" s="42">
        <v>1813810110</v>
      </c>
      <c r="B576" s="42" t="str">
        <f>VLOOKUP(A576,'תקציב מפורט 2025'!A:O,2,FALSE)</f>
        <v>קיטנות קיץ משכורת</v>
      </c>
      <c r="C576" s="42">
        <v>60463957</v>
      </c>
      <c r="D576" s="42" t="s">
        <v>442</v>
      </c>
      <c r="E576" s="42" t="s">
        <v>441</v>
      </c>
      <c r="F576" s="42">
        <v>813810</v>
      </c>
      <c r="G576" s="48">
        <v>0</v>
      </c>
      <c r="H576" s="45">
        <v>1566.6</v>
      </c>
      <c r="I576" s="45">
        <f>SUMIFS('שכר 11.2024'!N:N,'שכר 11.2024'!C:C,C:C,'שכר 11.2024'!F:F,F:F)</f>
        <v>0</v>
      </c>
      <c r="J576" s="45">
        <f t="shared" si="32"/>
        <v>1566.6</v>
      </c>
      <c r="K576" s="61">
        <f t="shared" si="33"/>
        <v>1.0349999999999999</v>
      </c>
      <c r="L576" s="45">
        <f t="shared" si="34"/>
        <v>1621.4309999999998</v>
      </c>
      <c r="M576" s="45">
        <f t="shared" si="35"/>
        <v>0</v>
      </c>
    </row>
    <row r="577" spans="1:13" outlineLevel="2" x14ac:dyDescent="0.35">
      <c r="A577" s="42">
        <v>1813810110</v>
      </c>
      <c r="B577" s="42" t="str">
        <f>VLOOKUP(A577,'תקציב מפורט 2025'!A:O,2,FALSE)</f>
        <v>קיטנות קיץ משכורת</v>
      </c>
      <c r="C577" s="42">
        <v>61249892</v>
      </c>
      <c r="D577" s="42" t="s">
        <v>434</v>
      </c>
      <c r="E577" s="42" t="s">
        <v>510</v>
      </c>
      <c r="F577" s="42">
        <v>813810</v>
      </c>
      <c r="G577" s="48">
        <v>0</v>
      </c>
      <c r="H577" s="45">
        <v>1115.2</v>
      </c>
      <c r="I577" s="45">
        <f>SUMIFS('שכר 11.2024'!N:N,'שכר 11.2024'!C:C,C:C,'שכר 11.2024'!F:F,F:F)</f>
        <v>0</v>
      </c>
      <c r="J577" s="45">
        <f t="shared" si="32"/>
        <v>1115.2</v>
      </c>
      <c r="K577" s="61">
        <f t="shared" si="33"/>
        <v>1.0349999999999999</v>
      </c>
      <c r="L577" s="45">
        <f t="shared" si="34"/>
        <v>1154.232</v>
      </c>
      <c r="M577" s="45">
        <f t="shared" si="35"/>
        <v>0</v>
      </c>
    </row>
    <row r="578" spans="1:13" outlineLevel="2" x14ac:dyDescent="0.35">
      <c r="A578" s="42">
        <v>1813810110</v>
      </c>
      <c r="B578" s="42" t="str">
        <f>VLOOKUP(A578,'תקציב מפורט 2025'!A:O,2,FALSE)</f>
        <v>קיטנות קיץ משכורת</v>
      </c>
      <c r="C578" s="42">
        <v>61263398</v>
      </c>
      <c r="D578" s="42" t="s">
        <v>442</v>
      </c>
      <c r="E578" s="42" t="s">
        <v>554</v>
      </c>
      <c r="F578" s="42">
        <v>813810</v>
      </c>
      <c r="G578" s="48">
        <v>0</v>
      </c>
      <c r="H578" s="45">
        <v>3999.38</v>
      </c>
      <c r="I578" s="45">
        <f>SUMIFS('שכר 11.2024'!N:N,'שכר 11.2024'!C:C,C:C,'שכר 11.2024'!F:F,F:F)</f>
        <v>0</v>
      </c>
      <c r="J578" s="45">
        <f t="shared" si="32"/>
        <v>3999.38</v>
      </c>
      <c r="K578" s="61">
        <f t="shared" si="33"/>
        <v>1.0349999999999999</v>
      </c>
      <c r="L578" s="45">
        <f t="shared" si="34"/>
        <v>4139.3582999999999</v>
      </c>
      <c r="M578" s="45">
        <f t="shared" si="35"/>
        <v>0</v>
      </c>
    </row>
    <row r="579" spans="1:13" outlineLevel="2" x14ac:dyDescent="0.35">
      <c r="A579" s="42">
        <v>1813810110</v>
      </c>
      <c r="B579" s="42" t="str">
        <f>VLOOKUP(A579,'תקציב מפורט 2025'!A:O,2,FALSE)</f>
        <v>קיטנות קיץ משכורת</v>
      </c>
      <c r="C579" s="42">
        <v>61267373</v>
      </c>
      <c r="D579" s="42" t="s">
        <v>545</v>
      </c>
      <c r="E579" s="42" t="s">
        <v>824</v>
      </c>
      <c r="F579" s="42">
        <v>813810</v>
      </c>
      <c r="G579" s="48">
        <v>0</v>
      </c>
      <c r="H579" s="45">
        <v>1685.34</v>
      </c>
      <c r="I579" s="45">
        <f>SUMIFS('שכר 11.2024'!N:N,'שכר 11.2024'!C:C,C:C,'שכר 11.2024'!F:F,F:F)</f>
        <v>0</v>
      </c>
      <c r="J579" s="45">
        <f t="shared" si="32"/>
        <v>1685.34</v>
      </c>
      <c r="K579" s="61">
        <f t="shared" si="33"/>
        <v>1.0349999999999999</v>
      </c>
      <c r="L579" s="45">
        <f t="shared" si="34"/>
        <v>1744.3268999999998</v>
      </c>
      <c r="M579" s="45">
        <f t="shared" si="35"/>
        <v>0</v>
      </c>
    </row>
    <row r="580" spans="1:13" outlineLevel="2" x14ac:dyDescent="0.35">
      <c r="A580" s="42">
        <v>1813810110</v>
      </c>
      <c r="B580" s="42" t="str">
        <f>VLOOKUP(A580,'תקציב מפורט 2025'!A:O,2,FALSE)</f>
        <v>קיטנות קיץ משכורת</v>
      </c>
      <c r="C580" s="42">
        <v>61297214</v>
      </c>
      <c r="D580" s="42" t="s">
        <v>464</v>
      </c>
      <c r="E580" s="42" t="s">
        <v>1705</v>
      </c>
      <c r="F580" s="42">
        <v>813810</v>
      </c>
      <c r="G580" s="48">
        <v>0</v>
      </c>
      <c r="H580" s="45">
        <v>1686.37</v>
      </c>
      <c r="I580" s="45">
        <f>SUMIFS('שכר 11.2024'!N:N,'שכר 11.2024'!C:C,C:C,'שכר 11.2024'!F:F,F:F)</f>
        <v>0</v>
      </c>
      <c r="J580" s="45">
        <f t="shared" si="32"/>
        <v>1686.37</v>
      </c>
      <c r="K580" s="61">
        <f t="shared" si="33"/>
        <v>1.0349999999999999</v>
      </c>
      <c r="L580" s="45">
        <f t="shared" si="34"/>
        <v>1745.3929499999997</v>
      </c>
      <c r="M580" s="45">
        <f t="shared" si="35"/>
        <v>0</v>
      </c>
    </row>
    <row r="581" spans="1:13" outlineLevel="2" x14ac:dyDescent="0.35">
      <c r="A581" s="42">
        <v>1813810110</v>
      </c>
      <c r="B581" s="42" t="str">
        <f>VLOOKUP(A581,'תקציב מפורט 2025'!A:O,2,FALSE)</f>
        <v>קיטנות קיץ משכורת</v>
      </c>
      <c r="C581" s="42">
        <v>66052861</v>
      </c>
      <c r="D581" s="42" t="s">
        <v>954</v>
      </c>
      <c r="E581" s="42" t="s">
        <v>947</v>
      </c>
      <c r="F581" s="42">
        <v>813810</v>
      </c>
      <c r="G581" s="48">
        <v>0</v>
      </c>
      <c r="H581" s="45">
        <v>9536.52</v>
      </c>
      <c r="I581" s="45">
        <f>SUMIFS('שכר 11.2024'!N:N,'שכר 11.2024'!C:C,C:C,'שכר 11.2024'!F:F,F:F)</f>
        <v>0</v>
      </c>
      <c r="J581" s="45">
        <f t="shared" si="32"/>
        <v>9536.52</v>
      </c>
      <c r="K581" s="61">
        <f t="shared" si="33"/>
        <v>1.0349999999999999</v>
      </c>
      <c r="L581" s="45">
        <f t="shared" si="34"/>
        <v>9870.2981999999993</v>
      </c>
      <c r="M581" s="45">
        <f t="shared" si="35"/>
        <v>0</v>
      </c>
    </row>
    <row r="582" spans="1:13" outlineLevel="2" x14ac:dyDescent="0.35">
      <c r="A582" s="42">
        <v>1813810110</v>
      </c>
      <c r="B582" s="42" t="str">
        <f>VLOOKUP(A582,'תקציב מפורט 2025'!A:O,2,FALSE)</f>
        <v>קיטנות קיץ משכורת</v>
      </c>
      <c r="C582" s="42">
        <v>66053224</v>
      </c>
      <c r="D582" s="42" t="s">
        <v>442</v>
      </c>
      <c r="E582" s="42" t="s">
        <v>579</v>
      </c>
      <c r="F582" s="42">
        <v>813810</v>
      </c>
      <c r="G582" s="48">
        <v>0</v>
      </c>
      <c r="H582" s="45">
        <v>7495.88</v>
      </c>
      <c r="I582" s="45">
        <f>SUMIFS('שכר 11.2024'!N:N,'שכר 11.2024'!C:C,C:C,'שכר 11.2024'!F:F,F:F)</f>
        <v>0</v>
      </c>
      <c r="J582" s="45">
        <f t="shared" si="32"/>
        <v>7495.88</v>
      </c>
      <c r="K582" s="61">
        <f t="shared" si="33"/>
        <v>1.0349999999999999</v>
      </c>
      <c r="L582" s="45">
        <f t="shared" si="34"/>
        <v>7758.2357999999995</v>
      </c>
      <c r="M582" s="45">
        <f t="shared" si="35"/>
        <v>0</v>
      </c>
    </row>
    <row r="583" spans="1:13" outlineLevel="2" x14ac:dyDescent="0.35">
      <c r="A583" s="42">
        <v>1813810110</v>
      </c>
      <c r="B583" s="42" t="str">
        <f>VLOOKUP(A583,'תקציב מפורט 2025'!A:O,2,FALSE)</f>
        <v>קיטנות קיץ משכורת</v>
      </c>
      <c r="C583" s="42">
        <v>200614675</v>
      </c>
      <c r="D583" s="42" t="s">
        <v>526</v>
      </c>
      <c r="E583" s="42" t="s">
        <v>1837</v>
      </c>
      <c r="F583" s="42">
        <v>813810</v>
      </c>
      <c r="G583" s="48">
        <v>0</v>
      </c>
      <c r="H583" s="45">
        <v>6996.15</v>
      </c>
      <c r="I583" s="45">
        <f>SUMIFS('שכר 11.2024'!N:N,'שכר 11.2024'!C:C,C:C,'שכר 11.2024'!F:F,F:F)</f>
        <v>0</v>
      </c>
      <c r="J583" s="45">
        <f t="shared" si="32"/>
        <v>6996.15</v>
      </c>
      <c r="K583" s="61">
        <f t="shared" si="33"/>
        <v>1.0349999999999999</v>
      </c>
      <c r="L583" s="45">
        <f t="shared" si="34"/>
        <v>7241.0152499999995</v>
      </c>
      <c r="M583" s="45">
        <f t="shared" si="35"/>
        <v>0</v>
      </c>
    </row>
    <row r="584" spans="1:13" outlineLevel="2" x14ac:dyDescent="0.35">
      <c r="A584" s="42">
        <v>1813810110</v>
      </c>
      <c r="B584" s="42" t="str">
        <f>VLOOKUP(A584,'תקציב מפורט 2025'!A:O,2,FALSE)</f>
        <v>קיטנות קיץ משכורת</v>
      </c>
      <c r="C584" s="42">
        <v>203910088</v>
      </c>
      <c r="D584" s="42" t="s">
        <v>1864</v>
      </c>
      <c r="E584" s="42" t="s">
        <v>443</v>
      </c>
      <c r="F584" s="42">
        <v>813810</v>
      </c>
      <c r="G584" s="48">
        <v>0</v>
      </c>
      <c r="H584" s="45">
        <v>7495.88</v>
      </c>
      <c r="I584" s="45">
        <f>SUMIFS('שכר 11.2024'!N:N,'שכר 11.2024'!C:C,C:C,'שכר 11.2024'!F:F,F:F)</f>
        <v>0</v>
      </c>
      <c r="J584" s="45">
        <f t="shared" si="32"/>
        <v>7495.88</v>
      </c>
      <c r="K584" s="61">
        <f t="shared" si="33"/>
        <v>1.0349999999999999</v>
      </c>
      <c r="L584" s="45">
        <f t="shared" si="34"/>
        <v>7758.2357999999995</v>
      </c>
      <c r="M584" s="45">
        <f t="shared" si="35"/>
        <v>0</v>
      </c>
    </row>
    <row r="585" spans="1:13" outlineLevel="2" x14ac:dyDescent="0.35">
      <c r="A585" s="42">
        <v>1813810110</v>
      </c>
      <c r="B585" s="42" t="str">
        <f>VLOOKUP(A585,'תקציב מפורט 2025'!A:O,2,FALSE)</f>
        <v>קיטנות קיץ משכורת</v>
      </c>
      <c r="C585" s="42">
        <v>203914221</v>
      </c>
      <c r="D585" s="42" t="s">
        <v>506</v>
      </c>
      <c r="E585" s="42" t="s">
        <v>910</v>
      </c>
      <c r="F585" s="42">
        <v>813810</v>
      </c>
      <c r="G585" s="48">
        <v>0</v>
      </c>
      <c r="H585" s="45">
        <v>3697.97</v>
      </c>
      <c r="I585" s="45">
        <f>SUMIFS('שכר 11.2024'!N:N,'שכר 11.2024'!C:C,C:C,'שכר 11.2024'!F:F,F:F)</f>
        <v>0</v>
      </c>
      <c r="J585" s="45">
        <f t="shared" si="32"/>
        <v>3697.97</v>
      </c>
      <c r="K585" s="61">
        <f t="shared" si="33"/>
        <v>1.0349999999999999</v>
      </c>
      <c r="L585" s="45">
        <f t="shared" si="34"/>
        <v>3827.3989499999993</v>
      </c>
      <c r="M585" s="45">
        <f t="shared" si="35"/>
        <v>0</v>
      </c>
    </row>
    <row r="586" spans="1:13" outlineLevel="2" x14ac:dyDescent="0.35">
      <c r="A586" s="42">
        <v>1813810110</v>
      </c>
      <c r="B586" s="42" t="str">
        <f>VLOOKUP(A586,'תקציב מפורט 2025'!A:O,2,FALSE)</f>
        <v>קיטנות קיץ משכורת</v>
      </c>
      <c r="C586" s="42">
        <v>204137772</v>
      </c>
      <c r="D586" s="42" t="s">
        <v>448</v>
      </c>
      <c r="E586" s="42" t="s">
        <v>822</v>
      </c>
      <c r="F586" s="42">
        <v>813810</v>
      </c>
      <c r="G586" s="48">
        <v>0</v>
      </c>
      <c r="H586" s="45">
        <v>7438.69</v>
      </c>
      <c r="I586" s="45">
        <f>SUMIFS('שכר 11.2024'!N:N,'שכר 11.2024'!C:C,C:C,'שכר 11.2024'!F:F,F:F)</f>
        <v>0</v>
      </c>
      <c r="J586" s="45">
        <f t="shared" si="32"/>
        <v>7438.69</v>
      </c>
      <c r="K586" s="61">
        <f t="shared" si="33"/>
        <v>1.0349999999999999</v>
      </c>
      <c r="L586" s="45">
        <f t="shared" si="34"/>
        <v>7699.0441499999988</v>
      </c>
      <c r="M586" s="45">
        <f t="shared" si="35"/>
        <v>0</v>
      </c>
    </row>
    <row r="587" spans="1:13" outlineLevel="2" x14ac:dyDescent="0.35">
      <c r="A587" s="42">
        <v>1813810110</v>
      </c>
      <c r="B587" s="42" t="str">
        <f>VLOOKUP(A587,'תקציב מפורט 2025'!A:O,2,FALSE)</f>
        <v>קיטנות קיץ משכורת</v>
      </c>
      <c r="C587" s="42">
        <v>204162051</v>
      </c>
      <c r="D587" s="42" t="s">
        <v>515</v>
      </c>
      <c r="E587" s="42" t="s">
        <v>851</v>
      </c>
      <c r="F587" s="42">
        <v>813810</v>
      </c>
      <c r="G587" s="48">
        <v>0</v>
      </c>
      <c r="H587" s="45">
        <v>3807.56</v>
      </c>
      <c r="I587" s="45">
        <f>SUMIFS('שכר 11.2024'!N:N,'שכר 11.2024'!C:C,C:C,'שכר 11.2024'!F:F,F:F)</f>
        <v>0</v>
      </c>
      <c r="J587" s="45">
        <f t="shared" si="32"/>
        <v>3807.56</v>
      </c>
      <c r="K587" s="61">
        <f t="shared" si="33"/>
        <v>1.0349999999999999</v>
      </c>
      <c r="L587" s="45">
        <f t="shared" si="34"/>
        <v>3940.8245999999995</v>
      </c>
      <c r="M587" s="45">
        <f t="shared" si="35"/>
        <v>0</v>
      </c>
    </row>
    <row r="588" spans="1:13" outlineLevel="2" x14ac:dyDescent="0.35">
      <c r="A588" s="42">
        <v>1813810110</v>
      </c>
      <c r="B588" s="42" t="str">
        <f>VLOOKUP(A588,'תקציב מפורט 2025'!A:O,2,FALSE)</f>
        <v>קיטנות קיץ משכורת</v>
      </c>
      <c r="C588" s="42">
        <v>204189153</v>
      </c>
      <c r="D588" s="42" t="s">
        <v>538</v>
      </c>
      <c r="E588" s="42" t="s">
        <v>1696</v>
      </c>
      <c r="F588" s="42">
        <v>813810</v>
      </c>
      <c r="G588" s="48">
        <v>0</v>
      </c>
      <c r="H588" s="45">
        <v>3451.43</v>
      </c>
      <c r="I588" s="45">
        <f>SUMIFS('שכר 11.2024'!N:N,'שכר 11.2024'!C:C,C:C,'שכר 11.2024'!F:F,F:F)</f>
        <v>0</v>
      </c>
      <c r="J588" s="45">
        <f t="shared" si="32"/>
        <v>3451.43</v>
      </c>
      <c r="K588" s="61">
        <f t="shared" si="33"/>
        <v>1.0349999999999999</v>
      </c>
      <c r="L588" s="45">
        <f t="shared" si="34"/>
        <v>3572.2300499999997</v>
      </c>
      <c r="M588" s="45">
        <f t="shared" si="35"/>
        <v>0</v>
      </c>
    </row>
    <row r="589" spans="1:13" outlineLevel="2" x14ac:dyDescent="0.35">
      <c r="A589" s="42">
        <v>1813810110</v>
      </c>
      <c r="B589" s="42" t="str">
        <f>VLOOKUP(A589,'תקציב מפורט 2025'!A:O,2,FALSE)</f>
        <v>קיטנות קיץ משכורת</v>
      </c>
      <c r="C589" s="42">
        <v>204559645</v>
      </c>
      <c r="D589" s="42" t="s">
        <v>448</v>
      </c>
      <c r="E589" s="42" t="s">
        <v>1865</v>
      </c>
      <c r="F589" s="42">
        <v>813810</v>
      </c>
      <c r="G589" s="48">
        <v>0</v>
      </c>
      <c r="H589" s="45">
        <v>6996.15</v>
      </c>
      <c r="I589" s="45">
        <f>SUMIFS('שכר 11.2024'!N:N,'שכר 11.2024'!C:C,C:C,'שכר 11.2024'!F:F,F:F)</f>
        <v>0</v>
      </c>
      <c r="J589" s="45">
        <f t="shared" si="32"/>
        <v>6996.15</v>
      </c>
      <c r="K589" s="61">
        <f t="shared" si="33"/>
        <v>1.0349999999999999</v>
      </c>
      <c r="L589" s="45">
        <f t="shared" si="34"/>
        <v>7241.0152499999995</v>
      </c>
      <c r="M589" s="45">
        <f t="shared" si="35"/>
        <v>0</v>
      </c>
    </row>
    <row r="590" spans="1:13" outlineLevel="2" x14ac:dyDescent="0.35">
      <c r="A590" s="42">
        <v>1813810110</v>
      </c>
      <c r="B590" s="42" t="str">
        <f>VLOOKUP(A590,'תקציב מפורט 2025'!A:O,2,FALSE)</f>
        <v>קיטנות קיץ משכורת</v>
      </c>
      <c r="C590" s="42">
        <v>205678626</v>
      </c>
      <c r="D590" s="42" t="s">
        <v>911</v>
      </c>
      <c r="E590" s="42" t="s">
        <v>591</v>
      </c>
      <c r="F590" s="42">
        <v>813810</v>
      </c>
      <c r="G590" s="48">
        <v>0</v>
      </c>
      <c r="H590" s="45">
        <v>2958.37</v>
      </c>
      <c r="I590" s="45">
        <f>SUMIFS('שכר 11.2024'!N:N,'שכר 11.2024'!C:C,C:C,'שכר 11.2024'!F:F,F:F)</f>
        <v>0</v>
      </c>
      <c r="J590" s="45">
        <f t="shared" si="32"/>
        <v>2958.37</v>
      </c>
      <c r="K590" s="61">
        <f t="shared" si="33"/>
        <v>1.0349999999999999</v>
      </c>
      <c r="L590" s="45">
        <f t="shared" si="34"/>
        <v>3061.9129499999995</v>
      </c>
      <c r="M590" s="45">
        <f t="shared" si="35"/>
        <v>0</v>
      </c>
    </row>
    <row r="591" spans="1:13" outlineLevel="2" x14ac:dyDescent="0.35">
      <c r="A591" s="42">
        <v>1813810110</v>
      </c>
      <c r="B591" s="42" t="str">
        <f>VLOOKUP(A591,'תקציב מפורט 2025'!A:O,2,FALSE)</f>
        <v>קיטנות קיץ משכורת</v>
      </c>
      <c r="C591" s="42">
        <v>205760101</v>
      </c>
      <c r="D591" s="42" t="s">
        <v>434</v>
      </c>
      <c r="E591" s="42" t="s">
        <v>479</v>
      </c>
      <c r="F591" s="42">
        <v>813810</v>
      </c>
      <c r="G591" s="48">
        <v>0</v>
      </c>
      <c r="H591" s="45">
        <v>1461.66</v>
      </c>
      <c r="I591" s="45">
        <f>SUMIFS('שכר 11.2024'!N:N,'שכר 11.2024'!C:C,C:C,'שכר 11.2024'!F:F,F:F)</f>
        <v>0</v>
      </c>
      <c r="J591" s="45">
        <f t="shared" si="32"/>
        <v>1461.66</v>
      </c>
      <c r="K591" s="61">
        <f t="shared" si="33"/>
        <v>1.0349999999999999</v>
      </c>
      <c r="L591" s="45">
        <f t="shared" si="34"/>
        <v>1512.8181</v>
      </c>
      <c r="M591" s="45">
        <f t="shared" si="35"/>
        <v>0</v>
      </c>
    </row>
    <row r="592" spans="1:13" outlineLevel="2" x14ac:dyDescent="0.35">
      <c r="A592" s="42">
        <v>1813810110</v>
      </c>
      <c r="B592" s="42" t="str">
        <f>VLOOKUP(A592,'תקציב מפורט 2025'!A:O,2,FALSE)</f>
        <v>קיטנות קיץ משכורת</v>
      </c>
      <c r="C592" s="42">
        <v>205764020</v>
      </c>
      <c r="D592" s="42" t="s">
        <v>439</v>
      </c>
      <c r="E592" s="42" t="s">
        <v>584</v>
      </c>
      <c r="F592" s="42">
        <v>813810</v>
      </c>
      <c r="G592" s="48">
        <v>0</v>
      </c>
      <c r="H592" s="45">
        <v>1408.73</v>
      </c>
      <c r="I592" s="45">
        <f>SUMIFS('שכר 11.2024'!N:N,'שכר 11.2024'!C:C,C:C,'שכר 11.2024'!F:F,F:F)</f>
        <v>0</v>
      </c>
      <c r="J592" s="45">
        <f t="shared" si="32"/>
        <v>1408.73</v>
      </c>
      <c r="K592" s="61">
        <f t="shared" si="33"/>
        <v>1.0349999999999999</v>
      </c>
      <c r="L592" s="45">
        <f t="shared" si="34"/>
        <v>1458.0355499999998</v>
      </c>
      <c r="M592" s="45">
        <f t="shared" si="35"/>
        <v>0</v>
      </c>
    </row>
    <row r="593" spans="1:13" outlineLevel="2" x14ac:dyDescent="0.35">
      <c r="A593" s="42">
        <v>1813810110</v>
      </c>
      <c r="B593" s="42" t="str">
        <f>VLOOKUP(A593,'תקציב מפורט 2025'!A:O,2,FALSE)</f>
        <v>קיטנות קיץ משכורת</v>
      </c>
      <c r="C593" s="42">
        <v>205766645</v>
      </c>
      <c r="D593" s="42" t="s">
        <v>442</v>
      </c>
      <c r="E593" s="42" t="s">
        <v>470</v>
      </c>
      <c r="F593" s="42">
        <v>813810</v>
      </c>
      <c r="G593" s="48">
        <v>0</v>
      </c>
      <c r="H593" s="45">
        <v>3697.97</v>
      </c>
      <c r="I593" s="45">
        <f>SUMIFS('שכר 11.2024'!N:N,'שכר 11.2024'!C:C,C:C,'שכר 11.2024'!F:F,F:F)</f>
        <v>0</v>
      </c>
      <c r="J593" s="45">
        <f t="shared" si="32"/>
        <v>3697.97</v>
      </c>
      <c r="K593" s="61">
        <f t="shared" si="33"/>
        <v>1.0349999999999999</v>
      </c>
      <c r="L593" s="45">
        <f t="shared" si="34"/>
        <v>3827.3989499999993</v>
      </c>
      <c r="M593" s="45">
        <f t="shared" si="35"/>
        <v>0</v>
      </c>
    </row>
    <row r="594" spans="1:13" outlineLevel="2" x14ac:dyDescent="0.35">
      <c r="A594" s="42">
        <v>1813810110</v>
      </c>
      <c r="B594" s="42" t="str">
        <f>VLOOKUP(A594,'תקציב מפורט 2025'!A:O,2,FALSE)</f>
        <v>קיטנות קיץ משכורת</v>
      </c>
      <c r="C594" s="42">
        <v>205768278</v>
      </c>
      <c r="D594" s="42" t="s">
        <v>434</v>
      </c>
      <c r="E594" s="42" t="s">
        <v>1708</v>
      </c>
      <c r="F594" s="42">
        <v>813810</v>
      </c>
      <c r="G594" s="48">
        <v>0</v>
      </c>
      <c r="H594" s="45">
        <v>4664.1000000000004</v>
      </c>
      <c r="I594" s="45">
        <f>SUMIFS('שכר 11.2024'!N:N,'שכר 11.2024'!C:C,C:C,'שכר 11.2024'!F:F,F:F)</f>
        <v>0</v>
      </c>
      <c r="J594" s="45">
        <f t="shared" si="32"/>
        <v>4664.1000000000004</v>
      </c>
      <c r="K594" s="61">
        <f t="shared" si="33"/>
        <v>1.0349999999999999</v>
      </c>
      <c r="L594" s="45">
        <f t="shared" si="34"/>
        <v>4827.3434999999999</v>
      </c>
      <c r="M594" s="45">
        <f t="shared" si="35"/>
        <v>0</v>
      </c>
    </row>
    <row r="595" spans="1:13" outlineLevel="2" x14ac:dyDescent="0.35">
      <c r="A595" s="42">
        <v>1813810110</v>
      </c>
      <c r="B595" s="42" t="str">
        <f>VLOOKUP(A595,'תקציב מפורט 2025'!A:O,2,FALSE)</f>
        <v>קיטנות קיץ משכורת</v>
      </c>
      <c r="C595" s="42">
        <v>206211419</v>
      </c>
      <c r="D595" s="42" t="s">
        <v>434</v>
      </c>
      <c r="E595" s="42" t="s">
        <v>874</v>
      </c>
      <c r="F595" s="42">
        <v>813810</v>
      </c>
      <c r="G595" s="48">
        <v>0</v>
      </c>
      <c r="H595" s="45">
        <v>7544.52</v>
      </c>
      <c r="I595" s="45">
        <f>SUMIFS('שכר 11.2024'!N:N,'שכר 11.2024'!C:C,C:C,'שכר 11.2024'!F:F,F:F)</f>
        <v>0</v>
      </c>
      <c r="J595" s="45">
        <f t="shared" si="32"/>
        <v>7544.52</v>
      </c>
      <c r="K595" s="61">
        <f t="shared" si="33"/>
        <v>1.0349999999999999</v>
      </c>
      <c r="L595" s="45">
        <f t="shared" si="34"/>
        <v>7808.5781999999999</v>
      </c>
      <c r="M595" s="45">
        <f t="shared" si="35"/>
        <v>0</v>
      </c>
    </row>
    <row r="596" spans="1:13" outlineLevel="2" x14ac:dyDescent="0.35">
      <c r="A596" s="42">
        <v>1813810110</v>
      </c>
      <c r="B596" s="42" t="str">
        <f>VLOOKUP(A596,'תקציב מפורט 2025'!A:O,2,FALSE)</f>
        <v>קיטנות קיץ משכורת</v>
      </c>
      <c r="C596" s="42">
        <v>206213407</v>
      </c>
      <c r="D596" s="42" t="s">
        <v>538</v>
      </c>
      <c r="E596" s="42" t="s">
        <v>1849</v>
      </c>
      <c r="F596" s="42">
        <v>813810</v>
      </c>
      <c r="G596" s="48">
        <v>0</v>
      </c>
      <c r="H596" s="45">
        <v>6996.15</v>
      </c>
      <c r="I596" s="45">
        <f>SUMIFS('שכר 11.2024'!N:N,'שכר 11.2024'!C:C,C:C,'שכר 11.2024'!F:F,F:F)</f>
        <v>0</v>
      </c>
      <c r="J596" s="45">
        <f t="shared" si="32"/>
        <v>6996.15</v>
      </c>
      <c r="K596" s="61">
        <f t="shared" si="33"/>
        <v>1.0349999999999999</v>
      </c>
      <c r="L596" s="45">
        <f t="shared" si="34"/>
        <v>7241.0152499999995</v>
      </c>
      <c r="M596" s="45">
        <f t="shared" si="35"/>
        <v>0</v>
      </c>
    </row>
    <row r="597" spans="1:13" outlineLevel="2" x14ac:dyDescent="0.35">
      <c r="A597" s="42">
        <v>1813810110</v>
      </c>
      <c r="B597" s="42" t="str">
        <f>VLOOKUP(A597,'תקציב מפורט 2025'!A:O,2,FALSE)</f>
        <v>קיטנות קיץ משכורת</v>
      </c>
      <c r="C597" s="42">
        <v>206272932</v>
      </c>
      <c r="D597" s="42" t="s">
        <v>442</v>
      </c>
      <c r="E597" s="42" t="s">
        <v>906</v>
      </c>
      <c r="F597" s="42">
        <v>813810</v>
      </c>
      <c r="G597" s="48">
        <v>0</v>
      </c>
      <c r="H597" s="45">
        <v>7495.88</v>
      </c>
      <c r="I597" s="45">
        <f>SUMIFS('שכר 11.2024'!N:N,'שכר 11.2024'!C:C,C:C,'שכר 11.2024'!F:F,F:F)</f>
        <v>0</v>
      </c>
      <c r="J597" s="45">
        <f t="shared" si="32"/>
        <v>7495.88</v>
      </c>
      <c r="K597" s="61">
        <f t="shared" si="33"/>
        <v>1.0349999999999999</v>
      </c>
      <c r="L597" s="45">
        <f t="shared" si="34"/>
        <v>7758.2357999999995</v>
      </c>
      <c r="M597" s="45">
        <f t="shared" si="35"/>
        <v>0</v>
      </c>
    </row>
    <row r="598" spans="1:13" outlineLevel="2" x14ac:dyDescent="0.35">
      <c r="A598" s="42">
        <v>1813810110</v>
      </c>
      <c r="B598" s="42" t="str">
        <f>VLOOKUP(A598,'תקציב מפורט 2025'!A:O,2,FALSE)</f>
        <v>קיטנות קיץ משכורת</v>
      </c>
      <c r="C598" s="42">
        <v>206273542</v>
      </c>
      <c r="D598" s="42" t="s">
        <v>434</v>
      </c>
      <c r="E598" s="42" t="s">
        <v>1717</v>
      </c>
      <c r="F598" s="42">
        <v>813810</v>
      </c>
      <c r="G598" s="48">
        <v>0</v>
      </c>
      <c r="H598" s="45">
        <v>7329.3</v>
      </c>
      <c r="I598" s="45">
        <f>SUMIFS('שכר 11.2024'!N:N,'שכר 11.2024'!C:C,C:C,'שכר 11.2024'!F:F,F:F)</f>
        <v>0</v>
      </c>
      <c r="J598" s="45">
        <f t="shared" si="32"/>
        <v>7329.3</v>
      </c>
      <c r="K598" s="61">
        <f t="shared" si="33"/>
        <v>1.0349999999999999</v>
      </c>
      <c r="L598" s="45">
        <f t="shared" si="34"/>
        <v>7585.8254999999999</v>
      </c>
      <c r="M598" s="45">
        <f t="shared" si="35"/>
        <v>0</v>
      </c>
    </row>
    <row r="599" spans="1:13" outlineLevel="2" x14ac:dyDescent="0.35">
      <c r="A599" s="42">
        <v>1813810110</v>
      </c>
      <c r="B599" s="42" t="str">
        <f>VLOOKUP(A599,'תקציב מפורט 2025'!A:O,2,FALSE)</f>
        <v>קיטנות קיץ משכורת</v>
      </c>
      <c r="C599" s="42">
        <v>206418212</v>
      </c>
      <c r="D599" s="42" t="s">
        <v>434</v>
      </c>
      <c r="E599" s="42" t="s">
        <v>950</v>
      </c>
      <c r="F599" s="42">
        <v>813810</v>
      </c>
      <c r="G599" s="48">
        <v>0</v>
      </c>
      <c r="H599" s="45">
        <v>7050.49</v>
      </c>
      <c r="I599" s="45">
        <f>SUMIFS('שכר 11.2024'!N:N,'שכר 11.2024'!C:C,C:C,'שכר 11.2024'!F:F,F:F)</f>
        <v>0</v>
      </c>
      <c r="J599" s="45">
        <f t="shared" si="32"/>
        <v>7050.49</v>
      </c>
      <c r="K599" s="61">
        <f t="shared" si="33"/>
        <v>1.0349999999999999</v>
      </c>
      <c r="L599" s="45">
        <f t="shared" si="34"/>
        <v>7297.2571499999995</v>
      </c>
      <c r="M599" s="45">
        <f t="shared" si="35"/>
        <v>0</v>
      </c>
    </row>
    <row r="600" spans="1:13" outlineLevel="2" x14ac:dyDescent="0.35">
      <c r="A600" s="42">
        <v>1813810110</v>
      </c>
      <c r="B600" s="42" t="str">
        <f>VLOOKUP(A600,'תקציב מפורט 2025'!A:O,2,FALSE)</f>
        <v>קיטנות קיץ משכורת</v>
      </c>
      <c r="C600" s="42">
        <v>206601122</v>
      </c>
      <c r="D600" s="42" t="s">
        <v>434</v>
      </c>
      <c r="E600" s="42" t="s">
        <v>1711</v>
      </c>
      <c r="F600" s="42">
        <v>813810</v>
      </c>
      <c r="G600" s="48">
        <v>0</v>
      </c>
      <c r="H600" s="45">
        <v>1972.25</v>
      </c>
      <c r="I600" s="45">
        <f>SUMIFS('שכר 11.2024'!N:N,'שכר 11.2024'!C:C,C:C,'שכר 11.2024'!F:F,F:F)</f>
        <v>0</v>
      </c>
      <c r="J600" s="45">
        <f t="shared" si="32"/>
        <v>1972.25</v>
      </c>
      <c r="K600" s="61">
        <f t="shared" si="33"/>
        <v>1.0349999999999999</v>
      </c>
      <c r="L600" s="45">
        <f t="shared" si="34"/>
        <v>2041.2787499999999</v>
      </c>
      <c r="M600" s="45">
        <f t="shared" si="35"/>
        <v>0</v>
      </c>
    </row>
    <row r="601" spans="1:13" outlineLevel="2" x14ac:dyDescent="0.35">
      <c r="A601" s="42">
        <v>1813810110</v>
      </c>
      <c r="B601" s="42" t="str">
        <f>VLOOKUP(A601,'תקציב מפורט 2025'!A:O,2,FALSE)</f>
        <v>קיטנות קיץ משכורת</v>
      </c>
      <c r="C601" s="42">
        <v>206604639</v>
      </c>
      <c r="D601" s="42" t="s">
        <v>1850</v>
      </c>
      <c r="E601" s="42" t="s">
        <v>1851</v>
      </c>
      <c r="F601" s="42">
        <v>813810</v>
      </c>
      <c r="G601" s="48">
        <v>0</v>
      </c>
      <c r="H601" s="45">
        <v>6996.15</v>
      </c>
      <c r="I601" s="45">
        <f>SUMIFS('שכר 11.2024'!N:N,'שכר 11.2024'!C:C,C:C,'שכר 11.2024'!F:F,F:F)</f>
        <v>0</v>
      </c>
      <c r="J601" s="45">
        <f t="shared" si="32"/>
        <v>6996.15</v>
      </c>
      <c r="K601" s="61">
        <f t="shared" si="33"/>
        <v>1.0349999999999999</v>
      </c>
      <c r="L601" s="45">
        <f t="shared" si="34"/>
        <v>7241.0152499999995</v>
      </c>
      <c r="M601" s="45">
        <f t="shared" si="35"/>
        <v>0</v>
      </c>
    </row>
    <row r="602" spans="1:13" outlineLevel="2" x14ac:dyDescent="0.35">
      <c r="A602" s="42">
        <v>1813810110</v>
      </c>
      <c r="B602" s="42" t="str">
        <f>VLOOKUP(A602,'תקציב מפורט 2025'!A:O,2,FALSE)</f>
        <v>קיטנות קיץ משכורת</v>
      </c>
      <c r="C602" s="42">
        <v>206716870</v>
      </c>
      <c r="D602" s="42" t="s">
        <v>1709</v>
      </c>
      <c r="E602" s="42" t="s">
        <v>1713</v>
      </c>
      <c r="F602" s="42">
        <v>813810</v>
      </c>
      <c r="G602" s="48">
        <v>0</v>
      </c>
      <c r="H602" s="45">
        <v>3451.43</v>
      </c>
      <c r="I602" s="45">
        <f>SUMIFS('שכר 11.2024'!N:N,'שכר 11.2024'!C:C,C:C,'שכר 11.2024'!F:F,F:F)</f>
        <v>0</v>
      </c>
      <c r="J602" s="45">
        <f t="shared" si="32"/>
        <v>3451.43</v>
      </c>
      <c r="K602" s="61">
        <f t="shared" si="33"/>
        <v>1.0349999999999999</v>
      </c>
      <c r="L602" s="45">
        <f t="shared" si="34"/>
        <v>3572.2300499999997</v>
      </c>
      <c r="M602" s="45">
        <f t="shared" si="35"/>
        <v>0</v>
      </c>
    </row>
    <row r="603" spans="1:13" outlineLevel="2" x14ac:dyDescent="0.35">
      <c r="A603" s="42">
        <v>1813810110</v>
      </c>
      <c r="B603" s="42" t="str">
        <f>VLOOKUP(A603,'תקציב מפורט 2025'!A:O,2,FALSE)</f>
        <v>קיטנות קיץ משכורת</v>
      </c>
      <c r="C603" s="42">
        <v>206719593</v>
      </c>
      <c r="D603" s="42" t="s">
        <v>486</v>
      </c>
      <c r="E603" s="42" t="s">
        <v>928</v>
      </c>
      <c r="F603" s="42">
        <v>813810</v>
      </c>
      <c r="G603" s="48">
        <v>0</v>
      </c>
      <c r="H603" s="45">
        <v>7495.88</v>
      </c>
      <c r="I603" s="45">
        <f>SUMIFS('שכר 11.2024'!N:N,'שכר 11.2024'!C:C,C:C,'שכר 11.2024'!F:F,F:F)</f>
        <v>0</v>
      </c>
      <c r="J603" s="45">
        <f t="shared" si="32"/>
        <v>7495.88</v>
      </c>
      <c r="K603" s="61">
        <f t="shared" si="33"/>
        <v>1.0349999999999999</v>
      </c>
      <c r="L603" s="45">
        <f t="shared" si="34"/>
        <v>7758.2357999999995</v>
      </c>
      <c r="M603" s="45">
        <f t="shared" si="35"/>
        <v>0</v>
      </c>
    </row>
    <row r="604" spans="1:13" outlineLevel="2" x14ac:dyDescent="0.35">
      <c r="A604" s="42">
        <v>1813810110</v>
      </c>
      <c r="B604" s="42" t="str">
        <f>VLOOKUP(A604,'תקציב מפורט 2025'!A:O,2,FALSE)</f>
        <v>קיטנות קיץ משכורת</v>
      </c>
      <c r="C604" s="42">
        <v>206811465</v>
      </c>
      <c r="D604" s="42" t="s">
        <v>486</v>
      </c>
      <c r="E604" s="42" t="s">
        <v>876</v>
      </c>
      <c r="F604" s="42">
        <v>813810</v>
      </c>
      <c r="G604" s="48">
        <v>0</v>
      </c>
      <c r="H604" s="45">
        <v>6996.15</v>
      </c>
      <c r="I604" s="45">
        <f>SUMIFS('שכר 11.2024'!N:N,'שכר 11.2024'!C:C,C:C,'שכר 11.2024'!F:F,F:F)</f>
        <v>0</v>
      </c>
      <c r="J604" s="45">
        <f t="shared" si="32"/>
        <v>6996.15</v>
      </c>
      <c r="K604" s="61">
        <f t="shared" si="33"/>
        <v>1.0349999999999999</v>
      </c>
      <c r="L604" s="45">
        <f t="shared" si="34"/>
        <v>7241.0152499999995</v>
      </c>
      <c r="M604" s="45">
        <f t="shared" si="35"/>
        <v>0</v>
      </c>
    </row>
    <row r="605" spans="1:13" outlineLevel="2" x14ac:dyDescent="0.35">
      <c r="A605" s="42">
        <v>1813810110</v>
      </c>
      <c r="B605" s="42" t="str">
        <f>VLOOKUP(A605,'תקציב מפורט 2025'!A:O,2,FALSE)</f>
        <v>קיטנות קיץ משכורת</v>
      </c>
      <c r="C605" s="42">
        <v>206885584</v>
      </c>
      <c r="D605" s="42" t="s">
        <v>434</v>
      </c>
      <c r="E605" s="42" t="s">
        <v>887</v>
      </c>
      <c r="F605" s="42">
        <v>813810</v>
      </c>
      <c r="G605" s="48">
        <v>0</v>
      </c>
      <c r="H605" s="45">
        <v>3697.93</v>
      </c>
      <c r="I605" s="45">
        <f>SUMIFS('שכר 11.2024'!N:N,'שכר 11.2024'!C:C,C:C,'שכר 11.2024'!F:F,F:F)</f>
        <v>0</v>
      </c>
      <c r="J605" s="45">
        <f t="shared" si="32"/>
        <v>3697.93</v>
      </c>
      <c r="K605" s="61">
        <f t="shared" si="33"/>
        <v>1.0349999999999999</v>
      </c>
      <c r="L605" s="45">
        <f t="shared" si="34"/>
        <v>3827.3575499999997</v>
      </c>
      <c r="M605" s="45">
        <f t="shared" si="35"/>
        <v>0</v>
      </c>
    </row>
    <row r="606" spans="1:13" outlineLevel="2" x14ac:dyDescent="0.35">
      <c r="A606" s="42">
        <v>1813810110</v>
      </c>
      <c r="B606" s="42" t="str">
        <f>VLOOKUP(A606,'תקציב מפורט 2025'!A:O,2,FALSE)</f>
        <v>קיטנות קיץ משכורת</v>
      </c>
      <c r="C606" s="42">
        <v>206931446</v>
      </c>
      <c r="D606" s="42" t="s">
        <v>442</v>
      </c>
      <c r="E606" s="42" t="s">
        <v>929</v>
      </c>
      <c r="F606" s="42">
        <v>813810</v>
      </c>
      <c r="G606" s="48">
        <v>0</v>
      </c>
      <c r="H606" s="45">
        <v>7745.76</v>
      </c>
      <c r="I606" s="45">
        <f>SUMIFS('שכר 11.2024'!N:N,'שכר 11.2024'!C:C,C:C,'שכר 11.2024'!F:F,F:F)</f>
        <v>0</v>
      </c>
      <c r="J606" s="45">
        <f t="shared" si="32"/>
        <v>7745.76</v>
      </c>
      <c r="K606" s="61">
        <f t="shared" si="33"/>
        <v>1.0349999999999999</v>
      </c>
      <c r="L606" s="45">
        <f t="shared" si="34"/>
        <v>8016.8615999999993</v>
      </c>
      <c r="M606" s="45">
        <f t="shared" si="35"/>
        <v>0</v>
      </c>
    </row>
    <row r="607" spans="1:13" outlineLevel="2" x14ac:dyDescent="0.35">
      <c r="A607" s="42">
        <v>1813810110</v>
      </c>
      <c r="B607" s="42" t="str">
        <f>VLOOKUP(A607,'תקציב מפורט 2025'!A:O,2,FALSE)</f>
        <v>קיטנות קיץ משכורת</v>
      </c>
      <c r="C607" s="42">
        <v>207154774</v>
      </c>
      <c r="D607" s="42" t="s">
        <v>434</v>
      </c>
      <c r="E607" s="42" t="s">
        <v>550</v>
      </c>
      <c r="F607" s="42">
        <v>813810</v>
      </c>
      <c r="G607" s="48">
        <v>0</v>
      </c>
      <c r="H607" s="45">
        <v>6246.59</v>
      </c>
      <c r="I607" s="45">
        <f>SUMIFS('שכר 11.2024'!N:N,'שכר 11.2024'!C:C,C:C,'שכר 11.2024'!F:F,F:F)</f>
        <v>0</v>
      </c>
      <c r="J607" s="45">
        <f t="shared" si="32"/>
        <v>6246.59</v>
      </c>
      <c r="K607" s="61">
        <f t="shared" si="33"/>
        <v>1.0349999999999999</v>
      </c>
      <c r="L607" s="45">
        <f t="shared" si="34"/>
        <v>6465.2206499999993</v>
      </c>
      <c r="M607" s="45">
        <f t="shared" si="35"/>
        <v>0</v>
      </c>
    </row>
    <row r="608" spans="1:13" outlineLevel="2" x14ac:dyDescent="0.35">
      <c r="A608" s="42">
        <v>1813810110</v>
      </c>
      <c r="B608" s="42" t="str">
        <f>VLOOKUP(A608,'תקציב מפורט 2025'!A:O,2,FALSE)</f>
        <v>קיטנות קיץ משכורת</v>
      </c>
      <c r="C608" s="42">
        <v>207175571</v>
      </c>
      <c r="D608" s="42" t="s">
        <v>561</v>
      </c>
      <c r="E608" s="42" t="s">
        <v>871</v>
      </c>
      <c r="F608" s="42">
        <v>813810</v>
      </c>
      <c r="G608" s="48">
        <v>0</v>
      </c>
      <c r="H608" s="45">
        <v>6996.15</v>
      </c>
      <c r="I608" s="45">
        <f>SUMIFS('שכר 11.2024'!N:N,'שכר 11.2024'!C:C,C:C,'שכר 11.2024'!F:F,F:F)</f>
        <v>0</v>
      </c>
      <c r="J608" s="45">
        <f t="shared" si="32"/>
        <v>6996.15</v>
      </c>
      <c r="K608" s="61">
        <f t="shared" si="33"/>
        <v>1.0349999999999999</v>
      </c>
      <c r="L608" s="45">
        <f t="shared" si="34"/>
        <v>7241.0152499999995</v>
      </c>
      <c r="M608" s="45">
        <f t="shared" si="35"/>
        <v>0</v>
      </c>
    </row>
    <row r="609" spans="1:13" outlineLevel="2" x14ac:dyDescent="0.35">
      <c r="A609" s="42">
        <v>1813810110</v>
      </c>
      <c r="B609" s="42" t="str">
        <f>VLOOKUP(A609,'תקציב מפורט 2025'!A:O,2,FALSE)</f>
        <v>קיטנות קיץ משכורת</v>
      </c>
      <c r="C609" s="42">
        <v>207627142</v>
      </c>
      <c r="D609" s="42" t="s">
        <v>434</v>
      </c>
      <c r="E609" s="42" t="s">
        <v>1699</v>
      </c>
      <c r="F609" s="42">
        <v>813810</v>
      </c>
      <c r="G609" s="48">
        <v>0</v>
      </c>
      <c r="H609" s="45">
        <v>1068.29</v>
      </c>
      <c r="I609" s="45">
        <f>SUMIFS('שכר 11.2024'!N:N,'שכר 11.2024'!C:C,C:C,'שכר 11.2024'!F:F,F:F)</f>
        <v>0</v>
      </c>
      <c r="J609" s="45">
        <f t="shared" si="32"/>
        <v>1068.29</v>
      </c>
      <c r="K609" s="61">
        <f t="shared" si="33"/>
        <v>1.0349999999999999</v>
      </c>
      <c r="L609" s="45">
        <f t="shared" si="34"/>
        <v>1105.6801499999999</v>
      </c>
      <c r="M609" s="45">
        <f t="shared" si="35"/>
        <v>0</v>
      </c>
    </row>
    <row r="610" spans="1:13" outlineLevel="2" x14ac:dyDescent="0.35">
      <c r="A610" s="42">
        <v>1813810110</v>
      </c>
      <c r="B610" s="42" t="str">
        <f>VLOOKUP(A610,'תקציב מפורט 2025'!A:O,2,FALSE)</f>
        <v>קיטנות קיץ משכורת</v>
      </c>
      <c r="C610" s="42">
        <v>208040600</v>
      </c>
      <c r="D610" s="42" t="s">
        <v>434</v>
      </c>
      <c r="E610" s="42" t="s">
        <v>930</v>
      </c>
      <c r="F610" s="42">
        <v>813810</v>
      </c>
      <c r="G610" s="48">
        <v>0</v>
      </c>
      <c r="H610" s="45">
        <v>7495.88</v>
      </c>
      <c r="I610" s="45">
        <f>SUMIFS('שכר 11.2024'!N:N,'שכר 11.2024'!C:C,C:C,'שכר 11.2024'!F:F,F:F)</f>
        <v>0</v>
      </c>
      <c r="J610" s="45">
        <f t="shared" si="32"/>
        <v>7495.88</v>
      </c>
      <c r="K610" s="61">
        <f t="shared" si="33"/>
        <v>1.0349999999999999</v>
      </c>
      <c r="L610" s="45">
        <f t="shared" si="34"/>
        <v>7758.2357999999995</v>
      </c>
      <c r="M610" s="45">
        <f t="shared" si="35"/>
        <v>0</v>
      </c>
    </row>
    <row r="611" spans="1:13" outlineLevel="2" x14ac:dyDescent="0.35">
      <c r="A611" s="42">
        <v>1813810110</v>
      </c>
      <c r="B611" s="42" t="str">
        <f>VLOOKUP(A611,'תקציב מפורט 2025'!A:O,2,FALSE)</f>
        <v>קיטנות קיץ משכורת</v>
      </c>
      <c r="C611" s="42">
        <v>208076687</v>
      </c>
      <c r="D611" s="42" t="s">
        <v>434</v>
      </c>
      <c r="E611" s="42" t="s">
        <v>872</v>
      </c>
      <c r="F611" s="42">
        <v>813810</v>
      </c>
      <c r="G611" s="48">
        <v>0</v>
      </c>
      <c r="H611" s="45">
        <v>3664.65</v>
      </c>
      <c r="I611" s="45">
        <f>SUMIFS('שכר 11.2024'!N:N,'שכר 11.2024'!C:C,C:C,'שכר 11.2024'!F:F,F:F)</f>
        <v>0</v>
      </c>
      <c r="J611" s="45">
        <f t="shared" si="32"/>
        <v>3664.65</v>
      </c>
      <c r="K611" s="61">
        <f t="shared" si="33"/>
        <v>1.0349999999999999</v>
      </c>
      <c r="L611" s="45">
        <f t="shared" si="34"/>
        <v>3792.91275</v>
      </c>
      <c r="M611" s="45">
        <f t="shared" si="35"/>
        <v>0</v>
      </c>
    </row>
    <row r="612" spans="1:13" outlineLevel="2" x14ac:dyDescent="0.35">
      <c r="A612" s="42">
        <v>1813810110</v>
      </c>
      <c r="B612" s="42" t="str">
        <f>VLOOKUP(A612,'תקציב מפורט 2025'!A:O,2,FALSE)</f>
        <v>קיטנות קיץ משכורת</v>
      </c>
      <c r="C612" s="42">
        <v>208592477</v>
      </c>
      <c r="D612" s="42" t="s">
        <v>434</v>
      </c>
      <c r="E612" s="42" t="s">
        <v>470</v>
      </c>
      <c r="F612" s="42">
        <v>813810</v>
      </c>
      <c r="G612" s="48">
        <v>0</v>
      </c>
      <c r="H612" s="45">
        <v>7495.88</v>
      </c>
      <c r="I612" s="45">
        <f>SUMIFS('שכר 11.2024'!N:N,'שכר 11.2024'!C:C,C:C,'שכר 11.2024'!F:F,F:F)</f>
        <v>0</v>
      </c>
      <c r="J612" s="45">
        <f t="shared" si="32"/>
        <v>7495.88</v>
      </c>
      <c r="K612" s="61">
        <f t="shared" si="33"/>
        <v>1.0349999999999999</v>
      </c>
      <c r="L612" s="45">
        <f t="shared" si="34"/>
        <v>7758.2357999999995</v>
      </c>
      <c r="M612" s="45">
        <f t="shared" si="35"/>
        <v>0</v>
      </c>
    </row>
    <row r="613" spans="1:13" outlineLevel="2" x14ac:dyDescent="0.35">
      <c r="A613" s="42">
        <v>1813810110</v>
      </c>
      <c r="B613" s="42" t="str">
        <f>VLOOKUP(A613,'תקציב מפורט 2025'!A:O,2,FALSE)</f>
        <v>קיטנות קיץ משכורת</v>
      </c>
      <c r="C613" s="42">
        <v>208716647</v>
      </c>
      <c r="D613" s="42" t="s">
        <v>442</v>
      </c>
      <c r="E613" s="42" t="s">
        <v>897</v>
      </c>
      <c r="F613" s="42">
        <v>813810</v>
      </c>
      <c r="G613" s="48">
        <v>0</v>
      </c>
      <c r="H613" s="45">
        <v>6996.15</v>
      </c>
      <c r="I613" s="45">
        <f>SUMIFS('שכר 11.2024'!N:N,'שכר 11.2024'!C:C,C:C,'שכר 11.2024'!F:F,F:F)</f>
        <v>0</v>
      </c>
      <c r="J613" s="45">
        <f t="shared" si="32"/>
        <v>6996.15</v>
      </c>
      <c r="K613" s="61">
        <f t="shared" si="33"/>
        <v>1.0349999999999999</v>
      </c>
      <c r="L613" s="45">
        <f t="shared" si="34"/>
        <v>7241.0152499999995</v>
      </c>
      <c r="M613" s="45">
        <f t="shared" si="35"/>
        <v>0</v>
      </c>
    </row>
    <row r="614" spans="1:13" outlineLevel="2" x14ac:dyDescent="0.35">
      <c r="A614" s="42">
        <v>1813810110</v>
      </c>
      <c r="B614" s="42" t="str">
        <f>VLOOKUP(A614,'תקציב מפורט 2025'!A:O,2,FALSE)</f>
        <v>קיטנות קיץ משכורת</v>
      </c>
      <c r="C614" s="42">
        <v>209546902</v>
      </c>
      <c r="D614" s="42" t="s">
        <v>434</v>
      </c>
      <c r="E614" s="42" t="s">
        <v>542</v>
      </c>
      <c r="F614" s="42">
        <v>813810</v>
      </c>
      <c r="G614" s="48">
        <v>0</v>
      </c>
      <c r="H614" s="45">
        <v>899.61</v>
      </c>
      <c r="I614" s="45">
        <f>SUMIFS('שכר 11.2024'!N:N,'שכר 11.2024'!C:C,C:C,'שכר 11.2024'!F:F,F:F)</f>
        <v>0</v>
      </c>
      <c r="J614" s="45">
        <f t="shared" ref="J614:J679" si="36">H614+I614</f>
        <v>899.61</v>
      </c>
      <c r="K614" s="61">
        <f t="shared" ref="K614:K679" si="37">3.5/100+1</f>
        <v>1.0349999999999999</v>
      </c>
      <c r="L614" s="45">
        <f t="shared" ref="L614:L679" si="38">J614*K614</f>
        <v>931.09634999999992</v>
      </c>
      <c r="M614" s="45">
        <f t="shared" ref="M614:M679" si="39">G614/1100</f>
        <v>0</v>
      </c>
    </row>
    <row r="615" spans="1:13" outlineLevel="2" x14ac:dyDescent="0.35">
      <c r="A615" s="42">
        <v>1813810110</v>
      </c>
      <c r="B615" s="42" t="str">
        <f>VLOOKUP(A615,'תקציב מפורט 2025'!A:O,2,FALSE)</f>
        <v>קיטנות קיץ משכורת</v>
      </c>
      <c r="C615" s="42">
        <v>211447255</v>
      </c>
      <c r="D615" s="42" t="s">
        <v>434</v>
      </c>
      <c r="E615" s="42" t="s">
        <v>1828</v>
      </c>
      <c r="F615" s="42">
        <v>813810</v>
      </c>
      <c r="G615" s="48">
        <v>0</v>
      </c>
      <c r="H615" s="45">
        <v>7745.76</v>
      </c>
      <c r="I615" s="45">
        <f>SUMIFS('שכר 11.2024'!N:N,'שכר 11.2024'!C:C,C:C,'שכר 11.2024'!F:F,F:F)</f>
        <v>0</v>
      </c>
      <c r="J615" s="45">
        <f t="shared" si="36"/>
        <v>7745.76</v>
      </c>
      <c r="K615" s="61">
        <f t="shared" si="37"/>
        <v>1.0349999999999999</v>
      </c>
      <c r="L615" s="45">
        <f t="shared" si="38"/>
        <v>8016.8615999999993</v>
      </c>
      <c r="M615" s="45">
        <f t="shared" si="39"/>
        <v>0</v>
      </c>
    </row>
    <row r="616" spans="1:13" outlineLevel="2" x14ac:dyDescent="0.35">
      <c r="A616" s="42">
        <v>1813810110</v>
      </c>
      <c r="B616" s="42" t="str">
        <f>VLOOKUP(A616,'תקציב מפורט 2025'!A:O,2,FALSE)</f>
        <v>קיטנות קיץ משכורת</v>
      </c>
      <c r="C616" s="42">
        <v>213752660</v>
      </c>
      <c r="D616" s="42" t="s">
        <v>448</v>
      </c>
      <c r="E616" s="42" t="s">
        <v>1796</v>
      </c>
      <c r="F616" s="42">
        <v>813810</v>
      </c>
      <c r="G616" s="48">
        <v>0</v>
      </c>
      <c r="H616" s="45">
        <v>1479.18</v>
      </c>
      <c r="I616" s="45">
        <f>SUMIFS('שכר 11.2024'!N:N,'שכר 11.2024'!C:C,C:C,'שכר 11.2024'!F:F,F:F)</f>
        <v>0</v>
      </c>
      <c r="J616" s="45">
        <f t="shared" si="36"/>
        <v>1479.18</v>
      </c>
      <c r="K616" s="61">
        <f t="shared" si="37"/>
        <v>1.0349999999999999</v>
      </c>
      <c r="L616" s="45">
        <f t="shared" si="38"/>
        <v>1530.9512999999999</v>
      </c>
      <c r="M616" s="45">
        <f t="shared" si="39"/>
        <v>0</v>
      </c>
    </row>
    <row r="617" spans="1:13" outlineLevel="2" x14ac:dyDescent="0.35">
      <c r="A617" s="42">
        <v>1813810110</v>
      </c>
      <c r="B617" s="42" t="str">
        <f>VLOOKUP(A617,'תקציב מפורט 2025'!A:O,2,FALSE)</f>
        <v>קיטנות קיץ משכורת</v>
      </c>
      <c r="C617" s="42">
        <v>300271640</v>
      </c>
      <c r="D617" s="42" t="s">
        <v>448</v>
      </c>
      <c r="E617" s="42" t="s">
        <v>827</v>
      </c>
      <c r="F617" s="42">
        <v>813810</v>
      </c>
      <c r="G617" s="48">
        <v>0</v>
      </c>
      <c r="H617" s="45">
        <v>5483.36</v>
      </c>
      <c r="I617" s="45">
        <f>SUMIFS('שכר 11.2024'!N:N,'שכר 11.2024'!C:C,C:C,'שכר 11.2024'!F:F,F:F)</f>
        <v>0</v>
      </c>
      <c r="J617" s="45">
        <f t="shared" si="36"/>
        <v>5483.36</v>
      </c>
      <c r="K617" s="61">
        <f t="shared" si="37"/>
        <v>1.0349999999999999</v>
      </c>
      <c r="L617" s="45">
        <f t="shared" si="38"/>
        <v>5675.2775999999994</v>
      </c>
      <c r="M617" s="45">
        <f t="shared" si="39"/>
        <v>0</v>
      </c>
    </row>
    <row r="618" spans="1:13" outlineLevel="2" x14ac:dyDescent="0.35">
      <c r="A618" s="42">
        <v>1813810110</v>
      </c>
      <c r="B618" s="42" t="str">
        <f>VLOOKUP(A618,'תקציב מפורט 2025'!A:O,2,FALSE)</f>
        <v>קיטנות קיץ משכורת</v>
      </c>
      <c r="C618" s="42">
        <v>300837937</v>
      </c>
      <c r="D618" s="42" t="s">
        <v>574</v>
      </c>
      <c r="E618" s="42" t="s">
        <v>918</v>
      </c>
      <c r="F618" s="42">
        <v>813810</v>
      </c>
      <c r="G618" s="48">
        <v>0</v>
      </c>
      <c r="H618" s="45">
        <v>7495.88</v>
      </c>
      <c r="I618" s="45">
        <f>SUMIFS('שכר 11.2024'!N:N,'שכר 11.2024'!C:C,C:C,'שכר 11.2024'!F:F,F:F)</f>
        <v>0</v>
      </c>
      <c r="J618" s="45">
        <f t="shared" si="36"/>
        <v>7495.88</v>
      </c>
      <c r="K618" s="61">
        <f t="shared" si="37"/>
        <v>1.0349999999999999</v>
      </c>
      <c r="L618" s="45">
        <f t="shared" si="38"/>
        <v>7758.2357999999995</v>
      </c>
      <c r="M618" s="45">
        <f t="shared" si="39"/>
        <v>0</v>
      </c>
    </row>
    <row r="619" spans="1:13" outlineLevel="2" x14ac:dyDescent="0.35">
      <c r="A619" s="42">
        <v>1813810110</v>
      </c>
      <c r="B619" s="42" t="str">
        <f>VLOOKUP(A619,'תקציב מפורט 2025'!A:O,2,FALSE)</f>
        <v>קיטנות קיץ משכורת</v>
      </c>
      <c r="C619" s="42">
        <v>300838935</v>
      </c>
      <c r="D619" s="42" t="s">
        <v>434</v>
      </c>
      <c r="E619" s="42" t="s">
        <v>1722</v>
      </c>
      <c r="F619" s="42">
        <v>813810</v>
      </c>
      <c r="G619" s="48">
        <v>0</v>
      </c>
      <c r="H619" s="45">
        <v>3369.26</v>
      </c>
      <c r="I619" s="45">
        <f>SUMIFS('שכר 11.2024'!N:N,'שכר 11.2024'!C:C,C:C,'שכר 11.2024'!F:F,F:F)</f>
        <v>0</v>
      </c>
      <c r="J619" s="45">
        <f t="shared" si="36"/>
        <v>3369.26</v>
      </c>
      <c r="K619" s="61">
        <f t="shared" si="37"/>
        <v>1.0349999999999999</v>
      </c>
      <c r="L619" s="45">
        <f t="shared" si="38"/>
        <v>3487.1840999999999</v>
      </c>
      <c r="M619" s="45">
        <f t="shared" si="39"/>
        <v>0</v>
      </c>
    </row>
    <row r="620" spans="1:13" outlineLevel="2" x14ac:dyDescent="0.35">
      <c r="A620" s="42">
        <v>1813810110</v>
      </c>
      <c r="B620" s="42" t="str">
        <f>VLOOKUP(A620,'תקציב מפורט 2025'!A:O,2,FALSE)</f>
        <v>קיטנות קיץ משכורת</v>
      </c>
      <c r="C620" s="42">
        <v>301238085</v>
      </c>
      <c r="D620" s="42" t="s">
        <v>434</v>
      </c>
      <c r="E620" s="42" t="s">
        <v>849</v>
      </c>
      <c r="F620" s="42">
        <v>813810</v>
      </c>
      <c r="G620" s="48">
        <v>0</v>
      </c>
      <c r="H620" s="45">
        <v>1127.78</v>
      </c>
      <c r="I620" s="45">
        <f>SUMIFS('שכר 11.2024'!N:N,'שכר 11.2024'!C:C,C:C,'שכר 11.2024'!F:F,F:F)</f>
        <v>0</v>
      </c>
      <c r="J620" s="45">
        <f t="shared" si="36"/>
        <v>1127.78</v>
      </c>
      <c r="K620" s="61">
        <f t="shared" si="37"/>
        <v>1.0349999999999999</v>
      </c>
      <c r="L620" s="45">
        <f t="shared" si="38"/>
        <v>1167.2522999999999</v>
      </c>
      <c r="M620" s="45">
        <f t="shared" si="39"/>
        <v>0</v>
      </c>
    </row>
    <row r="621" spans="1:13" outlineLevel="2" x14ac:dyDescent="0.35">
      <c r="A621" s="42">
        <v>1813810110</v>
      </c>
      <c r="B621" s="42" t="str">
        <f>VLOOKUP(A621,'תקציב מפורט 2025'!A:O,2,FALSE)</f>
        <v>קיטנות קיץ משכורת</v>
      </c>
      <c r="C621" s="42">
        <v>301310231</v>
      </c>
      <c r="D621" s="42" t="s">
        <v>1866</v>
      </c>
      <c r="E621" s="42" t="s">
        <v>858</v>
      </c>
      <c r="F621" s="42">
        <v>813810</v>
      </c>
      <c r="G621" s="48">
        <v>0</v>
      </c>
      <c r="H621" s="45">
        <v>7329.3</v>
      </c>
      <c r="I621" s="45">
        <f>SUMIFS('שכר 11.2024'!N:N,'שכר 11.2024'!C:C,C:C,'שכר 11.2024'!F:F,F:F)</f>
        <v>0</v>
      </c>
      <c r="J621" s="45">
        <f t="shared" si="36"/>
        <v>7329.3</v>
      </c>
      <c r="K621" s="61">
        <f t="shared" si="37"/>
        <v>1.0349999999999999</v>
      </c>
      <c r="L621" s="45">
        <f t="shared" si="38"/>
        <v>7585.8254999999999</v>
      </c>
      <c r="M621" s="45">
        <f t="shared" si="39"/>
        <v>0</v>
      </c>
    </row>
    <row r="622" spans="1:13" outlineLevel="2" x14ac:dyDescent="0.35">
      <c r="A622" s="42">
        <v>1813810110</v>
      </c>
      <c r="B622" s="42" t="str">
        <f>VLOOKUP(A622,'תקציב מפורט 2025'!A:O,2,FALSE)</f>
        <v>קיטנות קיץ משכורת</v>
      </c>
      <c r="C622" s="42">
        <v>301407201</v>
      </c>
      <c r="D622" s="42" t="s">
        <v>434</v>
      </c>
      <c r="E622" s="42" t="s">
        <v>544</v>
      </c>
      <c r="F622" s="42">
        <v>813810</v>
      </c>
      <c r="G622" s="48">
        <v>0</v>
      </c>
      <c r="H622" s="45">
        <v>4997.25</v>
      </c>
      <c r="I622" s="45">
        <f>SUMIFS('שכר 11.2024'!N:N,'שכר 11.2024'!C:C,C:C,'שכר 11.2024'!F:F,F:F)</f>
        <v>0</v>
      </c>
      <c r="J622" s="45">
        <f t="shared" si="36"/>
        <v>4997.25</v>
      </c>
      <c r="K622" s="61">
        <f t="shared" si="37"/>
        <v>1.0349999999999999</v>
      </c>
      <c r="L622" s="45">
        <f t="shared" si="38"/>
        <v>5172.1537499999995</v>
      </c>
      <c r="M622" s="45">
        <f t="shared" si="39"/>
        <v>0</v>
      </c>
    </row>
    <row r="623" spans="1:13" outlineLevel="2" x14ac:dyDescent="0.35">
      <c r="A623" s="42">
        <v>1813810110</v>
      </c>
      <c r="B623" s="42" t="str">
        <f>VLOOKUP(A623,'תקציב מפורט 2025'!A:O,2,FALSE)</f>
        <v>קיטנות קיץ משכורת</v>
      </c>
      <c r="C623" s="42">
        <v>301586566</v>
      </c>
      <c r="D623" s="42" t="s">
        <v>495</v>
      </c>
      <c r="E623" s="42" t="s">
        <v>558</v>
      </c>
      <c r="F623" s="42">
        <v>813810</v>
      </c>
      <c r="G623" s="48">
        <v>233.9</v>
      </c>
      <c r="H623" s="45">
        <v>3923.31</v>
      </c>
      <c r="I623" s="45">
        <f>SUMIFS('שכר 11.2024'!N:N,'שכר 11.2024'!C:C,C:C,'שכר 11.2024'!F:F,F:F)</f>
        <v>0</v>
      </c>
      <c r="J623" s="45">
        <f t="shared" si="36"/>
        <v>3923.31</v>
      </c>
      <c r="K623" s="61">
        <f t="shared" si="37"/>
        <v>1.0349999999999999</v>
      </c>
      <c r="L623" s="45">
        <f t="shared" si="38"/>
        <v>4060.6258499999994</v>
      </c>
      <c r="M623" s="45">
        <f t="shared" si="39"/>
        <v>0.21263636363636365</v>
      </c>
    </row>
    <row r="624" spans="1:13" outlineLevel="2" x14ac:dyDescent="0.35">
      <c r="A624" s="42">
        <v>1813810110</v>
      </c>
      <c r="B624" s="42" t="str">
        <f>VLOOKUP(A624,'תקציב מפורט 2025'!A:O,2,FALSE)</f>
        <v>קיטנות קיץ משכורת</v>
      </c>
      <c r="C624" s="42">
        <v>301915906</v>
      </c>
      <c r="D624" s="42" t="s">
        <v>837</v>
      </c>
      <c r="E624" s="42" t="s">
        <v>477</v>
      </c>
      <c r="F624" s="42">
        <v>813810</v>
      </c>
      <c r="G624" s="48">
        <v>0</v>
      </c>
      <c r="H624" s="45">
        <v>3697.97</v>
      </c>
      <c r="I624" s="45">
        <f>SUMIFS('שכר 11.2024'!N:N,'שכר 11.2024'!C:C,C:C,'שכר 11.2024'!F:F,F:F)</f>
        <v>0</v>
      </c>
      <c r="J624" s="45">
        <f t="shared" si="36"/>
        <v>3697.97</v>
      </c>
      <c r="K624" s="61">
        <f t="shared" si="37"/>
        <v>1.0349999999999999</v>
      </c>
      <c r="L624" s="45">
        <f t="shared" si="38"/>
        <v>3827.3989499999993</v>
      </c>
      <c r="M624" s="45">
        <f t="shared" si="39"/>
        <v>0</v>
      </c>
    </row>
    <row r="625" spans="1:13" outlineLevel="2" x14ac:dyDescent="0.35">
      <c r="A625" s="42">
        <v>1813810110</v>
      </c>
      <c r="B625" s="42" t="str">
        <f>VLOOKUP(A625,'תקציב מפורט 2025'!A:O,2,FALSE)</f>
        <v>קיטנות קיץ משכורת</v>
      </c>
      <c r="C625" s="42">
        <v>301916748</v>
      </c>
      <c r="D625" s="42" t="s">
        <v>490</v>
      </c>
      <c r="E625" s="42" t="s">
        <v>438</v>
      </c>
      <c r="F625" s="42">
        <v>813810</v>
      </c>
      <c r="G625" s="48">
        <v>0</v>
      </c>
      <c r="H625" s="45">
        <v>1972.26</v>
      </c>
      <c r="I625" s="45">
        <f>SUMIFS('שכר 11.2024'!N:N,'שכר 11.2024'!C:C,C:C,'שכר 11.2024'!F:F,F:F)</f>
        <v>0</v>
      </c>
      <c r="J625" s="45">
        <f t="shared" si="36"/>
        <v>1972.26</v>
      </c>
      <c r="K625" s="61">
        <f t="shared" si="37"/>
        <v>1.0349999999999999</v>
      </c>
      <c r="L625" s="45">
        <f t="shared" si="38"/>
        <v>2041.2890999999997</v>
      </c>
      <c r="M625" s="45">
        <f t="shared" si="39"/>
        <v>0</v>
      </c>
    </row>
    <row r="626" spans="1:13" outlineLevel="2" x14ac:dyDescent="0.35">
      <c r="A626" s="42">
        <v>1813810110</v>
      </c>
      <c r="B626" s="42" t="str">
        <f>VLOOKUP(A626,'תקציב מפורט 2025'!A:O,2,FALSE)</f>
        <v>קיטנות קיץ משכורת</v>
      </c>
      <c r="C626" s="42">
        <v>303168660</v>
      </c>
      <c r="D626" s="42" t="s">
        <v>434</v>
      </c>
      <c r="E626" s="42" t="s">
        <v>966</v>
      </c>
      <c r="F626" s="42">
        <v>813810</v>
      </c>
      <c r="G626" s="48">
        <v>0</v>
      </c>
      <c r="H626" s="45">
        <v>7585.11</v>
      </c>
      <c r="I626" s="45">
        <f>SUMIFS('שכר 11.2024'!N:N,'שכר 11.2024'!C:C,C:C,'שכר 11.2024'!F:F,F:F)</f>
        <v>0</v>
      </c>
      <c r="J626" s="45">
        <f t="shared" si="36"/>
        <v>7585.11</v>
      </c>
      <c r="K626" s="61">
        <f t="shared" si="37"/>
        <v>1.0349999999999999</v>
      </c>
      <c r="L626" s="45">
        <f t="shared" si="38"/>
        <v>7850.5888499999992</v>
      </c>
      <c r="M626" s="45">
        <f t="shared" si="39"/>
        <v>0</v>
      </c>
    </row>
    <row r="627" spans="1:13" outlineLevel="2" x14ac:dyDescent="0.35">
      <c r="A627" s="42">
        <v>1813810110</v>
      </c>
      <c r="B627" s="42" t="str">
        <f>VLOOKUP(A627,'תקציב מפורט 2025'!A:O,2,FALSE)</f>
        <v>קיטנות קיץ משכורת</v>
      </c>
      <c r="C627" s="42">
        <v>305255341</v>
      </c>
      <c r="D627" s="42" t="s">
        <v>486</v>
      </c>
      <c r="E627" s="42" t="s">
        <v>841</v>
      </c>
      <c r="F627" s="42">
        <v>813810</v>
      </c>
      <c r="G627" s="48">
        <v>0</v>
      </c>
      <c r="H627" s="45">
        <v>1687.89</v>
      </c>
      <c r="I627" s="45">
        <f>SUMIFS('שכר 11.2024'!N:N,'שכר 11.2024'!C:C,C:C,'שכר 11.2024'!F:F,F:F)</f>
        <v>0</v>
      </c>
      <c r="J627" s="45">
        <f t="shared" si="36"/>
        <v>1687.89</v>
      </c>
      <c r="K627" s="61">
        <f t="shared" si="37"/>
        <v>1.0349999999999999</v>
      </c>
      <c r="L627" s="45">
        <f t="shared" si="38"/>
        <v>1746.96615</v>
      </c>
      <c r="M627" s="45">
        <f t="shared" si="39"/>
        <v>0</v>
      </c>
    </row>
    <row r="628" spans="1:13" outlineLevel="2" x14ac:dyDescent="0.35">
      <c r="A628" s="42">
        <v>1813810110</v>
      </c>
      <c r="B628" s="42" t="str">
        <f>VLOOKUP(A628,'תקציב מפורט 2025'!A:O,2,FALSE)</f>
        <v>קיטנות קיץ משכורת</v>
      </c>
      <c r="C628" s="42">
        <v>305302903</v>
      </c>
      <c r="D628" s="42" t="s">
        <v>434</v>
      </c>
      <c r="E628" s="42" t="s">
        <v>897</v>
      </c>
      <c r="F628" s="42">
        <v>813810</v>
      </c>
      <c r="G628" s="48">
        <v>0</v>
      </c>
      <c r="H628" s="45">
        <v>15999.32</v>
      </c>
      <c r="I628" s="45">
        <f>SUMIFS('שכר 11.2024'!N:N,'שכר 11.2024'!C:C,C:C,'שכר 11.2024'!F:F,F:F)</f>
        <v>0</v>
      </c>
      <c r="J628" s="45">
        <f t="shared" si="36"/>
        <v>15999.32</v>
      </c>
      <c r="K628" s="61">
        <f t="shared" si="37"/>
        <v>1.0349999999999999</v>
      </c>
      <c r="L628" s="45">
        <f t="shared" si="38"/>
        <v>16559.296199999997</v>
      </c>
      <c r="M628" s="45">
        <f t="shared" si="39"/>
        <v>0</v>
      </c>
    </row>
    <row r="629" spans="1:13" outlineLevel="2" x14ac:dyDescent="0.35">
      <c r="A629" s="42">
        <v>1813810110</v>
      </c>
      <c r="B629" s="42" t="str">
        <f>VLOOKUP(A629,'תקציב מפורט 2025'!A:O,2,FALSE)</f>
        <v>קיטנות קיץ משכורת</v>
      </c>
      <c r="C629" s="42">
        <v>307957928</v>
      </c>
      <c r="D629" s="42" t="s">
        <v>1838</v>
      </c>
      <c r="E629" s="42" t="s">
        <v>1839</v>
      </c>
      <c r="F629" s="42">
        <v>813810</v>
      </c>
      <c r="G629" s="48">
        <v>0</v>
      </c>
      <c r="H629" s="45">
        <v>2498.64</v>
      </c>
      <c r="I629" s="45">
        <f>SUMIFS('שכר 11.2024'!N:N,'שכר 11.2024'!C:C,C:C,'שכר 11.2024'!F:F,F:F)</f>
        <v>0</v>
      </c>
      <c r="J629" s="45">
        <f t="shared" si="36"/>
        <v>2498.64</v>
      </c>
      <c r="K629" s="61">
        <f t="shared" si="37"/>
        <v>1.0349999999999999</v>
      </c>
      <c r="L629" s="45">
        <f t="shared" si="38"/>
        <v>2586.0923999999995</v>
      </c>
      <c r="M629" s="45">
        <f t="shared" si="39"/>
        <v>0</v>
      </c>
    </row>
    <row r="630" spans="1:13" outlineLevel="2" x14ac:dyDescent="0.35">
      <c r="A630" s="42">
        <v>1813810110</v>
      </c>
      <c r="B630" s="42" t="str">
        <f>VLOOKUP(A630,'תקציב מפורט 2025'!A:O,2,FALSE)</f>
        <v>קיטנות קיץ משכורת</v>
      </c>
      <c r="C630" s="42">
        <v>308182948</v>
      </c>
      <c r="D630" s="42" t="s">
        <v>1867</v>
      </c>
      <c r="E630" s="42" t="s">
        <v>1868</v>
      </c>
      <c r="F630" s="42">
        <v>813810</v>
      </c>
      <c r="G630" s="48">
        <v>0</v>
      </c>
      <c r="H630" s="45">
        <v>7495.88</v>
      </c>
      <c r="I630" s="45">
        <f>SUMIFS('שכר 11.2024'!N:N,'שכר 11.2024'!C:C,C:C,'שכר 11.2024'!F:F,F:F)</f>
        <v>0</v>
      </c>
      <c r="J630" s="45">
        <f t="shared" si="36"/>
        <v>7495.88</v>
      </c>
      <c r="K630" s="61">
        <f t="shared" si="37"/>
        <v>1.0349999999999999</v>
      </c>
      <c r="L630" s="45">
        <f t="shared" si="38"/>
        <v>7758.2357999999995</v>
      </c>
      <c r="M630" s="45">
        <f t="shared" si="39"/>
        <v>0</v>
      </c>
    </row>
    <row r="631" spans="1:13" outlineLevel="2" x14ac:dyDescent="0.35">
      <c r="A631" s="42">
        <v>1813810110</v>
      </c>
      <c r="B631" s="42" t="str">
        <f>VLOOKUP(A631,'תקציב מפורט 2025'!A:O,2,FALSE)</f>
        <v>קיטנות קיץ משכורת</v>
      </c>
      <c r="C631" s="42">
        <v>308351121</v>
      </c>
      <c r="D631" s="42" t="s">
        <v>442</v>
      </c>
      <c r="E631" s="42" t="s">
        <v>1726</v>
      </c>
      <c r="F631" s="42">
        <v>813810</v>
      </c>
      <c r="G631" s="48">
        <v>0</v>
      </c>
      <c r="H631" s="45">
        <v>3451.43</v>
      </c>
      <c r="I631" s="45">
        <f>SUMIFS('שכר 11.2024'!N:N,'שכר 11.2024'!C:C,C:C,'שכר 11.2024'!F:F,F:F)</f>
        <v>0</v>
      </c>
      <c r="J631" s="45">
        <f t="shared" si="36"/>
        <v>3451.43</v>
      </c>
      <c r="K631" s="61">
        <f t="shared" si="37"/>
        <v>1.0349999999999999</v>
      </c>
      <c r="L631" s="45">
        <f t="shared" si="38"/>
        <v>3572.2300499999997</v>
      </c>
      <c r="M631" s="45">
        <f t="shared" si="39"/>
        <v>0</v>
      </c>
    </row>
    <row r="632" spans="1:13" outlineLevel="2" x14ac:dyDescent="0.35">
      <c r="A632" s="42">
        <v>1813810110</v>
      </c>
      <c r="B632" s="42" t="str">
        <f>VLOOKUP(A632,'תקציב מפורט 2025'!A:O,2,FALSE)</f>
        <v>קיטנות קיץ משכורת</v>
      </c>
      <c r="C632" s="42">
        <v>308351204</v>
      </c>
      <c r="D632" s="42" t="s">
        <v>442</v>
      </c>
      <c r="E632" s="42" t="s">
        <v>480</v>
      </c>
      <c r="F632" s="42">
        <v>813810</v>
      </c>
      <c r="G632" s="48">
        <v>0</v>
      </c>
      <c r="H632" s="45">
        <v>3697.97</v>
      </c>
      <c r="I632" s="45">
        <f>SUMIFS('שכר 11.2024'!N:N,'שכר 11.2024'!C:C,C:C,'שכר 11.2024'!F:F,F:F)</f>
        <v>0</v>
      </c>
      <c r="J632" s="45">
        <f t="shared" si="36"/>
        <v>3697.97</v>
      </c>
      <c r="K632" s="61">
        <f t="shared" si="37"/>
        <v>1.0349999999999999</v>
      </c>
      <c r="L632" s="45">
        <f t="shared" si="38"/>
        <v>3827.3989499999993</v>
      </c>
      <c r="M632" s="45">
        <f t="shared" si="39"/>
        <v>0</v>
      </c>
    </row>
    <row r="633" spans="1:13" outlineLevel="2" x14ac:dyDescent="0.35">
      <c r="A633" s="42">
        <v>1813810110</v>
      </c>
      <c r="B633" s="42" t="str">
        <f>VLOOKUP(A633,'תקציב מפורט 2025'!A:O,2,FALSE)</f>
        <v>קיטנות קיץ משכורת</v>
      </c>
      <c r="C633" s="42">
        <v>313806028</v>
      </c>
      <c r="D633" s="42" t="s">
        <v>486</v>
      </c>
      <c r="E633" s="42" t="s">
        <v>534</v>
      </c>
      <c r="F633" s="42">
        <v>813810</v>
      </c>
      <c r="G633" s="48">
        <v>0</v>
      </c>
      <c r="H633" s="45">
        <v>7495.88</v>
      </c>
      <c r="I633" s="45">
        <f>SUMIFS('שכר 11.2024'!N:N,'שכר 11.2024'!C:C,C:C,'שכר 11.2024'!F:F,F:F)</f>
        <v>0</v>
      </c>
      <c r="J633" s="45">
        <f t="shared" si="36"/>
        <v>7495.88</v>
      </c>
      <c r="K633" s="61">
        <f t="shared" si="37"/>
        <v>1.0349999999999999</v>
      </c>
      <c r="L633" s="45">
        <f t="shared" si="38"/>
        <v>7758.2357999999995</v>
      </c>
      <c r="M633" s="45">
        <f t="shared" si="39"/>
        <v>0</v>
      </c>
    </row>
    <row r="634" spans="1:13" outlineLevel="2" x14ac:dyDescent="0.35">
      <c r="A634" s="42">
        <v>1813810110</v>
      </c>
      <c r="B634" s="42" t="str">
        <f>VLOOKUP(A634,'תקציב מפורט 2025'!A:O,2,FALSE)</f>
        <v>קיטנות קיץ משכורת</v>
      </c>
      <c r="C634" s="42">
        <v>313980260</v>
      </c>
      <c r="D634" s="42" t="s">
        <v>960</v>
      </c>
      <c r="E634" s="42" t="s">
        <v>461</v>
      </c>
      <c r="F634" s="42">
        <v>813810</v>
      </c>
      <c r="G634" s="48">
        <v>0</v>
      </c>
      <c r="H634" s="45">
        <v>7495.98</v>
      </c>
      <c r="I634" s="45">
        <f>SUMIFS('שכר 11.2024'!N:N,'שכר 11.2024'!C:C,C:C,'שכר 11.2024'!F:F,F:F)</f>
        <v>0</v>
      </c>
      <c r="J634" s="45">
        <f t="shared" si="36"/>
        <v>7495.98</v>
      </c>
      <c r="K634" s="61">
        <f t="shared" si="37"/>
        <v>1.0349999999999999</v>
      </c>
      <c r="L634" s="45">
        <f t="shared" si="38"/>
        <v>7758.3392999999987</v>
      </c>
      <c r="M634" s="45">
        <f t="shared" si="39"/>
        <v>0</v>
      </c>
    </row>
    <row r="635" spans="1:13" outlineLevel="2" x14ac:dyDescent="0.35">
      <c r="A635" s="42">
        <v>1813810110</v>
      </c>
      <c r="B635" s="42" t="str">
        <f>VLOOKUP(A635,'תקציב מפורט 2025'!A:O,2,FALSE)</f>
        <v>קיטנות קיץ משכורת</v>
      </c>
      <c r="C635" s="42">
        <v>314057803</v>
      </c>
      <c r="D635" s="42" t="s">
        <v>921</v>
      </c>
      <c r="E635" s="42" t="s">
        <v>438</v>
      </c>
      <c r="F635" s="42">
        <v>813810</v>
      </c>
      <c r="G635" s="48">
        <v>0</v>
      </c>
      <c r="H635" s="45">
        <v>7495.88</v>
      </c>
      <c r="I635" s="45">
        <f>SUMIFS('שכר 11.2024'!N:N,'שכר 11.2024'!C:C,C:C,'שכר 11.2024'!F:F,F:F)</f>
        <v>0</v>
      </c>
      <c r="J635" s="45">
        <f t="shared" si="36"/>
        <v>7495.88</v>
      </c>
      <c r="K635" s="61">
        <f t="shared" si="37"/>
        <v>1.0349999999999999</v>
      </c>
      <c r="L635" s="45">
        <f t="shared" si="38"/>
        <v>7758.2357999999995</v>
      </c>
      <c r="M635" s="45">
        <f t="shared" si="39"/>
        <v>0</v>
      </c>
    </row>
    <row r="636" spans="1:13" outlineLevel="2" x14ac:dyDescent="0.35">
      <c r="A636" s="42">
        <v>1813810110</v>
      </c>
      <c r="B636" s="42" t="str">
        <f>VLOOKUP(A636,'תקציב מפורט 2025'!A:O,2,FALSE)</f>
        <v>קיטנות קיץ משכורת</v>
      </c>
      <c r="C636" s="42">
        <v>314642828</v>
      </c>
      <c r="D636" s="42" t="s">
        <v>434</v>
      </c>
      <c r="E636" s="42" t="s">
        <v>1728</v>
      </c>
      <c r="F636" s="42">
        <v>813810</v>
      </c>
      <c r="G636" s="48">
        <v>242.1</v>
      </c>
      <c r="H636" s="45">
        <v>11010.67</v>
      </c>
      <c r="I636" s="45">
        <f>SUMIFS('שכר 11.2024'!N:N,'שכר 11.2024'!C:C,C:C,'שכר 11.2024'!F:F,F:F)</f>
        <v>0</v>
      </c>
      <c r="J636" s="45">
        <f t="shared" si="36"/>
        <v>11010.67</v>
      </c>
      <c r="K636" s="61">
        <f t="shared" si="37"/>
        <v>1.0349999999999999</v>
      </c>
      <c r="L636" s="45">
        <f t="shared" si="38"/>
        <v>11396.043449999999</v>
      </c>
      <c r="M636" s="45">
        <f t="shared" si="39"/>
        <v>0.22009090909090909</v>
      </c>
    </row>
    <row r="637" spans="1:13" outlineLevel="2" x14ac:dyDescent="0.35">
      <c r="A637" s="42">
        <v>1813810110</v>
      </c>
      <c r="B637" s="42" t="str">
        <f>VLOOKUP(A637,'תקציב מפורט 2025'!A:O,2,FALSE)</f>
        <v>קיטנות קיץ משכורת</v>
      </c>
      <c r="C637" s="42">
        <v>315201624</v>
      </c>
      <c r="D637" s="42" t="s">
        <v>434</v>
      </c>
      <c r="E637" s="42" t="s">
        <v>1833</v>
      </c>
      <c r="F637" s="42">
        <v>813810</v>
      </c>
      <c r="G637" s="48">
        <v>0</v>
      </c>
      <c r="H637" s="45">
        <v>7495.87</v>
      </c>
      <c r="I637" s="45">
        <f>SUMIFS('שכר 11.2024'!N:N,'שכר 11.2024'!C:C,C:C,'שכר 11.2024'!F:F,F:F)</f>
        <v>0</v>
      </c>
      <c r="J637" s="45">
        <f t="shared" si="36"/>
        <v>7495.87</v>
      </c>
      <c r="K637" s="61">
        <f t="shared" si="37"/>
        <v>1.0349999999999999</v>
      </c>
      <c r="L637" s="45">
        <f t="shared" si="38"/>
        <v>7758.225449999999</v>
      </c>
      <c r="M637" s="45">
        <f t="shared" si="39"/>
        <v>0</v>
      </c>
    </row>
    <row r="638" spans="1:13" outlineLevel="2" x14ac:dyDescent="0.35">
      <c r="A638" s="42">
        <v>1813810110</v>
      </c>
      <c r="B638" s="42" t="str">
        <f>VLOOKUP(A638,'תקציב מפורט 2025'!A:O,2,FALSE)</f>
        <v>קיטנות קיץ משכורת</v>
      </c>
      <c r="C638" s="42">
        <v>315203224</v>
      </c>
      <c r="D638" s="42" t="s">
        <v>490</v>
      </c>
      <c r="E638" s="42" t="s">
        <v>1745</v>
      </c>
      <c r="F638" s="42">
        <v>813810</v>
      </c>
      <c r="G638" s="48">
        <v>0</v>
      </c>
      <c r="H638" s="45">
        <v>7329.3</v>
      </c>
      <c r="I638" s="45">
        <f>SUMIFS('שכר 11.2024'!N:N,'שכר 11.2024'!C:C,C:C,'שכר 11.2024'!F:F,F:F)</f>
        <v>0</v>
      </c>
      <c r="J638" s="45">
        <f t="shared" si="36"/>
        <v>7329.3</v>
      </c>
      <c r="K638" s="61">
        <f t="shared" si="37"/>
        <v>1.0349999999999999</v>
      </c>
      <c r="L638" s="45">
        <f t="shared" si="38"/>
        <v>7585.8254999999999</v>
      </c>
      <c r="M638" s="45">
        <f t="shared" si="39"/>
        <v>0</v>
      </c>
    </row>
    <row r="639" spans="1:13" outlineLevel="2" x14ac:dyDescent="0.35">
      <c r="A639" s="42">
        <v>1813810110</v>
      </c>
      <c r="B639" s="42" t="str">
        <f>VLOOKUP(A639,'תקציב מפורט 2025'!A:O,2,FALSE)</f>
        <v>קיטנות קיץ משכורת</v>
      </c>
      <c r="C639" s="42">
        <v>315252098</v>
      </c>
      <c r="D639" s="42" t="s">
        <v>448</v>
      </c>
      <c r="E639" s="42" t="s">
        <v>441</v>
      </c>
      <c r="F639" s="42">
        <v>813810</v>
      </c>
      <c r="G639" s="48">
        <v>0</v>
      </c>
      <c r="H639" s="45">
        <v>7162.73</v>
      </c>
      <c r="I639" s="45">
        <f>SUMIFS('שכר 11.2024'!N:N,'שכר 11.2024'!C:C,C:C,'שכר 11.2024'!F:F,F:F)</f>
        <v>0</v>
      </c>
      <c r="J639" s="45">
        <f t="shared" si="36"/>
        <v>7162.73</v>
      </c>
      <c r="K639" s="61">
        <f t="shared" si="37"/>
        <v>1.0349999999999999</v>
      </c>
      <c r="L639" s="45">
        <f t="shared" si="38"/>
        <v>7413.425549999999</v>
      </c>
      <c r="M639" s="45">
        <f t="shared" si="39"/>
        <v>0</v>
      </c>
    </row>
    <row r="640" spans="1:13" outlineLevel="2" x14ac:dyDescent="0.35">
      <c r="A640" s="42">
        <v>1813810110</v>
      </c>
      <c r="B640" s="42" t="str">
        <f>VLOOKUP(A640,'תקציב מפורט 2025'!A:O,2,FALSE)</f>
        <v>קיטנות קיץ משכורת</v>
      </c>
      <c r="C640" s="42">
        <v>316170729</v>
      </c>
      <c r="D640" s="42" t="s">
        <v>434</v>
      </c>
      <c r="E640" s="42" t="s">
        <v>842</v>
      </c>
      <c r="F640" s="42">
        <v>813810</v>
      </c>
      <c r="G640" s="48">
        <v>0</v>
      </c>
      <c r="H640" s="45">
        <v>1350.51</v>
      </c>
      <c r="I640" s="45">
        <f>SUMIFS('שכר 11.2024'!N:N,'שכר 11.2024'!C:C,C:C,'שכר 11.2024'!F:F,F:F)</f>
        <v>0</v>
      </c>
      <c r="J640" s="45">
        <f t="shared" si="36"/>
        <v>1350.51</v>
      </c>
      <c r="K640" s="61">
        <f t="shared" si="37"/>
        <v>1.0349999999999999</v>
      </c>
      <c r="L640" s="45">
        <f t="shared" si="38"/>
        <v>1397.7778499999999</v>
      </c>
      <c r="M640" s="45">
        <f t="shared" si="39"/>
        <v>0</v>
      </c>
    </row>
    <row r="641" spans="1:13" outlineLevel="2" x14ac:dyDescent="0.35">
      <c r="A641" s="42">
        <v>1813810110</v>
      </c>
      <c r="B641" s="42" t="str">
        <f>VLOOKUP(A641,'תקציב מפורט 2025'!A:O,2,FALSE)</f>
        <v>קיטנות קיץ משכורת</v>
      </c>
      <c r="C641" s="42">
        <v>316173244</v>
      </c>
      <c r="D641" s="42" t="s">
        <v>490</v>
      </c>
      <c r="E641" s="42" t="s">
        <v>934</v>
      </c>
      <c r="F641" s="42">
        <v>813810</v>
      </c>
      <c r="G641" s="48">
        <v>0</v>
      </c>
      <c r="H641" s="45">
        <v>7329.3</v>
      </c>
      <c r="I641" s="45">
        <f>SUMIFS('שכר 11.2024'!N:N,'שכר 11.2024'!C:C,C:C,'שכר 11.2024'!F:F,F:F)</f>
        <v>0</v>
      </c>
      <c r="J641" s="45">
        <f t="shared" si="36"/>
        <v>7329.3</v>
      </c>
      <c r="K641" s="61">
        <f t="shared" si="37"/>
        <v>1.0349999999999999</v>
      </c>
      <c r="L641" s="45">
        <f t="shared" si="38"/>
        <v>7585.8254999999999</v>
      </c>
      <c r="M641" s="45">
        <f t="shared" si="39"/>
        <v>0</v>
      </c>
    </row>
    <row r="642" spans="1:13" outlineLevel="2" x14ac:dyDescent="0.35">
      <c r="A642" s="42">
        <v>1813810110</v>
      </c>
      <c r="B642" s="42" t="str">
        <f>VLOOKUP(A642,'תקציב מפורט 2025'!A:O,2,FALSE)</f>
        <v>קיטנות קיץ משכורת</v>
      </c>
      <c r="C642" s="42">
        <v>316458348</v>
      </c>
      <c r="D642" s="42" t="s">
        <v>434</v>
      </c>
      <c r="E642" s="42" t="s">
        <v>830</v>
      </c>
      <c r="F642" s="42">
        <v>813810</v>
      </c>
      <c r="G642" s="48">
        <v>0</v>
      </c>
      <c r="H642" s="45">
        <v>821.52</v>
      </c>
      <c r="I642" s="45">
        <f>SUMIFS('שכר 11.2024'!N:N,'שכר 11.2024'!C:C,C:C,'שכר 11.2024'!F:F,F:F)</f>
        <v>0</v>
      </c>
      <c r="J642" s="45">
        <f t="shared" si="36"/>
        <v>821.52</v>
      </c>
      <c r="K642" s="61">
        <f t="shared" si="37"/>
        <v>1.0349999999999999</v>
      </c>
      <c r="L642" s="45">
        <f t="shared" si="38"/>
        <v>850.27319999999986</v>
      </c>
      <c r="M642" s="45">
        <f t="shared" si="39"/>
        <v>0</v>
      </c>
    </row>
    <row r="643" spans="1:13" outlineLevel="2" x14ac:dyDescent="0.35">
      <c r="A643" s="42">
        <v>1813810110</v>
      </c>
      <c r="B643" s="42" t="str">
        <f>VLOOKUP(A643,'תקציב מפורט 2025'!A:O,2,FALSE)</f>
        <v>קיטנות קיץ משכורת</v>
      </c>
      <c r="C643" s="42">
        <v>317849073</v>
      </c>
      <c r="D643" s="42" t="s">
        <v>434</v>
      </c>
      <c r="E643" s="42" t="s">
        <v>459</v>
      </c>
      <c r="F643" s="42">
        <v>813810</v>
      </c>
      <c r="G643" s="48">
        <v>0</v>
      </c>
      <c r="H643" s="45">
        <v>3256.07</v>
      </c>
      <c r="I643" s="45">
        <f>SUMIFS('שכר 11.2024'!N:N,'שכר 11.2024'!C:C,C:C,'שכר 11.2024'!F:F,F:F)</f>
        <v>0</v>
      </c>
      <c r="J643" s="45">
        <f t="shared" si="36"/>
        <v>3256.07</v>
      </c>
      <c r="K643" s="61">
        <f t="shared" si="37"/>
        <v>1.0349999999999999</v>
      </c>
      <c r="L643" s="45">
        <f t="shared" si="38"/>
        <v>3370.0324499999997</v>
      </c>
      <c r="M643" s="45">
        <f t="shared" si="39"/>
        <v>0</v>
      </c>
    </row>
    <row r="644" spans="1:13" outlineLevel="2" x14ac:dyDescent="0.35">
      <c r="A644" s="42">
        <v>1813810110</v>
      </c>
      <c r="B644" s="42" t="str">
        <f>VLOOKUP(A644,'תקציב מפורט 2025'!A:O,2,FALSE)</f>
        <v>קיטנות קיץ משכורת</v>
      </c>
      <c r="C644" s="42">
        <v>318243763</v>
      </c>
      <c r="D644" s="42" t="s">
        <v>454</v>
      </c>
      <c r="E644" s="42" t="s">
        <v>1869</v>
      </c>
      <c r="F644" s="42">
        <v>813810</v>
      </c>
      <c r="G644" s="48">
        <v>0</v>
      </c>
      <c r="H644" s="45">
        <v>7495.88</v>
      </c>
      <c r="I644" s="45">
        <f>SUMIFS('שכר 11.2024'!N:N,'שכר 11.2024'!C:C,C:C,'שכר 11.2024'!F:F,F:F)</f>
        <v>0</v>
      </c>
      <c r="J644" s="45">
        <f t="shared" si="36"/>
        <v>7495.88</v>
      </c>
      <c r="K644" s="61">
        <f t="shared" si="37"/>
        <v>1.0349999999999999</v>
      </c>
      <c r="L644" s="45">
        <f t="shared" si="38"/>
        <v>7758.2357999999995</v>
      </c>
      <c r="M644" s="45">
        <f t="shared" si="39"/>
        <v>0</v>
      </c>
    </row>
    <row r="645" spans="1:13" outlineLevel="2" x14ac:dyDescent="0.35">
      <c r="A645" s="42">
        <v>1813810110</v>
      </c>
      <c r="B645" s="42" t="str">
        <f>VLOOKUP(A645,'תקציב מפורט 2025'!A:O,2,FALSE)</f>
        <v>קיטנות קיץ משכורת</v>
      </c>
      <c r="C645" s="42">
        <v>318246774</v>
      </c>
      <c r="D645" s="42" t="s">
        <v>486</v>
      </c>
      <c r="E645" s="42" t="s">
        <v>1849</v>
      </c>
      <c r="F645" s="42">
        <v>813810</v>
      </c>
      <c r="G645" s="48">
        <v>0</v>
      </c>
      <c r="H645" s="45">
        <v>9536.41</v>
      </c>
      <c r="I645" s="45">
        <f>SUMIFS('שכר 11.2024'!N:N,'שכר 11.2024'!C:C,C:C,'שכר 11.2024'!F:F,F:F)</f>
        <v>0</v>
      </c>
      <c r="J645" s="45">
        <f t="shared" si="36"/>
        <v>9536.41</v>
      </c>
      <c r="K645" s="61">
        <f t="shared" si="37"/>
        <v>1.0349999999999999</v>
      </c>
      <c r="L645" s="45">
        <f t="shared" si="38"/>
        <v>9870.1843499999995</v>
      </c>
      <c r="M645" s="45">
        <f t="shared" si="39"/>
        <v>0</v>
      </c>
    </row>
    <row r="646" spans="1:13" outlineLevel="2" x14ac:dyDescent="0.35">
      <c r="A646" s="42">
        <v>1813810110</v>
      </c>
      <c r="B646" s="42" t="str">
        <f>VLOOKUP(A646,'תקציב מפורט 2025'!A:O,2,FALSE)</f>
        <v>קיטנות קיץ משכורת</v>
      </c>
      <c r="C646" s="42">
        <v>325100477</v>
      </c>
      <c r="D646" s="42" t="s">
        <v>442</v>
      </c>
      <c r="E646" s="42" t="s">
        <v>1835</v>
      </c>
      <c r="F646" s="42">
        <v>813810</v>
      </c>
      <c r="G646" s="48">
        <v>0</v>
      </c>
      <c r="H646" s="45">
        <v>3697.97</v>
      </c>
      <c r="I646" s="45">
        <f>SUMIFS('שכר 11.2024'!N:N,'שכר 11.2024'!C:C,C:C,'שכר 11.2024'!F:F,F:F)</f>
        <v>0</v>
      </c>
      <c r="J646" s="45">
        <f t="shared" si="36"/>
        <v>3697.97</v>
      </c>
      <c r="K646" s="61">
        <f t="shared" si="37"/>
        <v>1.0349999999999999</v>
      </c>
      <c r="L646" s="45">
        <f t="shared" si="38"/>
        <v>3827.3989499999993</v>
      </c>
      <c r="M646" s="45">
        <f t="shared" si="39"/>
        <v>0</v>
      </c>
    </row>
    <row r="647" spans="1:13" outlineLevel="2" x14ac:dyDescent="0.35">
      <c r="A647" s="42">
        <v>1813810110</v>
      </c>
      <c r="B647" s="42" t="str">
        <f>VLOOKUP(A647,'תקציב מפורט 2025'!A:O,2,FALSE)</f>
        <v>קיטנות קיץ משכורת</v>
      </c>
      <c r="C647" s="42">
        <v>328163282</v>
      </c>
      <c r="D647" s="42" t="s">
        <v>442</v>
      </c>
      <c r="E647" s="42" t="s">
        <v>1731</v>
      </c>
      <c r="F647" s="42">
        <v>813810</v>
      </c>
      <c r="G647" s="48">
        <v>0</v>
      </c>
      <c r="H647" s="45">
        <v>2958.37</v>
      </c>
      <c r="I647" s="45">
        <f>SUMIFS('שכר 11.2024'!N:N,'שכר 11.2024'!C:C,C:C,'שכר 11.2024'!F:F,F:F)</f>
        <v>0</v>
      </c>
      <c r="J647" s="45">
        <f t="shared" si="36"/>
        <v>2958.37</v>
      </c>
      <c r="K647" s="61">
        <f t="shared" si="37"/>
        <v>1.0349999999999999</v>
      </c>
      <c r="L647" s="45">
        <f t="shared" si="38"/>
        <v>3061.9129499999995</v>
      </c>
      <c r="M647" s="45">
        <f t="shared" si="39"/>
        <v>0</v>
      </c>
    </row>
    <row r="648" spans="1:13" outlineLevel="1" x14ac:dyDescent="0.35">
      <c r="A648" s="63" t="s">
        <v>2017</v>
      </c>
      <c r="B648" s="63"/>
      <c r="C648" s="63"/>
      <c r="D648" s="63"/>
      <c r="E648" s="63"/>
      <c r="F648" s="63"/>
      <c r="G648" s="73">
        <f>SUBTOTAL(9,G491:G647)</f>
        <v>504</v>
      </c>
      <c r="H648" s="64">
        <f>SUBTOTAL(9,H491:H647)</f>
        <v>679302.73000000021</v>
      </c>
      <c r="I648" s="64">
        <f>SUBTOTAL(9,I491:I647)</f>
        <v>0</v>
      </c>
      <c r="J648" s="64">
        <f>SUBTOTAL(9,J491:J647)</f>
        <v>679302.73000000021</v>
      </c>
      <c r="K648" s="65"/>
      <c r="L648" s="64">
        <f>SUBTOTAL(9,L491:L647)</f>
        <v>703078.32555000018</v>
      </c>
      <c r="M648" s="64">
        <f>SUBTOTAL(9,M491:M647)</f>
        <v>0.45818181818181819</v>
      </c>
    </row>
    <row r="649" spans="1:13" outlineLevel="2" x14ac:dyDescent="0.35">
      <c r="A649" s="42">
        <v>1814000110</v>
      </c>
      <c r="B649" s="42" t="str">
        <f>VLOOKUP(A649,'תקציב מפורט 2025'!A:O,2,FALSE)</f>
        <v>חט"ב-משכורת</v>
      </c>
      <c r="C649" s="42">
        <v>23466824</v>
      </c>
      <c r="D649" s="42" t="s">
        <v>448</v>
      </c>
      <c r="E649" s="42" t="s">
        <v>550</v>
      </c>
      <c r="F649" s="42">
        <v>814000</v>
      </c>
      <c r="G649" s="48">
        <v>1100</v>
      </c>
      <c r="H649" s="45">
        <v>167250.64000000001</v>
      </c>
      <c r="I649" s="45">
        <f>SUMIFS('שכר 11.2024'!N:N,'שכר 11.2024'!C:C,C:C,'שכר 11.2024'!F:F,F:F)</f>
        <v>12360.8</v>
      </c>
      <c r="J649" s="45">
        <f t="shared" si="36"/>
        <v>179611.44</v>
      </c>
      <c r="K649" s="61">
        <f t="shared" si="37"/>
        <v>1.0349999999999999</v>
      </c>
      <c r="L649" s="45">
        <f t="shared" si="38"/>
        <v>185897.84039999999</v>
      </c>
      <c r="M649" s="45">
        <f t="shared" si="39"/>
        <v>1</v>
      </c>
    </row>
    <row r="650" spans="1:13" outlineLevel="2" x14ac:dyDescent="0.35">
      <c r="A650" s="42">
        <v>1814000110</v>
      </c>
      <c r="B650" s="42" t="str">
        <f>VLOOKUP(A650,'תקציב מפורט 2025'!A:O,2,FALSE)</f>
        <v>חט"ב-משכורת</v>
      </c>
      <c r="C650" s="42">
        <v>24720567</v>
      </c>
      <c r="D650" s="42" t="s">
        <v>515</v>
      </c>
      <c r="E650" s="42" t="s">
        <v>549</v>
      </c>
      <c r="F650" s="42">
        <v>814000</v>
      </c>
      <c r="G650" s="48">
        <v>1100</v>
      </c>
      <c r="H650" s="45">
        <v>160840.60999999999</v>
      </c>
      <c r="I650" s="45">
        <f>SUMIFS('שכר 11.2024'!N:N,'שכר 11.2024'!C:C,C:C,'שכר 11.2024'!F:F,F:F)</f>
        <v>13987.5</v>
      </c>
      <c r="J650" s="45">
        <f t="shared" si="36"/>
        <v>174828.11</v>
      </c>
      <c r="K650" s="61">
        <f t="shared" si="37"/>
        <v>1.0349999999999999</v>
      </c>
      <c r="L650" s="45">
        <f t="shared" si="38"/>
        <v>180947.09384999998</v>
      </c>
      <c r="M650" s="45">
        <f t="shared" si="39"/>
        <v>1</v>
      </c>
    </row>
    <row r="651" spans="1:13" outlineLevel="2" x14ac:dyDescent="0.35">
      <c r="A651" s="42">
        <v>1814000110</v>
      </c>
      <c r="B651" s="42" t="str">
        <f>VLOOKUP(A651,'תקציב מפורט 2025'!A:O,2,FALSE)</f>
        <v>חט"ב-משכורת</v>
      </c>
      <c r="C651" s="42">
        <v>25908047</v>
      </c>
      <c r="D651" s="42" t="s">
        <v>442</v>
      </c>
      <c r="E651" s="42" t="s">
        <v>518</v>
      </c>
      <c r="F651" s="42">
        <v>814000</v>
      </c>
      <c r="G651" s="48">
        <v>1100</v>
      </c>
      <c r="H651" s="45">
        <v>206563.82</v>
      </c>
      <c r="I651" s="45">
        <f>SUMIFS('שכר 11.2024'!N:N,'שכר 11.2024'!C:C,C:C,'שכר 11.2024'!F:F,F:F)</f>
        <v>16344.97</v>
      </c>
      <c r="J651" s="45">
        <f t="shared" si="36"/>
        <v>222908.79</v>
      </c>
      <c r="K651" s="61">
        <f t="shared" si="37"/>
        <v>1.0349999999999999</v>
      </c>
      <c r="L651" s="45">
        <f t="shared" si="38"/>
        <v>230710.59764999998</v>
      </c>
      <c r="M651" s="45">
        <f t="shared" si="39"/>
        <v>1</v>
      </c>
    </row>
    <row r="652" spans="1:13" outlineLevel="2" x14ac:dyDescent="0.35">
      <c r="A652" s="42">
        <v>1814000110</v>
      </c>
      <c r="B652" s="42" t="str">
        <f>VLOOKUP(A652,'תקציב מפורט 2025'!A:O,2,FALSE)</f>
        <v>חט"ב-משכורת</v>
      </c>
      <c r="C652" s="42">
        <v>28346385</v>
      </c>
      <c r="D652" s="42" t="s">
        <v>442</v>
      </c>
      <c r="E652" s="42" t="s">
        <v>548</v>
      </c>
      <c r="F652" s="42">
        <v>814000</v>
      </c>
      <c r="G652" s="48">
        <v>0</v>
      </c>
      <c r="H652" s="45">
        <v>-14418.08</v>
      </c>
      <c r="I652" s="45">
        <f>SUMIFS('שכר 11.2024'!N:N,'שכר 11.2024'!C:C,C:C,'שכר 11.2024'!F:F,F:F)</f>
        <v>0</v>
      </c>
      <c r="J652" s="45">
        <f t="shared" si="36"/>
        <v>-14418.08</v>
      </c>
      <c r="K652" s="61">
        <f t="shared" si="37"/>
        <v>1.0349999999999999</v>
      </c>
      <c r="L652" s="45">
        <f t="shared" si="38"/>
        <v>-14922.712799999999</v>
      </c>
      <c r="M652" s="45">
        <f t="shared" si="39"/>
        <v>0</v>
      </c>
    </row>
    <row r="653" spans="1:13" outlineLevel="2" x14ac:dyDescent="0.35">
      <c r="A653" s="42">
        <v>1814000110</v>
      </c>
      <c r="B653" s="42" t="str">
        <f>VLOOKUP(A653,'תקציב מפורט 2025'!A:O,2,FALSE)</f>
        <v>חט"ב-משכורת</v>
      </c>
      <c r="C653" s="42">
        <v>32642639</v>
      </c>
      <c r="D653" s="42" t="s">
        <v>546</v>
      </c>
      <c r="E653" s="42" t="s">
        <v>438</v>
      </c>
      <c r="F653" s="42">
        <v>814000</v>
      </c>
      <c r="G653" s="48">
        <v>528</v>
      </c>
      <c r="H653" s="45">
        <v>55612.39</v>
      </c>
      <c r="I653" s="45">
        <f>SUMIFS('שכר 11.2024'!N:N,'שכר 11.2024'!C:C,C:C,'שכר 11.2024'!F:F,F:F)</f>
        <v>4295.62</v>
      </c>
      <c r="J653" s="45">
        <f t="shared" si="36"/>
        <v>59908.01</v>
      </c>
      <c r="K653" s="61">
        <f t="shared" si="37"/>
        <v>1.0349999999999999</v>
      </c>
      <c r="L653" s="45">
        <f t="shared" si="38"/>
        <v>62004.790349999996</v>
      </c>
      <c r="M653" s="45">
        <f t="shared" si="39"/>
        <v>0.48</v>
      </c>
    </row>
    <row r="654" spans="1:13" outlineLevel="2" x14ac:dyDescent="0.35">
      <c r="A654" s="42">
        <v>1814000110</v>
      </c>
      <c r="B654" s="42" t="str">
        <f>VLOOKUP(A654,'תקציב מפורט 2025'!A:O,2,FALSE)</f>
        <v>חט"ב-משכורת</v>
      </c>
      <c r="C654" s="42">
        <v>39506324</v>
      </c>
      <c r="D654" s="42" t="s">
        <v>434</v>
      </c>
      <c r="E654" s="42" t="s">
        <v>856</v>
      </c>
      <c r="F654" s="42">
        <v>814000</v>
      </c>
      <c r="G654" s="48">
        <v>1100</v>
      </c>
      <c r="H654" s="45">
        <v>144080.06</v>
      </c>
      <c r="I654" s="45">
        <f>SUMIFS('שכר 11.2024'!N:N,'שכר 11.2024'!C:C,C:C,'שכר 11.2024'!F:F,F:F)</f>
        <v>13094.15</v>
      </c>
      <c r="J654" s="45">
        <f t="shared" si="36"/>
        <v>157174.21</v>
      </c>
      <c r="K654" s="61">
        <f t="shared" si="37"/>
        <v>1.0349999999999999</v>
      </c>
      <c r="L654" s="45">
        <f t="shared" si="38"/>
        <v>162675.30734999999</v>
      </c>
      <c r="M654" s="45">
        <f t="shared" si="39"/>
        <v>1</v>
      </c>
    </row>
    <row r="655" spans="1:13" outlineLevel="2" x14ac:dyDescent="0.35">
      <c r="A655" s="42">
        <v>1814000110</v>
      </c>
      <c r="B655" s="42" t="str">
        <f>VLOOKUP(A655,'תקציב מפורט 2025'!A:O,2,FALSE)</f>
        <v>חט"ב-משכורת</v>
      </c>
      <c r="C655" s="42">
        <v>56319015</v>
      </c>
      <c r="D655" s="42" t="s">
        <v>442</v>
      </c>
      <c r="E655" s="42" t="s">
        <v>576</v>
      </c>
      <c r="F655" s="42">
        <v>814000</v>
      </c>
      <c r="G655" s="48">
        <v>1100</v>
      </c>
      <c r="H655" s="45">
        <v>134648.89000000001</v>
      </c>
      <c r="I655" s="45">
        <f>SUMIFS('שכר 11.2024'!N:N,'שכר 11.2024'!C:C,C:C,'שכר 11.2024'!F:F,F:F)</f>
        <v>12137.61</v>
      </c>
      <c r="J655" s="45">
        <f t="shared" si="36"/>
        <v>146786.5</v>
      </c>
      <c r="K655" s="61">
        <f t="shared" si="37"/>
        <v>1.0349999999999999</v>
      </c>
      <c r="L655" s="45">
        <f t="shared" si="38"/>
        <v>151924.0275</v>
      </c>
      <c r="M655" s="45">
        <f t="shared" si="39"/>
        <v>1</v>
      </c>
    </row>
    <row r="656" spans="1:13" outlineLevel="2" x14ac:dyDescent="0.35">
      <c r="A656" s="42">
        <v>1814000110</v>
      </c>
      <c r="B656" s="42" t="str">
        <f>VLOOKUP(A656,'תקציב מפורט 2025'!A:O,2,FALSE)</f>
        <v>חט"ב-משכורת</v>
      </c>
      <c r="C656" s="42">
        <v>66078361</v>
      </c>
      <c r="D656" s="42" t="s">
        <v>892</v>
      </c>
      <c r="E656" s="42" t="s">
        <v>438</v>
      </c>
      <c r="F656" s="42">
        <v>814000</v>
      </c>
      <c r="G656" s="48">
        <v>800</v>
      </c>
      <c r="H656" s="45">
        <v>75962.009999999995</v>
      </c>
      <c r="I656" s="45">
        <f>SUMIFS('שכר 11.2024'!N:N,'שכר 11.2024'!C:C,C:C,'שכר 11.2024'!F:F,F:F)</f>
        <v>9941.44</v>
      </c>
      <c r="J656" s="45">
        <f t="shared" si="36"/>
        <v>85903.45</v>
      </c>
      <c r="K656" s="61">
        <f t="shared" si="37"/>
        <v>1.0349999999999999</v>
      </c>
      <c r="L656" s="45">
        <f t="shared" si="38"/>
        <v>88910.070749999984</v>
      </c>
      <c r="M656" s="45">
        <f t="shared" si="39"/>
        <v>0.72727272727272729</v>
      </c>
    </row>
    <row r="657" spans="1:13" outlineLevel="2" x14ac:dyDescent="0.35">
      <c r="A657" s="42">
        <v>1814000110</v>
      </c>
      <c r="B657" s="42" t="str">
        <f>VLOOKUP(A657,'תקציב מפורט 2025'!A:O,2,FALSE)</f>
        <v>חט"ב-משכורת</v>
      </c>
      <c r="C657" s="42">
        <v>315203224</v>
      </c>
      <c r="D657" s="42" t="s">
        <v>490</v>
      </c>
      <c r="E657" s="42" t="s">
        <v>1745</v>
      </c>
      <c r="F657" s="42">
        <v>814000</v>
      </c>
      <c r="G657" s="48">
        <v>189</v>
      </c>
      <c r="H657" s="45">
        <v>12380.52</v>
      </c>
      <c r="I657" s="45">
        <f>SUMIFS('שכר 11.2024'!N:N,'שכר 11.2024'!C:C,C:C,'שכר 11.2024'!F:F,F:F)</f>
        <v>4323.2</v>
      </c>
      <c r="J657" s="45">
        <f t="shared" si="36"/>
        <v>16703.72</v>
      </c>
      <c r="K657" s="61">
        <f t="shared" si="37"/>
        <v>1.0349999999999999</v>
      </c>
      <c r="L657" s="45">
        <f t="shared" si="38"/>
        <v>17288.350200000001</v>
      </c>
      <c r="M657" s="45">
        <f t="shared" si="39"/>
        <v>0.17181818181818181</v>
      </c>
    </row>
    <row r="658" spans="1:13" outlineLevel="2" x14ac:dyDescent="0.35">
      <c r="A658" s="42">
        <v>1814000110</v>
      </c>
      <c r="B658" s="42" t="str">
        <f>VLOOKUP(A658,'תקציב מפורט 2025'!A:O,2,FALSE)</f>
        <v>חט"ב-משכורת</v>
      </c>
      <c r="C658" s="42">
        <v>318248283</v>
      </c>
      <c r="D658" s="42" t="s">
        <v>434</v>
      </c>
      <c r="E658" s="42" t="s">
        <v>831</v>
      </c>
      <c r="F658" s="42">
        <v>814000</v>
      </c>
      <c r="G658" s="48">
        <v>86.8</v>
      </c>
      <c r="H658" s="45">
        <v>17622.61</v>
      </c>
      <c r="I658" s="45">
        <f>SUMIFS('שכר 11.2024'!N:N,'שכר 11.2024'!C:C,C:C,'שכר 11.2024'!F:F,F:F)</f>
        <v>0</v>
      </c>
      <c r="J658" s="45">
        <f t="shared" si="36"/>
        <v>17622.61</v>
      </c>
      <c r="K658" s="61">
        <f t="shared" si="37"/>
        <v>1.0349999999999999</v>
      </c>
      <c r="L658" s="45">
        <f t="shared" si="38"/>
        <v>18239.40135</v>
      </c>
      <c r="M658" s="45">
        <f t="shared" si="39"/>
        <v>7.8909090909090901E-2</v>
      </c>
    </row>
    <row r="659" spans="1:13" outlineLevel="2" x14ac:dyDescent="0.35">
      <c r="A659" s="42">
        <v>1814000110</v>
      </c>
      <c r="B659" s="42" t="str">
        <f>VLOOKUP(A659,'תקציב מפורט 2025'!A:O,2,FALSE)</f>
        <v>חט"ב-משכורת</v>
      </c>
      <c r="C659" s="42">
        <v>31693351</v>
      </c>
      <c r="D659" s="42" t="s">
        <v>1746</v>
      </c>
      <c r="E659" s="42" t="s">
        <v>547</v>
      </c>
      <c r="F659" s="42">
        <v>814200</v>
      </c>
      <c r="G659" s="48">
        <v>880</v>
      </c>
      <c r="H659" s="45">
        <v>113562.3</v>
      </c>
      <c r="I659" s="45">
        <f>SUMIFS('שכר 11.2024'!N:N,'שכר 11.2024'!C:C,C:C,'שכר 11.2024'!F:F,F:F)</f>
        <v>8544.9699999999993</v>
      </c>
      <c r="J659" s="45">
        <f t="shared" si="36"/>
        <v>122107.27</v>
      </c>
      <c r="K659" s="61">
        <f t="shared" si="37"/>
        <v>1.0349999999999999</v>
      </c>
      <c r="L659" s="45">
        <f t="shared" si="38"/>
        <v>126381.02445</v>
      </c>
      <c r="M659" s="45">
        <f t="shared" si="39"/>
        <v>0.8</v>
      </c>
    </row>
    <row r="660" spans="1:13" outlineLevel="2" x14ac:dyDescent="0.35">
      <c r="A660" s="42">
        <v>1814000110</v>
      </c>
      <c r="B660" s="42" t="str">
        <f>VLOOKUP(A660,'תקציב מפורט 2025'!A:O,2,FALSE)</f>
        <v>חט"ב-משכורת</v>
      </c>
      <c r="C660" s="42">
        <v>40807612</v>
      </c>
      <c r="D660" s="42" t="s">
        <v>434</v>
      </c>
      <c r="E660" s="42" t="s">
        <v>858</v>
      </c>
      <c r="F660" s="42">
        <v>814200</v>
      </c>
      <c r="G660" s="48">
        <v>1100</v>
      </c>
      <c r="H660" s="45">
        <v>128920.57</v>
      </c>
      <c r="I660" s="45">
        <f>SUMIFS('שכר 11.2024'!N:N,'שכר 11.2024'!C:C,C:C,'שכר 11.2024'!F:F,F:F)</f>
        <v>11229.06</v>
      </c>
      <c r="J660" s="45">
        <f t="shared" si="36"/>
        <v>140149.63</v>
      </c>
      <c r="K660" s="61">
        <f t="shared" si="37"/>
        <v>1.0349999999999999</v>
      </c>
      <c r="L660" s="45">
        <f t="shared" si="38"/>
        <v>145054.86705</v>
      </c>
      <c r="M660" s="45">
        <f t="shared" si="39"/>
        <v>1</v>
      </c>
    </row>
    <row r="661" spans="1:13" outlineLevel="2" x14ac:dyDescent="0.35">
      <c r="A661" s="42">
        <v>1814000110</v>
      </c>
      <c r="B661" s="42" t="str">
        <f>VLOOKUP(A661,'תקציב מפורט 2025'!A:O,2,FALSE)</f>
        <v>חט"ב-משכורת</v>
      </c>
      <c r="C661" s="42">
        <v>300801768</v>
      </c>
      <c r="D661" s="42" t="s">
        <v>439</v>
      </c>
      <c r="E661" s="42" t="s">
        <v>594</v>
      </c>
      <c r="F661" s="42">
        <v>814200</v>
      </c>
      <c r="G661" s="48">
        <v>770</v>
      </c>
      <c r="H661" s="45">
        <v>87829.57</v>
      </c>
      <c r="I661" s="45">
        <f>SUMIFS('שכר 11.2024'!N:N,'שכר 11.2024'!C:C,C:C,'שכר 11.2024'!F:F,F:F)</f>
        <v>8351.7900000000009</v>
      </c>
      <c r="J661" s="45">
        <f t="shared" si="36"/>
        <v>96181.360000000015</v>
      </c>
      <c r="K661" s="61">
        <f t="shared" si="37"/>
        <v>1.0349999999999999</v>
      </c>
      <c r="L661" s="45">
        <f t="shared" si="38"/>
        <v>99547.707600000009</v>
      </c>
      <c r="M661" s="45">
        <f t="shared" si="39"/>
        <v>0.7</v>
      </c>
    </row>
    <row r="662" spans="1:13" outlineLevel="1" x14ac:dyDescent="0.35">
      <c r="A662" s="63" t="s">
        <v>2018</v>
      </c>
      <c r="B662" s="63"/>
      <c r="C662" s="63"/>
      <c r="D662" s="63"/>
      <c r="E662" s="63"/>
      <c r="F662" s="63"/>
      <c r="G662" s="73">
        <f>SUBTOTAL(9,G649:G661)</f>
        <v>9853.7999999999993</v>
      </c>
      <c r="H662" s="64">
        <f>SUBTOTAL(9,H649:H661)</f>
        <v>1290855.9100000001</v>
      </c>
      <c r="I662" s="64">
        <f>SUBTOTAL(9,I649:I661)</f>
        <v>114611.10999999999</v>
      </c>
      <c r="J662" s="64">
        <f>SUBTOTAL(9,J649:J661)</f>
        <v>1405467.0199999998</v>
      </c>
      <c r="K662" s="65"/>
      <c r="L662" s="64">
        <f>SUBTOTAL(9,L649:L661)</f>
        <v>1454658.3657</v>
      </c>
      <c r="M662" s="64">
        <f>SUBTOTAL(9,M649:M661)</f>
        <v>8.9580000000000002</v>
      </c>
    </row>
    <row r="663" spans="1:13" outlineLevel="2" x14ac:dyDescent="0.35">
      <c r="A663" s="42">
        <v>1815200110</v>
      </c>
      <c r="B663" s="42" t="str">
        <f>VLOOKUP(A663,'תקציב מפורט 2025'!A:O,2,FALSE)</f>
        <v>ב"ס תיכון-משכורת</v>
      </c>
      <c r="C663" s="42">
        <v>21557533</v>
      </c>
      <c r="D663" s="42" t="s">
        <v>1747</v>
      </c>
      <c r="E663" s="42" t="s">
        <v>443</v>
      </c>
      <c r="F663" s="42">
        <v>815200</v>
      </c>
      <c r="G663" s="48">
        <v>333.4</v>
      </c>
      <c r="H663" s="45">
        <v>57409.72</v>
      </c>
      <c r="I663" s="45">
        <f>SUMIFS('שכר 11.2024'!N:N,'שכר 11.2024'!C:C,C:C,'שכר 11.2024'!F:F,F:F)</f>
        <v>7842.17</v>
      </c>
      <c r="J663" s="45">
        <f t="shared" si="36"/>
        <v>65251.89</v>
      </c>
      <c r="K663" s="61">
        <f t="shared" si="37"/>
        <v>1.0349999999999999</v>
      </c>
      <c r="L663" s="45">
        <f t="shared" si="38"/>
        <v>67535.706149999998</v>
      </c>
      <c r="M663" s="45">
        <f t="shared" si="39"/>
        <v>0.30309090909090908</v>
      </c>
    </row>
    <row r="664" spans="1:13" outlineLevel="2" x14ac:dyDescent="0.35">
      <c r="A664" s="42">
        <v>1815200110</v>
      </c>
      <c r="B664" s="42" t="str">
        <f>VLOOKUP(A664,'תקציב מפורט 2025'!A:O,2,FALSE)</f>
        <v>ב"ס תיכון-משכורת</v>
      </c>
      <c r="C664" s="42">
        <v>21565569</v>
      </c>
      <c r="D664" s="42" t="s">
        <v>859</v>
      </c>
      <c r="E664" s="42" t="s">
        <v>860</v>
      </c>
      <c r="F664" s="42">
        <v>815200</v>
      </c>
      <c r="G664" s="48">
        <v>526</v>
      </c>
      <c r="H664" s="45">
        <v>109564.59</v>
      </c>
      <c r="I664" s="45">
        <f>SUMIFS('שכר 11.2024'!N:N,'שכר 11.2024'!C:C,C:C,'שכר 11.2024'!F:F,F:F)</f>
        <v>7972.29</v>
      </c>
      <c r="J664" s="45">
        <f t="shared" si="36"/>
        <v>117536.87999999999</v>
      </c>
      <c r="K664" s="61">
        <f t="shared" si="37"/>
        <v>1.0349999999999999</v>
      </c>
      <c r="L664" s="45">
        <f t="shared" si="38"/>
        <v>121650.67079999998</v>
      </c>
      <c r="M664" s="45">
        <f t="shared" si="39"/>
        <v>0.47818181818181821</v>
      </c>
    </row>
    <row r="665" spans="1:13" outlineLevel="2" x14ac:dyDescent="0.35">
      <c r="A665" s="42">
        <v>1815200110</v>
      </c>
      <c r="B665" s="42" t="str">
        <f>VLOOKUP(A665,'תקציב מפורט 2025'!A:O,2,FALSE)</f>
        <v>ב"ס תיכון-משכורת</v>
      </c>
      <c r="C665" s="42">
        <v>26444117</v>
      </c>
      <c r="D665" s="42" t="s">
        <v>434</v>
      </c>
      <c r="E665" s="42" t="s">
        <v>1748</v>
      </c>
      <c r="F665" s="42">
        <v>815200</v>
      </c>
      <c r="G665" s="48">
        <v>467.9</v>
      </c>
      <c r="H665" s="45">
        <v>50962.79</v>
      </c>
      <c r="I665" s="45">
        <f>SUMIFS('שכר 11.2024'!N:N,'שכר 11.2024'!C:C,C:C,'שכר 11.2024'!F:F,F:F)</f>
        <v>5125.4799999999996</v>
      </c>
      <c r="J665" s="45">
        <f t="shared" si="36"/>
        <v>56088.270000000004</v>
      </c>
      <c r="K665" s="61">
        <f t="shared" si="37"/>
        <v>1.0349999999999999</v>
      </c>
      <c r="L665" s="45">
        <f t="shared" si="38"/>
        <v>58051.359449999996</v>
      </c>
      <c r="M665" s="45">
        <f t="shared" si="39"/>
        <v>0.42536363636363633</v>
      </c>
    </row>
    <row r="666" spans="1:13" outlineLevel="2" x14ac:dyDescent="0.35">
      <c r="A666" s="42">
        <v>1815200110</v>
      </c>
      <c r="B666" s="42" t="str">
        <f>VLOOKUP(A666,'תקציב מפורט 2025'!A:O,2,FALSE)</f>
        <v>ב"ס תיכון-משכורת</v>
      </c>
      <c r="C666" s="42">
        <v>28374510</v>
      </c>
      <c r="D666" s="42" t="s">
        <v>862</v>
      </c>
      <c r="E666" s="42" t="s">
        <v>572</v>
      </c>
      <c r="F666" s="42">
        <v>815200</v>
      </c>
      <c r="G666" s="48">
        <v>1194.2</v>
      </c>
      <c r="H666" s="45">
        <v>235967.28</v>
      </c>
      <c r="I666" s="45">
        <f>SUMIFS('שכר 11.2024'!N:N,'שכר 11.2024'!C:C,C:C,'שכר 11.2024'!F:F,F:F)</f>
        <v>22933.919999999998</v>
      </c>
      <c r="J666" s="45">
        <f t="shared" si="36"/>
        <v>258901.2</v>
      </c>
      <c r="K666" s="61">
        <f t="shared" si="37"/>
        <v>1.0349999999999999</v>
      </c>
      <c r="L666" s="45">
        <f t="shared" si="38"/>
        <v>267962.74199999997</v>
      </c>
      <c r="M666" s="45">
        <f t="shared" si="39"/>
        <v>1.0856363636363637</v>
      </c>
    </row>
    <row r="667" spans="1:13" outlineLevel="2" x14ac:dyDescent="0.35">
      <c r="A667" s="42">
        <v>1815200110</v>
      </c>
      <c r="B667" s="42" t="str">
        <f>VLOOKUP(A667,'תקציב מפורט 2025'!A:O,2,FALSE)</f>
        <v>ב"ס תיכון-משכורת</v>
      </c>
      <c r="C667" s="42">
        <v>29134111</v>
      </c>
      <c r="D667" s="42" t="s">
        <v>434</v>
      </c>
      <c r="E667" s="42" t="s">
        <v>466</v>
      </c>
      <c r="F667" s="42">
        <v>815200</v>
      </c>
      <c r="G667" s="48">
        <v>1192</v>
      </c>
      <c r="H667" s="45">
        <v>340895.03</v>
      </c>
      <c r="I667" s="45">
        <f>SUMIFS('שכר 11.2024'!N:N,'שכר 11.2024'!C:C,C:C,'שכר 11.2024'!F:F,F:F)</f>
        <v>20505.47</v>
      </c>
      <c r="J667" s="45">
        <f t="shared" si="36"/>
        <v>361400.5</v>
      </c>
      <c r="K667" s="61">
        <f t="shared" si="37"/>
        <v>1.0349999999999999</v>
      </c>
      <c r="L667" s="45">
        <f t="shared" si="38"/>
        <v>374049.51749999996</v>
      </c>
      <c r="M667" s="45">
        <f t="shared" si="39"/>
        <v>1.0836363636363637</v>
      </c>
    </row>
    <row r="668" spans="1:13" outlineLevel="2" x14ac:dyDescent="0.35">
      <c r="A668" s="42">
        <v>1815200110</v>
      </c>
      <c r="B668" s="42" t="str">
        <f>VLOOKUP(A668,'תקציב מפורט 2025'!A:O,2,FALSE)</f>
        <v>ב"ס תיכון-משכורת</v>
      </c>
      <c r="C668" s="42">
        <v>29815412</v>
      </c>
      <c r="D668" s="42" t="s">
        <v>538</v>
      </c>
      <c r="E668" s="42" t="s">
        <v>861</v>
      </c>
      <c r="F668" s="42">
        <v>815200</v>
      </c>
      <c r="G668" s="48">
        <v>1202.9000000000001</v>
      </c>
      <c r="H668" s="45">
        <v>334242.63</v>
      </c>
      <c r="I668" s="45">
        <f>SUMIFS('שכר 11.2024'!N:N,'שכר 11.2024'!C:C,C:C,'שכר 11.2024'!F:F,F:F)</f>
        <v>29048.71</v>
      </c>
      <c r="J668" s="45">
        <f t="shared" si="36"/>
        <v>363291.34</v>
      </c>
      <c r="K668" s="61">
        <f t="shared" si="37"/>
        <v>1.0349999999999999</v>
      </c>
      <c r="L668" s="45">
        <f t="shared" si="38"/>
        <v>376006.53690000001</v>
      </c>
      <c r="M668" s="45">
        <f t="shared" si="39"/>
        <v>1.0935454545454546</v>
      </c>
    </row>
    <row r="669" spans="1:13" outlineLevel="2" x14ac:dyDescent="0.35">
      <c r="A669" s="42">
        <v>1815200110</v>
      </c>
      <c r="B669" s="42" t="str">
        <f>VLOOKUP(A669,'תקציב מפורט 2025'!A:O,2,FALSE)</f>
        <v>ב"ס תיכון-משכורת</v>
      </c>
      <c r="C669" s="42">
        <v>31543358</v>
      </c>
      <c r="D669" s="42" t="s">
        <v>434</v>
      </c>
      <c r="E669" s="42" t="s">
        <v>537</v>
      </c>
      <c r="F669" s="42">
        <v>815200</v>
      </c>
      <c r="G669" s="48">
        <v>1165.2</v>
      </c>
      <c r="H669" s="45">
        <v>277849.42</v>
      </c>
      <c r="I669" s="45">
        <f>SUMIFS('שכר 11.2024'!N:N,'שכר 11.2024'!C:C,C:C,'שכר 11.2024'!F:F,F:F)</f>
        <v>24103.83</v>
      </c>
      <c r="J669" s="45">
        <f t="shared" si="36"/>
        <v>301953.25</v>
      </c>
      <c r="K669" s="61">
        <f t="shared" si="37"/>
        <v>1.0349999999999999</v>
      </c>
      <c r="L669" s="45">
        <f t="shared" si="38"/>
        <v>312521.61374999996</v>
      </c>
      <c r="M669" s="45">
        <f t="shared" si="39"/>
        <v>1.0592727272727274</v>
      </c>
    </row>
    <row r="670" spans="1:13" outlineLevel="2" x14ac:dyDescent="0.35">
      <c r="A670" s="42">
        <v>1815200110</v>
      </c>
      <c r="B670" s="42" t="str">
        <f>VLOOKUP(A670,'תקציב מפורט 2025'!A:O,2,FALSE)</f>
        <v>ב"ס תיכון-משכורת</v>
      </c>
      <c r="C670" s="42">
        <v>33088238</v>
      </c>
      <c r="D670" s="42" t="s">
        <v>535</v>
      </c>
      <c r="E670" s="42" t="s">
        <v>534</v>
      </c>
      <c r="F670" s="42">
        <v>815200</v>
      </c>
      <c r="G670" s="48">
        <v>1187.9000000000001</v>
      </c>
      <c r="H670" s="45">
        <v>332868.94</v>
      </c>
      <c r="I670" s="45">
        <f>SUMIFS('שכר 11.2024'!N:N,'שכר 11.2024'!C:C,C:C,'שכר 11.2024'!F:F,F:F)</f>
        <v>28359.96</v>
      </c>
      <c r="J670" s="45">
        <f t="shared" si="36"/>
        <v>361228.9</v>
      </c>
      <c r="K670" s="61">
        <f t="shared" si="37"/>
        <v>1.0349999999999999</v>
      </c>
      <c r="L670" s="45">
        <f t="shared" si="38"/>
        <v>373871.91149999999</v>
      </c>
      <c r="M670" s="45">
        <f t="shared" si="39"/>
        <v>1.0799090909090909</v>
      </c>
    </row>
    <row r="671" spans="1:13" outlineLevel="2" x14ac:dyDescent="0.35">
      <c r="A671" s="42">
        <v>1815200110</v>
      </c>
      <c r="B671" s="42" t="str">
        <f>VLOOKUP(A671,'תקציב מפורט 2025'!A:O,2,FALSE)</f>
        <v>ב"ס תיכון-משכורת</v>
      </c>
      <c r="C671" s="42">
        <v>33607490</v>
      </c>
      <c r="D671" s="42" t="s">
        <v>533</v>
      </c>
      <c r="E671" s="42" t="s">
        <v>532</v>
      </c>
      <c r="F671" s="42">
        <v>815200</v>
      </c>
      <c r="G671" s="48">
        <v>1180.2</v>
      </c>
      <c r="H671" s="45">
        <v>265613.56</v>
      </c>
      <c r="I671" s="45">
        <f>SUMIFS('שכר 11.2024'!N:N,'שכר 11.2024'!C:C,C:C,'שכר 11.2024'!F:F,F:F)</f>
        <v>23308.55</v>
      </c>
      <c r="J671" s="45">
        <f t="shared" si="36"/>
        <v>288922.11</v>
      </c>
      <c r="K671" s="61">
        <f t="shared" si="37"/>
        <v>1.0349999999999999</v>
      </c>
      <c r="L671" s="45">
        <f t="shared" si="38"/>
        <v>299034.38384999998</v>
      </c>
      <c r="M671" s="45">
        <f t="shared" si="39"/>
        <v>1.072909090909091</v>
      </c>
    </row>
    <row r="672" spans="1:13" outlineLevel="2" x14ac:dyDescent="0.35">
      <c r="A672" s="42">
        <v>1815200110</v>
      </c>
      <c r="B672" s="42" t="str">
        <f>VLOOKUP(A672,'תקציב מפורט 2025'!A:O,2,FALSE)</f>
        <v>ב"ס תיכון-משכורת</v>
      </c>
      <c r="C672" s="42">
        <v>33607813</v>
      </c>
      <c r="D672" s="42" t="s">
        <v>531</v>
      </c>
      <c r="E672" s="42" t="s">
        <v>530</v>
      </c>
      <c r="F672" s="42">
        <v>815200</v>
      </c>
      <c r="G672" s="48">
        <v>1187.9000000000001</v>
      </c>
      <c r="H672" s="45">
        <v>258550.57</v>
      </c>
      <c r="I672" s="45">
        <f>SUMIFS('שכר 11.2024'!N:N,'שכר 11.2024'!C:C,C:C,'שכר 11.2024'!F:F,F:F)</f>
        <v>22400.58</v>
      </c>
      <c r="J672" s="45">
        <f t="shared" si="36"/>
        <v>280951.15000000002</v>
      </c>
      <c r="K672" s="61">
        <f t="shared" si="37"/>
        <v>1.0349999999999999</v>
      </c>
      <c r="L672" s="45">
        <f t="shared" si="38"/>
        <v>290784.44024999999</v>
      </c>
      <c r="M672" s="45">
        <f t="shared" si="39"/>
        <v>1.0799090909090909</v>
      </c>
    </row>
    <row r="673" spans="1:13" outlineLevel="2" x14ac:dyDescent="0.35">
      <c r="A673" s="42">
        <v>1815200110</v>
      </c>
      <c r="B673" s="42" t="str">
        <f>VLOOKUP(A673,'תקציב מפורט 2025'!A:O,2,FALSE)</f>
        <v>ב"ס תיכון-משכורת</v>
      </c>
      <c r="C673" s="42">
        <v>33819095</v>
      </c>
      <c r="D673" s="42" t="s">
        <v>1749</v>
      </c>
      <c r="E673" s="42" t="s">
        <v>436</v>
      </c>
      <c r="F673" s="42">
        <v>815200</v>
      </c>
      <c r="G673" s="48">
        <v>1100</v>
      </c>
      <c r="H673" s="45">
        <v>265505.25</v>
      </c>
      <c r="I673" s="45">
        <f>SUMIFS('שכר 11.2024'!N:N,'שכר 11.2024'!C:C,C:C,'שכר 11.2024'!F:F,F:F)</f>
        <v>24662.75</v>
      </c>
      <c r="J673" s="45">
        <f t="shared" si="36"/>
        <v>290168</v>
      </c>
      <c r="K673" s="61">
        <f t="shared" si="37"/>
        <v>1.0349999999999999</v>
      </c>
      <c r="L673" s="45">
        <f t="shared" si="38"/>
        <v>300323.88</v>
      </c>
      <c r="M673" s="45">
        <f t="shared" si="39"/>
        <v>1</v>
      </c>
    </row>
    <row r="674" spans="1:13" outlineLevel="2" x14ac:dyDescent="0.35">
      <c r="A674" s="42">
        <v>1815200110</v>
      </c>
      <c r="B674" s="42" t="str">
        <f>VLOOKUP(A674,'תקציב מפורט 2025'!A:O,2,FALSE)</f>
        <v>ב"ס תיכון-משכורת</v>
      </c>
      <c r="C674" s="42">
        <v>33982273</v>
      </c>
      <c r="D674" s="42" t="s">
        <v>528</v>
      </c>
      <c r="E674" s="42" t="s">
        <v>527</v>
      </c>
      <c r="F674" s="42">
        <v>815200</v>
      </c>
      <c r="G674" s="48">
        <v>1120.0999999999999</v>
      </c>
      <c r="H674" s="45">
        <v>312640.07</v>
      </c>
      <c r="I674" s="45">
        <f>SUMIFS('שכר 11.2024'!N:N,'שכר 11.2024'!C:C,C:C,'שכר 11.2024'!F:F,F:F)</f>
        <v>26761</v>
      </c>
      <c r="J674" s="45">
        <f t="shared" si="36"/>
        <v>339401.07</v>
      </c>
      <c r="K674" s="61">
        <f t="shared" si="37"/>
        <v>1.0349999999999999</v>
      </c>
      <c r="L674" s="45">
        <f t="shared" si="38"/>
        <v>351280.10744999995</v>
      </c>
      <c r="M674" s="45">
        <f t="shared" si="39"/>
        <v>1.0182727272727272</v>
      </c>
    </row>
    <row r="675" spans="1:13" outlineLevel="2" x14ac:dyDescent="0.35">
      <c r="A675" s="42">
        <v>1815200110</v>
      </c>
      <c r="B675" s="42" t="str">
        <f>VLOOKUP(A675,'תקציב מפורט 2025'!A:O,2,FALSE)</f>
        <v>ב"ס תיכון-משכורת</v>
      </c>
      <c r="C675" s="42">
        <v>34263491</v>
      </c>
      <c r="D675" s="42" t="s">
        <v>545</v>
      </c>
      <c r="E675" s="42" t="s">
        <v>510</v>
      </c>
      <c r="F675" s="42">
        <v>815200</v>
      </c>
      <c r="G675" s="48">
        <v>1188.3</v>
      </c>
      <c r="H675" s="45">
        <v>342193.1</v>
      </c>
      <c r="I675" s="45">
        <f>SUMIFS('שכר 11.2024'!N:N,'שכר 11.2024'!C:C,C:C,'שכר 11.2024'!F:F,F:F)</f>
        <v>27960.16</v>
      </c>
      <c r="J675" s="45">
        <f t="shared" si="36"/>
        <v>370153.25999999995</v>
      </c>
      <c r="K675" s="61">
        <f t="shared" si="37"/>
        <v>1.0349999999999999</v>
      </c>
      <c r="L675" s="45">
        <f t="shared" si="38"/>
        <v>383108.6240999999</v>
      </c>
      <c r="M675" s="45">
        <f t="shared" si="39"/>
        <v>1.0802727272727273</v>
      </c>
    </row>
    <row r="676" spans="1:13" outlineLevel="2" x14ac:dyDescent="0.35">
      <c r="A676" s="42">
        <v>1815200110</v>
      </c>
      <c r="B676" s="42" t="str">
        <f>VLOOKUP(A676,'תקציב מפורט 2025'!A:O,2,FALSE)</f>
        <v>ב"ס תיכון-משכורת</v>
      </c>
      <c r="C676" s="42">
        <v>34834218</v>
      </c>
      <c r="D676" s="42" t="s">
        <v>434</v>
      </c>
      <c r="E676" s="42" t="s">
        <v>948</v>
      </c>
      <c r="F676" s="42">
        <v>815200</v>
      </c>
      <c r="G676" s="48">
        <v>1200</v>
      </c>
      <c r="H676" s="45">
        <v>152528.09</v>
      </c>
      <c r="I676" s="45">
        <f>SUMIFS('שכר 11.2024'!N:N,'שכר 11.2024'!C:C,C:C,'שכר 11.2024'!F:F,F:F)</f>
        <v>12360.18</v>
      </c>
      <c r="J676" s="45">
        <f t="shared" si="36"/>
        <v>164888.26999999999</v>
      </c>
      <c r="K676" s="61">
        <f t="shared" si="37"/>
        <v>1.0349999999999999</v>
      </c>
      <c r="L676" s="45">
        <f t="shared" si="38"/>
        <v>170659.35944999999</v>
      </c>
      <c r="M676" s="45">
        <f t="shared" si="39"/>
        <v>1.0909090909090908</v>
      </c>
    </row>
    <row r="677" spans="1:13" outlineLevel="2" x14ac:dyDescent="0.35">
      <c r="A677" s="42">
        <v>1815200110</v>
      </c>
      <c r="B677" s="42" t="str">
        <f>VLOOKUP(A677,'תקציב מפורט 2025'!A:O,2,FALSE)</f>
        <v>ב"ס תיכון-משכורת</v>
      </c>
      <c r="C677" s="42">
        <v>36233252</v>
      </c>
      <c r="D677" s="42" t="s">
        <v>545</v>
      </c>
      <c r="E677" s="42" t="s">
        <v>519</v>
      </c>
      <c r="F677" s="42">
        <v>815200</v>
      </c>
      <c r="G677" s="48">
        <v>1172.8</v>
      </c>
      <c r="H677" s="45">
        <v>296830.53999999998</v>
      </c>
      <c r="I677" s="45">
        <f>SUMIFS('שכר 11.2024'!N:N,'שכר 11.2024'!C:C,C:C,'שכר 11.2024'!F:F,F:F)</f>
        <v>24690.54</v>
      </c>
      <c r="J677" s="45">
        <f t="shared" si="36"/>
        <v>321521.07999999996</v>
      </c>
      <c r="K677" s="61">
        <f t="shared" si="37"/>
        <v>1.0349999999999999</v>
      </c>
      <c r="L677" s="45">
        <f t="shared" si="38"/>
        <v>332774.3177999999</v>
      </c>
      <c r="M677" s="45">
        <f t="shared" si="39"/>
        <v>1.0661818181818181</v>
      </c>
    </row>
    <row r="678" spans="1:13" outlineLevel="2" x14ac:dyDescent="0.35">
      <c r="A678" s="42">
        <v>1815200110</v>
      </c>
      <c r="B678" s="42" t="str">
        <f>VLOOKUP(A678,'תקציב מפורט 2025'!A:O,2,FALSE)</f>
        <v>ב"ס תיכון-משכורת</v>
      </c>
      <c r="C678" s="42">
        <v>36829067</v>
      </c>
      <c r="D678" s="42" t="s">
        <v>1750</v>
      </c>
      <c r="E678" s="42" t="s">
        <v>530</v>
      </c>
      <c r="F678" s="42">
        <v>815200</v>
      </c>
      <c r="G678" s="48">
        <v>1100</v>
      </c>
      <c r="H678" s="45">
        <v>225800.22</v>
      </c>
      <c r="I678" s="45">
        <f>SUMIFS('שכר 11.2024'!N:N,'שכר 11.2024'!C:C,C:C,'שכר 11.2024'!F:F,F:F)</f>
        <v>30460.11</v>
      </c>
      <c r="J678" s="45">
        <f t="shared" si="36"/>
        <v>256260.33000000002</v>
      </c>
      <c r="K678" s="61">
        <f t="shared" si="37"/>
        <v>1.0349999999999999</v>
      </c>
      <c r="L678" s="45">
        <f t="shared" si="38"/>
        <v>265229.44154999999</v>
      </c>
      <c r="M678" s="45">
        <f t="shared" si="39"/>
        <v>1</v>
      </c>
    </row>
    <row r="679" spans="1:13" outlineLevel="2" x14ac:dyDescent="0.35">
      <c r="A679" s="42">
        <v>1815200110</v>
      </c>
      <c r="B679" s="42" t="str">
        <f>VLOOKUP(A679,'תקציב מפורט 2025'!A:O,2,FALSE)</f>
        <v>ב"ס תיכון-משכורת</v>
      </c>
      <c r="C679" s="42">
        <v>37409091</v>
      </c>
      <c r="D679" s="42" t="s">
        <v>434</v>
      </c>
      <c r="E679" s="42" t="s">
        <v>1751</v>
      </c>
      <c r="F679" s="42">
        <v>815200</v>
      </c>
      <c r="G679" s="48">
        <v>1180.2</v>
      </c>
      <c r="H679" s="45">
        <v>295649.34999999998</v>
      </c>
      <c r="I679" s="45">
        <f>SUMIFS('שכר 11.2024'!N:N,'שכר 11.2024'!C:C,C:C,'שכר 11.2024'!F:F,F:F)</f>
        <v>25426.39</v>
      </c>
      <c r="J679" s="45">
        <f t="shared" si="36"/>
        <v>321075.74</v>
      </c>
      <c r="K679" s="61">
        <f t="shared" si="37"/>
        <v>1.0349999999999999</v>
      </c>
      <c r="L679" s="45">
        <f t="shared" si="38"/>
        <v>332313.39089999994</v>
      </c>
      <c r="M679" s="45">
        <f t="shared" si="39"/>
        <v>1.072909090909091</v>
      </c>
    </row>
    <row r="680" spans="1:13" outlineLevel="2" x14ac:dyDescent="0.35">
      <c r="A680" s="42">
        <v>1815200110</v>
      </c>
      <c r="B680" s="42" t="str">
        <f>VLOOKUP(A680,'תקציב מפורט 2025'!A:O,2,FALSE)</f>
        <v>ב"ס תיכון-משכורת</v>
      </c>
      <c r="C680" s="42">
        <v>39503628</v>
      </c>
      <c r="D680" s="42" t="s">
        <v>490</v>
      </c>
      <c r="E680" s="42" t="s">
        <v>927</v>
      </c>
      <c r="F680" s="42">
        <v>815200</v>
      </c>
      <c r="G680" s="48">
        <v>962.5</v>
      </c>
      <c r="H680" s="45">
        <v>123201.27</v>
      </c>
      <c r="I680" s="45">
        <f>SUMIFS('שכר 11.2024'!N:N,'שכר 11.2024'!C:C,C:C,'שכר 11.2024'!F:F,F:F)</f>
        <v>11493</v>
      </c>
      <c r="J680" s="45">
        <f t="shared" ref="J680:J743" si="40">H680+I680</f>
        <v>134694.27000000002</v>
      </c>
      <c r="K680" s="61">
        <f t="shared" ref="K680:K743" si="41">3.5/100+1</f>
        <v>1.0349999999999999</v>
      </c>
      <c r="L680" s="45">
        <f t="shared" ref="L680:L743" si="42">J680*K680</f>
        <v>139408.56945000001</v>
      </c>
      <c r="M680" s="45">
        <f t="shared" ref="M680:M743" si="43">G680/1100</f>
        <v>0.875</v>
      </c>
    </row>
    <row r="681" spans="1:13" outlineLevel="2" x14ac:dyDescent="0.35">
      <c r="A681" s="42">
        <v>1815200110</v>
      </c>
      <c r="B681" s="42" t="str">
        <f>VLOOKUP(A681,'תקציב מפורט 2025'!A:O,2,FALSE)</f>
        <v>ב"ס תיכון-משכורת</v>
      </c>
      <c r="C681" s="42">
        <v>39513239</v>
      </c>
      <c r="D681" s="42" t="s">
        <v>863</v>
      </c>
      <c r="E681" s="42" t="s">
        <v>864</v>
      </c>
      <c r="F681" s="42">
        <v>815200</v>
      </c>
      <c r="G681" s="48">
        <v>1146.5</v>
      </c>
      <c r="H681" s="45">
        <v>217450.17</v>
      </c>
      <c r="I681" s="45">
        <f>SUMIFS('שכר 11.2024'!N:N,'שכר 11.2024'!C:C,C:C,'שכר 11.2024'!F:F,F:F)</f>
        <v>19181.669999999998</v>
      </c>
      <c r="J681" s="45">
        <f t="shared" si="40"/>
        <v>236631.84000000003</v>
      </c>
      <c r="K681" s="61">
        <f t="shared" si="41"/>
        <v>1.0349999999999999</v>
      </c>
      <c r="L681" s="45">
        <f t="shared" si="42"/>
        <v>244913.95440000002</v>
      </c>
      <c r="M681" s="45">
        <f t="shared" si="43"/>
        <v>1.0422727272727272</v>
      </c>
    </row>
    <row r="682" spans="1:13" outlineLevel="2" x14ac:dyDescent="0.35">
      <c r="A682" s="42">
        <v>1815200110</v>
      </c>
      <c r="B682" s="42" t="str">
        <f>VLOOKUP(A682,'תקציב מפורט 2025'!A:O,2,FALSE)</f>
        <v>ב"ס תיכון-משכורת</v>
      </c>
      <c r="C682" s="42">
        <v>40461444</v>
      </c>
      <c r="D682" s="42" t="s">
        <v>515</v>
      </c>
      <c r="E682" s="42" t="s">
        <v>514</v>
      </c>
      <c r="F682" s="42">
        <v>815200</v>
      </c>
      <c r="G682" s="48">
        <v>1172.5999999999999</v>
      </c>
      <c r="H682" s="45">
        <v>260756.65</v>
      </c>
      <c r="I682" s="45">
        <f>SUMIFS('שכר 11.2024'!N:N,'שכר 11.2024'!C:C,C:C,'שכר 11.2024'!F:F,F:F)</f>
        <v>21989.4</v>
      </c>
      <c r="J682" s="45">
        <f t="shared" si="40"/>
        <v>282746.05</v>
      </c>
      <c r="K682" s="61">
        <f t="shared" si="41"/>
        <v>1.0349999999999999</v>
      </c>
      <c r="L682" s="45">
        <f t="shared" si="42"/>
        <v>292642.16174999997</v>
      </c>
      <c r="M682" s="45">
        <f t="shared" si="43"/>
        <v>1.0659999999999998</v>
      </c>
    </row>
    <row r="683" spans="1:13" outlineLevel="2" x14ac:dyDescent="0.35">
      <c r="A683" s="42">
        <v>1815200110</v>
      </c>
      <c r="B683" s="42" t="str">
        <f>VLOOKUP(A683,'תקציב מפורט 2025'!A:O,2,FALSE)</f>
        <v>ב"ס תיכון-משכורת</v>
      </c>
      <c r="C683" s="42">
        <v>40482283</v>
      </c>
      <c r="D683" s="42" t="s">
        <v>1752</v>
      </c>
      <c r="E683" s="42" t="s">
        <v>1753</v>
      </c>
      <c r="F683" s="42">
        <v>815200</v>
      </c>
      <c r="G683" s="48">
        <v>6.2</v>
      </c>
      <c r="H683" s="45">
        <v>1449.73</v>
      </c>
      <c r="I683" s="45">
        <f>SUMIFS('שכר 11.2024'!N:N,'שכר 11.2024'!C:C,C:C,'שכר 11.2024'!F:F,F:F)</f>
        <v>1449.73</v>
      </c>
      <c r="J683" s="45">
        <f t="shared" si="40"/>
        <v>2899.46</v>
      </c>
      <c r="K683" s="61">
        <f t="shared" si="41"/>
        <v>1.0349999999999999</v>
      </c>
      <c r="L683" s="45">
        <f t="shared" si="42"/>
        <v>3000.9411</v>
      </c>
      <c r="M683" s="45">
        <f t="shared" si="43"/>
        <v>5.6363636363636364E-3</v>
      </c>
    </row>
    <row r="684" spans="1:13" outlineLevel="2" x14ac:dyDescent="0.35">
      <c r="A684" s="42">
        <v>1815200110</v>
      </c>
      <c r="B684" s="42" t="str">
        <f>VLOOKUP(A684,'תקציב מפורט 2025'!A:O,2,FALSE)</f>
        <v>ב"ס תיכון-משכורת</v>
      </c>
      <c r="C684" s="42">
        <v>40510414</v>
      </c>
      <c r="D684" s="42" t="s">
        <v>491</v>
      </c>
      <c r="E684" s="42" t="s">
        <v>1748</v>
      </c>
      <c r="F684" s="42">
        <v>815200</v>
      </c>
      <c r="G684" s="48">
        <v>1195.0999999999999</v>
      </c>
      <c r="H684" s="45">
        <v>226373.78</v>
      </c>
      <c r="I684" s="45">
        <f>SUMIFS('שכר 11.2024'!N:N,'שכר 11.2024'!C:C,C:C,'שכר 11.2024'!F:F,F:F)</f>
        <v>18467.509999999998</v>
      </c>
      <c r="J684" s="45">
        <f t="shared" si="40"/>
        <v>244841.29</v>
      </c>
      <c r="K684" s="61">
        <f t="shared" si="41"/>
        <v>1.0349999999999999</v>
      </c>
      <c r="L684" s="45">
        <f t="shared" si="42"/>
        <v>253410.73514999999</v>
      </c>
      <c r="M684" s="45">
        <f t="shared" si="43"/>
        <v>1.0864545454545453</v>
      </c>
    </row>
    <row r="685" spans="1:13" outlineLevel="2" x14ac:dyDescent="0.35">
      <c r="A685" s="42">
        <v>1815200110</v>
      </c>
      <c r="B685" s="42" t="str">
        <f>VLOOKUP(A685,'תקציב מפורט 2025'!A:O,2,FALSE)</f>
        <v>ב"ס תיכון-משכורת</v>
      </c>
      <c r="C685" s="42">
        <v>40819625</v>
      </c>
      <c r="D685" s="42" t="s">
        <v>495</v>
      </c>
      <c r="E685" s="42" t="s">
        <v>506</v>
      </c>
      <c r="F685" s="42">
        <v>815200</v>
      </c>
      <c r="G685" s="48">
        <v>1100</v>
      </c>
      <c r="H685" s="45">
        <v>330403.14</v>
      </c>
      <c r="I685" s="45">
        <f>SUMIFS('שכר 11.2024'!N:N,'שכר 11.2024'!C:C,C:C,'שכר 11.2024'!F:F,F:F)</f>
        <v>30187.72</v>
      </c>
      <c r="J685" s="45">
        <f t="shared" si="40"/>
        <v>360590.86</v>
      </c>
      <c r="K685" s="61">
        <f t="shared" si="41"/>
        <v>1.0349999999999999</v>
      </c>
      <c r="L685" s="45">
        <f t="shared" si="42"/>
        <v>373211.54009999998</v>
      </c>
      <c r="M685" s="45">
        <f t="shared" si="43"/>
        <v>1</v>
      </c>
    </row>
    <row r="686" spans="1:13" outlineLevel="2" x14ac:dyDescent="0.35">
      <c r="A686" s="42">
        <v>1815200110</v>
      </c>
      <c r="B686" s="42" t="str">
        <f>VLOOKUP(A686,'תקציב מפורט 2025'!A:O,2,FALSE)</f>
        <v>ב"ס תיכון-משכורת</v>
      </c>
      <c r="C686" s="42">
        <v>40932261</v>
      </c>
      <c r="D686" s="42" t="s">
        <v>1754</v>
      </c>
      <c r="E686" s="42" t="s">
        <v>1755</v>
      </c>
      <c r="F686" s="42">
        <v>815200</v>
      </c>
      <c r="G686" s="48">
        <v>412.9</v>
      </c>
      <c r="H686" s="45">
        <v>68408.39</v>
      </c>
      <c r="I686" s="45">
        <f>SUMIFS('שכר 11.2024'!N:N,'שכר 11.2024'!C:C,C:C,'שכר 11.2024'!F:F,F:F)</f>
        <v>6762.63</v>
      </c>
      <c r="J686" s="45">
        <f t="shared" si="40"/>
        <v>75171.02</v>
      </c>
      <c r="K686" s="61">
        <f t="shared" si="41"/>
        <v>1.0349999999999999</v>
      </c>
      <c r="L686" s="45">
        <f t="shared" si="42"/>
        <v>77802.005699999994</v>
      </c>
      <c r="M686" s="45">
        <f t="shared" si="43"/>
        <v>0.37536363636363634</v>
      </c>
    </row>
    <row r="687" spans="1:13" outlineLevel="2" x14ac:dyDescent="0.35">
      <c r="A687" s="42">
        <v>1815200110</v>
      </c>
      <c r="B687" s="42" t="str">
        <f>VLOOKUP(A687,'תקציב מפורט 2025'!A:O,2,FALSE)</f>
        <v>ב"ס תיכון-משכורת</v>
      </c>
      <c r="C687" s="42">
        <v>43221316</v>
      </c>
      <c r="D687" s="42" t="s">
        <v>513</v>
      </c>
      <c r="E687" s="42" t="s">
        <v>443</v>
      </c>
      <c r="F687" s="42">
        <v>815200</v>
      </c>
      <c r="G687" s="48">
        <v>977.1</v>
      </c>
      <c r="H687" s="45">
        <v>227188.22</v>
      </c>
      <c r="I687" s="45">
        <f>SUMIFS('שכר 11.2024'!N:N,'שכר 11.2024'!C:C,C:C,'שכר 11.2024'!F:F,F:F)</f>
        <v>15157.13</v>
      </c>
      <c r="J687" s="45">
        <f t="shared" si="40"/>
        <v>242345.35</v>
      </c>
      <c r="K687" s="61">
        <f t="shared" si="41"/>
        <v>1.0349999999999999</v>
      </c>
      <c r="L687" s="45">
        <f t="shared" si="42"/>
        <v>250827.43724999999</v>
      </c>
      <c r="M687" s="45">
        <f t="shared" si="43"/>
        <v>0.88827272727272732</v>
      </c>
    </row>
    <row r="688" spans="1:13" outlineLevel="2" x14ac:dyDescent="0.35">
      <c r="A688" s="42">
        <v>1815200110</v>
      </c>
      <c r="B688" s="42" t="str">
        <f>VLOOKUP(A688,'תקציב מפורט 2025'!A:O,2,FALSE)</f>
        <v>ב"ס תיכון-משכורת</v>
      </c>
      <c r="C688" s="42">
        <v>55183446</v>
      </c>
      <c r="D688" s="42" t="s">
        <v>511</v>
      </c>
      <c r="E688" s="42" t="s">
        <v>510</v>
      </c>
      <c r="F688" s="42">
        <v>815200</v>
      </c>
      <c r="G688" s="48">
        <v>995.5</v>
      </c>
      <c r="H688" s="45">
        <v>294520.51</v>
      </c>
      <c r="I688" s="45">
        <f>SUMIFS('שכר 11.2024'!N:N,'שכר 11.2024'!C:C,C:C,'שכר 11.2024'!F:F,F:F)</f>
        <v>40481.919999999998</v>
      </c>
      <c r="J688" s="45">
        <f t="shared" si="40"/>
        <v>335002.43</v>
      </c>
      <c r="K688" s="61">
        <f t="shared" si="41"/>
        <v>1.0349999999999999</v>
      </c>
      <c r="L688" s="45">
        <f t="shared" si="42"/>
        <v>346727.51504999999</v>
      </c>
      <c r="M688" s="45">
        <f t="shared" si="43"/>
        <v>0.90500000000000003</v>
      </c>
    </row>
    <row r="689" spans="1:13" outlineLevel="2" x14ac:dyDescent="0.35">
      <c r="A689" s="42">
        <v>1815200110</v>
      </c>
      <c r="B689" s="42" t="str">
        <f>VLOOKUP(A689,'תקציב מפורט 2025'!A:O,2,FALSE)</f>
        <v>ב"ס תיכון-משכורת</v>
      </c>
      <c r="C689" s="42">
        <v>56918154</v>
      </c>
      <c r="D689" s="42" t="s">
        <v>444</v>
      </c>
      <c r="E689" s="42" t="s">
        <v>460</v>
      </c>
      <c r="F689" s="42">
        <v>815200</v>
      </c>
      <c r="G689" s="48">
        <v>856.7</v>
      </c>
      <c r="H689" s="45">
        <v>277885.31</v>
      </c>
      <c r="I689" s="45">
        <f>SUMIFS('שכר 11.2024'!N:N,'שכר 11.2024'!C:C,C:C,'שכר 11.2024'!F:F,F:F)</f>
        <v>35665.83</v>
      </c>
      <c r="J689" s="45">
        <f t="shared" si="40"/>
        <v>313551.14</v>
      </c>
      <c r="K689" s="61">
        <f t="shared" si="41"/>
        <v>1.0349999999999999</v>
      </c>
      <c r="L689" s="45">
        <f t="shared" si="42"/>
        <v>324525.42989999999</v>
      </c>
      <c r="M689" s="45">
        <f t="shared" si="43"/>
        <v>0.77881818181818185</v>
      </c>
    </row>
    <row r="690" spans="1:13" outlineLevel="2" x14ac:dyDescent="0.35">
      <c r="A690" s="42">
        <v>1815200110</v>
      </c>
      <c r="B690" s="42" t="str">
        <f>VLOOKUP(A690,'תקציב מפורט 2025'!A:O,2,FALSE)</f>
        <v>ב"ס תיכון-משכורת</v>
      </c>
      <c r="C690" s="42">
        <v>57624520</v>
      </c>
      <c r="D690" s="42" t="s">
        <v>1756</v>
      </c>
      <c r="E690" s="42" t="s">
        <v>509</v>
      </c>
      <c r="F690" s="42">
        <v>815200</v>
      </c>
      <c r="G690" s="48">
        <v>1263.5</v>
      </c>
      <c r="H690" s="45">
        <v>425400.07</v>
      </c>
      <c r="I690" s="45">
        <f>SUMIFS('שכר 11.2024'!N:N,'שכר 11.2024'!C:C,C:C,'שכר 11.2024'!F:F,F:F)</f>
        <v>34832.769999999997</v>
      </c>
      <c r="J690" s="45">
        <f t="shared" si="40"/>
        <v>460232.84</v>
      </c>
      <c r="K690" s="61">
        <f t="shared" si="41"/>
        <v>1.0349999999999999</v>
      </c>
      <c r="L690" s="45">
        <f t="shared" si="42"/>
        <v>476340.98939999996</v>
      </c>
      <c r="M690" s="45">
        <f t="shared" si="43"/>
        <v>1.1486363636363637</v>
      </c>
    </row>
    <row r="691" spans="1:13" outlineLevel="2" x14ac:dyDescent="0.35">
      <c r="A691" s="42">
        <v>1815200110</v>
      </c>
      <c r="B691" s="42" t="str">
        <f>VLOOKUP(A691,'תקציב מפורט 2025'!A:O,2,FALSE)</f>
        <v>ב"ס תיכון-משכורת</v>
      </c>
      <c r="C691" s="42">
        <v>59471441</v>
      </c>
      <c r="D691" s="42" t="s">
        <v>1757</v>
      </c>
      <c r="E691" s="42" t="s">
        <v>1758</v>
      </c>
      <c r="F691" s="42">
        <v>815200</v>
      </c>
      <c r="G691" s="48">
        <v>0</v>
      </c>
      <c r="H691" s="45">
        <v>-15999.99</v>
      </c>
      <c r="I691" s="45">
        <f>SUMIFS('שכר 11.2024'!N:N,'שכר 11.2024'!C:C,C:C,'שכר 11.2024'!F:F,F:F)</f>
        <v>0</v>
      </c>
      <c r="J691" s="45">
        <f t="shared" si="40"/>
        <v>-15999.99</v>
      </c>
      <c r="K691" s="61">
        <f t="shared" si="41"/>
        <v>1.0349999999999999</v>
      </c>
      <c r="L691" s="45">
        <f t="shared" si="42"/>
        <v>-16559.98965</v>
      </c>
      <c r="M691" s="45">
        <f t="shared" si="43"/>
        <v>0</v>
      </c>
    </row>
    <row r="692" spans="1:13" outlineLevel="2" x14ac:dyDescent="0.35">
      <c r="A692" s="42">
        <v>1815200110</v>
      </c>
      <c r="B692" s="42" t="str">
        <f>VLOOKUP(A692,'תקציב מפורט 2025'!A:O,2,FALSE)</f>
        <v>ב"ס תיכון-משכורת</v>
      </c>
      <c r="C692" s="42">
        <v>59473520</v>
      </c>
      <c r="D692" s="42" t="s">
        <v>497</v>
      </c>
      <c r="E692" s="42" t="s">
        <v>496</v>
      </c>
      <c r="F692" s="42">
        <v>815200</v>
      </c>
      <c r="G692" s="48">
        <v>1213.7</v>
      </c>
      <c r="H692" s="45">
        <v>311944.40999999997</v>
      </c>
      <c r="I692" s="45">
        <f>SUMIFS('שכר 11.2024'!N:N,'שכר 11.2024'!C:C,C:C,'שכר 11.2024'!F:F,F:F)</f>
        <v>25625.1</v>
      </c>
      <c r="J692" s="45">
        <f t="shared" si="40"/>
        <v>337569.50999999995</v>
      </c>
      <c r="K692" s="61">
        <f t="shared" si="41"/>
        <v>1.0349999999999999</v>
      </c>
      <c r="L692" s="45">
        <f t="shared" si="42"/>
        <v>349384.44284999993</v>
      </c>
      <c r="M692" s="45">
        <f t="shared" si="43"/>
        <v>1.1033636363636363</v>
      </c>
    </row>
    <row r="693" spans="1:13" outlineLevel="2" x14ac:dyDescent="0.35">
      <c r="A693" s="42">
        <v>1815200110</v>
      </c>
      <c r="B693" s="42" t="str">
        <f>VLOOKUP(A693,'תקציב מפורט 2025'!A:O,2,FALSE)</f>
        <v>ב"ס תיכון-משכורת</v>
      </c>
      <c r="C693" s="42">
        <v>59870790</v>
      </c>
      <c r="D693" s="42" t="s">
        <v>442</v>
      </c>
      <c r="E693" s="42" t="s">
        <v>1759</v>
      </c>
      <c r="F693" s="42">
        <v>815200</v>
      </c>
      <c r="G693" s="48">
        <v>440</v>
      </c>
      <c r="H693" s="45">
        <v>64723.62</v>
      </c>
      <c r="I693" s="45">
        <f>SUMIFS('שכר 11.2024'!N:N,'שכר 11.2024'!C:C,C:C,'שכר 11.2024'!F:F,F:F)</f>
        <v>4922.33</v>
      </c>
      <c r="J693" s="45">
        <f t="shared" si="40"/>
        <v>69645.95</v>
      </c>
      <c r="K693" s="61">
        <f t="shared" si="41"/>
        <v>1.0349999999999999</v>
      </c>
      <c r="L693" s="45">
        <f t="shared" si="42"/>
        <v>72083.558249999987</v>
      </c>
      <c r="M693" s="45">
        <f t="shared" si="43"/>
        <v>0.4</v>
      </c>
    </row>
    <row r="694" spans="1:13" outlineLevel="2" x14ac:dyDescent="0.35">
      <c r="A694" s="42">
        <v>1815200110</v>
      </c>
      <c r="B694" s="42" t="str">
        <f>VLOOKUP(A694,'תקציב מפורט 2025'!A:O,2,FALSE)</f>
        <v>ב"ס תיכון-משכורת</v>
      </c>
      <c r="C694" s="42">
        <v>66055955</v>
      </c>
      <c r="D694" s="42" t="s">
        <v>866</v>
      </c>
      <c r="E694" s="42" t="s">
        <v>867</v>
      </c>
      <c r="F694" s="42">
        <v>815200</v>
      </c>
      <c r="G694" s="48">
        <v>1165.5</v>
      </c>
      <c r="H694" s="45">
        <v>242433.33</v>
      </c>
      <c r="I694" s="45">
        <f>SUMIFS('שכר 11.2024'!N:N,'שכר 11.2024'!C:C,C:C,'שכר 11.2024'!F:F,F:F)</f>
        <v>22436.39</v>
      </c>
      <c r="J694" s="45">
        <f t="shared" si="40"/>
        <v>264869.71999999997</v>
      </c>
      <c r="K694" s="61">
        <f t="shared" si="41"/>
        <v>1.0349999999999999</v>
      </c>
      <c r="L694" s="45">
        <f t="shared" si="42"/>
        <v>274140.16019999993</v>
      </c>
      <c r="M694" s="45">
        <f t="shared" si="43"/>
        <v>1.0595454545454546</v>
      </c>
    </row>
    <row r="695" spans="1:13" outlineLevel="2" x14ac:dyDescent="0.35">
      <c r="A695" s="42">
        <v>1815200110</v>
      </c>
      <c r="B695" s="42" t="str">
        <f>VLOOKUP(A695,'תקציב מפורט 2025'!A:O,2,FALSE)</f>
        <v>ב"ס תיכון-משכורת</v>
      </c>
      <c r="C695" s="42">
        <v>200881894</v>
      </c>
      <c r="D695" s="42" t="s">
        <v>868</v>
      </c>
      <c r="E695" s="42" t="s">
        <v>869</v>
      </c>
      <c r="F695" s="42">
        <v>815200</v>
      </c>
      <c r="G695" s="48">
        <v>803.5</v>
      </c>
      <c r="H695" s="45">
        <v>166056.4</v>
      </c>
      <c r="I695" s="45">
        <f>SUMIFS('שכר 11.2024'!N:N,'שכר 11.2024'!C:C,C:C,'שכר 11.2024'!F:F,F:F)</f>
        <v>18403.2</v>
      </c>
      <c r="J695" s="45">
        <f t="shared" si="40"/>
        <v>184459.6</v>
      </c>
      <c r="K695" s="61">
        <f t="shared" si="41"/>
        <v>1.0349999999999999</v>
      </c>
      <c r="L695" s="45">
        <f t="shared" si="42"/>
        <v>190915.68599999999</v>
      </c>
      <c r="M695" s="45">
        <f t="shared" si="43"/>
        <v>0.73045454545454547</v>
      </c>
    </row>
    <row r="696" spans="1:13" outlineLevel="2" x14ac:dyDescent="0.35">
      <c r="A696" s="42">
        <v>1815200110</v>
      </c>
      <c r="B696" s="42" t="str">
        <f>VLOOKUP(A696,'תקציב מפורט 2025'!A:O,2,FALSE)</f>
        <v>ב"ס תיכון-משכורת</v>
      </c>
      <c r="C696" s="42">
        <v>200931376</v>
      </c>
      <c r="D696" s="42" t="s">
        <v>448</v>
      </c>
      <c r="E696" s="42" t="s">
        <v>505</v>
      </c>
      <c r="F696" s="42">
        <v>815200</v>
      </c>
      <c r="G696" s="48">
        <v>1180</v>
      </c>
      <c r="H696" s="45">
        <v>241367.24</v>
      </c>
      <c r="I696" s="45">
        <f>SUMIFS('שכר 11.2024'!N:N,'שכר 11.2024'!C:C,C:C,'שכר 11.2024'!F:F,F:F)</f>
        <v>20754.580000000002</v>
      </c>
      <c r="J696" s="45">
        <f t="shared" si="40"/>
        <v>262121.82</v>
      </c>
      <c r="K696" s="61">
        <f t="shared" si="41"/>
        <v>1.0349999999999999</v>
      </c>
      <c r="L696" s="45">
        <f t="shared" si="42"/>
        <v>271296.08369999996</v>
      </c>
      <c r="M696" s="45">
        <f t="shared" si="43"/>
        <v>1.0727272727272728</v>
      </c>
    </row>
    <row r="697" spans="1:13" outlineLevel="2" x14ac:dyDescent="0.35">
      <c r="A697" s="42">
        <v>1815200110</v>
      </c>
      <c r="B697" s="42" t="str">
        <f>VLOOKUP(A697,'תקציב מפורט 2025'!A:O,2,FALSE)</f>
        <v>ב"ס תיכון-משכורת</v>
      </c>
      <c r="C697" s="42">
        <v>201365350</v>
      </c>
      <c r="D697" s="42" t="s">
        <v>870</v>
      </c>
      <c r="E697" s="42" t="s">
        <v>871</v>
      </c>
      <c r="F697" s="42">
        <v>815200</v>
      </c>
      <c r="G697" s="48">
        <v>1176.4000000000001</v>
      </c>
      <c r="H697" s="45">
        <v>258769.18</v>
      </c>
      <c r="I697" s="45">
        <f>SUMIFS('שכר 11.2024'!N:N,'שכר 11.2024'!C:C,C:C,'שכר 11.2024'!F:F,F:F)</f>
        <v>22048.799999999999</v>
      </c>
      <c r="J697" s="45">
        <f t="shared" si="40"/>
        <v>280817.98</v>
      </c>
      <c r="K697" s="61">
        <f t="shared" si="41"/>
        <v>1.0349999999999999</v>
      </c>
      <c r="L697" s="45">
        <f t="shared" si="42"/>
        <v>290646.60929999995</v>
      </c>
      <c r="M697" s="45">
        <f t="shared" si="43"/>
        <v>1.0694545454545454</v>
      </c>
    </row>
    <row r="698" spans="1:13" outlineLevel="2" x14ac:dyDescent="0.35">
      <c r="A698" s="42">
        <v>1815200110</v>
      </c>
      <c r="B698" s="42" t="str">
        <f>VLOOKUP(A698,'תקציב מפורט 2025'!A:O,2,FALSE)</f>
        <v>ב"ס תיכון-משכורת</v>
      </c>
      <c r="C698" s="42">
        <v>203603352</v>
      </c>
      <c r="D698" s="42" t="s">
        <v>513</v>
      </c>
      <c r="E698" s="42" t="s">
        <v>872</v>
      </c>
      <c r="F698" s="42">
        <v>815200</v>
      </c>
      <c r="G698" s="48">
        <v>872.1</v>
      </c>
      <c r="H698" s="45">
        <v>168286.61</v>
      </c>
      <c r="I698" s="45">
        <f>SUMIFS('שכר 11.2024'!N:N,'שכר 11.2024'!C:C,C:C,'שכר 11.2024'!F:F,F:F)</f>
        <v>14238.81</v>
      </c>
      <c r="J698" s="45">
        <f t="shared" si="40"/>
        <v>182525.41999999998</v>
      </c>
      <c r="K698" s="61">
        <f t="shared" si="41"/>
        <v>1.0349999999999999</v>
      </c>
      <c r="L698" s="45">
        <f t="shared" si="42"/>
        <v>188913.80969999995</v>
      </c>
      <c r="M698" s="45">
        <f t="shared" si="43"/>
        <v>0.79281818181818187</v>
      </c>
    </row>
    <row r="699" spans="1:13" outlineLevel="2" x14ac:dyDescent="0.35">
      <c r="A699" s="42">
        <v>1815200110</v>
      </c>
      <c r="B699" s="42" t="str">
        <f>VLOOKUP(A699,'תקציב מפורט 2025'!A:O,2,FALSE)</f>
        <v>ב"ס תיכון-משכורת</v>
      </c>
      <c r="C699" s="42">
        <v>204137772</v>
      </c>
      <c r="D699" s="42" t="s">
        <v>448</v>
      </c>
      <c r="E699" s="42" t="s">
        <v>822</v>
      </c>
      <c r="F699" s="42">
        <v>815200</v>
      </c>
      <c r="G699" s="48">
        <v>611.9</v>
      </c>
      <c r="H699" s="45">
        <v>89051.3</v>
      </c>
      <c r="I699" s="45">
        <f>SUMIFS('שכר 11.2024'!N:N,'שכר 11.2024'!C:C,C:C,'שכר 11.2024'!F:F,F:F)</f>
        <v>9780.4599999999991</v>
      </c>
      <c r="J699" s="45">
        <f t="shared" si="40"/>
        <v>98831.760000000009</v>
      </c>
      <c r="K699" s="61">
        <f t="shared" si="41"/>
        <v>1.0349999999999999</v>
      </c>
      <c r="L699" s="45">
        <f t="shared" si="42"/>
        <v>102290.8716</v>
      </c>
      <c r="M699" s="45">
        <f t="shared" si="43"/>
        <v>0.55627272727272725</v>
      </c>
    </row>
    <row r="700" spans="1:13" outlineLevel="2" x14ac:dyDescent="0.35">
      <c r="A700" s="42">
        <v>1815200110</v>
      </c>
      <c r="B700" s="42" t="str">
        <f>VLOOKUP(A700,'תקציב מפורט 2025'!A:O,2,FALSE)</f>
        <v>ב"ס תיכון-משכורת</v>
      </c>
      <c r="C700" s="42">
        <v>204581870</v>
      </c>
      <c r="D700" s="42" t="s">
        <v>442</v>
      </c>
      <c r="E700" s="42" t="s">
        <v>480</v>
      </c>
      <c r="F700" s="42">
        <v>815200</v>
      </c>
      <c r="G700" s="48">
        <v>1180.2</v>
      </c>
      <c r="H700" s="45">
        <v>266879.40000000002</v>
      </c>
      <c r="I700" s="45">
        <f>SUMIFS('שכר 11.2024'!N:N,'שכר 11.2024'!C:C,C:C,'שכר 11.2024'!F:F,F:F)</f>
        <v>22559.45</v>
      </c>
      <c r="J700" s="45">
        <f t="shared" si="40"/>
        <v>289438.85000000003</v>
      </c>
      <c r="K700" s="61">
        <f t="shared" si="41"/>
        <v>1.0349999999999999</v>
      </c>
      <c r="L700" s="45">
        <f t="shared" si="42"/>
        <v>299569.20975000004</v>
      </c>
      <c r="M700" s="45">
        <f t="shared" si="43"/>
        <v>1.072909090909091</v>
      </c>
    </row>
    <row r="701" spans="1:13" outlineLevel="2" x14ac:dyDescent="0.35">
      <c r="A701" s="42">
        <v>1815200110</v>
      </c>
      <c r="B701" s="42" t="str">
        <f>VLOOKUP(A701,'תקציב מפורט 2025'!A:O,2,FALSE)</f>
        <v>ב"ס תיכון-משכורת</v>
      </c>
      <c r="C701" s="42">
        <v>205673387</v>
      </c>
      <c r="D701" s="42" t="s">
        <v>873</v>
      </c>
      <c r="E701" s="42" t="s">
        <v>1760</v>
      </c>
      <c r="F701" s="42">
        <v>815200</v>
      </c>
      <c r="G701" s="48">
        <v>1014.4</v>
      </c>
      <c r="H701" s="45">
        <v>209591.8</v>
      </c>
      <c r="I701" s="45">
        <f>SUMIFS('שכר 11.2024'!N:N,'שכר 11.2024'!C:C,C:C,'שכר 11.2024'!F:F,F:F)</f>
        <v>19528.38</v>
      </c>
      <c r="J701" s="45">
        <f t="shared" si="40"/>
        <v>229120.18</v>
      </c>
      <c r="K701" s="61">
        <f t="shared" si="41"/>
        <v>1.0349999999999999</v>
      </c>
      <c r="L701" s="45">
        <f t="shared" si="42"/>
        <v>237139.38629999998</v>
      </c>
      <c r="M701" s="45">
        <f t="shared" si="43"/>
        <v>0.92218181818181821</v>
      </c>
    </row>
    <row r="702" spans="1:13" outlineLevel="2" x14ac:dyDescent="0.35">
      <c r="A702" s="42">
        <v>1815200110</v>
      </c>
      <c r="B702" s="42" t="str">
        <f>VLOOKUP(A702,'תקציב מפורט 2025'!A:O,2,FALSE)</f>
        <v>ב"ס תיכון-משכורת</v>
      </c>
      <c r="C702" s="42">
        <v>205762743</v>
      </c>
      <c r="D702" s="42" t="s">
        <v>1761</v>
      </c>
      <c r="E702" s="42" t="s">
        <v>1762</v>
      </c>
      <c r="F702" s="42">
        <v>815200</v>
      </c>
      <c r="G702" s="48">
        <v>288.2</v>
      </c>
      <c r="H702" s="45">
        <v>38371.730000000003</v>
      </c>
      <c r="I702" s="45">
        <f>SUMIFS('שכר 11.2024'!N:N,'שכר 11.2024'!C:C,C:C,'שכר 11.2024'!F:F,F:F)</f>
        <v>17317.61</v>
      </c>
      <c r="J702" s="45">
        <f t="shared" si="40"/>
        <v>55689.340000000004</v>
      </c>
      <c r="K702" s="61">
        <f t="shared" si="41"/>
        <v>1.0349999999999999</v>
      </c>
      <c r="L702" s="45">
        <f t="shared" si="42"/>
        <v>57638.466899999999</v>
      </c>
      <c r="M702" s="45">
        <f t="shared" si="43"/>
        <v>0.26200000000000001</v>
      </c>
    </row>
    <row r="703" spans="1:13" outlineLevel="2" x14ac:dyDescent="0.35">
      <c r="A703" s="42">
        <v>1815200110</v>
      </c>
      <c r="B703" s="42" t="str">
        <f>VLOOKUP(A703,'תקציב מפורט 2025'!A:O,2,FALSE)</f>
        <v>ב"ס תיכון-משכורת</v>
      </c>
      <c r="C703" s="42">
        <v>205765233</v>
      </c>
      <c r="D703" s="42" t="s">
        <v>1763</v>
      </c>
      <c r="E703" s="42" t="s">
        <v>1764</v>
      </c>
      <c r="F703" s="42">
        <v>815200</v>
      </c>
      <c r="G703" s="48">
        <v>688.7</v>
      </c>
      <c r="H703" s="45">
        <v>117770.26</v>
      </c>
      <c r="I703" s="45">
        <f>SUMIFS('שכר 11.2024'!N:N,'שכר 11.2024'!C:C,C:C,'שכר 11.2024'!F:F,F:F)</f>
        <v>12181.78</v>
      </c>
      <c r="J703" s="45">
        <f t="shared" si="40"/>
        <v>129952.04</v>
      </c>
      <c r="K703" s="61">
        <f t="shared" si="41"/>
        <v>1.0349999999999999</v>
      </c>
      <c r="L703" s="45">
        <f t="shared" si="42"/>
        <v>134500.36139999999</v>
      </c>
      <c r="M703" s="45">
        <f t="shared" si="43"/>
        <v>0.62609090909090914</v>
      </c>
    </row>
    <row r="704" spans="1:13" outlineLevel="2" x14ac:dyDescent="0.35">
      <c r="A704" s="42">
        <v>1815200110</v>
      </c>
      <c r="B704" s="42" t="str">
        <f>VLOOKUP(A704,'תקציב מפורט 2025'!A:O,2,FALSE)</f>
        <v>ב"ס תיכון-משכורת</v>
      </c>
      <c r="C704" s="42">
        <v>205957921</v>
      </c>
      <c r="D704" s="42" t="s">
        <v>875</v>
      </c>
      <c r="E704" s="42" t="s">
        <v>876</v>
      </c>
      <c r="F704" s="42">
        <v>815200</v>
      </c>
      <c r="G704" s="48">
        <v>1100</v>
      </c>
      <c r="H704" s="45">
        <v>202418.53</v>
      </c>
      <c r="I704" s="45">
        <f>SUMIFS('שכר 11.2024'!N:N,'שכר 11.2024'!C:C,C:C,'שכר 11.2024'!F:F,F:F)</f>
        <v>18231.169999999998</v>
      </c>
      <c r="J704" s="45">
        <f t="shared" si="40"/>
        <v>220649.7</v>
      </c>
      <c r="K704" s="61">
        <f t="shared" si="41"/>
        <v>1.0349999999999999</v>
      </c>
      <c r="L704" s="45">
        <f t="shared" si="42"/>
        <v>228372.43950000001</v>
      </c>
      <c r="M704" s="45">
        <f t="shared" si="43"/>
        <v>1</v>
      </c>
    </row>
    <row r="705" spans="1:13" outlineLevel="2" x14ac:dyDescent="0.35">
      <c r="A705" s="42">
        <v>1815200110</v>
      </c>
      <c r="B705" s="42" t="str">
        <f>VLOOKUP(A705,'תקציב מפורט 2025'!A:O,2,FALSE)</f>
        <v>ב"ס תיכון-משכורת</v>
      </c>
      <c r="C705" s="42">
        <v>206189565</v>
      </c>
      <c r="D705" s="42" t="s">
        <v>877</v>
      </c>
      <c r="E705" s="42" t="s">
        <v>872</v>
      </c>
      <c r="F705" s="42">
        <v>815200</v>
      </c>
      <c r="G705" s="48">
        <v>434.2</v>
      </c>
      <c r="H705" s="45">
        <v>107025.78</v>
      </c>
      <c r="I705" s="45">
        <f>SUMIFS('שכר 11.2024'!N:N,'שכר 11.2024'!C:C,C:C,'שכר 11.2024'!F:F,F:F)</f>
        <v>20641.84</v>
      </c>
      <c r="J705" s="45">
        <f t="shared" si="40"/>
        <v>127667.62</v>
      </c>
      <c r="K705" s="61">
        <f t="shared" si="41"/>
        <v>1.0349999999999999</v>
      </c>
      <c r="L705" s="45">
        <f t="shared" si="42"/>
        <v>132135.98669999998</v>
      </c>
      <c r="M705" s="45">
        <f t="shared" si="43"/>
        <v>0.3947272727272727</v>
      </c>
    </row>
    <row r="706" spans="1:13" outlineLevel="2" x14ac:dyDescent="0.35">
      <c r="A706" s="42">
        <v>1815200110</v>
      </c>
      <c r="B706" s="42" t="str">
        <f>VLOOKUP(A706,'תקציב מפורט 2025'!A:O,2,FALSE)</f>
        <v>ב"ס תיכון-משכורת</v>
      </c>
      <c r="C706" s="42">
        <v>206213068</v>
      </c>
      <c r="D706" s="42" t="s">
        <v>434</v>
      </c>
      <c r="E706" s="42" t="s">
        <v>878</v>
      </c>
      <c r="F706" s="42">
        <v>815200</v>
      </c>
      <c r="G706" s="48">
        <v>1157.5999999999999</v>
      </c>
      <c r="H706" s="45">
        <v>196160.68</v>
      </c>
      <c r="I706" s="45">
        <f>SUMIFS('שכר 11.2024'!N:N,'שכר 11.2024'!C:C,C:C,'שכר 11.2024'!F:F,F:F)</f>
        <v>17116.080000000002</v>
      </c>
      <c r="J706" s="45">
        <f t="shared" si="40"/>
        <v>213276.76</v>
      </c>
      <c r="K706" s="61">
        <f t="shared" si="41"/>
        <v>1.0349999999999999</v>
      </c>
      <c r="L706" s="45">
        <f t="shared" si="42"/>
        <v>220741.4466</v>
      </c>
      <c r="M706" s="45">
        <f t="shared" si="43"/>
        <v>1.0523636363636364</v>
      </c>
    </row>
    <row r="707" spans="1:13" outlineLevel="2" x14ac:dyDescent="0.35">
      <c r="A707" s="42">
        <v>1815200110</v>
      </c>
      <c r="B707" s="42" t="str">
        <f>VLOOKUP(A707,'תקציב מפורט 2025'!A:O,2,FALSE)</f>
        <v>ב"ס תיכון-משכורת</v>
      </c>
      <c r="C707" s="42">
        <v>206255275</v>
      </c>
      <c r="D707" s="42" t="s">
        <v>1765</v>
      </c>
      <c r="E707" s="42" t="s">
        <v>1766</v>
      </c>
      <c r="F707" s="42">
        <v>815200</v>
      </c>
      <c r="G707" s="48">
        <v>469.6</v>
      </c>
      <c r="H707" s="45">
        <v>75394.31</v>
      </c>
      <c r="I707" s="45">
        <f>SUMIFS('שכר 11.2024'!N:N,'שכר 11.2024'!C:C,C:C,'שכר 11.2024'!F:F,F:F)</f>
        <v>5998.45</v>
      </c>
      <c r="J707" s="45">
        <f t="shared" si="40"/>
        <v>81392.759999999995</v>
      </c>
      <c r="K707" s="61">
        <f t="shared" si="41"/>
        <v>1.0349999999999999</v>
      </c>
      <c r="L707" s="45">
        <f t="shared" si="42"/>
        <v>84241.506599999993</v>
      </c>
      <c r="M707" s="45">
        <f t="shared" si="43"/>
        <v>0.4269090909090909</v>
      </c>
    </row>
    <row r="708" spans="1:13" outlineLevel="2" x14ac:dyDescent="0.35">
      <c r="A708" s="42">
        <v>1815200110</v>
      </c>
      <c r="B708" s="42" t="str">
        <f>VLOOKUP(A708,'תקציב מפורט 2025'!A:O,2,FALSE)</f>
        <v>ב"ס תיכון-משכורת</v>
      </c>
      <c r="C708" s="42">
        <v>206257784</v>
      </c>
      <c r="D708" s="42" t="s">
        <v>954</v>
      </c>
      <c r="E708" s="42" t="s">
        <v>879</v>
      </c>
      <c r="F708" s="42">
        <v>815200</v>
      </c>
      <c r="G708" s="48">
        <v>1187.5999999999999</v>
      </c>
      <c r="H708" s="45">
        <v>174379.17</v>
      </c>
      <c r="I708" s="45">
        <f>SUMIFS('שכר 11.2024'!N:N,'שכר 11.2024'!C:C,C:C,'שכר 11.2024'!F:F,F:F)</f>
        <v>14772.19</v>
      </c>
      <c r="J708" s="45">
        <f t="shared" si="40"/>
        <v>189151.36000000002</v>
      </c>
      <c r="K708" s="61">
        <f t="shared" si="41"/>
        <v>1.0349999999999999</v>
      </c>
      <c r="L708" s="45">
        <f t="shared" si="42"/>
        <v>195771.65760000001</v>
      </c>
      <c r="M708" s="45">
        <f t="shared" si="43"/>
        <v>1.0796363636363635</v>
      </c>
    </row>
    <row r="709" spans="1:13" outlineLevel="2" x14ac:dyDescent="0.35">
      <c r="A709" s="42">
        <v>1815200110</v>
      </c>
      <c r="B709" s="42" t="str">
        <f>VLOOKUP(A709,'תקציב מפורט 2025'!A:O,2,FALSE)</f>
        <v>ב"ס תיכון-משכורת</v>
      </c>
      <c r="C709" s="42">
        <v>206273591</v>
      </c>
      <c r="D709" s="42" t="s">
        <v>508</v>
      </c>
      <c r="E709" s="42" t="s">
        <v>443</v>
      </c>
      <c r="F709" s="42">
        <v>815200</v>
      </c>
      <c r="G709" s="48">
        <v>460</v>
      </c>
      <c r="H709" s="45">
        <v>83530.95</v>
      </c>
      <c r="I709" s="45">
        <f>SUMIFS('שכר 11.2024'!N:N,'שכר 11.2024'!C:C,C:C,'שכר 11.2024'!F:F,F:F)</f>
        <v>5876.3</v>
      </c>
      <c r="J709" s="45">
        <f t="shared" si="40"/>
        <v>89407.25</v>
      </c>
      <c r="K709" s="61">
        <f t="shared" si="41"/>
        <v>1.0349999999999999</v>
      </c>
      <c r="L709" s="45">
        <f t="shared" si="42"/>
        <v>92536.503749999989</v>
      </c>
      <c r="M709" s="45">
        <f t="shared" si="43"/>
        <v>0.41818181818181815</v>
      </c>
    </row>
    <row r="710" spans="1:13" outlineLevel="2" x14ac:dyDescent="0.35">
      <c r="A710" s="42">
        <v>1815200110</v>
      </c>
      <c r="B710" s="42" t="str">
        <f>VLOOKUP(A710,'תקציב מפורט 2025'!A:O,2,FALSE)</f>
        <v>ב"ס תיכון-משכורת</v>
      </c>
      <c r="C710" s="42">
        <v>206600025</v>
      </c>
      <c r="D710" s="42" t="s">
        <v>1767</v>
      </c>
      <c r="E710" s="42" t="s">
        <v>915</v>
      </c>
      <c r="F710" s="42">
        <v>815200</v>
      </c>
      <c r="G710" s="48">
        <v>550</v>
      </c>
      <c r="H710" s="45">
        <v>71186.31</v>
      </c>
      <c r="I710" s="45">
        <f>SUMIFS('שכר 11.2024'!N:N,'שכר 11.2024'!C:C,C:C,'שכר 11.2024'!F:F,F:F)</f>
        <v>6550.52</v>
      </c>
      <c r="J710" s="45">
        <f t="shared" si="40"/>
        <v>77736.83</v>
      </c>
      <c r="K710" s="61">
        <f t="shared" si="41"/>
        <v>1.0349999999999999</v>
      </c>
      <c r="L710" s="45">
        <f t="shared" si="42"/>
        <v>80457.619049999994</v>
      </c>
      <c r="M710" s="45">
        <f t="shared" si="43"/>
        <v>0.5</v>
      </c>
    </row>
    <row r="711" spans="1:13" outlineLevel="2" x14ac:dyDescent="0.35">
      <c r="A711" s="42">
        <v>1815200110</v>
      </c>
      <c r="B711" s="42" t="str">
        <f>VLOOKUP(A711,'תקציב מפורט 2025'!A:O,2,FALSE)</f>
        <v>ב"ס תיכון-משכורת</v>
      </c>
      <c r="C711" s="42">
        <v>206715674</v>
      </c>
      <c r="D711" s="42" t="s">
        <v>434</v>
      </c>
      <c r="E711" s="42" t="s">
        <v>913</v>
      </c>
      <c r="F711" s="42">
        <v>815200</v>
      </c>
      <c r="G711" s="48">
        <v>762.6</v>
      </c>
      <c r="H711" s="45">
        <v>117842.78</v>
      </c>
      <c r="I711" s="45">
        <f>SUMIFS('שכר 11.2024'!N:N,'שכר 11.2024'!C:C,C:C,'שכר 11.2024'!F:F,F:F)</f>
        <v>14671.51</v>
      </c>
      <c r="J711" s="45">
        <f t="shared" si="40"/>
        <v>132514.29</v>
      </c>
      <c r="K711" s="61">
        <f t="shared" si="41"/>
        <v>1.0349999999999999</v>
      </c>
      <c r="L711" s="45">
        <f t="shared" si="42"/>
        <v>137152.29014999999</v>
      </c>
      <c r="M711" s="45">
        <f t="shared" si="43"/>
        <v>0.69327272727272726</v>
      </c>
    </row>
    <row r="712" spans="1:13" outlineLevel="2" x14ac:dyDescent="0.35">
      <c r="A712" s="42">
        <v>1815200110</v>
      </c>
      <c r="B712" s="42" t="str">
        <f>VLOOKUP(A712,'תקציב מפורט 2025'!A:O,2,FALSE)</f>
        <v>ב"ס תיכון-משכורת</v>
      </c>
      <c r="C712" s="42">
        <v>206805616</v>
      </c>
      <c r="D712" s="42" t="s">
        <v>434</v>
      </c>
      <c r="E712" s="42" t="s">
        <v>1768</v>
      </c>
      <c r="F712" s="42">
        <v>815200</v>
      </c>
      <c r="G712" s="48">
        <v>96.6</v>
      </c>
      <c r="H712" s="45">
        <v>11668.62</v>
      </c>
      <c r="I712" s="45">
        <f>SUMIFS('שכר 11.2024'!N:N,'שכר 11.2024'!C:C,C:C,'שכר 11.2024'!F:F,F:F)</f>
        <v>4932.72</v>
      </c>
      <c r="J712" s="45">
        <f t="shared" si="40"/>
        <v>16601.34</v>
      </c>
      <c r="K712" s="61">
        <f t="shared" si="41"/>
        <v>1.0349999999999999</v>
      </c>
      <c r="L712" s="45">
        <f t="shared" si="42"/>
        <v>17182.386899999998</v>
      </c>
      <c r="M712" s="45">
        <f t="shared" si="43"/>
        <v>8.7818181818181809E-2</v>
      </c>
    </row>
    <row r="713" spans="1:13" outlineLevel="2" x14ac:dyDescent="0.35">
      <c r="A713" s="42">
        <v>1815200110</v>
      </c>
      <c r="B713" s="42" t="str">
        <f>VLOOKUP(A713,'תקציב מפורט 2025'!A:O,2,FALSE)</f>
        <v>ב"ס תיכון-משכורת</v>
      </c>
      <c r="C713" s="42">
        <v>206858359</v>
      </c>
      <c r="D713" s="42" t="s">
        <v>442</v>
      </c>
      <c r="E713" s="42" t="s">
        <v>443</v>
      </c>
      <c r="F713" s="42">
        <v>815200</v>
      </c>
      <c r="G713" s="48">
        <v>109.2</v>
      </c>
      <c r="H713" s="45">
        <v>17995.830000000002</v>
      </c>
      <c r="I713" s="45">
        <f>SUMIFS('שכר 11.2024'!N:N,'שכר 11.2024'!C:C,C:C,'שכר 11.2024'!F:F,F:F)</f>
        <v>3883.08</v>
      </c>
      <c r="J713" s="45">
        <f t="shared" si="40"/>
        <v>21878.910000000003</v>
      </c>
      <c r="K713" s="61">
        <f t="shared" si="41"/>
        <v>1.0349999999999999</v>
      </c>
      <c r="L713" s="45">
        <f t="shared" si="42"/>
        <v>22644.671850000002</v>
      </c>
      <c r="M713" s="45">
        <f t="shared" si="43"/>
        <v>9.9272727272727276E-2</v>
      </c>
    </row>
    <row r="714" spans="1:13" outlineLevel="2" x14ac:dyDescent="0.35">
      <c r="A714" s="42">
        <v>1815200110</v>
      </c>
      <c r="B714" s="42" t="str">
        <f>VLOOKUP(A714,'תקציב מפורט 2025'!A:O,2,FALSE)</f>
        <v>ב"ס תיכון-משכורת</v>
      </c>
      <c r="C714" s="42">
        <v>206931446</v>
      </c>
      <c r="D714" s="42" t="s">
        <v>442</v>
      </c>
      <c r="E714" s="42" t="s">
        <v>929</v>
      </c>
      <c r="F714" s="42">
        <v>815200</v>
      </c>
      <c r="G714" s="48">
        <v>101.7</v>
      </c>
      <c r="H714" s="45">
        <v>11762.54</v>
      </c>
      <c r="I714" s="45">
        <f>SUMIFS('שכר 11.2024'!N:N,'שכר 11.2024'!C:C,C:C,'שכר 11.2024'!F:F,F:F)</f>
        <v>3901.59</v>
      </c>
      <c r="J714" s="45">
        <f t="shared" si="40"/>
        <v>15664.130000000001</v>
      </c>
      <c r="K714" s="61">
        <f t="shared" si="41"/>
        <v>1.0349999999999999</v>
      </c>
      <c r="L714" s="45">
        <f t="shared" si="42"/>
        <v>16212.37455</v>
      </c>
      <c r="M714" s="45">
        <f t="shared" si="43"/>
        <v>9.2454545454545456E-2</v>
      </c>
    </row>
    <row r="715" spans="1:13" outlineLevel="2" x14ac:dyDescent="0.35">
      <c r="A715" s="42">
        <v>1815200110</v>
      </c>
      <c r="B715" s="42" t="str">
        <f>VLOOKUP(A715,'תקציב מפורט 2025'!A:O,2,FALSE)</f>
        <v>ב"ס תיכון-משכורת</v>
      </c>
      <c r="C715" s="42">
        <v>206933111</v>
      </c>
      <c r="D715" s="42" t="s">
        <v>490</v>
      </c>
      <c r="E715" s="42" t="s">
        <v>880</v>
      </c>
      <c r="F715" s="42">
        <v>815200</v>
      </c>
      <c r="G715" s="48">
        <v>1130</v>
      </c>
      <c r="H715" s="45">
        <v>185948.28</v>
      </c>
      <c r="I715" s="45">
        <f>SUMIFS('שכר 11.2024'!N:N,'שכר 11.2024'!C:C,C:C,'שכר 11.2024'!F:F,F:F)</f>
        <v>16375.06</v>
      </c>
      <c r="J715" s="45">
        <f t="shared" si="40"/>
        <v>202323.34</v>
      </c>
      <c r="K715" s="61">
        <f t="shared" si="41"/>
        <v>1.0349999999999999</v>
      </c>
      <c r="L715" s="45">
        <f t="shared" si="42"/>
        <v>209404.65689999997</v>
      </c>
      <c r="M715" s="45">
        <f t="shared" si="43"/>
        <v>1.0272727272727273</v>
      </c>
    </row>
    <row r="716" spans="1:13" outlineLevel="2" x14ac:dyDescent="0.35">
      <c r="A716" s="42">
        <v>1815200110</v>
      </c>
      <c r="B716" s="42" t="str">
        <f>VLOOKUP(A716,'תקציב מפורט 2025'!A:O,2,FALSE)</f>
        <v>ב"ס תיכון-משכורת</v>
      </c>
      <c r="C716" s="42">
        <v>207153966</v>
      </c>
      <c r="D716" s="42" t="s">
        <v>442</v>
      </c>
      <c r="E716" s="42" t="s">
        <v>1769</v>
      </c>
      <c r="F716" s="42">
        <v>815200</v>
      </c>
      <c r="G716" s="48">
        <v>1000</v>
      </c>
      <c r="H716" s="45">
        <v>141868.37</v>
      </c>
      <c r="I716" s="45">
        <f>SUMIFS('שכר 11.2024'!N:N,'שכר 11.2024'!C:C,C:C,'שכר 11.2024'!F:F,F:F)</f>
        <v>14075.34</v>
      </c>
      <c r="J716" s="45">
        <f t="shared" si="40"/>
        <v>155943.71</v>
      </c>
      <c r="K716" s="61">
        <f t="shared" si="41"/>
        <v>1.0349999999999999</v>
      </c>
      <c r="L716" s="45">
        <f t="shared" si="42"/>
        <v>161401.73984999998</v>
      </c>
      <c r="M716" s="45">
        <f t="shared" si="43"/>
        <v>0.90909090909090906</v>
      </c>
    </row>
    <row r="717" spans="1:13" outlineLevel="2" x14ac:dyDescent="0.35">
      <c r="A717" s="42">
        <v>1815200110</v>
      </c>
      <c r="B717" s="42" t="str">
        <f>VLOOKUP(A717,'תקציב מפורט 2025'!A:O,2,FALSE)</f>
        <v>ב"ס תיכון-משכורת</v>
      </c>
      <c r="C717" s="42">
        <v>207154030</v>
      </c>
      <c r="D717" s="42" t="s">
        <v>442</v>
      </c>
      <c r="E717" s="42" t="s">
        <v>1770</v>
      </c>
      <c r="F717" s="42">
        <v>815200</v>
      </c>
      <c r="G717" s="48">
        <v>495</v>
      </c>
      <c r="H717" s="45">
        <v>77506.38</v>
      </c>
      <c r="I717" s="45">
        <f>SUMIFS('שכר 11.2024'!N:N,'שכר 11.2024'!C:C,C:C,'שכר 11.2024'!F:F,F:F)</f>
        <v>6704.11</v>
      </c>
      <c r="J717" s="45">
        <f t="shared" si="40"/>
        <v>84210.49</v>
      </c>
      <c r="K717" s="61">
        <f t="shared" si="41"/>
        <v>1.0349999999999999</v>
      </c>
      <c r="L717" s="45">
        <f t="shared" si="42"/>
        <v>87157.857149999996</v>
      </c>
      <c r="M717" s="45">
        <f t="shared" si="43"/>
        <v>0.45</v>
      </c>
    </row>
    <row r="718" spans="1:13" outlineLevel="2" x14ac:dyDescent="0.35">
      <c r="A718" s="42">
        <v>1815200110</v>
      </c>
      <c r="B718" s="42" t="str">
        <f>VLOOKUP(A718,'תקציב מפורט 2025'!A:O,2,FALSE)</f>
        <v>ב"ס תיכון-משכורת</v>
      </c>
      <c r="C718" s="42">
        <v>208715722</v>
      </c>
      <c r="D718" s="42" t="s">
        <v>881</v>
      </c>
      <c r="E718" s="42" t="s">
        <v>1771</v>
      </c>
      <c r="F718" s="42">
        <v>815200</v>
      </c>
      <c r="G718" s="48">
        <v>1145</v>
      </c>
      <c r="H718" s="45">
        <v>207804.66</v>
      </c>
      <c r="I718" s="45">
        <f>SUMIFS('שכר 11.2024'!N:N,'שכר 11.2024'!C:C,C:C,'שכר 11.2024'!F:F,F:F)</f>
        <v>18411.439999999999</v>
      </c>
      <c r="J718" s="45">
        <f t="shared" si="40"/>
        <v>226216.1</v>
      </c>
      <c r="K718" s="61">
        <f t="shared" si="41"/>
        <v>1.0349999999999999</v>
      </c>
      <c r="L718" s="45">
        <f t="shared" si="42"/>
        <v>234133.6635</v>
      </c>
      <c r="M718" s="45">
        <f t="shared" si="43"/>
        <v>1.040909090909091</v>
      </c>
    </row>
    <row r="719" spans="1:13" outlineLevel="2" x14ac:dyDescent="0.35">
      <c r="A719" s="42">
        <v>1815200110</v>
      </c>
      <c r="B719" s="42" t="str">
        <f>VLOOKUP(A719,'תקציב מפורט 2025'!A:O,2,FALSE)</f>
        <v>ב"ס תיכון-משכורת</v>
      </c>
      <c r="C719" s="42">
        <v>213753635</v>
      </c>
      <c r="D719" s="42" t="s">
        <v>442</v>
      </c>
      <c r="E719" s="42" t="s">
        <v>1772</v>
      </c>
      <c r="F719" s="42">
        <v>815200</v>
      </c>
      <c r="G719" s="48">
        <v>661.6</v>
      </c>
      <c r="H719" s="45">
        <v>59080.74</v>
      </c>
      <c r="I719" s="45">
        <f>SUMIFS('שכר 11.2024'!N:N,'שכר 11.2024'!C:C,C:C,'שכר 11.2024'!F:F,F:F)</f>
        <v>11643.63</v>
      </c>
      <c r="J719" s="45">
        <f t="shared" si="40"/>
        <v>70724.37</v>
      </c>
      <c r="K719" s="61">
        <f t="shared" si="41"/>
        <v>1.0349999999999999</v>
      </c>
      <c r="L719" s="45">
        <f t="shared" si="42"/>
        <v>73199.722949999996</v>
      </c>
      <c r="M719" s="45">
        <f t="shared" si="43"/>
        <v>0.60145454545454546</v>
      </c>
    </row>
    <row r="720" spans="1:13" outlineLevel="2" x14ac:dyDescent="0.35">
      <c r="A720" s="42">
        <v>1815200110</v>
      </c>
      <c r="B720" s="42" t="str">
        <f>VLOOKUP(A720,'תקציב מפורט 2025'!A:O,2,FALSE)</f>
        <v>ב"ס תיכון-משכורת</v>
      </c>
      <c r="C720" s="42">
        <v>300214301</v>
      </c>
      <c r="D720" s="42" t="s">
        <v>882</v>
      </c>
      <c r="E720" s="42" t="s">
        <v>883</v>
      </c>
      <c r="F720" s="42">
        <v>815200</v>
      </c>
      <c r="G720" s="48">
        <v>1100</v>
      </c>
      <c r="H720" s="45">
        <v>208095.45</v>
      </c>
      <c r="I720" s="45">
        <f>SUMIFS('שכר 11.2024'!N:N,'שכר 11.2024'!C:C,C:C,'שכר 11.2024'!F:F,F:F)</f>
        <v>18055.099999999999</v>
      </c>
      <c r="J720" s="45">
        <f t="shared" si="40"/>
        <v>226150.55000000002</v>
      </c>
      <c r="K720" s="61">
        <f t="shared" si="41"/>
        <v>1.0349999999999999</v>
      </c>
      <c r="L720" s="45">
        <f t="shared" si="42"/>
        <v>234065.81925</v>
      </c>
      <c r="M720" s="45">
        <f t="shared" si="43"/>
        <v>1</v>
      </c>
    </row>
    <row r="721" spans="1:13" outlineLevel="2" x14ac:dyDescent="0.35">
      <c r="A721" s="42">
        <v>1815200110</v>
      </c>
      <c r="B721" s="42" t="str">
        <f>VLOOKUP(A721,'תקציב מפורט 2025'!A:O,2,FALSE)</f>
        <v>ב"ס תיכון-משכורת</v>
      </c>
      <c r="C721" s="42">
        <v>300269602</v>
      </c>
      <c r="D721" s="42" t="s">
        <v>499</v>
      </c>
      <c r="E721" s="42" t="s">
        <v>884</v>
      </c>
      <c r="F721" s="42">
        <v>815200</v>
      </c>
      <c r="G721" s="48">
        <v>1115</v>
      </c>
      <c r="H721" s="45">
        <v>258189.16</v>
      </c>
      <c r="I721" s="45">
        <f>SUMIFS('שכר 11.2024'!N:N,'שכר 11.2024'!C:C,C:C,'שכר 11.2024'!F:F,F:F)</f>
        <v>24301.77</v>
      </c>
      <c r="J721" s="45">
        <f t="shared" si="40"/>
        <v>282490.93</v>
      </c>
      <c r="K721" s="61">
        <f t="shared" si="41"/>
        <v>1.0349999999999999</v>
      </c>
      <c r="L721" s="45">
        <f t="shared" si="42"/>
        <v>292378.11254999996</v>
      </c>
      <c r="M721" s="45">
        <f t="shared" si="43"/>
        <v>1.0136363636363637</v>
      </c>
    </row>
    <row r="722" spans="1:13" outlineLevel="2" x14ac:dyDescent="0.35">
      <c r="A722" s="42">
        <v>1815200110</v>
      </c>
      <c r="B722" s="42" t="str">
        <f>VLOOKUP(A722,'תקציב מפורט 2025'!A:O,2,FALSE)</f>
        <v>ב"ס תיכון-משכורת</v>
      </c>
      <c r="C722" s="42">
        <v>301178273</v>
      </c>
      <c r="D722" s="42" t="s">
        <v>502</v>
      </c>
      <c r="E722" s="42" t="s">
        <v>501</v>
      </c>
      <c r="F722" s="42">
        <v>815200</v>
      </c>
      <c r="G722" s="48">
        <v>1233.0999999999999</v>
      </c>
      <c r="H722" s="45">
        <v>308556.84999999998</v>
      </c>
      <c r="I722" s="45">
        <f>SUMIFS('שכר 11.2024'!N:N,'שכר 11.2024'!C:C,C:C,'שכר 11.2024'!F:F,F:F)</f>
        <v>27597</v>
      </c>
      <c r="J722" s="45">
        <f t="shared" si="40"/>
        <v>336153.85</v>
      </c>
      <c r="K722" s="61">
        <f t="shared" si="41"/>
        <v>1.0349999999999999</v>
      </c>
      <c r="L722" s="45">
        <f t="shared" si="42"/>
        <v>347919.23474999995</v>
      </c>
      <c r="M722" s="45">
        <f t="shared" si="43"/>
        <v>1.121</v>
      </c>
    </row>
    <row r="723" spans="1:13" outlineLevel="2" x14ac:dyDescent="0.35">
      <c r="A723" s="42">
        <v>1815200110</v>
      </c>
      <c r="B723" s="42" t="str">
        <f>VLOOKUP(A723,'תקציב מפורט 2025'!A:O,2,FALSE)</f>
        <v>ב"ס תיכון-משכורת</v>
      </c>
      <c r="C723" s="42">
        <v>301232393</v>
      </c>
      <c r="D723" s="42" t="s">
        <v>885</v>
      </c>
      <c r="E723" s="42" t="s">
        <v>886</v>
      </c>
      <c r="F723" s="42">
        <v>815200</v>
      </c>
      <c r="G723" s="48">
        <v>1160</v>
      </c>
      <c r="H723" s="45">
        <v>232211.12</v>
      </c>
      <c r="I723" s="45">
        <f>SUMIFS('שכר 11.2024'!N:N,'שכר 11.2024'!C:C,C:C,'שכר 11.2024'!F:F,F:F)</f>
        <v>20308.830000000002</v>
      </c>
      <c r="J723" s="45">
        <f t="shared" si="40"/>
        <v>252519.95</v>
      </c>
      <c r="K723" s="61">
        <f t="shared" si="41"/>
        <v>1.0349999999999999</v>
      </c>
      <c r="L723" s="45">
        <f t="shared" si="42"/>
        <v>261358.14825</v>
      </c>
      <c r="M723" s="45">
        <f t="shared" si="43"/>
        <v>1.0545454545454545</v>
      </c>
    </row>
    <row r="724" spans="1:13" outlineLevel="2" x14ac:dyDescent="0.35">
      <c r="A724" s="42">
        <v>1815200110</v>
      </c>
      <c r="B724" s="42" t="str">
        <f>VLOOKUP(A724,'תקציב מפורט 2025'!A:O,2,FALSE)</f>
        <v>ב"ס תיכון-משכורת</v>
      </c>
      <c r="C724" s="42">
        <v>302649918</v>
      </c>
      <c r="D724" s="42" t="s">
        <v>442</v>
      </c>
      <c r="E724" s="42" t="s">
        <v>500</v>
      </c>
      <c r="F724" s="42">
        <v>815200</v>
      </c>
      <c r="G724" s="48">
        <v>1160</v>
      </c>
      <c r="H724" s="45">
        <v>224316.02</v>
      </c>
      <c r="I724" s="45">
        <f>SUMIFS('שכר 11.2024'!N:N,'שכר 11.2024'!C:C,C:C,'שכר 11.2024'!F:F,F:F)</f>
        <v>24895.34</v>
      </c>
      <c r="J724" s="45">
        <f t="shared" si="40"/>
        <v>249211.36</v>
      </c>
      <c r="K724" s="61">
        <f t="shared" si="41"/>
        <v>1.0349999999999999</v>
      </c>
      <c r="L724" s="45">
        <f t="shared" si="42"/>
        <v>257933.75759999995</v>
      </c>
      <c r="M724" s="45">
        <f t="shared" si="43"/>
        <v>1.0545454545454545</v>
      </c>
    </row>
    <row r="725" spans="1:13" outlineLevel="2" x14ac:dyDescent="0.35">
      <c r="A725" s="42">
        <v>1815200110</v>
      </c>
      <c r="B725" s="42" t="str">
        <f>VLOOKUP(A725,'תקציב מפורט 2025'!A:O,2,FALSE)</f>
        <v>ב"ס תיכון-משכורת</v>
      </c>
      <c r="C725" s="42">
        <v>302826672</v>
      </c>
      <c r="D725" s="42" t="s">
        <v>888</v>
      </c>
      <c r="E725" s="42" t="s">
        <v>885</v>
      </c>
      <c r="F725" s="42">
        <v>815200</v>
      </c>
      <c r="G725" s="48">
        <v>1135.0999999999999</v>
      </c>
      <c r="H725" s="45">
        <v>249377.98</v>
      </c>
      <c r="I725" s="45">
        <f>SUMIFS('שכר 11.2024'!N:N,'שכר 11.2024'!C:C,C:C,'שכר 11.2024'!F:F,F:F)</f>
        <v>20560.97</v>
      </c>
      <c r="J725" s="45">
        <f t="shared" si="40"/>
        <v>269938.95</v>
      </c>
      <c r="K725" s="61">
        <f t="shared" si="41"/>
        <v>1.0349999999999999</v>
      </c>
      <c r="L725" s="45">
        <f t="shared" si="42"/>
        <v>279386.81325000001</v>
      </c>
      <c r="M725" s="45">
        <f t="shared" si="43"/>
        <v>1.0319090909090909</v>
      </c>
    </row>
    <row r="726" spans="1:13" outlineLevel="2" x14ac:dyDescent="0.35">
      <c r="A726" s="42">
        <v>1815200110</v>
      </c>
      <c r="B726" s="42" t="str">
        <f>VLOOKUP(A726,'תקציב מפורט 2025'!A:O,2,FALSE)</f>
        <v>ב"ס תיכון-משכורת</v>
      </c>
      <c r="C726" s="42">
        <v>303104731</v>
      </c>
      <c r="D726" s="42" t="s">
        <v>1773</v>
      </c>
      <c r="E726" s="42" t="s">
        <v>438</v>
      </c>
      <c r="F726" s="42">
        <v>815200</v>
      </c>
      <c r="G726" s="48">
        <v>1145</v>
      </c>
      <c r="H726" s="45">
        <v>232602.46</v>
      </c>
      <c r="I726" s="45">
        <f>SUMIFS('שכר 11.2024'!N:N,'שכר 11.2024'!C:C,C:C,'שכר 11.2024'!F:F,F:F)</f>
        <v>20881.63</v>
      </c>
      <c r="J726" s="45">
        <f t="shared" si="40"/>
        <v>253484.09</v>
      </c>
      <c r="K726" s="61">
        <f t="shared" si="41"/>
        <v>1.0349999999999999</v>
      </c>
      <c r="L726" s="45">
        <f t="shared" si="42"/>
        <v>262356.03314999997</v>
      </c>
      <c r="M726" s="45">
        <f t="shared" si="43"/>
        <v>1.040909090909091</v>
      </c>
    </row>
    <row r="727" spans="1:13" outlineLevel="2" x14ac:dyDescent="0.35">
      <c r="A727" s="42">
        <v>1815200110</v>
      </c>
      <c r="B727" s="42" t="str">
        <f>VLOOKUP(A727,'תקציב מפורט 2025'!A:O,2,FALSE)</f>
        <v>ב"ס תיכון-משכורת</v>
      </c>
      <c r="C727" s="42">
        <v>305003634</v>
      </c>
      <c r="D727" s="42" t="s">
        <v>490</v>
      </c>
      <c r="E727" s="42" t="s">
        <v>1774</v>
      </c>
      <c r="F727" s="42">
        <v>815200</v>
      </c>
      <c r="G727" s="48">
        <v>400</v>
      </c>
      <c r="H727" s="45">
        <v>45157.24</v>
      </c>
      <c r="I727" s="45">
        <f>SUMIFS('שכר 11.2024'!N:N,'שכר 11.2024'!C:C,C:C,'שכר 11.2024'!F:F,F:F)</f>
        <v>0</v>
      </c>
      <c r="J727" s="45">
        <f t="shared" si="40"/>
        <v>45157.24</v>
      </c>
      <c r="K727" s="61">
        <f t="shared" si="41"/>
        <v>1.0349999999999999</v>
      </c>
      <c r="L727" s="45">
        <f t="shared" si="42"/>
        <v>46737.743399999992</v>
      </c>
      <c r="M727" s="45">
        <f t="shared" si="43"/>
        <v>0.36363636363636365</v>
      </c>
    </row>
    <row r="728" spans="1:13" outlineLevel="2" x14ac:dyDescent="0.35">
      <c r="A728" s="42">
        <v>1815200110</v>
      </c>
      <c r="B728" s="42" t="str">
        <f>VLOOKUP(A728,'תקציב מפורט 2025'!A:O,2,FALSE)</f>
        <v>ב"ס תיכון-משכורת</v>
      </c>
      <c r="C728" s="42">
        <v>308181072</v>
      </c>
      <c r="D728" s="42" t="s">
        <v>434</v>
      </c>
      <c r="E728" s="42" t="s">
        <v>507</v>
      </c>
      <c r="F728" s="42">
        <v>815200</v>
      </c>
      <c r="G728" s="48">
        <v>890</v>
      </c>
      <c r="H728" s="45">
        <v>178932.03</v>
      </c>
      <c r="I728" s="45">
        <f>SUMIFS('שכר 11.2024'!N:N,'שכר 11.2024'!C:C,C:C,'שכר 11.2024'!F:F,F:F)</f>
        <v>12491</v>
      </c>
      <c r="J728" s="45">
        <f t="shared" si="40"/>
        <v>191423.03</v>
      </c>
      <c r="K728" s="61">
        <f t="shared" si="41"/>
        <v>1.0349999999999999</v>
      </c>
      <c r="L728" s="45">
        <f t="shared" si="42"/>
        <v>198122.83604999998</v>
      </c>
      <c r="M728" s="45">
        <f t="shared" si="43"/>
        <v>0.80909090909090908</v>
      </c>
    </row>
    <row r="729" spans="1:13" outlineLevel="2" x14ac:dyDescent="0.35">
      <c r="A729" s="42">
        <v>1815200110</v>
      </c>
      <c r="B729" s="42" t="str">
        <f>VLOOKUP(A729,'תקציב מפורט 2025'!A:O,2,FALSE)</f>
        <v>ב"ס תיכון-משכורת</v>
      </c>
      <c r="C729" s="42">
        <v>308182351</v>
      </c>
      <c r="D729" s="42" t="s">
        <v>1775</v>
      </c>
      <c r="E729" s="42" t="s">
        <v>949</v>
      </c>
      <c r="F729" s="42">
        <v>815200</v>
      </c>
      <c r="G729" s="48">
        <v>518.29999999999995</v>
      </c>
      <c r="H729" s="45">
        <v>106010.82</v>
      </c>
      <c r="I729" s="45">
        <f>SUMIFS('שכר 11.2024'!N:N,'שכר 11.2024'!C:C,C:C,'שכר 11.2024'!F:F,F:F)</f>
        <v>11506.06</v>
      </c>
      <c r="J729" s="45">
        <f t="shared" si="40"/>
        <v>117516.88</v>
      </c>
      <c r="K729" s="61">
        <f t="shared" si="41"/>
        <v>1.0349999999999999</v>
      </c>
      <c r="L729" s="45">
        <f t="shared" si="42"/>
        <v>121629.9708</v>
      </c>
      <c r="M729" s="45">
        <f t="shared" si="43"/>
        <v>0.47118181818181815</v>
      </c>
    </row>
    <row r="730" spans="1:13" outlineLevel="2" x14ac:dyDescent="0.35">
      <c r="A730" s="42">
        <v>1815200110</v>
      </c>
      <c r="B730" s="42" t="str">
        <f>VLOOKUP(A730,'תקציב מפורט 2025'!A:O,2,FALSE)</f>
        <v>ב"ס תיכון-משכורת</v>
      </c>
      <c r="C730" s="42">
        <v>308450030</v>
      </c>
      <c r="D730" s="42" t="s">
        <v>516</v>
      </c>
      <c r="E730" s="42" t="s">
        <v>1776</v>
      </c>
      <c r="F730" s="42">
        <v>815200</v>
      </c>
      <c r="G730" s="48">
        <v>729.6</v>
      </c>
      <c r="H730" s="45">
        <v>117771.41</v>
      </c>
      <c r="I730" s="45">
        <f>SUMIFS('שכר 11.2024'!N:N,'שכר 11.2024'!C:C,C:C,'שכר 11.2024'!F:F,F:F)</f>
        <v>9771.33</v>
      </c>
      <c r="J730" s="45">
        <f t="shared" si="40"/>
        <v>127542.74</v>
      </c>
      <c r="K730" s="61">
        <f t="shared" si="41"/>
        <v>1.0349999999999999</v>
      </c>
      <c r="L730" s="45">
        <f t="shared" si="42"/>
        <v>132006.7359</v>
      </c>
      <c r="M730" s="45">
        <f t="shared" si="43"/>
        <v>0.66327272727272735</v>
      </c>
    </row>
    <row r="731" spans="1:13" outlineLevel="2" x14ac:dyDescent="0.35">
      <c r="A731" s="42">
        <v>1815200110</v>
      </c>
      <c r="B731" s="42" t="str">
        <f>VLOOKUP(A731,'תקציב מפורט 2025'!A:O,2,FALSE)</f>
        <v>ב"ס תיכון-משכורת</v>
      </c>
      <c r="C731" s="42">
        <v>308499037</v>
      </c>
      <c r="D731" s="42" t="s">
        <v>1777</v>
      </c>
      <c r="E731" s="42" t="s">
        <v>583</v>
      </c>
      <c r="F731" s="42">
        <v>815200</v>
      </c>
      <c r="G731" s="48">
        <v>728.6</v>
      </c>
      <c r="H731" s="45">
        <v>88934.64</v>
      </c>
      <c r="I731" s="45">
        <f>SUMIFS('שכר 11.2024'!N:N,'שכר 11.2024'!C:C,C:C,'שכר 11.2024'!F:F,F:F)</f>
        <v>7887.96</v>
      </c>
      <c r="J731" s="45">
        <f t="shared" si="40"/>
        <v>96822.6</v>
      </c>
      <c r="K731" s="61">
        <f t="shared" si="41"/>
        <v>1.0349999999999999</v>
      </c>
      <c r="L731" s="45">
        <f t="shared" si="42"/>
        <v>100211.391</v>
      </c>
      <c r="M731" s="45">
        <f t="shared" si="43"/>
        <v>0.66236363636363638</v>
      </c>
    </row>
    <row r="732" spans="1:13" outlineLevel="2" x14ac:dyDescent="0.35">
      <c r="A732" s="42">
        <v>1815200110</v>
      </c>
      <c r="B732" s="42" t="str">
        <f>VLOOKUP(A732,'תקציב מפורט 2025'!A:O,2,FALSE)</f>
        <v>ב"ס תיכון-משכורת</v>
      </c>
      <c r="C732" s="42">
        <v>310071931</v>
      </c>
      <c r="D732" s="42" t="s">
        <v>889</v>
      </c>
      <c r="E732" s="42" t="s">
        <v>858</v>
      </c>
      <c r="F732" s="42">
        <v>815200</v>
      </c>
      <c r="G732" s="48">
        <v>529</v>
      </c>
      <c r="H732" s="45">
        <v>160016.04999999999</v>
      </c>
      <c r="I732" s="45">
        <f>SUMIFS('שכר 11.2024'!N:N,'שכר 11.2024'!C:C,C:C,'שכר 11.2024'!F:F,F:F)</f>
        <v>12297.8</v>
      </c>
      <c r="J732" s="45">
        <f t="shared" si="40"/>
        <v>172313.84999999998</v>
      </c>
      <c r="K732" s="61">
        <f t="shared" si="41"/>
        <v>1.0349999999999999</v>
      </c>
      <c r="L732" s="45">
        <f t="shared" si="42"/>
        <v>178344.83474999995</v>
      </c>
      <c r="M732" s="45">
        <f t="shared" si="43"/>
        <v>0.4809090909090909</v>
      </c>
    </row>
    <row r="733" spans="1:13" outlineLevel="2" x14ac:dyDescent="0.35">
      <c r="A733" s="42">
        <v>1815200110</v>
      </c>
      <c r="B733" s="42" t="str">
        <f>VLOOKUP(A733,'תקציב מפורט 2025'!A:O,2,FALSE)</f>
        <v>ב"ס תיכון-משכורת</v>
      </c>
      <c r="C733" s="42">
        <v>312394141</v>
      </c>
      <c r="D733" s="42" t="s">
        <v>434</v>
      </c>
      <c r="E733" s="42" t="s">
        <v>890</v>
      </c>
      <c r="F733" s="42">
        <v>815200</v>
      </c>
      <c r="G733" s="48">
        <v>1057.8</v>
      </c>
      <c r="H733" s="45">
        <v>184342.71</v>
      </c>
      <c r="I733" s="45">
        <f>SUMIFS('שכר 11.2024'!N:N,'שכר 11.2024'!C:C,C:C,'שכר 11.2024'!F:F,F:F)</f>
        <v>17002.75</v>
      </c>
      <c r="J733" s="45">
        <f t="shared" si="40"/>
        <v>201345.46</v>
      </c>
      <c r="K733" s="61">
        <f t="shared" si="41"/>
        <v>1.0349999999999999</v>
      </c>
      <c r="L733" s="45">
        <f t="shared" si="42"/>
        <v>208392.55109999998</v>
      </c>
      <c r="M733" s="45">
        <f t="shared" si="43"/>
        <v>0.96163636363636362</v>
      </c>
    </row>
    <row r="734" spans="1:13" outlineLevel="2" x14ac:dyDescent="0.35">
      <c r="A734" s="42">
        <v>1815200110</v>
      </c>
      <c r="B734" s="42" t="str">
        <f>VLOOKUP(A734,'תקציב מפורט 2025'!A:O,2,FALSE)</f>
        <v>ב"ס תיכון-משכורת</v>
      </c>
      <c r="C734" s="42">
        <v>312440555</v>
      </c>
      <c r="D734" s="42" t="s">
        <v>891</v>
      </c>
      <c r="E734" s="42" t="s">
        <v>496</v>
      </c>
      <c r="F734" s="42">
        <v>815200</v>
      </c>
      <c r="G734" s="48">
        <v>1123.9000000000001</v>
      </c>
      <c r="H734" s="45">
        <v>195941.81</v>
      </c>
      <c r="I734" s="45">
        <f>SUMIFS('שכר 11.2024'!N:N,'שכר 11.2024'!C:C,C:C,'שכר 11.2024'!F:F,F:F)</f>
        <v>17993.099999999999</v>
      </c>
      <c r="J734" s="45">
        <f t="shared" si="40"/>
        <v>213934.91</v>
      </c>
      <c r="K734" s="61">
        <f t="shared" si="41"/>
        <v>1.0349999999999999</v>
      </c>
      <c r="L734" s="45">
        <f t="shared" si="42"/>
        <v>221422.63184999998</v>
      </c>
      <c r="M734" s="45">
        <f t="shared" si="43"/>
        <v>1.0217272727272728</v>
      </c>
    </row>
    <row r="735" spans="1:13" outlineLevel="2" x14ac:dyDescent="0.35">
      <c r="A735" s="42">
        <v>1815200110</v>
      </c>
      <c r="B735" s="42" t="str">
        <f>VLOOKUP(A735,'תקציב מפורט 2025'!A:O,2,FALSE)</f>
        <v>ב"ס תיכון-משכורת</v>
      </c>
      <c r="C735" s="42">
        <v>312479645</v>
      </c>
      <c r="D735" s="42" t="s">
        <v>1778</v>
      </c>
      <c r="E735" s="42" t="s">
        <v>1779</v>
      </c>
      <c r="F735" s="42">
        <v>815200</v>
      </c>
      <c r="G735" s="48">
        <v>1095.9000000000001</v>
      </c>
      <c r="H735" s="45">
        <v>202857.03</v>
      </c>
      <c r="I735" s="45">
        <f>SUMIFS('שכר 11.2024'!N:N,'שכר 11.2024'!C:C,C:C,'שכר 11.2024'!F:F,F:F)</f>
        <v>18504.63</v>
      </c>
      <c r="J735" s="45">
        <f t="shared" si="40"/>
        <v>221361.66</v>
      </c>
      <c r="K735" s="61">
        <f t="shared" si="41"/>
        <v>1.0349999999999999</v>
      </c>
      <c r="L735" s="45">
        <f t="shared" si="42"/>
        <v>229109.31809999997</v>
      </c>
      <c r="M735" s="45">
        <f t="shared" si="43"/>
        <v>0.99627272727272731</v>
      </c>
    </row>
    <row r="736" spans="1:13" outlineLevel="2" x14ac:dyDescent="0.35">
      <c r="A736" s="42">
        <v>1815200110</v>
      </c>
      <c r="B736" s="42" t="str">
        <f>VLOOKUP(A736,'תקציב מפורט 2025'!A:O,2,FALSE)</f>
        <v>ב"ס תיכון-משכורת</v>
      </c>
      <c r="C736" s="42">
        <v>314057449</v>
      </c>
      <c r="D736" s="42" t="s">
        <v>892</v>
      </c>
      <c r="E736" s="42" t="s">
        <v>893</v>
      </c>
      <c r="F736" s="42">
        <v>815200</v>
      </c>
      <c r="G736" s="48">
        <v>1043.5999999999999</v>
      </c>
      <c r="H736" s="45">
        <v>176819.01</v>
      </c>
      <c r="I736" s="45">
        <f>SUMIFS('שכר 11.2024'!N:N,'שכר 11.2024'!C:C,C:C,'שכר 11.2024'!F:F,F:F)</f>
        <v>15140.76</v>
      </c>
      <c r="J736" s="45">
        <f t="shared" si="40"/>
        <v>191959.77000000002</v>
      </c>
      <c r="K736" s="61">
        <f t="shared" si="41"/>
        <v>1.0349999999999999</v>
      </c>
      <c r="L736" s="45">
        <f t="shared" si="42"/>
        <v>198678.36194999999</v>
      </c>
      <c r="M736" s="45">
        <f t="shared" si="43"/>
        <v>0.94872727272727264</v>
      </c>
    </row>
    <row r="737" spans="1:13" outlineLevel="2" x14ac:dyDescent="0.35">
      <c r="A737" s="42">
        <v>1815200110</v>
      </c>
      <c r="B737" s="42" t="str">
        <f>VLOOKUP(A737,'תקציב מפורט 2025'!A:O,2,FALSE)</f>
        <v>ב"ס תיכון-משכורת</v>
      </c>
      <c r="C737" s="42">
        <v>314641572</v>
      </c>
      <c r="D737" s="42" t="s">
        <v>490</v>
      </c>
      <c r="E737" s="42" t="s">
        <v>1780</v>
      </c>
      <c r="F737" s="42">
        <v>815200</v>
      </c>
      <c r="G737" s="48">
        <v>329.6</v>
      </c>
      <c r="H737" s="45">
        <v>60026.94</v>
      </c>
      <c r="I737" s="45">
        <f>SUMIFS('שכר 11.2024'!N:N,'שכר 11.2024'!C:C,C:C,'שכר 11.2024'!F:F,F:F)</f>
        <v>4141.54</v>
      </c>
      <c r="J737" s="45">
        <f t="shared" si="40"/>
        <v>64168.480000000003</v>
      </c>
      <c r="K737" s="61">
        <f t="shared" si="41"/>
        <v>1.0349999999999999</v>
      </c>
      <c r="L737" s="45">
        <f t="shared" si="42"/>
        <v>66414.376799999998</v>
      </c>
      <c r="M737" s="45">
        <f t="shared" si="43"/>
        <v>0.29963636363636365</v>
      </c>
    </row>
    <row r="738" spans="1:13" outlineLevel="2" x14ac:dyDescent="0.35">
      <c r="A738" s="42">
        <v>1815200110</v>
      </c>
      <c r="B738" s="42" t="str">
        <f>VLOOKUP(A738,'תקציב מפורט 2025'!A:O,2,FALSE)</f>
        <v>ב"ס תיכון-משכורת</v>
      </c>
      <c r="C738" s="42">
        <v>315047373</v>
      </c>
      <c r="D738" s="42" t="s">
        <v>526</v>
      </c>
      <c r="E738" s="42" t="s">
        <v>842</v>
      </c>
      <c r="F738" s="42">
        <v>815200</v>
      </c>
      <c r="G738" s="48">
        <v>721.4</v>
      </c>
      <c r="H738" s="45">
        <v>133807.54</v>
      </c>
      <c r="I738" s="45">
        <f>SUMIFS('שכר 11.2024'!N:N,'שכר 11.2024'!C:C,C:C,'שכר 11.2024'!F:F,F:F)</f>
        <v>15876.05</v>
      </c>
      <c r="J738" s="45">
        <f t="shared" si="40"/>
        <v>149683.59</v>
      </c>
      <c r="K738" s="61">
        <f t="shared" si="41"/>
        <v>1.0349999999999999</v>
      </c>
      <c r="L738" s="45">
        <f t="shared" si="42"/>
        <v>154922.51564999999</v>
      </c>
      <c r="M738" s="45">
        <f t="shared" si="43"/>
        <v>0.65581818181818174</v>
      </c>
    </row>
    <row r="739" spans="1:13" outlineLevel="2" x14ac:dyDescent="0.35">
      <c r="A739" s="42">
        <v>1815200110</v>
      </c>
      <c r="B739" s="42" t="str">
        <f>VLOOKUP(A739,'תקציב מפורט 2025'!A:O,2,FALSE)</f>
        <v>ב"ס תיכון-משכורת</v>
      </c>
      <c r="C739" s="42">
        <v>315204081</v>
      </c>
      <c r="D739" s="42" t="s">
        <v>1781</v>
      </c>
      <c r="E739" s="42" t="s">
        <v>885</v>
      </c>
      <c r="F739" s="42">
        <v>815200</v>
      </c>
      <c r="G739" s="48">
        <v>807.7</v>
      </c>
      <c r="H739" s="45">
        <v>84784.3</v>
      </c>
      <c r="I739" s="45">
        <f>SUMIFS('שכר 11.2024'!N:N,'שכר 11.2024'!C:C,C:C,'שכר 11.2024'!F:F,F:F)</f>
        <v>6748.58</v>
      </c>
      <c r="J739" s="45">
        <f t="shared" si="40"/>
        <v>91532.88</v>
      </c>
      <c r="K739" s="61">
        <f t="shared" si="41"/>
        <v>1.0349999999999999</v>
      </c>
      <c r="L739" s="45">
        <f t="shared" si="42"/>
        <v>94736.530799999993</v>
      </c>
      <c r="M739" s="45">
        <f t="shared" si="43"/>
        <v>0.7342727272727273</v>
      </c>
    </row>
    <row r="740" spans="1:13" outlineLevel="2" x14ac:dyDescent="0.35">
      <c r="A740" s="42">
        <v>1815200110</v>
      </c>
      <c r="B740" s="42" t="str">
        <f>VLOOKUP(A740,'תקציב מפורט 2025'!A:O,2,FALSE)</f>
        <v>ב"ס תיכון-משכורת</v>
      </c>
      <c r="C740" s="42">
        <v>316250372</v>
      </c>
      <c r="D740" s="42" t="s">
        <v>472</v>
      </c>
      <c r="E740" s="42" t="s">
        <v>1782</v>
      </c>
      <c r="F740" s="42">
        <v>815200</v>
      </c>
      <c r="G740" s="48">
        <v>847.9</v>
      </c>
      <c r="H740" s="45">
        <v>166946.20000000001</v>
      </c>
      <c r="I740" s="45">
        <f>SUMIFS('שכר 11.2024'!N:N,'שכר 11.2024'!C:C,C:C,'שכר 11.2024'!F:F,F:F)</f>
        <v>23941.919999999998</v>
      </c>
      <c r="J740" s="45">
        <f t="shared" si="40"/>
        <v>190888.12</v>
      </c>
      <c r="K740" s="61">
        <f t="shared" si="41"/>
        <v>1.0349999999999999</v>
      </c>
      <c r="L740" s="45">
        <f t="shared" si="42"/>
        <v>197569.20419999998</v>
      </c>
      <c r="M740" s="45">
        <f t="shared" si="43"/>
        <v>0.77081818181818185</v>
      </c>
    </row>
    <row r="741" spans="1:13" outlineLevel="2" x14ac:dyDescent="0.35">
      <c r="A741" s="42">
        <v>1815200110</v>
      </c>
      <c r="B741" s="42" t="str">
        <f>VLOOKUP(A741,'תקציב מפורט 2025'!A:O,2,FALSE)</f>
        <v>ב"ס תיכון-משכורת</v>
      </c>
      <c r="C741" s="42">
        <v>318977899</v>
      </c>
      <c r="D741" s="42" t="s">
        <v>1783</v>
      </c>
      <c r="E741" s="42" t="s">
        <v>1784</v>
      </c>
      <c r="F741" s="42">
        <v>815200</v>
      </c>
      <c r="G741" s="48">
        <v>458.3</v>
      </c>
      <c r="H741" s="45">
        <v>55450.559999999998</v>
      </c>
      <c r="I741" s="45">
        <f>SUMIFS('שכר 11.2024'!N:N,'שכר 11.2024'!C:C,C:C,'שכר 11.2024'!F:F,F:F)</f>
        <v>8483.07</v>
      </c>
      <c r="J741" s="45">
        <f t="shared" si="40"/>
        <v>63933.63</v>
      </c>
      <c r="K741" s="61">
        <f t="shared" si="41"/>
        <v>1.0349999999999999</v>
      </c>
      <c r="L741" s="45">
        <f t="shared" si="42"/>
        <v>66171.307049999989</v>
      </c>
      <c r="M741" s="45">
        <f t="shared" si="43"/>
        <v>0.41663636363636364</v>
      </c>
    </row>
    <row r="742" spans="1:13" outlineLevel="2" x14ac:dyDescent="0.35">
      <c r="A742" s="42">
        <v>1815200110</v>
      </c>
      <c r="B742" s="42" t="str">
        <f>VLOOKUP(A742,'תקציב מפורט 2025'!A:O,2,FALSE)</f>
        <v>ב"ס תיכון-משכורת</v>
      </c>
      <c r="C742" s="42">
        <v>323729020</v>
      </c>
      <c r="D742" s="42" t="s">
        <v>1785</v>
      </c>
      <c r="E742" s="42" t="s">
        <v>908</v>
      </c>
      <c r="F742" s="42">
        <v>815200</v>
      </c>
      <c r="G742" s="48">
        <v>1100</v>
      </c>
      <c r="H742" s="45">
        <v>212090.25</v>
      </c>
      <c r="I742" s="45">
        <f>SUMIFS('שכר 11.2024'!N:N,'שכר 11.2024'!C:C,C:C,'שכר 11.2024'!F:F,F:F)</f>
        <v>20176.3</v>
      </c>
      <c r="J742" s="45">
        <f t="shared" si="40"/>
        <v>232266.55</v>
      </c>
      <c r="K742" s="61">
        <f t="shared" si="41"/>
        <v>1.0349999999999999</v>
      </c>
      <c r="L742" s="45">
        <f t="shared" si="42"/>
        <v>240395.87924999997</v>
      </c>
      <c r="M742" s="45">
        <f t="shared" si="43"/>
        <v>1</v>
      </c>
    </row>
    <row r="743" spans="1:13" outlineLevel="2" x14ac:dyDescent="0.35">
      <c r="A743" s="42">
        <v>1815200110</v>
      </c>
      <c r="B743" s="42" t="str">
        <f>VLOOKUP(A743,'תקציב מפורט 2025'!A:O,2,FALSE)</f>
        <v>ב"ס תיכון-משכורת</v>
      </c>
      <c r="C743" s="42">
        <v>26180190</v>
      </c>
      <c r="D743" s="42" t="s">
        <v>442</v>
      </c>
      <c r="E743" s="42" t="s">
        <v>435</v>
      </c>
      <c r="F743" s="42">
        <v>815210</v>
      </c>
      <c r="G743" s="48">
        <v>1100</v>
      </c>
      <c r="H743" s="45">
        <v>135040.89000000001</v>
      </c>
      <c r="I743" s="45">
        <f>SUMIFS('שכר 11.2024'!N:N,'שכר 11.2024'!C:C,C:C,'שכר 11.2024'!F:F,F:F)</f>
        <v>13507.78</v>
      </c>
      <c r="J743" s="45">
        <f t="shared" si="40"/>
        <v>148548.67000000001</v>
      </c>
      <c r="K743" s="61">
        <f t="shared" si="41"/>
        <v>1.0349999999999999</v>
      </c>
      <c r="L743" s="45">
        <f t="shared" si="42"/>
        <v>153747.87345000001</v>
      </c>
      <c r="M743" s="45">
        <f t="shared" si="43"/>
        <v>1</v>
      </c>
    </row>
    <row r="744" spans="1:13" outlineLevel="2" x14ac:dyDescent="0.35">
      <c r="A744" s="42">
        <v>1815200110</v>
      </c>
      <c r="B744" s="42" t="str">
        <f>VLOOKUP(A744,'תקציב מפורט 2025'!A:O,2,FALSE)</f>
        <v>ב"ס תיכון-משכורת</v>
      </c>
      <c r="C744" s="42">
        <v>58940172</v>
      </c>
      <c r="D744" s="42" t="s">
        <v>434</v>
      </c>
      <c r="E744" s="42" t="s">
        <v>459</v>
      </c>
      <c r="F744" s="42">
        <v>815210</v>
      </c>
      <c r="G744" s="48">
        <v>1100</v>
      </c>
      <c r="H744" s="45">
        <v>194384.89</v>
      </c>
      <c r="I744" s="45">
        <f>SUMIFS('שכר 11.2024'!N:N,'שכר 11.2024'!C:C,C:C,'שכר 11.2024'!F:F,F:F)</f>
        <v>15838.85</v>
      </c>
      <c r="J744" s="45">
        <f t="shared" ref="J744:J815" si="44">H744+I744</f>
        <v>210223.74000000002</v>
      </c>
      <c r="K744" s="61">
        <f t="shared" ref="K744:K815" si="45">3.5/100+1</f>
        <v>1.0349999999999999</v>
      </c>
      <c r="L744" s="45">
        <f t="shared" ref="L744:L815" si="46">J744*K744</f>
        <v>217581.57089999999</v>
      </c>
      <c r="M744" s="45">
        <f t="shared" ref="M744:M815" si="47">G744/1100</f>
        <v>1</v>
      </c>
    </row>
    <row r="745" spans="1:13" outlineLevel="1" x14ac:dyDescent="0.35">
      <c r="A745" s="63" t="s">
        <v>2019</v>
      </c>
      <c r="B745" s="63"/>
      <c r="C745" s="63"/>
      <c r="D745" s="63"/>
      <c r="E745" s="63"/>
      <c r="F745" s="63"/>
      <c r="G745" s="73">
        <f>SUBTOTAL(9,G663:G744)</f>
        <v>71912.699999999968</v>
      </c>
      <c r="H745" s="64">
        <f>SUBTOTAL(9,H663:H744)</f>
        <v>14721590.969999999</v>
      </c>
      <c r="I745" s="64">
        <f>SUBTOTAL(9,I663:I744)</f>
        <v>1381083.4400000002</v>
      </c>
      <c r="J745" s="64">
        <f>SUBTOTAL(9,J663:J744)</f>
        <v>16102674.409999993</v>
      </c>
      <c r="K745" s="65"/>
      <c r="L745" s="64">
        <f>SUBTOTAL(9,L663:L744)</f>
        <v>16666268.014350004</v>
      </c>
      <c r="M745" s="64">
        <f>SUBTOTAL(9,M663:M744)</f>
        <v>65.375181818181829</v>
      </c>
    </row>
    <row r="746" spans="1:13" outlineLevel="2" x14ac:dyDescent="0.35">
      <c r="A746" s="42">
        <v>1815220110</v>
      </c>
      <c r="B746" s="42" t="str">
        <f>VLOOKUP(A746,'תקציב מפורט 2025'!A:O,2,FALSE)</f>
        <v>שכר דוקאטוס</v>
      </c>
      <c r="C746" s="42">
        <v>21557533</v>
      </c>
      <c r="D746" s="42" t="s">
        <v>1747</v>
      </c>
      <c r="E746" s="42" t="s">
        <v>443</v>
      </c>
      <c r="F746" s="42">
        <v>815220</v>
      </c>
      <c r="G746" s="48">
        <v>0</v>
      </c>
      <c r="H746" s="45">
        <v>41059.07</v>
      </c>
      <c r="I746" s="45">
        <f>SUMIFS('שכר 11.2024'!N:N,'שכר 11.2024'!C:C,C:C,'שכר 11.2024'!F:F,F:F)</f>
        <v>4286.34</v>
      </c>
      <c r="J746" s="45">
        <f t="shared" si="44"/>
        <v>45345.41</v>
      </c>
      <c r="K746" s="61">
        <f t="shared" si="45"/>
        <v>1.0349999999999999</v>
      </c>
      <c r="L746" s="45">
        <f t="shared" si="46"/>
        <v>46932.499349999998</v>
      </c>
      <c r="M746" s="45">
        <f t="shared" si="47"/>
        <v>0</v>
      </c>
    </row>
    <row r="747" spans="1:13" outlineLevel="2" x14ac:dyDescent="0.35">
      <c r="A747" s="42">
        <v>1815220110</v>
      </c>
      <c r="B747" s="42" t="str">
        <f>VLOOKUP(A747,'תקציב מפורט 2025'!A:O,2,FALSE)</f>
        <v>שכר דוקאטוס</v>
      </c>
      <c r="C747" s="42">
        <v>26444117</v>
      </c>
      <c r="D747" s="42" t="s">
        <v>434</v>
      </c>
      <c r="E747" s="42" t="s">
        <v>1748</v>
      </c>
      <c r="F747" s="42">
        <v>815220</v>
      </c>
      <c r="G747" s="48">
        <v>0</v>
      </c>
      <c r="H747" s="45">
        <v>2820.66</v>
      </c>
      <c r="I747" s="45">
        <f>SUMIFS('שכר 11.2024'!N:N,'שכר 11.2024'!C:C,C:C,'שכר 11.2024'!F:F,F:F)</f>
        <v>0</v>
      </c>
      <c r="J747" s="45">
        <f t="shared" si="44"/>
        <v>2820.66</v>
      </c>
      <c r="K747" s="61">
        <f t="shared" si="45"/>
        <v>1.0349999999999999</v>
      </c>
      <c r="L747" s="45">
        <f t="shared" si="46"/>
        <v>2919.3830999999996</v>
      </c>
      <c r="M747" s="45">
        <f t="shared" si="47"/>
        <v>0</v>
      </c>
    </row>
    <row r="748" spans="1:13" outlineLevel="2" x14ac:dyDescent="0.35">
      <c r="A748" s="42">
        <v>1815220110</v>
      </c>
      <c r="B748" s="42" t="str">
        <f>VLOOKUP(A748,'תקציב מפורט 2025'!A:O,2,FALSE)</f>
        <v>שכר דוקאטוס</v>
      </c>
      <c r="C748" s="42">
        <v>33088238</v>
      </c>
      <c r="D748" s="42" t="s">
        <v>535</v>
      </c>
      <c r="E748" s="42" t="s">
        <v>534</v>
      </c>
      <c r="F748" s="42">
        <v>815220</v>
      </c>
      <c r="G748" s="48">
        <v>0</v>
      </c>
      <c r="H748" s="45">
        <v>2890.73</v>
      </c>
      <c r="I748" s="45">
        <f>SUMIFS('שכר 11.2024'!N:N,'שכר 11.2024'!C:C,C:C,'שכר 11.2024'!F:F,F:F)</f>
        <v>0</v>
      </c>
      <c r="J748" s="45">
        <f t="shared" si="44"/>
        <v>2890.73</v>
      </c>
      <c r="K748" s="61">
        <f t="shared" si="45"/>
        <v>1.0349999999999999</v>
      </c>
      <c r="L748" s="45">
        <f t="shared" si="46"/>
        <v>2991.9055499999999</v>
      </c>
      <c r="M748" s="45">
        <f t="shared" si="47"/>
        <v>0</v>
      </c>
    </row>
    <row r="749" spans="1:13" outlineLevel="2" x14ac:dyDescent="0.35">
      <c r="A749" s="42">
        <v>1815220110</v>
      </c>
      <c r="B749" s="42" t="str">
        <f>VLOOKUP(A749,'תקציב מפורט 2025'!A:O,2,FALSE)</f>
        <v>שכר דוקאטוס</v>
      </c>
      <c r="C749" s="42">
        <v>33607490</v>
      </c>
      <c r="D749" s="42" t="s">
        <v>533</v>
      </c>
      <c r="E749" s="42" t="s">
        <v>532</v>
      </c>
      <c r="F749" s="42">
        <v>815220</v>
      </c>
      <c r="G749" s="48">
        <v>0</v>
      </c>
      <c r="H749" s="45">
        <v>1423.32</v>
      </c>
      <c r="I749" s="45">
        <f>SUMIFS('שכר 11.2024'!N:N,'שכר 11.2024'!C:C,C:C,'שכר 11.2024'!F:F,F:F)</f>
        <v>0</v>
      </c>
      <c r="J749" s="45">
        <f t="shared" si="44"/>
        <v>1423.32</v>
      </c>
      <c r="K749" s="61">
        <f t="shared" si="45"/>
        <v>1.0349999999999999</v>
      </c>
      <c r="L749" s="45">
        <f t="shared" si="46"/>
        <v>1473.1361999999999</v>
      </c>
      <c r="M749" s="45">
        <f t="shared" si="47"/>
        <v>0</v>
      </c>
    </row>
    <row r="750" spans="1:13" outlineLevel="2" x14ac:dyDescent="0.35">
      <c r="A750" s="42">
        <v>1815220110</v>
      </c>
      <c r="B750" s="42" t="str">
        <f>VLOOKUP(A750,'תקציב מפורט 2025'!A:O,2,FALSE)</f>
        <v>שכר דוקאטוס</v>
      </c>
      <c r="C750" s="42">
        <v>33982273</v>
      </c>
      <c r="D750" s="42" t="s">
        <v>528</v>
      </c>
      <c r="E750" s="42" t="s">
        <v>527</v>
      </c>
      <c r="F750" s="42">
        <v>815220</v>
      </c>
      <c r="G750" s="48">
        <v>0</v>
      </c>
      <c r="H750" s="45">
        <v>2868.86</v>
      </c>
      <c r="I750" s="45">
        <f>SUMIFS('שכר 11.2024'!N:N,'שכר 11.2024'!C:C,C:C,'שכר 11.2024'!F:F,F:F)</f>
        <v>0</v>
      </c>
      <c r="J750" s="45">
        <f t="shared" si="44"/>
        <v>2868.86</v>
      </c>
      <c r="K750" s="61">
        <f t="shared" si="45"/>
        <v>1.0349999999999999</v>
      </c>
      <c r="L750" s="45">
        <f t="shared" si="46"/>
        <v>2969.2700999999997</v>
      </c>
      <c r="M750" s="45">
        <f t="shared" si="47"/>
        <v>0</v>
      </c>
    </row>
    <row r="751" spans="1:13" outlineLevel="2" x14ac:dyDescent="0.35">
      <c r="A751" s="42">
        <v>1815220110</v>
      </c>
      <c r="B751" s="42" t="str">
        <f>VLOOKUP(A751,'תקציב מפורט 2025'!A:O,2,FALSE)</f>
        <v>שכר דוקאטוס</v>
      </c>
      <c r="C751" s="42">
        <v>34263491</v>
      </c>
      <c r="D751" s="42" t="s">
        <v>545</v>
      </c>
      <c r="E751" s="42" t="s">
        <v>510</v>
      </c>
      <c r="F751" s="42">
        <v>815220</v>
      </c>
      <c r="G751" s="48">
        <v>0</v>
      </c>
      <c r="H751" s="45">
        <v>2814.94</v>
      </c>
      <c r="I751" s="45">
        <f>SUMIFS('שכר 11.2024'!N:N,'שכר 11.2024'!C:C,C:C,'שכר 11.2024'!F:F,F:F)</f>
        <v>0</v>
      </c>
      <c r="J751" s="45">
        <f t="shared" si="44"/>
        <v>2814.94</v>
      </c>
      <c r="K751" s="61">
        <f t="shared" si="45"/>
        <v>1.0349999999999999</v>
      </c>
      <c r="L751" s="45">
        <f t="shared" si="46"/>
        <v>2913.4629</v>
      </c>
      <c r="M751" s="45">
        <f t="shared" si="47"/>
        <v>0</v>
      </c>
    </row>
    <row r="752" spans="1:13" outlineLevel="2" x14ac:dyDescent="0.35">
      <c r="A752" s="42">
        <v>1815220110</v>
      </c>
      <c r="B752" s="42" t="str">
        <f>VLOOKUP(A752,'תקציב מפורט 2025'!A:O,2,FALSE)</f>
        <v>שכר דוקאטוס</v>
      </c>
      <c r="C752" s="42">
        <v>34834218</v>
      </c>
      <c r="D752" s="42" t="s">
        <v>434</v>
      </c>
      <c r="E752" s="42" t="s">
        <v>948</v>
      </c>
      <c r="F752" s="42">
        <v>815220</v>
      </c>
      <c r="G752" s="48">
        <v>0</v>
      </c>
      <c r="H752" s="45">
        <v>7523.24</v>
      </c>
      <c r="I752" s="45">
        <f>SUMIFS('שכר 11.2024'!N:N,'שכר 11.2024'!C:C,C:C,'שכר 11.2024'!F:F,F:F)</f>
        <v>0</v>
      </c>
      <c r="J752" s="45">
        <f t="shared" si="44"/>
        <v>7523.24</v>
      </c>
      <c r="K752" s="61">
        <f t="shared" si="45"/>
        <v>1.0349999999999999</v>
      </c>
      <c r="L752" s="45">
        <f t="shared" si="46"/>
        <v>7786.5533999999989</v>
      </c>
      <c r="M752" s="45">
        <f t="shared" si="47"/>
        <v>0</v>
      </c>
    </row>
    <row r="753" spans="1:13" outlineLevel="2" x14ac:dyDescent="0.35">
      <c r="A753" s="42">
        <v>1815220110</v>
      </c>
      <c r="B753" s="42" t="str">
        <f>VLOOKUP(A753,'תקציב מפורט 2025'!A:O,2,FALSE)</f>
        <v>שכר דוקאטוס</v>
      </c>
      <c r="C753" s="42">
        <v>36829067</v>
      </c>
      <c r="D753" s="42" t="s">
        <v>1750</v>
      </c>
      <c r="E753" s="42" t="s">
        <v>530</v>
      </c>
      <c r="F753" s="42">
        <v>815220</v>
      </c>
      <c r="G753" s="48">
        <v>0</v>
      </c>
      <c r="H753" s="45">
        <v>4350.76</v>
      </c>
      <c r="I753" s="45">
        <f>SUMIFS('שכר 11.2024'!N:N,'שכר 11.2024'!C:C,C:C,'שכר 11.2024'!F:F,F:F)</f>
        <v>0</v>
      </c>
      <c r="J753" s="45">
        <f t="shared" si="44"/>
        <v>4350.76</v>
      </c>
      <c r="K753" s="61">
        <f t="shared" si="45"/>
        <v>1.0349999999999999</v>
      </c>
      <c r="L753" s="45">
        <f t="shared" si="46"/>
        <v>4503.0365999999995</v>
      </c>
      <c r="M753" s="45">
        <f t="shared" si="47"/>
        <v>0</v>
      </c>
    </row>
    <row r="754" spans="1:13" outlineLevel="2" x14ac:dyDescent="0.35">
      <c r="A754" s="42">
        <v>1815220110</v>
      </c>
      <c r="B754" s="42" t="str">
        <f>VLOOKUP(A754,'תקציב מפורט 2025'!A:O,2,FALSE)</f>
        <v>שכר דוקאטוס</v>
      </c>
      <c r="C754" s="42">
        <v>39513239</v>
      </c>
      <c r="D754" s="42" t="s">
        <v>863</v>
      </c>
      <c r="E754" s="42" t="s">
        <v>864</v>
      </c>
      <c r="F754" s="42">
        <v>815220</v>
      </c>
      <c r="G754" s="48">
        <v>0</v>
      </c>
      <c r="H754" s="45">
        <v>2144.06</v>
      </c>
      <c r="I754" s="45">
        <f>SUMIFS('שכר 11.2024'!N:N,'שכר 11.2024'!C:C,C:C,'שכר 11.2024'!F:F,F:F)</f>
        <v>0</v>
      </c>
      <c r="J754" s="45">
        <f t="shared" si="44"/>
        <v>2144.06</v>
      </c>
      <c r="K754" s="61">
        <f t="shared" si="45"/>
        <v>1.0349999999999999</v>
      </c>
      <c r="L754" s="45">
        <f t="shared" si="46"/>
        <v>2219.1020999999996</v>
      </c>
      <c r="M754" s="45">
        <f t="shared" si="47"/>
        <v>0</v>
      </c>
    </row>
    <row r="755" spans="1:13" outlineLevel="2" x14ac:dyDescent="0.35">
      <c r="A755" s="42">
        <v>1815220110</v>
      </c>
      <c r="B755" s="42" t="str">
        <f>VLOOKUP(A755,'תקציב מפורט 2025'!A:O,2,FALSE)</f>
        <v>שכר דוקאטוס</v>
      </c>
      <c r="C755" s="42">
        <v>40461444</v>
      </c>
      <c r="D755" s="42" t="s">
        <v>515</v>
      </c>
      <c r="E755" s="42" t="s">
        <v>514</v>
      </c>
      <c r="F755" s="42">
        <v>815220</v>
      </c>
      <c r="G755" s="48">
        <v>0</v>
      </c>
      <c r="H755" s="45">
        <v>6342.6</v>
      </c>
      <c r="I755" s="45">
        <f>SUMIFS('שכר 11.2024'!N:N,'שכר 11.2024'!C:C,C:C,'שכר 11.2024'!F:F,F:F)</f>
        <v>0</v>
      </c>
      <c r="J755" s="45">
        <f t="shared" si="44"/>
        <v>6342.6</v>
      </c>
      <c r="K755" s="61">
        <f t="shared" si="45"/>
        <v>1.0349999999999999</v>
      </c>
      <c r="L755" s="45">
        <f t="shared" si="46"/>
        <v>6564.5909999999994</v>
      </c>
      <c r="M755" s="45">
        <f t="shared" si="47"/>
        <v>0</v>
      </c>
    </row>
    <row r="756" spans="1:13" outlineLevel="2" x14ac:dyDescent="0.35">
      <c r="A756" s="42">
        <v>1815220110</v>
      </c>
      <c r="B756" s="42" t="str">
        <f>VLOOKUP(A756,'תקציב מפורט 2025'!A:O,2,FALSE)</f>
        <v>שכר דוקאטוס</v>
      </c>
      <c r="C756" s="42">
        <v>40510414</v>
      </c>
      <c r="D756" s="42" t="s">
        <v>491</v>
      </c>
      <c r="E756" s="42" t="s">
        <v>1748</v>
      </c>
      <c r="F756" s="42">
        <v>815220</v>
      </c>
      <c r="G756" s="48">
        <v>0</v>
      </c>
      <c r="H756" s="45">
        <v>2201.77</v>
      </c>
      <c r="I756" s="45">
        <f>SUMIFS('שכר 11.2024'!N:N,'שכר 11.2024'!C:C,C:C,'שכר 11.2024'!F:F,F:F)</f>
        <v>0</v>
      </c>
      <c r="J756" s="45">
        <f t="shared" si="44"/>
        <v>2201.77</v>
      </c>
      <c r="K756" s="61">
        <f t="shared" si="45"/>
        <v>1.0349999999999999</v>
      </c>
      <c r="L756" s="45">
        <f t="shared" si="46"/>
        <v>2278.8319499999998</v>
      </c>
      <c r="M756" s="45">
        <f t="shared" si="47"/>
        <v>0</v>
      </c>
    </row>
    <row r="757" spans="1:13" outlineLevel="2" x14ac:dyDescent="0.35">
      <c r="A757" s="42">
        <v>1815220110</v>
      </c>
      <c r="B757" s="42" t="str">
        <f>VLOOKUP(A757,'תקציב מפורט 2025'!A:O,2,FALSE)</f>
        <v>שכר דוקאטוס</v>
      </c>
      <c r="C757" s="42">
        <v>40819625</v>
      </c>
      <c r="D757" s="42" t="s">
        <v>495</v>
      </c>
      <c r="E757" s="42" t="s">
        <v>506</v>
      </c>
      <c r="F757" s="42">
        <v>815220</v>
      </c>
      <c r="G757" s="48">
        <v>0</v>
      </c>
      <c r="H757" s="45">
        <v>65060.78</v>
      </c>
      <c r="I757" s="45">
        <f>SUMIFS('שכר 11.2024'!N:N,'שכר 11.2024'!C:C,C:C,'שכר 11.2024'!F:F,F:F)</f>
        <v>0</v>
      </c>
      <c r="J757" s="45">
        <f t="shared" si="44"/>
        <v>65060.78</v>
      </c>
      <c r="K757" s="61">
        <f t="shared" si="45"/>
        <v>1.0349999999999999</v>
      </c>
      <c r="L757" s="45">
        <f t="shared" si="46"/>
        <v>67337.907299999992</v>
      </c>
      <c r="M757" s="45">
        <f t="shared" si="47"/>
        <v>0</v>
      </c>
    </row>
    <row r="758" spans="1:13" outlineLevel="2" x14ac:dyDescent="0.35">
      <c r="A758" s="42">
        <v>1815220110</v>
      </c>
      <c r="B758" s="42" t="str">
        <f>VLOOKUP(A758,'תקציב מפורט 2025'!A:O,2,FALSE)</f>
        <v>שכר דוקאטוס</v>
      </c>
      <c r="C758" s="42">
        <v>40932261</v>
      </c>
      <c r="D758" s="42" t="s">
        <v>1754</v>
      </c>
      <c r="E758" s="42" t="s">
        <v>1755</v>
      </c>
      <c r="F758" s="42">
        <v>815220</v>
      </c>
      <c r="G758" s="48">
        <v>0</v>
      </c>
      <c r="H758" s="45">
        <v>32389.18</v>
      </c>
      <c r="I758" s="45">
        <f>SUMIFS('שכר 11.2024'!N:N,'שכר 11.2024'!C:C,C:C,'שכר 11.2024'!F:F,F:F)</f>
        <v>4306.47</v>
      </c>
      <c r="J758" s="45">
        <f t="shared" si="44"/>
        <v>36695.65</v>
      </c>
      <c r="K758" s="61">
        <f t="shared" si="45"/>
        <v>1.0349999999999999</v>
      </c>
      <c r="L758" s="45">
        <f t="shared" si="46"/>
        <v>37979.997749999995</v>
      </c>
      <c r="M758" s="45">
        <f t="shared" si="47"/>
        <v>0</v>
      </c>
    </row>
    <row r="759" spans="1:13" outlineLevel="2" x14ac:dyDescent="0.35">
      <c r="A759" s="42">
        <v>1815220110</v>
      </c>
      <c r="B759" s="42" t="str">
        <f>VLOOKUP(A759,'תקציב מפורט 2025'!A:O,2,FALSE)</f>
        <v>שכר דוקאטוס</v>
      </c>
      <c r="C759" s="42">
        <v>56918154</v>
      </c>
      <c r="D759" s="42" t="s">
        <v>444</v>
      </c>
      <c r="E759" s="42" t="s">
        <v>460</v>
      </c>
      <c r="F759" s="42">
        <v>815220</v>
      </c>
      <c r="G759" s="48">
        <v>0</v>
      </c>
      <c r="H759" s="45">
        <v>2193.58</v>
      </c>
      <c r="I759" s="45">
        <f>SUMIFS('שכר 11.2024'!N:N,'שכר 11.2024'!C:C,C:C,'שכר 11.2024'!F:F,F:F)</f>
        <v>0</v>
      </c>
      <c r="J759" s="45">
        <f t="shared" si="44"/>
        <v>2193.58</v>
      </c>
      <c r="K759" s="61">
        <f t="shared" si="45"/>
        <v>1.0349999999999999</v>
      </c>
      <c r="L759" s="45">
        <f t="shared" si="46"/>
        <v>2270.3552999999997</v>
      </c>
      <c r="M759" s="45">
        <f t="shared" si="47"/>
        <v>0</v>
      </c>
    </row>
    <row r="760" spans="1:13" outlineLevel="2" x14ac:dyDescent="0.35">
      <c r="A760" s="42">
        <v>1815220110</v>
      </c>
      <c r="B760" s="42" t="str">
        <f>VLOOKUP(A760,'תקציב מפורט 2025'!A:O,2,FALSE)</f>
        <v>שכר דוקאטוס</v>
      </c>
      <c r="C760" s="42">
        <v>66055955</v>
      </c>
      <c r="D760" s="42" t="s">
        <v>866</v>
      </c>
      <c r="E760" s="42" t="s">
        <v>867</v>
      </c>
      <c r="F760" s="42">
        <v>815220</v>
      </c>
      <c r="G760" s="48">
        <v>0</v>
      </c>
      <c r="H760" s="45">
        <v>2157.7800000000002</v>
      </c>
      <c r="I760" s="45">
        <f>SUMIFS('שכר 11.2024'!N:N,'שכר 11.2024'!C:C,C:C,'שכר 11.2024'!F:F,F:F)</f>
        <v>2157.7800000000002</v>
      </c>
      <c r="J760" s="45">
        <f t="shared" si="44"/>
        <v>4315.5600000000004</v>
      </c>
      <c r="K760" s="61">
        <f t="shared" si="45"/>
        <v>1.0349999999999999</v>
      </c>
      <c r="L760" s="45">
        <f t="shared" si="46"/>
        <v>4466.6045999999997</v>
      </c>
      <c r="M760" s="45">
        <f t="shared" si="47"/>
        <v>0</v>
      </c>
    </row>
    <row r="761" spans="1:13" outlineLevel="2" x14ac:dyDescent="0.35">
      <c r="A761" s="42">
        <v>1815220110</v>
      </c>
      <c r="B761" s="42" t="str">
        <f>VLOOKUP(A761,'תקציב מפורט 2025'!A:O,2,FALSE)</f>
        <v>שכר דוקאטוס</v>
      </c>
      <c r="C761" s="42">
        <v>201365350</v>
      </c>
      <c r="D761" s="42" t="s">
        <v>870</v>
      </c>
      <c r="E761" s="42" t="s">
        <v>871</v>
      </c>
      <c r="F761" s="42">
        <v>815220</v>
      </c>
      <c r="G761" s="48">
        <v>0</v>
      </c>
      <c r="H761" s="45">
        <v>4377.21</v>
      </c>
      <c r="I761" s="45">
        <f>SUMIFS('שכר 11.2024'!N:N,'שכר 11.2024'!C:C,C:C,'שכר 11.2024'!F:F,F:F)</f>
        <v>0</v>
      </c>
      <c r="J761" s="45">
        <f t="shared" si="44"/>
        <v>4377.21</v>
      </c>
      <c r="K761" s="61">
        <f t="shared" si="45"/>
        <v>1.0349999999999999</v>
      </c>
      <c r="L761" s="45">
        <f t="shared" si="46"/>
        <v>4530.4123499999996</v>
      </c>
      <c r="M761" s="45">
        <f t="shared" si="47"/>
        <v>0</v>
      </c>
    </row>
    <row r="762" spans="1:13" outlineLevel="2" x14ac:dyDescent="0.35">
      <c r="A762" s="42">
        <v>1815220110</v>
      </c>
      <c r="B762" s="42" t="str">
        <f>VLOOKUP(A762,'תקציב מפורט 2025'!A:O,2,FALSE)</f>
        <v>שכר דוקאטוס</v>
      </c>
      <c r="C762" s="42">
        <v>203603352</v>
      </c>
      <c r="D762" s="42" t="s">
        <v>513</v>
      </c>
      <c r="E762" s="42" t="s">
        <v>872</v>
      </c>
      <c r="F762" s="42">
        <v>815220</v>
      </c>
      <c r="G762" s="48">
        <v>0</v>
      </c>
      <c r="H762" s="45">
        <v>2880.7</v>
      </c>
      <c r="I762" s="45">
        <f>SUMIFS('שכר 11.2024'!N:N,'שכר 11.2024'!C:C,C:C,'שכר 11.2024'!F:F,F:F)</f>
        <v>0</v>
      </c>
      <c r="J762" s="45">
        <f t="shared" si="44"/>
        <v>2880.7</v>
      </c>
      <c r="K762" s="61">
        <f t="shared" si="45"/>
        <v>1.0349999999999999</v>
      </c>
      <c r="L762" s="45">
        <f t="shared" si="46"/>
        <v>2981.5244999999995</v>
      </c>
      <c r="M762" s="45">
        <f t="shared" si="47"/>
        <v>0</v>
      </c>
    </row>
    <row r="763" spans="1:13" outlineLevel="2" x14ac:dyDescent="0.35">
      <c r="A763" s="42">
        <v>1815220110</v>
      </c>
      <c r="B763" s="42" t="str">
        <f>VLOOKUP(A763,'תקציב מפורט 2025'!A:O,2,FALSE)</f>
        <v>שכר דוקאטוס</v>
      </c>
      <c r="C763" s="42">
        <v>204581870</v>
      </c>
      <c r="D763" s="42" t="s">
        <v>442</v>
      </c>
      <c r="E763" s="42" t="s">
        <v>480</v>
      </c>
      <c r="F763" s="42">
        <v>815220</v>
      </c>
      <c r="G763" s="48">
        <v>0</v>
      </c>
      <c r="H763" s="45">
        <v>17152.48</v>
      </c>
      <c r="I763" s="45">
        <f>SUMIFS('שכר 11.2024'!N:N,'שכר 11.2024'!C:C,C:C,'שכר 11.2024'!F:F,F:F)</f>
        <v>0</v>
      </c>
      <c r="J763" s="45">
        <f t="shared" si="44"/>
        <v>17152.48</v>
      </c>
      <c r="K763" s="61">
        <f t="shared" si="45"/>
        <v>1.0349999999999999</v>
      </c>
      <c r="L763" s="45">
        <f t="shared" si="46"/>
        <v>17752.816799999997</v>
      </c>
      <c r="M763" s="45">
        <f t="shared" si="47"/>
        <v>0</v>
      </c>
    </row>
    <row r="764" spans="1:13" outlineLevel="2" x14ac:dyDescent="0.35">
      <c r="A764" s="42">
        <v>1815220110</v>
      </c>
      <c r="B764" s="42" t="str">
        <f>VLOOKUP(A764,'תקציב מפורט 2025'!A:O,2,FALSE)</f>
        <v>שכר דוקאטוס</v>
      </c>
      <c r="C764" s="42">
        <v>205957921</v>
      </c>
      <c r="D764" s="42" t="s">
        <v>875</v>
      </c>
      <c r="E764" s="42" t="s">
        <v>876</v>
      </c>
      <c r="F764" s="42">
        <v>815220</v>
      </c>
      <c r="G764" s="48">
        <v>0</v>
      </c>
      <c r="H764" s="45">
        <v>1517.73</v>
      </c>
      <c r="I764" s="45">
        <f>SUMIFS('שכר 11.2024'!N:N,'שכר 11.2024'!C:C,C:C,'שכר 11.2024'!F:F,F:F)</f>
        <v>0</v>
      </c>
      <c r="J764" s="45">
        <f t="shared" si="44"/>
        <v>1517.73</v>
      </c>
      <c r="K764" s="61">
        <f t="shared" si="45"/>
        <v>1.0349999999999999</v>
      </c>
      <c r="L764" s="45">
        <f t="shared" si="46"/>
        <v>1570.8505499999999</v>
      </c>
      <c r="M764" s="45">
        <f t="shared" si="47"/>
        <v>0</v>
      </c>
    </row>
    <row r="765" spans="1:13" outlineLevel="2" x14ac:dyDescent="0.35">
      <c r="A765" s="42">
        <v>1815220110</v>
      </c>
      <c r="B765" s="42" t="str">
        <f>VLOOKUP(A765,'תקציב מפורט 2025'!A:O,2,FALSE)</f>
        <v>שכר דוקאטוס</v>
      </c>
      <c r="C765" s="42">
        <v>206255275</v>
      </c>
      <c r="D765" s="42" t="s">
        <v>1765</v>
      </c>
      <c r="E765" s="42" t="s">
        <v>1766</v>
      </c>
      <c r="F765" s="42">
        <v>815220</v>
      </c>
      <c r="G765" s="48">
        <v>0</v>
      </c>
      <c r="H765" s="45">
        <v>1455.72</v>
      </c>
      <c r="I765" s="45">
        <f>SUMIFS('שכר 11.2024'!N:N,'שכר 11.2024'!C:C,C:C,'שכר 11.2024'!F:F,F:F)</f>
        <v>0</v>
      </c>
      <c r="J765" s="45">
        <f t="shared" si="44"/>
        <v>1455.72</v>
      </c>
      <c r="K765" s="61">
        <f t="shared" si="45"/>
        <v>1.0349999999999999</v>
      </c>
      <c r="L765" s="45">
        <f t="shared" si="46"/>
        <v>1506.6702</v>
      </c>
      <c r="M765" s="45">
        <f t="shared" si="47"/>
        <v>0</v>
      </c>
    </row>
    <row r="766" spans="1:13" outlineLevel="2" x14ac:dyDescent="0.35">
      <c r="A766" s="42">
        <v>1815220110</v>
      </c>
      <c r="B766" s="42" t="str">
        <f>VLOOKUP(A766,'תקציב מפורט 2025'!A:O,2,FALSE)</f>
        <v>שכר דוקאטוס</v>
      </c>
      <c r="C766" s="42">
        <v>206257784</v>
      </c>
      <c r="D766" s="42" t="s">
        <v>954</v>
      </c>
      <c r="E766" s="42" t="s">
        <v>879</v>
      </c>
      <c r="F766" s="42">
        <v>815220</v>
      </c>
      <c r="G766" s="48">
        <v>0</v>
      </c>
      <c r="H766" s="45">
        <v>3670.09</v>
      </c>
      <c r="I766" s="45">
        <f>SUMIFS('שכר 11.2024'!N:N,'שכר 11.2024'!C:C,C:C,'שכר 11.2024'!F:F,F:F)</f>
        <v>0</v>
      </c>
      <c r="J766" s="45">
        <f t="shared" si="44"/>
        <v>3670.09</v>
      </c>
      <c r="K766" s="61">
        <f t="shared" si="45"/>
        <v>1.0349999999999999</v>
      </c>
      <c r="L766" s="45">
        <f t="shared" si="46"/>
        <v>3798.54315</v>
      </c>
      <c r="M766" s="45">
        <f t="shared" si="47"/>
        <v>0</v>
      </c>
    </row>
    <row r="767" spans="1:13" outlineLevel="2" x14ac:dyDescent="0.35">
      <c r="A767" s="42">
        <v>1815220110</v>
      </c>
      <c r="B767" s="42" t="str">
        <f>VLOOKUP(A767,'תקציב מפורט 2025'!A:O,2,FALSE)</f>
        <v>שכר דוקאטוס</v>
      </c>
      <c r="C767" s="42">
        <v>206715674</v>
      </c>
      <c r="D767" s="42" t="s">
        <v>434</v>
      </c>
      <c r="E767" s="42" t="s">
        <v>913</v>
      </c>
      <c r="F767" s="42">
        <v>815220</v>
      </c>
      <c r="G767" s="48">
        <v>0</v>
      </c>
      <c r="H767" s="45">
        <v>4305.43</v>
      </c>
      <c r="I767" s="45">
        <f>SUMIFS('שכר 11.2024'!N:N,'שכר 11.2024'!C:C,C:C,'שכר 11.2024'!F:F,F:F)</f>
        <v>0</v>
      </c>
      <c r="J767" s="45">
        <f t="shared" si="44"/>
        <v>4305.43</v>
      </c>
      <c r="K767" s="61">
        <f t="shared" si="45"/>
        <v>1.0349999999999999</v>
      </c>
      <c r="L767" s="45">
        <f t="shared" si="46"/>
        <v>4456.1200499999995</v>
      </c>
      <c r="M767" s="45">
        <f t="shared" si="47"/>
        <v>0</v>
      </c>
    </row>
    <row r="768" spans="1:13" outlineLevel="2" x14ac:dyDescent="0.35">
      <c r="A768" s="42">
        <v>1815220110</v>
      </c>
      <c r="B768" s="42" t="str">
        <f>VLOOKUP(A768,'תקציב מפורט 2025'!A:O,2,FALSE)</f>
        <v>שכר דוקאטוס</v>
      </c>
      <c r="C768" s="42">
        <v>206858359</v>
      </c>
      <c r="D768" s="42" t="s">
        <v>442</v>
      </c>
      <c r="E768" s="42" t="s">
        <v>443</v>
      </c>
      <c r="F768" s="42">
        <v>815220</v>
      </c>
      <c r="G768" s="48">
        <v>0</v>
      </c>
      <c r="H768" s="45">
        <v>5718.25</v>
      </c>
      <c r="I768" s="45">
        <f>SUMIFS('שכר 11.2024'!N:N,'שכר 11.2024'!C:C,C:C,'שכר 11.2024'!F:F,F:F)</f>
        <v>0</v>
      </c>
      <c r="J768" s="45">
        <f t="shared" si="44"/>
        <v>5718.25</v>
      </c>
      <c r="K768" s="61">
        <f t="shared" si="45"/>
        <v>1.0349999999999999</v>
      </c>
      <c r="L768" s="45">
        <f t="shared" si="46"/>
        <v>5918.3887499999992</v>
      </c>
      <c r="M768" s="45">
        <f t="shared" si="47"/>
        <v>0</v>
      </c>
    </row>
    <row r="769" spans="1:13" outlineLevel="2" x14ac:dyDescent="0.35">
      <c r="A769" s="42">
        <v>1815220110</v>
      </c>
      <c r="B769" s="42" t="str">
        <f>VLOOKUP(A769,'תקציב מפורט 2025'!A:O,2,FALSE)</f>
        <v>שכר דוקאטוס</v>
      </c>
      <c r="C769" s="42">
        <v>300214301</v>
      </c>
      <c r="D769" s="42" t="s">
        <v>882</v>
      </c>
      <c r="E769" s="42" t="s">
        <v>883</v>
      </c>
      <c r="F769" s="42">
        <v>815220</v>
      </c>
      <c r="G769" s="48">
        <v>0</v>
      </c>
      <c r="H769" s="45">
        <v>6569.71</v>
      </c>
      <c r="I769" s="45">
        <f>SUMIFS('שכר 11.2024'!N:N,'שכר 11.2024'!C:C,C:C,'שכר 11.2024'!F:F,F:F)</f>
        <v>0</v>
      </c>
      <c r="J769" s="45">
        <f t="shared" si="44"/>
        <v>6569.71</v>
      </c>
      <c r="K769" s="61">
        <f t="shared" si="45"/>
        <v>1.0349999999999999</v>
      </c>
      <c r="L769" s="45">
        <f t="shared" si="46"/>
        <v>6799.6498499999998</v>
      </c>
      <c r="M769" s="45">
        <f t="shared" si="47"/>
        <v>0</v>
      </c>
    </row>
    <row r="770" spans="1:13" outlineLevel="2" x14ac:dyDescent="0.35">
      <c r="A770" s="42">
        <v>1815220110</v>
      </c>
      <c r="B770" s="42" t="str">
        <f>VLOOKUP(A770,'תקציב מפורט 2025'!A:O,2,FALSE)</f>
        <v>שכר דוקאטוס</v>
      </c>
      <c r="C770" s="42">
        <v>300269602</v>
      </c>
      <c r="D770" s="42" t="s">
        <v>499</v>
      </c>
      <c r="E770" s="42" t="s">
        <v>884</v>
      </c>
      <c r="F770" s="42">
        <v>815220</v>
      </c>
      <c r="G770" s="48">
        <v>0</v>
      </c>
      <c r="H770" s="45">
        <v>5734.5</v>
      </c>
      <c r="I770" s="45">
        <f>SUMIFS('שכר 11.2024'!N:N,'שכר 11.2024'!C:C,C:C,'שכר 11.2024'!F:F,F:F)</f>
        <v>1441.28</v>
      </c>
      <c r="J770" s="45">
        <f t="shared" si="44"/>
        <v>7175.78</v>
      </c>
      <c r="K770" s="61">
        <f t="shared" si="45"/>
        <v>1.0349999999999999</v>
      </c>
      <c r="L770" s="45">
        <f t="shared" si="46"/>
        <v>7426.9322999999995</v>
      </c>
      <c r="M770" s="45">
        <f t="shared" si="47"/>
        <v>0</v>
      </c>
    </row>
    <row r="771" spans="1:13" outlineLevel="2" x14ac:dyDescent="0.35">
      <c r="A771" s="42">
        <v>1815220110</v>
      </c>
      <c r="B771" s="42" t="str">
        <f>VLOOKUP(A771,'תקציב מפורט 2025'!A:O,2,FALSE)</f>
        <v>שכר דוקאטוס</v>
      </c>
      <c r="C771" s="42">
        <v>301178273</v>
      </c>
      <c r="D771" s="42" t="s">
        <v>502</v>
      </c>
      <c r="E771" s="42" t="s">
        <v>501</v>
      </c>
      <c r="F771" s="42">
        <v>815220</v>
      </c>
      <c r="G771" s="48">
        <v>0</v>
      </c>
      <c r="H771" s="45">
        <v>8580.48</v>
      </c>
      <c r="I771" s="45">
        <f>SUMIFS('שכר 11.2024'!N:N,'שכר 11.2024'!C:C,C:C,'שכר 11.2024'!F:F,F:F)</f>
        <v>0</v>
      </c>
      <c r="J771" s="45">
        <f t="shared" si="44"/>
        <v>8580.48</v>
      </c>
      <c r="K771" s="61">
        <f t="shared" si="45"/>
        <v>1.0349999999999999</v>
      </c>
      <c r="L771" s="45">
        <f t="shared" si="46"/>
        <v>8880.7967999999983</v>
      </c>
      <c r="M771" s="45">
        <f t="shared" si="47"/>
        <v>0</v>
      </c>
    </row>
    <row r="772" spans="1:13" outlineLevel="2" x14ac:dyDescent="0.35">
      <c r="A772" s="42">
        <v>1815220110</v>
      </c>
      <c r="B772" s="42" t="str">
        <f>VLOOKUP(A772,'תקציב מפורט 2025'!A:O,2,FALSE)</f>
        <v>שכר דוקאטוס</v>
      </c>
      <c r="C772" s="42">
        <v>302649918</v>
      </c>
      <c r="D772" s="42" t="s">
        <v>442</v>
      </c>
      <c r="E772" s="42" t="s">
        <v>500</v>
      </c>
      <c r="F772" s="42">
        <v>815220</v>
      </c>
      <c r="G772" s="48">
        <v>0</v>
      </c>
      <c r="H772" s="45">
        <v>21071.49</v>
      </c>
      <c r="I772" s="45">
        <f>SUMIFS('שכר 11.2024'!N:N,'שכר 11.2024'!C:C,C:C,'שכר 11.2024'!F:F,F:F)</f>
        <v>1703.1</v>
      </c>
      <c r="J772" s="45">
        <f t="shared" si="44"/>
        <v>22774.59</v>
      </c>
      <c r="K772" s="61">
        <f t="shared" si="45"/>
        <v>1.0349999999999999</v>
      </c>
      <c r="L772" s="45">
        <f t="shared" si="46"/>
        <v>23571.700649999999</v>
      </c>
      <c r="M772" s="45">
        <f t="shared" si="47"/>
        <v>0</v>
      </c>
    </row>
    <row r="773" spans="1:13" outlineLevel="2" x14ac:dyDescent="0.35">
      <c r="A773" s="42">
        <v>1815220110</v>
      </c>
      <c r="B773" s="42" t="str">
        <f>VLOOKUP(A773,'תקציב מפורט 2025'!A:O,2,FALSE)</f>
        <v>שכר דוקאטוס</v>
      </c>
      <c r="C773" s="42">
        <v>302826672</v>
      </c>
      <c r="D773" s="42" t="s">
        <v>888</v>
      </c>
      <c r="E773" s="42" t="s">
        <v>885</v>
      </c>
      <c r="F773" s="42">
        <v>815220</v>
      </c>
      <c r="G773" s="48">
        <v>0</v>
      </c>
      <c r="H773" s="45">
        <v>37907.79</v>
      </c>
      <c r="I773" s="45">
        <f>SUMIFS('שכר 11.2024'!N:N,'שכר 11.2024'!C:C,C:C,'שכר 11.2024'!F:F,F:F)</f>
        <v>0</v>
      </c>
      <c r="J773" s="45">
        <f t="shared" si="44"/>
        <v>37907.79</v>
      </c>
      <c r="K773" s="61">
        <f t="shared" si="45"/>
        <v>1.0349999999999999</v>
      </c>
      <c r="L773" s="45">
        <f t="shared" si="46"/>
        <v>39234.56265</v>
      </c>
      <c r="M773" s="45">
        <f t="shared" si="47"/>
        <v>0</v>
      </c>
    </row>
    <row r="774" spans="1:13" outlineLevel="2" x14ac:dyDescent="0.35">
      <c r="A774" s="42">
        <v>1815220110</v>
      </c>
      <c r="B774" s="42" t="str">
        <f>VLOOKUP(A774,'תקציב מפורט 2025'!A:O,2,FALSE)</f>
        <v>שכר דוקאטוס</v>
      </c>
      <c r="C774" s="42">
        <v>303104731</v>
      </c>
      <c r="D774" s="42" t="s">
        <v>1773</v>
      </c>
      <c r="E774" s="42" t="s">
        <v>438</v>
      </c>
      <c r="F774" s="42">
        <v>815220</v>
      </c>
      <c r="G774" s="48">
        <v>0</v>
      </c>
      <c r="H774" s="45">
        <v>7867.76</v>
      </c>
      <c r="I774" s="45">
        <f>SUMIFS('שכר 11.2024'!N:N,'שכר 11.2024'!C:C,C:C,'שכר 11.2024'!F:F,F:F)</f>
        <v>0</v>
      </c>
      <c r="J774" s="45">
        <f t="shared" si="44"/>
        <v>7867.76</v>
      </c>
      <c r="K774" s="61">
        <f t="shared" si="45"/>
        <v>1.0349999999999999</v>
      </c>
      <c r="L774" s="45">
        <f t="shared" si="46"/>
        <v>8143.1315999999997</v>
      </c>
      <c r="M774" s="45">
        <f t="shared" si="47"/>
        <v>0</v>
      </c>
    </row>
    <row r="775" spans="1:13" outlineLevel="2" x14ac:dyDescent="0.35">
      <c r="A775" s="42">
        <v>1815220110</v>
      </c>
      <c r="B775" s="42" t="str">
        <f>VLOOKUP(A775,'תקציב מפורט 2025'!A:O,2,FALSE)</f>
        <v>שכר דוקאטוס</v>
      </c>
      <c r="C775" s="42">
        <v>308181072</v>
      </c>
      <c r="D775" s="42" t="s">
        <v>434</v>
      </c>
      <c r="E775" s="42" t="s">
        <v>507</v>
      </c>
      <c r="F775" s="42">
        <v>815220</v>
      </c>
      <c r="G775" s="48">
        <v>0</v>
      </c>
      <c r="H775" s="45">
        <v>64264.91</v>
      </c>
      <c r="I775" s="45">
        <f>SUMIFS('שכר 11.2024'!N:N,'שכר 11.2024'!C:C,C:C,'שכר 11.2024'!F:F,F:F)</f>
        <v>0</v>
      </c>
      <c r="J775" s="45">
        <f t="shared" si="44"/>
        <v>64264.91</v>
      </c>
      <c r="K775" s="61">
        <f t="shared" si="45"/>
        <v>1.0349999999999999</v>
      </c>
      <c r="L775" s="45">
        <f t="shared" si="46"/>
        <v>66514.181849999994</v>
      </c>
      <c r="M775" s="45">
        <f t="shared" si="47"/>
        <v>0</v>
      </c>
    </row>
    <row r="776" spans="1:13" outlineLevel="2" x14ac:dyDescent="0.35">
      <c r="A776" s="42">
        <v>1815220110</v>
      </c>
      <c r="B776" s="42" t="str">
        <f>VLOOKUP(A776,'תקציב מפורט 2025'!A:O,2,FALSE)</f>
        <v>שכר דוקאטוס</v>
      </c>
      <c r="C776" s="42">
        <v>308182351</v>
      </c>
      <c r="D776" s="42" t="s">
        <v>1775</v>
      </c>
      <c r="E776" s="42" t="s">
        <v>949</v>
      </c>
      <c r="F776" s="42">
        <v>815220</v>
      </c>
      <c r="G776" s="48">
        <v>0</v>
      </c>
      <c r="H776" s="45">
        <v>19661.87</v>
      </c>
      <c r="I776" s="45">
        <f>SUMIFS('שכר 11.2024'!N:N,'שכר 11.2024'!C:C,C:C,'שכר 11.2024'!F:F,F:F)</f>
        <v>0</v>
      </c>
      <c r="J776" s="45">
        <f t="shared" si="44"/>
        <v>19661.87</v>
      </c>
      <c r="K776" s="61">
        <f t="shared" si="45"/>
        <v>1.0349999999999999</v>
      </c>
      <c r="L776" s="45">
        <f t="shared" si="46"/>
        <v>20350.035449999996</v>
      </c>
      <c r="M776" s="45">
        <f t="shared" si="47"/>
        <v>0</v>
      </c>
    </row>
    <row r="777" spans="1:13" outlineLevel="2" x14ac:dyDescent="0.35">
      <c r="A777" s="42">
        <v>1815220110</v>
      </c>
      <c r="B777" s="42" t="str">
        <f>VLOOKUP(A777,'תקציב מפורט 2025'!A:O,2,FALSE)</f>
        <v>שכר דוקאטוס</v>
      </c>
      <c r="C777" s="42">
        <v>312394141</v>
      </c>
      <c r="D777" s="42" t="s">
        <v>434</v>
      </c>
      <c r="E777" s="42" t="s">
        <v>890</v>
      </c>
      <c r="F777" s="42">
        <v>815220</v>
      </c>
      <c r="G777" s="48">
        <v>0</v>
      </c>
      <c r="H777" s="45">
        <v>16605.28</v>
      </c>
      <c r="I777" s="45">
        <f>SUMIFS('שכר 11.2024'!N:N,'שכר 11.2024'!C:C,C:C,'שכר 11.2024'!F:F,F:F)</f>
        <v>0</v>
      </c>
      <c r="J777" s="45">
        <f t="shared" si="44"/>
        <v>16605.28</v>
      </c>
      <c r="K777" s="61">
        <f t="shared" si="45"/>
        <v>1.0349999999999999</v>
      </c>
      <c r="L777" s="45">
        <f t="shared" si="46"/>
        <v>17186.464799999998</v>
      </c>
      <c r="M777" s="45">
        <f t="shared" si="47"/>
        <v>0</v>
      </c>
    </row>
    <row r="778" spans="1:13" outlineLevel="2" x14ac:dyDescent="0.35">
      <c r="A778" s="42">
        <v>1815220110</v>
      </c>
      <c r="B778" s="42" t="str">
        <f>VLOOKUP(A778,'תקציב מפורט 2025'!A:O,2,FALSE)</f>
        <v>שכר דוקאטוס</v>
      </c>
      <c r="C778" s="42">
        <v>312440555</v>
      </c>
      <c r="D778" s="42" t="s">
        <v>891</v>
      </c>
      <c r="E778" s="42" t="s">
        <v>496</v>
      </c>
      <c r="F778" s="42">
        <v>815220</v>
      </c>
      <c r="G778" s="48">
        <v>0</v>
      </c>
      <c r="H778" s="45">
        <v>4921.3500000000004</v>
      </c>
      <c r="I778" s="45">
        <f>SUMIFS('שכר 11.2024'!N:N,'שכר 11.2024'!C:C,C:C,'שכר 11.2024'!F:F,F:F)</f>
        <v>0</v>
      </c>
      <c r="J778" s="45">
        <f t="shared" si="44"/>
        <v>4921.3500000000004</v>
      </c>
      <c r="K778" s="61">
        <f t="shared" si="45"/>
        <v>1.0349999999999999</v>
      </c>
      <c r="L778" s="45">
        <f t="shared" si="46"/>
        <v>5093.5972499999998</v>
      </c>
      <c r="M778" s="45">
        <f t="shared" si="47"/>
        <v>0</v>
      </c>
    </row>
    <row r="779" spans="1:13" outlineLevel="2" x14ac:dyDescent="0.35">
      <c r="A779" s="42">
        <v>1815220110</v>
      </c>
      <c r="B779" s="42" t="str">
        <f>VLOOKUP(A779,'תקציב מפורט 2025'!A:O,2,FALSE)</f>
        <v>שכר דוקאטוס</v>
      </c>
      <c r="C779" s="42">
        <v>314057449</v>
      </c>
      <c r="D779" s="42" t="s">
        <v>892</v>
      </c>
      <c r="E779" s="42" t="s">
        <v>893</v>
      </c>
      <c r="F779" s="42">
        <v>815220</v>
      </c>
      <c r="G779" s="48">
        <v>0</v>
      </c>
      <c r="H779" s="45">
        <v>2875.34</v>
      </c>
      <c r="I779" s="45">
        <f>SUMIFS('שכר 11.2024'!N:N,'שכר 11.2024'!C:C,C:C,'שכר 11.2024'!F:F,F:F)</f>
        <v>0</v>
      </c>
      <c r="J779" s="45">
        <f t="shared" si="44"/>
        <v>2875.34</v>
      </c>
      <c r="K779" s="61">
        <f t="shared" si="45"/>
        <v>1.0349999999999999</v>
      </c>
      <c r="L779" s="45">
        <f t="shared" si="46"/>
        <v>2975.9769000000001</v>
      </c>
      <c r="M779" s="45">
        <f t="shared" si="47"/>
        <v>0</v>
      </c>
    </row>
    <row r="780" spans="1:13" outlineLevel="2" x14ac:dyDescent="0.35">
      <c r="A780" s="42">
        <v>1815220110</v>
      </c>
      <c r="B780" s="42" t="str">
        <f>VLOOKUP(A780,'תקציב מפורט 2025'!A:O,2,FALSE)</f>
        <v>שכר דוקאטוס</v>
      </c>
      <c r="C780" s="42">
        <v>315204081</v>
      </c>
      <c r="D780" s="42" t="s">
        <v>1781</v>
      </c>
      <c r="E780" s="42" t="s">
        <v>885</v>
      </c>
      <c r="F780" s="42">
        <v>815220</v>
      </c>
      <c r="G780" s="48">
        <v>0</v>
      </c>
      <c r="H780" s="45">
        <v>706.14</v>
      </c>
      <c r="I780" s="45">
        <f>SUMIFS('שכר 11.2024'!N:N,'שכר 11.2024'!C:C,C:C,'שכר 11.2024'!F:F,F:F)</f>
        <v>0</v>
      </c>
      <c r="J780" s="45">
        <f t="shared" si="44"/>
        <v>706.14</v>
      </c>
      <c r="K780" s="61">
        <f t="shared" si="45"/>
        <v>1.0349999999999999</v>
      </c>
      <c r="L780" s="45">
        <f t="shared" si="46"/>
        <v>730.85489999999993</v>
      </c>
      <c r="M780" s="45">
        <f t="shared" si="47"/>
        <v>0</v>
      </c>
    </row>
    <row r="781" spans="1:13" outlineLevel="2" x14ac:dyDescent="0.35">
      <c r="A781" s="42">
        <v>1815220110</v>
      </c>
      <c r="B781" s="42" t="str">
        <f>VLOOKUP(A781,'תקציב מפורט 2025'!A:O,2,FALSE)</f>
        <v>שכר דוקאטוס</v>
      </c>
      <c r="C781" s="42">
        <v>316250372</v>
      </c>
      <c r="D781" s="42" t="s">
        <v>472</v>
      </c>
      <c r="E781" s="42" t="s">
        <v>1782</v>
      </c>
      <c r="F781" s="42">
        <v>815220</v>
      </c>
      <c r="G781" s="48">
        <v>0</v>
      </c>
      <c r="H781" s="45">
        <v>1441.05</v>
      </c>
      <c r="I781" s="45">
        <f>SUMIFS('שכר 11.2024'!N:N,'שכר 11.2024'!C:C,C:C,'שכר 11.2024'!F:F,F:F)</f>
        <v>0</v>
      </c>
      <c r="J781" s="45">
        <f t="shared" si="44"/>
        <v>1441.05</v>
      </c>
      <c r="K781" s="61">
        <f t="shared" si="45"/>
        <v>1.0349999999999999</v>
      </c>
      <c r="L781" s="45">
        <f t="shared" si="46"/>
        <v>1491.4867499999998</v>
      </c>
      <c r="M781" s="45">
        <f t="shared" si="47"/>
        <v>0</v>
      </c>
    </row>
    <row r="782" spans="1:13" outlineLevel="1" x14ac:dyDescent="0.35">
      <c r="A782" s="63" t="s">
        <v>2020</v>
      </c>
      <c r="B782" s="63"/>
      <c r="C782" s="63"/>
      <c r="D782" s="63"/>
      <c r="E782" s="63"/>
      <c r="F782" s="63"/>
      <c r="G782" s="73">
        <f>SUBTOTAL(9,G746:G781)</f>
        <v>0</v>
      </c>
      <c r="H782" s="64">
        <f>SUBTOTAL(9,H746:H781)</f>
        <v>417526.61</v>
      </c>
      <c r="I782" s="64">
        <f>SUBTOTAL(9,I746:I781)</f>
        <v>13894.970000000003</v>
      </c>
      <c r="J782" s="64">
        <f>SUBTOTAL(9,J746:J781)</f>
        <v>431421.58000000007</v>
      </c>
      <c r="K782" s="65"/>
      <c r="L782" s="64">
        <f>SUBTOTAL(9,L746:L781)</f>
        <v>446521.33529999998</v>
      </c>
      <c r="M782" s="64">
        <f>SUBTOTAL(9,M746:M781)</f>
        <v>0</v>
      </c>
    </row>
    <row r="783" spans="1:13" outlineLevel="2" x14ac:dyDescent="0.35">
      <c r="A783" s="42">
        <v>1817300110</v>
      </c>
      <c r="B783" s="42" t="str">
        <f>VLOOKUP(A783,'תקציב מפורט 2025'!A:O,2,FALSE)</f>
        <v>שפ"י - משכורת</v>
      </c>
      <c r="C783" s="42">
        <v>21564067</v>
      </c>
      <c r="D783" s="42" t="s">
        <v>442</v>
      </c>
      <c r="E783" s="42" t="s">
        <v>493</v>
      </c>
      <c r="F783" s="42">
        <v>817300</v>
      </c>
      <c r="G783" s="48">
        <v>1100</v>
      </c>
      <c r="H783" s="45">
        <v>174372.06</v>
      </c>
      <c r="I783" s="45">
        <f>SUMIFS('שכר 11.2024'!N:N,'שכר 11.2024'!C:C,C:C,'שכר 11.2024'!F:F,F:F)</f>
        <v>14196.69</v>
      </c>
      <c r="J783" s="45">
        <f t="shared" si="44"/>
        <v>188568.75</v>
      </c>
      <c r="K783" s="61">
        <f t="shared" si="45"/>
        <v>1.0349999999999999</v>
      </c>
      <c r="L783" s="45">
        <f t="shared" si="46"/>
        <v>195168.65624999997</v>
      </c>
      <c r="M783" s="45">
        <f t="shared" si="47"/>
        <v>1</v>
      </c>
    </row>
    <row r="784" spans="1:13" outlineLevel="2" x14ac:dyDescent="0.35">
      <c r="A784" s="42">
        <v>1817300110</v>
      </c>
      <c r="B784" s="42" t="str">
        <f>VLOOKUP(A784,'תקציב מפורט 2025'!A:O,2,FALSE)</f>
        <v>שפ"י - משכורת</v>
      </c>
      <c r="C784" s="42">
        <v>21862032</v>
      </c>
      <c r="D784" s="42" t="s">
        <v>894</v>
      </c>
      <c r="E784" s="42" t="s">
        <v>895</v>
      </c>
      <c r="F784" s="42">
        <v>817300</v>
      </c>
      <c r="G784" s="48">
        <v>1100</v>
      </c>
      <c r="H784" s="45">
        <v>204462.99</v>
      </c>
      <c r="I784" s="45">
        <f>SUMIFS('שכר 11.2024'!N:N,'שכר 11.2024'!C:C,C:C,'שכר 11.2024'!F:F,F:F)</f>
        <v>17654.169999999998</v>
      </c>
      <c r="J784" s="45">
        <f t="shared" si="44"/>
        <v>222117.15999999997</v>
      </c>
      <c r="K784" s="61">
        <f t="shared" si="45"/>
        <v>1.0349999999999999</v>
      </c>
      <c r="L784" s="45">
        <f t="shared" si="46"/>
        <v>229891.26059999995</v>
      </c>
      <c r="M784" s="45">
        <f t="shared" si="47"/>
        <v>1</v>
      </c>
    </row>
    <row r="785" spans="1:13" outlineLevel="2" x14ac:dyDescent="0.35">
      <c r="A785" s="42">
        <v>1817300110</v>
      </c>
      <c r="B785" s="42" t="str">
        <f>VLOOKUP(A785,'תקציב מפורט 2025'!A:O,2,FALSE)</f>
        <v>שפ"י - משכורת</v>
      </c>
      <c r="C785" s="42">
        <v>36711257</v>
      </c>
      <c r="D785" s="42" t="s">
        <v>442</v>
      </c>
      <c r="E785" s="42" t="s">
        <v>492</v>
      </c>
      <c r="F785" s="42">
        <v>817300</v>
      </c>
      <c r="G785" s="48">
        <v>825</v>
      </c>
      <c r="H785" s="45">
        <v>150136.92000000001</v>
      </c>
      <c r="I785" s="45">
        <f>SUMIFS('שכר 11.2024'!N:N,'שכר 11.2024'!C:C,C:C,'שכר 11.2024'!F:F,F:F)</f>
        <v>12664.55</v>
      </c>
      <c r="J785" s="45">
        <f t="shared" si="44"/>
        <v>162801.47</v>
      </c>
      <c r="K785" s="61">
        <f t="shared" si="45"/>
        <v>1.0349999999999999</v>
      </c>
      <c r="L785" s="45">
        <f t="shared" si="46"/>
        <v>168499.52145</v>
      </c>
      <c r="M785" s="45">
        <f t="shared" si="47"/>
        <v>0.75</v>
      </c>
    </row>
    <row r="786" spans="1:13" outlineLevel="2" x14ac:dyDescent="0.35">
      <c r="A786" s="42">
        <v>1817300110</v>
      </c>
      <c r="B786" s="42" t="str">
        <f>VLOOKUP(A786,'תקציב מפורט 2025'!A:O,2,FALSE)</f>
        <v>שפ"י - משכורת</v>
      </c>
      <c r="C786" s="42">
        <v>40164485</v>
      </c>
      <c r="D786" s="42" t="s">
        <v>1786</v>
      </c>
      <c r="E786" s="42" t="s">
        <v>459</v>
      </c>
      <c r="F786" s="42">
        <v>817300</v>
      </c>
      <c r="G786" s="48">
        <v>550</v>
      </c>
      <c r="H786" s="45">
        <v>101048.66</v>
      </c>
      <c r="I786" s="45">
        <f>SUMIFS('שכר 11.2024'!N:N,'שכר 11.2024'!C:C,C:C,'שכר 11.2024'!F:F,F:F)</f>
        <v>8436.82</v>
      </c>
      <c r="J786" s="45">
        <f t="shared" si="44"/>
        <v>109485.48000000001</v>
      </c>
      <c r="K786" s="61">
        <f t="shared" si="45"/>
        <v>1.0349999999999999</v>
      </c>
      <c r="L786" s="45">
        <f t="shared" si="46"/>
        <v>113317.4718</v>
      </c>
      <c r="M786" s="45">
        <f t="shared" si="47"/>
        <v>0.5</v>
      </c>
    </row>
    <row r="787" spans="1:13" outlineLevel="2" x14ac:dyDescent="0.35">
      <c r="A787" s="42">
        <v>1817300110</v>
      </c>
      <c r="B787" s="42" t="str">
        <f>VLOOKUP(A787,'תקציב מפורט 2025'!A:O,2,FALSE)</f>
        <v>שפ"י - משכורת</v>
      </c>
      <c r="C787" s="42">
        <v>59985382</v>
      </c>
      <c r="D787" s="42" t="s">
        <v>1787</v>
      </c>
      <c r="E787" s="42" t="s">
        <v>1788</v>
      </c>
      <c r="F787" s="42">
        <v>817300</v>
      </c>
      <c r="G787" s="48">
        <v>825</v>
      </c>
      <c r="H787" s="45">
        <v>314576.59000000003</v>
      </c>
      <c r="I787" s="45">
        <f>SUMIFS('שכר 11.2024'!N:N,'שכר 11.2024'!C:C,C:C,'שכר 11.2024'!F:F,F:F)</f>
        <v>26815.46</v>
      </c>
      <c r="J787" s="45">
        <f t="shared" si="44"/>
        <v>341392.05000000005</v>
      </c>
      <c r="K787" s="61">
        <f t="shared" si="45"/>
        <v>1.0349999999999999</v>
      </c>
      <c r="L787" s="45">
        <f t="shared" si="46"/>
        <v>353340.77175000001</v>
      </c>
      <c r="M787" s="45">
        <f t="shared" si="47"/>
        <v>0.75</v>
      </c>
    </row>
    <row r="788" spans="1:13" outlineLevel="2" x14ac:dyDescent="0.35">
      <c r="A788" s="42">
        <v>1817300110</v>
      </c>
      <c r="B788" s="42" t="str">
        <f>VLOOKUP(A788,'תקציב מפורט 2025'!A:O,2,FALSE)</f>
        <v>שפ"י - משכורת</v>
      </c>
      <c r="C788" s="42">
        <v>203328729</v>
      </c>
      <c r="D788" s="42" t="s">
        <v>1789</v>
      </c>
      <c r="E788" s="42" t="s">
        <v>826</v>
      </c>
      <c r="F788" s="42">
        <v>817300</v>
      </c>
      <c r="G788" s="48">
        <v>330.6</v>
      </c>
      <c r="H788" s="45">
        <v>63502.76</v>
      </c>
      <c r="I788" s="45">
        <f>SUMIFS('שכר 11.2024'!N:N,'שכר 11.2024'!C:C,C:C,'שכר 11.2024'!F:F,F:F)</f>
        <v>1161.3900000000001</v>
      </c>
      <c r="J788" s="45">
        <f t="shared" si="44"/>
        <v>64664.15</v>
      </c>
      <c r="K788" s="61">
        <f t="shared" si="45"/>
        <v>1.0349999999999999</v>
      </c>
      <c r="L788" s="45">
        <f t="shared" si="46"/>
        <v>66927.395250000001</v>
      </c>
      <c r="M788" s="45">
        <f t="shared" si="47"/>
        <v>0.30054545454545456</v>
      </c>
    </row>
    <row r="789" spans="1:13" outlineLevel="2" x14ac:dyDescent="0.35">
      <c r="A789" s="42">
        <v>1817300110</v>
      </c>
      <c r="B789" s="42" t="str">
        <f>VLOOKUP(A789,'תקציב מפורט 2025'!A:O,2,FALSE)</f>
        <v>שפ"י - משכורת</v>
      </c>
      <c r="C789" s="42">
        <v>305076259</v>
      </c>
      <c r="D789" s="42" t="s">
        <v>891</v>
      </c>
      <c r="E789" s="42" t="s">
        <v>865</v>
      </c>
      <c r="F789" s="42">
        <v>817300</v>
      </c>
      <c r="G789" s="48">
        <v>550</v>
      </c>
      <c r="H789" s="45">
        <v>73319.87</v>
      </c>
      <c r="I789" s="45">
        <f>SUMIFS('שכר 11.2024'!N:N,'שכר 11.2024'!C:C,C:C,'שכר 11.2024'!F:F,F:F)</f>
        <v>8653.8700000000008</v>
      </c>
      <c r="J789" s="45">
        <f t="shared" si="44"/>
        <v>81973.739999999991</v>
      </c>
      <c r="K789" s="61">
        <f t="shared" si="45"/>
        <v>1.0349999999999999</v>
      </c>
      <c r="L789" s="45">
        <f t="shared" si="46"/>
        <v>84842.820899999977</v>
      </c>
      <c r="M789" s="45">
        <f t="shared" si="47"/>
        <v>0.5</v>
      </c>
    </row>
    <row r="790" spans="1:13" outlineLevel="1" x14ac:dyDescent="0.35">
      <c r="A790" s="63" t="s">
        <v>2021</v>
      </c>
      <c r="B790" s="63"/>
      <c r="C790" s="63"/>
      <c r="D790" s="63"/>
      <c r="E790" s="63"/>
      <c r="F790" s="63"/>
      <c r="G790" s="73">
        <f>SUBTOTAL(9,G783:G789)</f>
        <v>5280.6</v>
      </c>
      <c r="H790" s="64">
        <f>SUBTOTAL(9,H783:H789)</f>
        <v>1081419.8500000001</v>
      </c>
      <c r="I790" s="64">
        <f>SUBTOTAL(9,I783:I789)</f>
        <v>89582.95</v>
      </c>
      <c r="J790" s="64">
        <f>SUBTOTAL(9,J783:J789)</f>
        <v>1171002.8</v>
      </c>
      <c r="K790" s="65"/>
      <c r="L790" s="64">
        <f>SUBTOTAL(9,L783:L789)</f>
        <v>1211987.898</v>
      </c>
      <c r="M790" s="64">
        <f>SUBTOTAL(9,M783:M789)</f>
        <v>4.8005454545454542</v>
      </c>
    </row>
    <row r="791" spans="1:13" outlineLevel="2" x14ac:dyDescent="0.35">
      <c r="A791" s="42">
        <v>1817600110</v>
      </c>
      <c r="B791" s="42" t="str">
        <f>VLOOKUP(A791,'תקציב מפורט 2025'!A:O,2,FALSE)</f>
        <v>שיקום שכונות</v>
      </c>
      <c r="C791" s="42">
        <v>41703638</v>
      </c>
      <c r="D791" s="42" t="s">
        <v>448</v>
      </c>
      <c r="E791" s="42" t="s">
        <v>580</v>
      </c>
      <c r="F791" s="42">
        <v>817600</v>
      </c>
      <c r="G791" s="48">
        <v>550</v>
      </c>
      <c r="H791" s="45">
        <v>78434.75</v>
      </c>
      <c r="I791" s="45">
        <f>SUMIFS('שכר 11.2024'!N:N,'שכר 11.2024'!C:C,C:C,'שכר 11.2024'!F:F,F:F)</f>
        <v>6741.29</v>
      </c>
      <c r="J791" s="45">
        <f t="shared" si="44"/>
        <v>85176.04</v>
      </c>
      <c r="K791" s="61">
        <f t="shared" si="45"/>
        <v>1.0349999999999999</v>
      </c>
      <c r="L791" s="45">
        <f t="shared" si="46"/>
        <v>88157.201399999991</v>
      </c>
      <c r="M791" s="45">
        <f t="shared" si="47"/>
        <v>0.5</v>
      </c>
    </row>
    <row r="792" spans="1:13" outlineLevel="1" x14ac:dyDescent="0.35">
      <c r="A792" s="63" t="s">
        <v>2022</v>
      </c>
      <c r="B792" s="63"/>
      <c r="C792" s="63"/>
      <c r="D792" s="63"/>
      <c r="E792" s="63"/>
      <c r="F792" s="63"/>
      <c r="G792" s="73">
        <f>SUBTOTAL(9,G791:G791)</f>
        <v>550</v>
      </c>
      <c r="H792" s="64">
        <f>SUBTOTAL(9,H791:H791)</f>
        <v>78434.75</v>
      </c>
      <c r="I792" s="64">
        <f>SUBTOTAL(9,I791:I791)</f>
        <v>6741.29</v>
      </c>
      <c r="J792" s="64">
        <f>SUBTOTAL(9,J791:J791)</f>
        <v>85176.04</v>
      </c>
      <c r="K792" s="65"/>
      <c r="L792" s="64">
        <f>SUBTOTAL(9,L791:L791)</f>
        <v>88157.201399999991</v>
      </c>
      <c r="M792" s="64">
        <f>SUBTOTAL(9,M791:M791)</f>
        <v>0.5</v>
      </c>
    </row>
    <row r="793" spans="1:13" outlineLevel="2" x14ac:dyDescent="0.35">
      <c r="A793" s="42">
        <v>1817602110</v>
      </c>
      <c r="B793" s="42" t="str">
        <f>VLOOKUP(A793,'תקציב מפורט 2025'!A:O,2,FALSE)</f>
        <v>תרבות ואומנות שכר</v>
      </c>
      <c r="C793" s="42">
        <v>41703638</v>
      </c>
      <c r="D793" s="42" t="s">
        <v>448</v>
      </c>
      <c r="E793" s="42" t="s">
        <v>580</v>
      </c>
      <c r="F793" s="42">
        <v>817602</v>
      </c>
      <c r="G793" s="48">
        <v>363</v>
      </c>
      <c r="H793" s="45">
        <v>50043.64</v>
      </c>
      <c r="I793" s="45">
        <f>SUMIFS('שכר 11.2024'!N:N,'שכר 11.2024'!C:C,C:C,'שכר 11.2024'!F:F,F:F)</f>
        <v>4476.17</v>
      </c>
      <c r="J793" s="45">
        <f t="shared" si="44"/>
        <v>54519.81</v>
      </c>
      <c r="K793" s="61">
        <f t="shared" si="45"/>
        <v>1.0349999999999999</v>
      </c>
      <c r="L793" s="45">
        <f t="shared" si="46"/>
        <v>56428.003349999992</v>
      </c>
      <c r="M793" s="45">
        <f t="shared" si="47"/>
        <v>0.33</v>
      </c>
    </row>
    <row r="794" spans="1:13" outlineLevel="2" x14ac:dyDescent="0.35">
      <c r="A794" s="42">
        <v>1817602110</v>
      </c>
      <c r="B794" s="42" t="str">
        <f>VLOOKUP(A794,'תקציב מפורט 2025'!A:O,2,FALSE)</f>
        <v>תרבות ואומנות שכר</v>
      </c>
      <c r="C794" s="42">
        <v>43490911</v>
      </c>
      <c r="D794" s="42" t="s">
        <v>442</v>
      </c>
      <c r="E794" s="42" t="s">
        <v>453</v>
      </c>
      <c r="F794" s="42">
        <v>817602</v>
      </c>
      <c r="G794" s="48">
        <v>0</v>
      </c>
      <c r="H794" s="45">
        <v>1749.05</v>
      </c>
      <c r="I794" s="45">
        <f>SUMIFS('שכר 11.2024'!N:N,'שכר 11.2024'!C:C,C:C,'שכר 11.2024'!F:F,F:F)</f>
        <v>0</v>
      </c>
      <c r="J794" s="45">
        <f t="shared" si="44"/>
        <v>1749.05</v>
      </c>
      <c r="K794" s="61">
        <f t="shared" si="45"/>
        <v>1.0349999999999999</v>
      </c>
      <c r="L794" s="45">
        <f t="shared" si="46"/>
        <v>1810.2667499999998</v>
      </c>
      <c r="M794" s="45">
        <f t="shared" si="47"/>
        <v>0</v>
      </c>
    </row>
    <row r="795" spans="1:13" outlineLevel="2" x14ac:dyDescent="0.35">
      <c r="A795" s="42">
        <v>1817602110</v>
      </c>
      <c r="B795" s="42" t="str">
        <f>VLOOKUP(A795,'תקציב מפורט 2025'!A:O,2,FALSE)</f>
        <v>תרבות ואומנות שכר</v>
      </c>
      <c r="C795" s="42">
        <v>56993603</v>
      </c>
      <c r="D795" s="42" t="s">
        <v>1870</v>
      </c>
      <c r="E795" s="42" t="s">
        <v>1871</v>
      </c>
      <c r="F795" s="42">
        <v>817602</v>
      </c>
      <c r="G795" s="48">
        <v>167.8</v>
      </c>
      <c r="H795" s="45">
        <v>11514.77</v>
      </c>
      <c r="I795" s="45">
        <f>SUMIFS('שכר 11.2024'!N:N,'שכר 11.2024'!C:C,C:C,'שכר 11.2024'!F:F,F:F)</f>
        <v>0</v>
      </c>
      <c r="J795" s="45">
        <f t="shared" si="44"/>
        <v>11514.77</v>
      </c>
      <c r="K795" s="61">
        <f t="shared" si="45"/>
        <v>1.0349999999999999</v>
      </c>
      <c r="L795" s="45">
        <f t="shared" si="46"/>
        <v>11917.78695</v>
      </c>
      <c r="M795" s="45">
        <f t="shared" si="47"/>
        <v>0.15254545454545457</v>
      </c>
    </row>
    <row r="796" spans="1:13" outlineLevel="2" x14ac:dyDescent="0.35">
      <c r="A796" s="42">
        <v>1817602110</v>
      </c>
      <c r="B796" s="42" t="str">
        <f>VLOOKUP(A796,'תקציב מפורט 2025'!A:O,2,FALSE)</f>
        <v>תרבות ואומנות שכר</v>
      </c>
      <c r="C796" s="42">
        <v>208076687</v>
      </c>
      <c r="D796" s="42" t="s">
        <v>434</v>
      </c>
      <c r="E796" s="42" t="s">
        <v>872</v>
      </c>
      <c r="F796" s="42">
        <v>817602</v>
      </c>
      <c r="G796" s="48">
        <v>141.9</v>
      </c>
      <c r="H796" s="45">
        <v>1364.81</v>
      </c>
      <c r="I796" s="45">
        <f>SUMIFS('שכר 11.2024'!N:N,'שכר 11.2024'!C:C,C:C,'שכר 11.2024'!F:F,F:F)</f>
        <v>0</v>
      </c>
      <c r="J796" s="45">
        <f t="shared" si="44"/>
        <v>1364.81</v>
      </c>
      <c r="K796" s="61">
        <f t="shared" si="45"/>
        <v>1.0349999999999999</v>
      </c>
      <c r="L796" s="45">
        <f t="shared" si="46"/>
        <v>1412.5783499999998</v>
      </c>
      <c r="M796" s="45">
        <f t="shared" si="47"/>
        <v>0.129</v>
      </c>
    </row>
    <row r="797" spans="1:13" outlineLevel="2" x14ac:dyDescent="0.35">
      <c r="A797" s="42">
        <v>1817602110</v>
      </c>
      <c r="B797" s="42" t="str">
        <f>VLOOKUP(A797,'תקציב מפורט 2025'!A:O,2,FALSE)</f>
        <v>תרבות ואומנות שכר</v>
      </c>
      <c r="C797" s="42">
        <v>308435940</v>
      </c>
      <c r="D797" s="42" t="s">
        <v>1872</v>
      </c>
      <c r="E797" s="42" t="s">
        <v>1873</v>
      </c>
      <c r="F797" s="42">
        <v>817602</v>
      </c>
      <c r="G797" s="48">
        <v>0</v>
      </c>
      <c r="H797" s="45">
        <v>3753.49</v>
      </c>
      <c r="I797" s="45">
        <f>SUMIFS('שכר 11.2024'!N:N,'שכר 11.2024'!C:C,C:C,'שכר 11.2024'!F:F,F:F)</f>
        <v>2021.11</v>
      </c>
      <c r="J797" s="45">
        <f t="shared" si="44"/>
        <v>5774.5999999999995</v>
      </c>
      <c r="K797" s="61">
        <f t="shared" si="45"/>
        <v>1.0349999999999999</v>
      </c>
      <c r="L797" s="45">
        <f t="shared" si="46"/>
        <v>5976.7109999999993</v>
      </c>
      <c r="M797" s="45">
        <f t="shared" si="47"/>
        <v>0</v>
      </c>
    </row>
    <row r="798" spans="1:13" outlineLevel="1" x14ac:dyDescent="0.35">
      <c r="A798" s="63" t="s">
        <v>2023</v>
      </c>
      <c r="B798" s="63"/>
      <c r="C798" s="63"/>
      <c r="D798" s="63"/>
      <c r="E798" s="63"/>
      <c r="F798" s="63"/>
      <c r="G798" s="73">
        <f>SUBTOTAL(9,G793:G797)</f>
        <v>672.69999999999993</v>
      </c>
      <c r="H798" s="64">
        <f>SUBTOTAL(9,H793:H797)</f>
        <v>68425.760000000009</v>
      </c>
      <c r="I798" s="64">
        <f>SUBTOTAL(9,I793:I797)</f>
        <v>6497.28</v>
      </c>
      <c r="J798" s="64">
        <f>SUBTOTAL(9,J793:J797)</f>
        <v>74923.040000000008</v>
      </c>
      <c r="K798" s="65"/>
      <c r="L798" s="64">
        <f>SUBTOTAL(9,L793:L797)</f>
        <v>77545.34639999998</v>
      </c>
      <c r="M798" s="64">
        <f>SUBTOTAL(9,M793:M797)</f>
        <v>0.61154545454545461</v>
      </c>
    </row>
    <row r="799" spans="1:13" outlineLevel="2" x14ac:dyDescent="0.35">
      <c r="A799" s="42">
        <v>1817610110</v>
      </c>
      <c r="B799" s="42" t="str">
        <f>VLOOKUP(A799,'תקציב מפורט 2025'!A:O,2,FALSE)</f>
        <v>שכר אומץ</v>
      </c>
      <c r="C799" s="42">
        <v>206213407</v>
      </c>
      <c r="D799" s="42" t="s">
        <v>538</v>
      </c>
      <c r="E799" s="42" t="s">
        <v>1849</v>
      </c>
      <c r="F799" s="42">
        <v>817610</v>
      </c>
      <c r="G799" s="48">
        <v>290.3</v>
      </c>
      <c r="H799" s="45">
        <v>34819.43</v>
      </c>
      <c r="I799" s="45">
        <f>SUMIFS('שכר 11.2024'!N:N,'שכר 11.2024'!C:C,C:C,'שכר 11.2024'!F:F,F:F)</f>
        <v>4890.47</v>
      </c>
      <c r="J799" s="45">
        <f t="shared" si="44"/>
        <v>39709.9</v>
      </c>
      <c r="K799" s="61">
        <f t="shared" si="45"/>
        <v>1.0349999999999999</v>
      </c>
      <c r="L799" s="45">
        <f t="shared" si="46"/>
        <v>41099.746500000001</v>
      </c>
      <c r="M799" s="45">
        <f t="shared" si="47"/>
        <v>0.26390909090909093</v>
      </c>
    </row>
    <row r="800" spans="1:13" outlineLevel="2" x14ac:dyDescent="0.35">
      <c r="A800" s="42">
        <v>1817610110</v>
      </c>
      <c r="B800" s="42" t="str">
        <f>VLOOKUP(A800,'תקציב מפורט 2025'!A:O,2,FALSE)</f>
        <v>שכר אומץ</v>
      </c>
      <c r="C800" s="42">
        <v>207154774</v>
      </c>
      <c r="D800" s="42" t="s">
        <v>434</v>
      </c>
      <c r="E800" s="42" t="s">
        <v>550</v>
      </c>
      <c r="F800" s="42">
        <v>817610</v>
      </c>
      <c r="G800" s="48">
        <v>406.8</v>
      </c>
      <c r="H800" s="45">
        <v>39431.730000000003</v>
      </c>
      <c r="I800" s="45">
        <f>SUMIFS('שכר 11.2024'!N:N,'שכר 11.2024'!C:C,C:C,'שכר 11.2024'!F:F,F:F)</f>
        <v>4758</v>
      </c>
      <c r="J800" s="45">
        <f t="shared" si="44"/>
        <v>44189.73</v>
      </c>
      <c r="K800" s="61">
        <f t="shared" si="45"/>
        <v>1.0349999999999999</v>
      </c>
      <c r="L800" s="45">
        <f t="shared" si="46"/>
        <v>45736.37055</v>
      </c>
      <c r="M800" s="45">
        <f t="shared" si="47"/>
        <v>0.36981818181818182</v>
      </c>
    </row>
    <row r="801" spans="1:13" outlineLevel="2" x14ac:dyDescent="0.35">
      <c r="A801" s="42">
        <v>1817610110</v>
      </c>
      <c r="B801" s="42" t="str">
        <f>VLOOKUP(A801,'תקציב מפורט 2025'!A:O,2,FALSE)</f>
        <v>שכר אומץ</v>
      </c>
      <c r="C801" s="42">
        <v>308416031</v>
      </c>
      <c r="D801" s="42" t="s">
        <v>951</v>
      </c>
      <c r="E801" s="42" t="s">
        <v>920</v>
      </c>
      <c r="F801" s="42">
        <v>817610</v>
      </c>
      <c r="G801" s="48">
        <v>412.2</v>
      </c>
      <c r="H801" s="45">
        <v>109985.11</v>
      </c>
      <c r="I801" s="45">
        <f>SUMIFS('שכר 11.2024'!N:N,'שכר 11.2024'!C:C,C:C,'שכר 11.2024'!F:F,F:F)</f>
        <v>0</v>
      </c>
      <c r="J801" s="45">
        <f t="shared" si="44"/>
        <v>109985.11</v>
      </c>
      <c r="K801" s="61">
        <f t="shared" si="45"/>
        <v>1.0349999999999999</v>
      </c>
      <c r="L801" s="45">
        <f t="shared" si="46"/>
        <v>113834.58884999999</v>
      </c>
      <c r="M801" s="45">
        <f t="shared" si="47"/>
        <v>0.37472727272727274</v>
      </c>
    </row>
    <row r="802" spans="1:13" outlineLevel="1" x14ac:dyDescent="0.35">
      <c r="A802" s="63" t="s">
        <v>2024</v>
      </c>
      <c r="B802" s="63"/>
      <c r="C802" s="63"/>
      <c r="D802" s="63"/>
      <c r="E802" s="63"/>
      <c r="F802" s="63"/>
      <c r="G802" s="73">
        <f>SUBTOTAL(9,G799:G801)</f>
        <v>1109.3</v>
      </c>
      <c r="H802" s="64">
        <f>SUBTOTAL(9,H799:H801)</f>
        <v>184236.27000000002</v>
      </c>
      <c r="I802" s="64">
        <f>SUBTOTAL(9,I799:I801)</f>
        <v>9648.4700000000012</v>
      </c>
      <c r="J802" s="64">
        <f>SUBTOTAL(9,J799:J801)</f>
        <v>193884.74</v>
      </c>
      <c r="K802" s="65"/>
      <c r="L802" s="64">
        <f>SUBTOTAL(9,L799:L801)</f>
        <v>200670.7059</v>
      </c>
      <c r="M802" s="64">
        <f>SUBTOTAL(9,M799:M801)</f>
        <v>1.0084545454545455</v>
      </c>
    </row>
    <row r="803" spans="1:13" outlineLevel="2" x14ac:dyDescent="0.35">
      <c r="A803" s="42">
        <v>1817700110</v>
      </c>
      <c r="B803" s="42" t="str">
        <f>VLOOKUP(A803,'תקציב מפורט 2025'!A:O,2,FALSE)</f>
        <v>קב"סים משכורת</v>
      </c>
      <c r="C803" s="42">
        <v>36074698</v>
      </c>
      <c r="D803" s="42" t="s">
        <v>442</v>
      </c>
      <c r="E803" s="42" t="s">
        <v>1790</v>
      </c>
      <c r="F803" s="42">
        <v>817700</v>
      </c>
      <c r="G803" s="48">
        <v>906.4</v>
      </c>
      <c r="H803" s="45">
        <v>107141.65</v>
      </c>
      <c r="I803" s="45">
        <f>SUMIFS('שכר 11.2024'!N:N,'שכר 11.2024'!C:C,C:C,'שכר 11.2024'!F:F,F:F)</f>
        <v>9208.91</v>
      </c>
      <c r="J803" s="45">
        <f t="shared" si="44"/>
        <v>116350.56</v>
      </c>
      <c r="K803" s="61">
        <f t="shared" si="45"/>
        <v>1.0349999999999999</v>
      </c>
      <c r="L803" s="45">
        <f t="shared" si="46"/>
        <v>120422.82959999998</v>
      </c>
      <c r="M803" s="45">
        <f t="shared" si="47"/>
        <v>0.82399999999999995</v>
      </c>
    </row>
    <row r="804" spans="1:13" outlineLevel="2" x14ac:dyDescent="0.35">
      <c r="A804" s="42">
        <v>1817700110</v>
      </c>
      <c r="B804" s="42" t="str">
        <f>VLOOKUP(A804,'תקציב מפורט 2025'!A:O,2,FALSE)</f>
        <v>קב"סים משכורת</v>
      </c>
      <c r="C804" s="42">
        <v>43490911</v>
      </c>
      <c r="D804" s="42" t="s">
        <v>442</v>
      </c>
      <c r="E804" s="42" t="s">
        <v>453</v>
      </c>
      <c r="F804" s="42">
        <v>817700</v>
      </c>
      <c r="G804" s="48">
        <v>1100</v>
      </c>
      <c r="H804" s="45">
        <v>167086.21</v>
      </c>
      <c r="I804" s="45">
        <f>SUMIFS('שכר 11.2024'!N:N,'שכר 11.2024'!C:C,C:C,'שכר 11.2024'!F:F,F:F)</f>
        <v>14836.33</v>
      </c>
      <c r="J804" s="45">
        <f t="shared" si="44"/>
        <v>181922.53999999998</v>
      </c>
      <c r="K804" s="61">
        <f t="shared" si="45"/>
        <v>1.0349999999999999</v>
      </c>
      <c r="L804" s="45">
        <f t="shared" si="46"/>
        <v>188289.82889999996</v>
      </c>
      <c r="M804" s="45">
        <f t="shared" si="47"/>
        <v>1</v>
      </c>
    </row>
    <row r="805" spans="1:13" outlineLevel="2" x14ac:dyDescent="0.35">
      <c r="A805" s="42">
        <v>1817700110</v>
      </c>
      <c r="B805" s="42" t="str">
        <f>VLOOKUP(A805,'תקציב מפורט 2025'!A:O,2,FALSE)</f>
        <v>קב"סים משכורת</v>
      </c>
      <c r="C805" s="42">
        <v>59969980</v>
      </c>
      <c r="D805" s="42" t="s">
        <v>490</v>
      </c>
      <c r="E805" s="42" t="s">
        <v>489</v>
      </c>
      <c r="F805" s="42">
        <v>817700</v>
      </c>
      <c r="G805" s="48">
        <v>1100</v>
      </c>
      <c r="H805" s="45">
        <v>174163.37</v>
      </c>
      <c r="I805" s="45">
        <f>SUMIFS('שכר 11.2024'!N:N,'שכר 11.2024'!C:C,C:C,'שכר 11.2024'!F:F,F:F)</f>
        <v>14275.57</v>
      </c>
      <c r="J805" s="45">
        <f t="shared" si="44"/>
        <v>188438.94</v>
      </c>
      <c r="K805" s="61">
        <f t="shared" si="45"/>
        <v>1.0349999999999999</v>
      </c>
      <c r="L805" s="45">
        <f t="shared" si="46"/>
        <v>195034.30289999998</v>
      </c>
      <c r="M805" s="45">
        <f t="shared" si="47"/>
        <v>1</v>
      </c>
    </row>
    <row r="806" spans="1:13" outlineLevel="2" x14ac:dyDescent="0.35">
      <c r="A806" s="42">
        <v>1817700110</v>
      </c>
      <c r="B806" s="42" t="str">
        <f>VLOOKUP(A806,'תקציב מפורט 2025'!A:O,2,FALSE)</f>
        <v>קב"סים משכורת</v>
      </c>
      <c r="C806" s="42">
        <v>200926632</v>
      </c>
      <c r="D806" s="42" t="s">
        <v>446</v>
      </c>
      <c r="E806" s="42" t="s">
        <v>1791</v>
      </c>
      <c r="F806" s="42">
        <v>817700</v>
      </c>
      <c r="G806" s="48">
        <v>825</v>
      </c>
      <c r="H806" s="45">
        <v>101646.53</v>
      </c>
      <c r="I806" s="45">
        <f>SUMIFS('שכר 11.2024'!N:N,'שכר 11.2024'!C:C,C:C,'שכר 11.2024'!F:F,F:F)</f>
        <v>8985.23</v>
      </c>
      <c r="J806" s="45">
        <f t="shared" si="44"/>
        <v>110631.76</v>
      </c>
      <c r="K806" s="61">
        <f t="shared" si="45"/>
        <v>1.0349999999999999</v>
      </c>
      <c r="L806" s="45">
        <f t="shared" si="46"/>
        <v>114503.87159999998</v>
      </c>
      <c r="M806" s="45">
        <f t="shared" si="47"/>
        <v>0.75</v>
      </c>
    </row>
    <row r="807" spans="1:13" outlineLevel="2" x14ac:dyDescent="0.35">
      <c r="A807" s="42">
        <v>1817700110</v>
      </c>
      <c r="B807" s="42" t="str">
        <f>VLOOKUP(A807,'תקציב מפורט 2025'!A:O,2,FALSE)</f>
        <v>קב"סים משכורת</v>
      </c>
      <c r="C807" s="42">
        <v>208475525</v>
      </c>
      <c r="D807" s="42" t="s">
        <v>442</v>
      </c>
      <c r="E807" s="42" t="s">
        <v>931</v>
      </c>
      <c r="F807" s="42">
        <v>817700</v>
      </c>
      <c r="G807" s="48">
        <v>1000</v>
      </c>
      <c r="H807" s="45">
        <v>133319.19</v>
      </c>
      <c r="I807" s="45">
        <f>SUMIFS('שכר 11.2024'!N:N,'שכר 11.2024'!C:C,C:C,'שכר 11.2024'!F:F,F:F)</f>
        <v>12199.57</v>
      </c>
      <c r="J807" s="45">
        <f t="shared" si="44"/>
        <v>145518.76</v>
      </c>
      <c r="K807" s="61">
        <f t="shared" si="45"/>
        <v>1.0349999999999999</v>
      </c>
      <c r="L807" s="45">
        <f t="shared" si="46"/>
        <v>150611.9166</v>
      </c>
      <c r="M807" s="45">
        <f t="shared" si="47"/>
        <v>0.90909090909090906</v>
      </c>
    </row>
    <row r="808" spans="1:13" outlineLevel="1" x14ac:dyDescent="0.35">
      <c r="A808" s="63" t="s">
        <v>2025</v>
      </c>
      <c r="B808" s="63"/>
      <c r="C808" s="63"/>
      <c r="D808" s="63"/>
      <c r="E808" s="63"/>
      <c r="F808" s="63"/>
      <c r="G808" s="73">
        <f>SUBTOTAL(9,G803:G807)</f>
        <v>4931.3999999999996</v>
      </c>
      <c r="H808" s="64">
        <f>SUBTOTAL(9,H803:H807)</f>
        <v>683356.95</v>
      </c>
      <c r="I808" s="64">
        <f>SUBTOTAL(9,I803:I807)</f>
        <v>59505.609999999993</v>
      </c>
      <c r="J808" s="64">
        <f>SUBTOTAL(9,J803:J807)</f>
        <v>742862.55999999994</v>
      </c>
      <c r="K808" s="65"/>
      <c r="L808" s="64">
        <f>SUBTOTAL(9,L803:L807)</f>
        <v>768862.74959999986</v>
      </c>
      <c r="M808" s="64">
        <f>SUBTOTAL(9,M803:M807)</f>
        <v>4.483090909090909</v>
      </c>
    </row>
    <row r="809" spans="1:13" outlineLevel="2" x14ac:dyDescent="0.35">
      <c r="A809" s="42">
        <v>1817720110</v>
      </c>
      <c r="B809" s="42" t="str">
        <f>VLOOKUP(A809,'תקציב מפורט 2025'!A:O,2,FALSE)</f>
        <v>שכר תוכנית מנ"ע</v>
      </c>
      <c r="C809" s="42">
        <v>206043481</v>
      </c>
      <c r="D809" s="42" t="s">
        <v>1709</v>
      </c>
      <c r="E809" s="42" t="s">
        <v>543</v>
      </c>
      <c r="F809" s="42">
        <v>817720</v>
      </c>
      <c r="G809" s="48">
        <v>225.9</v>
      </c>
      <c r="H809" s="45">
        <v>23988.74</v>
      </c>
      <c r="I809" s="45">
        <f>SUMIFS('שכר 11.2024'!N:N,'שכר 11.2024'!C:C,C:C,'שכר 11.2024'!F:F,F:F)</f>
        <v>0</v>
      </c>
      <c r="J809" s="45">
        <f t="shared" si="44"/>
        <v>23988.74</v>
      </c>
      <c r="K809" s="61">
        <f t="shared" si="45"/>
        <v>1.0349999999999999</v>
      </c>
      <c r="L809" s="45">
        <f t="shared" si="46"/>
        <v>24828.3459</v>
      </c>
      <c r="M809" s="45">
        <f t="shared" si="47"/>
        <v>0.20536363636363636</v>
      </c>
    </row>
    <row r="810" spans="1:13" outlineLevel="2" x14ac:dyDescent="0.35">
      <c r="A810" s="42">
        <v>1817720110</v>
      </c>
      <c r="B810" s="42" t="str">
        <f>VLOOKUP(A810,'תקציב מפורט 2025'!A:O,2,FALSE)</f>
        <v>שכר תוכנית מנ"ע</v>
      </c>
      <c r="C810" s="42">
        <v>208591396</v>
      </c>
      <c r="D810" s="42" t="s">
        <v>434</v>
      </c>
      <c r="E810" s="42" t="s">
        <v>449</v>
      </c>
      <c r="F810" s="42">
        <v>817720</v>
      </c>
      <c r="G810" s="48">
        <v>132.19999999999999</v>
      </c>
      <c r="H810" s="45">
        <v>16590.87</v>
      </c>
      <c r="I810" s="45">
        <f>SUMIFS('שכר 11.2024'!N:N,'שכר 11.2024'!C:C,C:C,'שכר 11.2024'!F:F,F:F)</f>
        <v>5596.92</v>
      </c>
      <c r="J810" s="45">
        <f t="shared" si="44"/>
        <v>22187.79</v>
      </c>
      <c r="K810" s="61">
        <f t="shared" si="45"/>
        <v>1.0349999999999999</v>
      </c>
      <c r="L810" s="45">
        <f t="shared" si="46"/>
        <v>22964.362649999999</v>
      </c>
      <c r="M810" s="45">
        <f t="shared" si="47"/>
        <v>0.12018181818181817</v>
      </c>
    </row>
    <row r="811" spans="1:13" outlineLevel="1" x14ac:dyDescent="0.35">
      <c r="A811" s="63" t="s">
        <v>2026</v>
      </c>
      <c r="B811" s="63"/>
      <c r="C811" s="63"/>
      <c r="D811" s="63"/>
      <c r="E811" s="63"/>
      <c r="F811" s="63"/>
      <c r="G811" s="73">
        <f>SUBTOTAL(9,G809:G810)</f>
        <v>358.1</v>
      </c>
      <c r="H811" s="64">
        <f>SUBTOTAL(9,H809:H810)</f>
        <v>40579.61</v>
      </c>
      <c r="I811" s="64">
        <f>SUBTOTAL(9,I809:I810)</f>
        <v>5596.92</v>
      </c>
      <c r="J811" s="64">
        <f>SUBTOTAL(9,J809:J810)</f>
        <v>46176.53</v>
      </c>
      <c r="K811" s="65"/>
      <c r="L811" s="64">
        <f>SUBTOTAL(9,L809:L810)</f>
        <v>47792.708549999996</v>
      </c>
      <c r="M811" s="64">
        <f>SUBTOTAL(9,M809:M810)</f>
        <v>0.32554545454545453</v>
      </c>
    </row>
    <row r="812" spans="1:13" outlineLevel="2" x14ac:dyDescent="0.35">
      <c r="A812" s="42">
        <v>1817800110</v>
      </c>
      <c r="B812" s="42" t="str">
        <f>VLOOKUP(A812,'תקציב מפורט 2025'!A:O,2,FALSE)</f>
        <v>מלווים -משכורת</v>
      </c>
      <c r="C812" s="42">
        <v>21563044</v>
      </c>
      <c r="D812" s="42" t="s">
        <v>439</v>
      </c>
      <c r="E812" s="42" t="s">
        <v>547</v>
      </c>
      <c r="F812" s="42">
        <v>817800</v>
      </c>
      <c r="G812" s="48">
        <v>685</v>
      </c>
      <c r="H812" s="45">
        <v>50606.58</v>
      </c>
      <c r="I812" s="45">
        <f>SUMIFS('שכר 11.2024'!N:N,'שכר 11.2024'!C:C,C:C,'שכר 11.2024'!F:F,F:F)</f>
        <v>4206.72</v>
      </c>
      <c r="J812" s="45">
        <f t="shared" si="44"/>
        <v>54813.3</v>
      </c>
      <c r="K812" s="61">
        <f t="shared" si="45"/>
        <v>1.0349999999999999</v>
      </c>
      <c r="L812" s="45">
        <f t="shared" si="46"/>
        <v>56731.765500000001</v>
      </c>
      <c r="M812" s="45">
        <f t="shared" si="47"/>
        <v>0.62272727272727268</v>
      </c>
    </row>
    <row r="813" spans="1:13" outlineLevel="2" x14ac:dyDescent="0.35">
      <c r="A813" s="42">
        <v>1817800110</v>
      </c>
      <c r="B813" s="42" t="str">
        <f>VLOOKUP(A813,'תקציב מפורט 2025'!A:O,2,FALSE)</f>
        <v>מלווים -משכורת</v>
      </c>
      <c r="C813" s="42">
        <v>24787194</v>
      </c>
      <c r="D813" s="42" t="s">
        <v>442</v>
      </c>
      <c r="E813" s="42" t="s">
        <v>1792</v>
      </c>
      <c r="F813" s="42">
        <v>817800</v>
      </c>
      <c r="G813" s="48">
        <v>521.70000000000005</v>
      </c>
      <c r="H813" s="45">
        <v>44265.2</v>
      </c>
      <c r="I813" s="45">
        <f>SUMIFS('שכר 11.2024'!N:N,'שכר 11.2024'!C:C,C:C,'שכר 11.2024'!F:F,F:F)</f>
        <v>3796.25</v>
      </c>
      <c r="J813" s="45">
        <f t="shared" si="44"/>
        <v>48061.45</v>
      </c>
      <c r="K813" s="61">
        <f t="shared" si="45"/>
        <v>1.0349999999999999</v>
      </c>
      <c r="L813" s="45">
        <f t="shared" si="46"/>
        <v>49743.600749999991</v>
      </c>
      <c r="M813" s="45">
        <f t="shared" si="47"/>
        <v>0.47427272727272729</v>
      </c>
    </row>
    <row r="814" spans="1:13" outlineLevel="2" x14ac:dyDescent="0.35">
      <c r="A814" s="42">
        <v>1817800110</v>
      </c>
      <c r="B814" s="42" t="str">
        <f>VLOOKUP(A814,'תקציב מפורט 2025'!A:O,2,FALSE)</f>
        <v>מלווים -משכורת</v>
      </c>
      <c r="C814" s="42">
        <v>39501432</v>
      </c>
      <c r="D814" s="42" t="s">
        <v>442</v>
      </c>
      <c r="E814" s="42" t="s">
        <v>1793</v>
      </c>
      <c r="F814" s="42">
        <v>817800</v>
      </c>
      <c r="G814" s="48">
        <v>821.2</v>
      </c>
      <c r="H814" s="45">
        <v>60670.98</v>
      </c>
      <c r="I814" s="45">
        <f>SUMIFS('שכר 11.2024'!N:N,'שכר 11.2024'!C:C,C:C,'שכר 11.2024'!F:F,F:F)</f>
        <v>5180.0200000000004</v>
      </c>
      <c r="J814" s="45">
        <f t="shared" si="44"/>
        <v>65851</v>
      </c>
      <c r="K814" s="61">
        <f t="shared" si="45"/>
        <v>1.0349999999999999</v>
      </c>
      <c r="L814" s="45">
        <f t="shared" si="46"/>
        <v>68155.784999999989</v>
      </c>
      <c r="M814" s="45">
        <f t="shared" si="47"/>
        <v>0.74654545454545462</v>
      </c>
    </row>
    <row r="815" spans="1:13" outlineLevel="2" x14ac:dyDescent="0.35">
      <c r="A815" s="42">
        <v>1817800110</v>
      </c>
      <c r="B815" s="42" t="str">
        <f>VLOOKUP(A815,'תקציב מפורט 2025'!A:O,2,FALSE)</f>
        <v>מלווים -משכורת</v>
      </c>
      <c r="C815" s="42">
        <v>40502916</v>
      </c>
      <c r="D815" s="42" t="s">
        <v>490</v>
      </c>
      <c r="E815" s="42" t="s">
        <v>1794</v>
      </c>
      <c r="F815" s="42">
        <v>817800</v>
      </c>
      <c r="G815" s="48">
        <v>827.2</v>
      </c>
      <c r="H815" s="45">
        <v>65300.6</v>
      </c>
      <c r="I815" s="45">
        <f>SUMIFS('שכר 11.2024'!N:N,'שכר 11.2024'!C:C,C:C,'שכר 11.2024'!F:F,F:F)</f>
        <v>5953.21</v>
      </c>
      <c r="J815" s="45">
        <f t="shared" si="44"/>
        <v>71253.81</v>
      </c>
      <c r="K815" s="61">
        <f t="shared" si="45"/>
        <v>1.0349999999999999</v>
      </c>
      <c r="L815" s="45">
        <f t="shared" si="46"/>
        <v>73747.693349999987</v>
      </c>
      <c r="M815" s="45">
        <f t="shared" si="47"/>
        <v>0.752</v>
      </c>
    </row>
    <row r="816" spans="1:13" outlineLevel="2" x14ac:dyDescent="0.35">
      <c r="A816" s="42">
        <v>1817800110</v>
      </c>
      <c r="B816" s="42" t="str">
        <f>VLOOKUP(A816,'תקציב מפורט 2025'!A:O,2,FALSE)</f>
        <v>מלווים -משכורת</v>
      </c>
      <c r="C816" s="42">
        <v>58975780</v>
      </c>
      <c r="D816" s="42" t="s">
        <v>446</v>
      </c>
      <c r="E816" s="42" t="s">
        <v>482</v>
      </c>
      <c r="F816" s="42">
        <v>817800</v>
      </c>
      <c r="G816" s="48">
        <v>0</v>
      </c>
      <c r="H816" s="45">
        <v>46132.800000000003</v>
      </c>
      <c r="I816" s="45">
        <f>SUMIFS('שכר 11.2024'!N:N,'שכר 11.2024'!C:C,C:C,'שכר 11.2024'!F:F,F:F)</f>
        <v>4023.96</v>
      </c>
      <c r="J816" s="45">
        <f t="shared" ref="J816:J881" si="48">H816+I816</f>
        <v>50156.76</v>
      </c>
      <c r="K816" s="61">
        <f t="shared" ref="K816:K881" si="49">3.5/100+1</f>
        <v>1.0349999999999999</v>
      </c>
      <c r="L816" s="45">
        <f t="shared" ref="L816:L881" si="50">J816*K816</f>
        <v>51912.246599999999</v>
      </c>
      <c r="M816" s="45">
        <f t="shared" ref="M816:M881" si="51">G816/1100</f>
        <v>0</v>
      </c>
    </row>
    <row r="817" spans="1:13" outlineLevel="2" x14ac:dyDescent="0.35">
      <c r="A817" s="42">
        <v>1817800110</v>
      </c>
      <c r="B817" s="42" t="str">
        <f>VLOOKUP(A817,'תקציב מפורט 2025'!A:O,2,FALSE)</f>
        <v>מלווים -משכורת</v>
      </c>
      <c r="C817" s="42">
        <v>59478461</v>
      </c>
      <c r="D817" s="42" t="s">
        <v>434</v>
      </c>
      <c r="E817" s="42" t="s">
        <v>496</v>
      </c>
      <c r="F817" s="42">
        <v>817800</v>
      </c>
      <c r="G817" s="48">
        <v>0</v>
      </c>
      <c r="H817" s="45">
        <v>87684.93</v>
      </c>
      <c r="I817" s="45">
        <f>SUMIFS('שכר 11.2024'!N:N,'שכר 11.2024'!C:C,C:C,'שכר 11.2024'!F:F,F:F)</f>
        <v>7309</v>
      </c>
      <c r="J817" s="45">
        <f t="shared" si="48"/>
        <v>94993.93</v>
      </c>
      <c r="K817" s="61">
        <f t="shared" si="49"/>
        <v>1.0349999999999999</v>
      </c>
      <c r="L817" s="45">
        <f t="shared" si="50"/>
        <v>98318.717549999987</v>
      </c>
      <c r="M817" s="45">
        <f t="shared" si="51"/>
        <v>0</v>
      </c>
    </row>
    <row r="818" spans="1:13" outlineLevel="2" x14ac:dyDescent="0.35">
      <c r="A818" s="42">
        <v>1817800110</v>
      </c>
      <c r="B818" s="42" t="str">
        <f>VLOOKUP(A818,'תקציב מפורט 2025'!A:O,2,FALSE)</f>
        <v>מלווים -משכורת</v>
      </c>
      <c r="C818" s="42">
        <v>200635415</v>
      </c>
      <c r="D818" s="42" t="s">
        <v>504</v>
      </c>
      <c r="E818" s="42" t="s">
        <v>1795</v>
      </c>
      <c r="F818" s="42">
        <v>817800</v>
      </c>
      <c r="G818" s="48">
        <v>552.4</v>
      </c>
      <c r="H818" s="45">
        <v>37725.21</v>
      </c>
      <c r="I818" s="45">
        <f>SUMIFS('שכר 11.2024'!N:N,'שכר 11.2024'!C:C,C:C,'שכר 11.2024'!F:F,F:F)</f>
        <v>3586.92</v>
      </c>
      <c r="J818" s="45">
        <f t="shared" si="48"/>
        <v>41312.129999999997</v>
      </c>
      <c r="K818" s="61">
        <f t="shared" si="49"/>
        <v>1.0349999999999999</v>
      </c>
      <c r="L818" s="45">
        <f t="shared" si="50"/>
        <v>42758.054549999993</v>
      </c>
      <c r="M818" s="45">
        <f t="shared" si="51"/>
        <v>0.50218181818181817</v>
      </c>
    </row>
    <row r="819" spans="1:13" outlineLevel="2" x14ac:dyDescent="0.35">
      <c r="A819" s="42">
        <v>1817800110</v>
      </c>
      <c r="B819" s="42" t="str">
        <f>VLOOKUP(A819,'תקציב מפורט 2025'!A:O,2,FALSE)</f>
        <v>מלווים -משכורת</v>
      </c>
      <c r="C819" s="42">
        <v>206888034</v>
      </c>
      <c r="D819" s="42" t="s">
        <v>434</v>
      </c>
      <c r="E819" s="42" t="s">
        <v>840</v>
      </c>
      <c r="F819" s="42">
        <v>817800</v>
      </c>
      <c r="G819" s="48">
        <v>114.7</v>
      </c>
      <c r="H819" s="45">
        <v>9092.14</v>
      </c>
      <c r="I819" s="45">
        <f>SUMIFS('שכר 11.2024'!N:N,'שכר 11.2024'!C:C,C:C,'שכר 11.2024'!F:F,F:F)</f>
        <v>2467.21</v>
      </c>
      <c r="J819" s="45">
        <f t="shared" si="48"/>
        <v>11559.349999999999</v>
      </c>
      <c r="K819" s="61">
        <f t="shared" si="49"/>
        <v>1.0349999999999999</v>
      </c>
      <c r="L819" s="45">
        <f t="shared" si="50"/>
        <v>11963.927249999997</v>
      </c>
      <c r="M819" s="45">
        <f t="shared" si="51"/>
        <v>0.10427272727272728</v>
      </c>
    </row>
    <row r="820" spans="1:13" outlineLevel="2" x14ac:dyDescent="0.35">
      <c r="A820" s="42">
        <v>1817800110</v>
      </c>
      <c r="B820" s="42" t="str">
        <f>VLOOKUP(A820,'תקציב מפורט 2025'!A:O,2,FALSE)</f>
        <v>מלווים -משכורת</v>
      </c>
      <c r="C820" s="42">
        <v>213752660</v>
      </c>
      <c r="D820" s="42" t="s">
        <v>448</v>
      </c>
      <c r="E820" s="42" t="s">
        <v>1796</v>
      </c>
      <c r="F820" s="42">
        <v>817800</v>
      </c>
      <c r="G820" s="48">
        <v>118.1</v>
      </c>
      <c r="H820" s="45">
        <v>11100.64</v>
      </c>
      <c r="I820" s="45">
        <f>SUMIFS('שכר 11.2024'!N:N,'שכר 11.2024'!C:C,C:C,'שכר 11.2024'!F:F,F:F)</f>
        <v>564.12</v>
      </c>
      <c r="J820" s="45">
        <f t="shared" si="48"/>
        <v>11664.76</v>
      </c>
      <c r="K820" s="61">
        <f t="shared" si="49"/>
        <v>1.0349999999999999</v>
      </c>
      <c r="L820" s="45">
        <f t="shared" si="50"/>
        <v>12073.026599999999</v>
      </c>
      <c r="M820" s="45">
        <f t="shared" si="51"/>
        <v>0.10736363636363636</v>
      </c>
    </row>
    <row r="821" spans="1:13" outlineLevel="2" x14ac:dyDescent="0.35">
      <c r="A821" s="42">
        <v>1817800110</v>
      </c>
      <c r="B821" s="42" t="str">
        <f>VLOOKUP(A821,'תקציב מפורט 2025'!A:O,2,FALSE)</f>
        <v>מלווים -משכורת</v>
      </c>
      <c r="C821" s="42">
        <v>215388323</v>
      </c>
      <c r="D821" s="42" t="s">
        <v>448</v>
      </c>
      <c r="E821" s="42" t="s">
        <v>1797</v>
      </c>
      <c r="F821" s="42">
        <v>817800</v>
      </c>
      <c r="G821" s="48">
        <v>334.9</v>
      </c>
      <c r="H821" s="45">
        <v>24625.84</v>
      </c>
      <c r="I821" s="45">
        <f>SUMIFS('שכר 11.2024'!N:N,'שכר 11.2024'!C:C,C:C,'שכר 11.2024'!F:F,F:F)</f>
        <v>2997.43</v>
      </c>
      <c r="J821" s="45">
        <f t="shared" si="48"/>
        <v>27623.27</v>
      </c>
      <c r="K821" s="61">
        <f t="shared" si="49"/>
        <v>1.0349999999999999</v>
      </c>
      <c r="L821" s="45">
        <f t="shared" si="50"/>
        <v>28590.084449999998</v>
      </c>
      <c r="M821" s="45">
        <f t="shared" si="51"/>
        <v>0.30445454545454542</v>
      </c>
    </row>
    <row r="822" spans="1:13" outlineLevel="2" x14ac:dyDescent="0.35">
      <c r="A822" s="42">
        <v>1817800110</v>
      </c>
      <c r="B822" s="42" t="str">
        <f>VLOOKUP(A822,'תקציב מפורט 2025'!A:O,2,FALSE)</f>
        <v>מלווים -משכורת</v>
      </c>
      <c r="C822" s="42">
        <v>301756581</v>
      </c>
      <c r="D822" s="42" t="s">
        <v>1723</v>
      </c>
      <c r="E822" s="42" t="s">
        <v>473</v>
      </c>
      <c r="F822" s="42">
        <v>817800</v>
      </c>
      <c r="G822" s="48">
        <v>0</v>
      </c>
      <c r="H822" s="45">
        <v>152.13</v>
      </c>
      <c r="I822" s="45">
        <f>SUMIFS('שכר 11.2024'!N:N,'שכר 11.2024'!C:C,C:C,'שכר 11.2024'!F:F,F:F)</f>
        <v>0</v>
      </c>
      <c r="J822" s="45">
        <f t="shared" si="48"/>
        <v>152.13</v>
      </c>
      <c r="K822" s="61">
        <f t="shared" si="49"/>
        <v>1.0349999999999999</v>
      </c>
      <c r="L822" s="45">
        <f t="shared" si="50"/>
        <v>157.45454999999998</v>
      </c>
      <c r="M822" s="45">
        <f t="shared" si="51"/>
        <v>0</v>
      </c>
    </row>
    <row r="823" spans="1:13" outlineLevel="2" x14ac:dyDescent="0.35">
      <c r="A823" s="42">
        <v>1817800110</v>
      </c>
      <c r="B823" s="42" t="str">
        <f>VLOOKUP(A823,'תקציב מפורט 2025'!A:O,2,FALSE)</f>
        <v>מלווים -משכורת</v>
      </c>
      <c r="C823" s="42">
        <v>308351204</v>
      </c>
      <c r="D823" s="42" t="s">
        <v>442</v>
      </c>
      <c r="E823" s="42" t="s">
        <v>480</v>
      </c>
      <c r="F823" s="42">
        <v>817800</v>
      </c>
      <c r="G823" s="48">
        <v>402.9</v>
      </c>
      <c r="H823" s="45">
        <v>26477.95</v>
      </c>
      <c r="I823" s="45">
        <f>SUMIFS('שכר 11.2024'!N:N,'שכר 11.2024'!C:C,C:C,'שכר 11.2024'!F:F,F:F)</f>
        <v>4132.74</v>
      </c>
      <c r="J823" s="45">
        <f t="shared" si="48"/>
        <v>30610.690000000002</v>
      </c>
      <c r="K823" s="61">
        <f t="shared" si="49"/>
        <v>1.0349999999999999</v>
      </c>
      <c r="L823" s="45">
        <f t="shared" si="50"/>
        <v>31682.064149999998</v>
      </c>
      <c r="M823" s="45">
        <f t="shared" si="51"/>
        <v>0.36627272727272725</v>
      </c>
    </row>
    <row r="824" spans="1:13" outlineLevel="2" x14ac:dyDescent="0.35">
      <c r="A824" s="42">
        <v>1817800110</v>
      </c>
      <c r="B824" s="42" t="str">
        <f>VLOOKUP(A824,'תקציב מפורט 2025'!A:O,2,FALSE)</f>
        <v>מלווים -משכורת</v>
      </c>
      <c r="C824" s="42">
        <v>312428485</v>
      </c>
      <c r="D824" s="42" t="s">
        <v>434</v>
      </c>
      <c r="E824" s="42" t="s">
        <v>1798</v>
      </c>
      <c r="F824" s="42">
        <v>817800</v>
      </c>
      <c r="G824" s="48">
        <v>415</v>
      </c>
      <c r="H824" s="45">
        <v>30672.1</v>
      </c>
      <c r="I824" s="45">
        <f>SUMIFS('שכר 11.2024'!N:N,'שכר 11.2024'!C:C,C:C,'שכר 11.2024'!F:F,F:F)</f>
        <v>2069.09</v>
      </c>
      <c r="J824" s="45">
        <f t="shared" si="48"/>
        <v>32741.19</v>
      </c>
      <c r="K824" s="61">
        <f t="shared" si="49"/>
        <v>1.0349999999999999</v>
      </c>
      <c r="L824" s="45">
        <f t="shared" si="50"/>
        <v>33887.131649999996</v>
      </c>
      <c r="M824" s="45">
        <f t="shared" si="51"/>
        <v>0.37727272727272726</v>
      </c>
    </row>
    <row r="825" spans="1:13" outlineLevel="2" x14ac:dyDescent="0.35">
      <c r="A825" s="42">
        <v>1817800110</v>
      </c>
      <c r="B825" s="42" t="str">
        <f>VLOOKUP(A825,'תקציב מפורט 2025'!A:O,2,FALSE)</f>
        <v>מלווים -משכורת</v>
      </c>
      <c r="C825" s="42">
        <v>318360484</v>
      </c>
      <c r="D825" s="42" t="s">
        <v>875</v>
      </c>
      <c r="E825" s="42" t="s">
        <v>899</v>
      </c>
      <c r="F825" s="42">
        <v>817800</v>
      </c>
      <c r="G825" s="48">
        <v>156.4</v>
      </c>
      <c r="H825" s="45">
        <v>46866.43</v>
      </c>
      <c r="I825" s="45">
        <f>SUMIFS('שכר 11.2024'!N:N,'שכר 11.2024'!C:C,C:C,'שכר 11.2024'!F:F,F:F)</f>
        <v>0</v>
      </c>
      <c r="J825" s="45">
        <f t="shared" si="48"/>
        <v>46866.43</v>
      </c>
      <c r="K825" s="61">
        <f t="shared" si="49"/>
        <v>1.0349999999999999</v>
      </c>
      <c r="L825" s="45">
        <f t="shared" si="50"/>
        <v>48506.75505</v>
      </c>
      <c r="M825" s="45">
        <f t="shared" si="51"/>
        <v>0.14218181818181819</v>
      </c>
    </row>
    <row r="826" spans="1:13" outlineLevel="2" x14ac:dyDescent="0.35">
      <c r="A826" s="42">
        <v>1817800110</v>
      </c>
      <c r="B826" s="42" t="str">
        <f>VLOOKUP(A826,'תקציב מפורט 2025'!A:O,2,FALSE)</f>
        <v>מלווים -משכורת</v>
      </c>
      <c r="C826" s="42">
        <v>318767969</v>
      </c>
      <c r="D826" s="42" t="s">
        <v>434</v>
      </c>
      <c r="E826" s="42" t="s">
        <v>900</v>
      </c>
      <c r="F826" s="42">
        <v>817800</v>
      </c>
      <c r="G826" s="48">
        <v>436</v>
      </c>
      <c r="H826" s="45">
        <v>47389.83</v>
      </c>
      <c r="I826" s="45">
        <f>SUMIFS('שכר 11.2024'!N:N,'שכר 11.2024'!C:C,C:C,'שכר 11.2024'!F:F,F:F)</f>
        <v>4704.7299999999996</v>
      </c>
      <c r="J826" s="45">
        <f t="shared" si="48"/>
        <v>52094.559999999998</v>
      </c>
      <c r="K826" s="61">
        <f t="shared" si="49"/>
        <v>1.0349999999999999</v>
      </c>
      <c r="L826" s="45">
        <f t="shared" si="50"/>
        <v>53917.869599999991</v>
      </c>
      <c r="M826" s="45">
        <f t="shared" si="51"/>
        <v>0.39636363636363636</v>
      </c>
    </row>
    <row r="827" spans="1:13" outlineLevel="2" x14ac:dyDescent="0.35">
      <c r="A827" s="42">
        <v>1817800110</v>
      </c>
      <c r="B827" s="42" t="str">
        <f>VLOOKUP(A827,'תקציב מפורט 2025'!A:O,2,FALSE)</f>
        <v>מלווים -משכורת</v>
      </c>
      <c r="C827" s="42">
        <v>325041051</v>
      </c>
      <c r="D827" s="42" t="s">
        <v>442</v>
      </c>
      <c r="E827" s="42" t="s">
        <v>443</v>
      </c>
      <c r="F827" s="42">
        <v>817800</v>
      </c>
      <c r="G827" s="48">
        <v>542.1</v>
      </c>
      <c r="H827" s="45">
        <v>46386.5</v>
      </c>
      <c r="I827" s="45">
        <f>SUMIFS('שכר 11.2024'!N:N,'שכר 11.2024'!C:C,C:C,'שכר 11.2024'!F:F,F:F)</f>
        <v>3796.25</v>
      </c>
      <c r="J827" s="45">
        <f t="shared" si="48"/>
        <v>50182.75</v>
      </c>
      <c r="K827" s="61">
        <f t="shared" si="49"/>
        <v>1.0349999999999999</v>
      </c>
      <c r="L827" s="45">
        <f t="shared" si="50"/>
        <v>51939.146249999998</v>
      </c>
      <c r="M827" s="45">
        <f t="shared" si="51"/>
        <v>0.49281818181818182</v>
      </c>
    </row>
    <row r="828" spans="1:13" outlineLevel="1" x14ac:dyDescent="0.35">
      <c r="A828" s="63" t="s">
        <v>2027</v>
      </c>
      <c r="B828" s="63"/>
      <c r="C828" s="63"/>
      <c r="D828" s="63"/>
      <c r="E828" s="63"/>
      <c r="F828" s="63"/>
      <c r="G828" s="73">
        <f>SUBTOTAL(9,G812:G827)</f>
        <v>5927.6</v>
      </c>
      <c r="H828" s="64">
        <f>SUBTOTAL(9,H812:H827)</f>
        <v>635149.8600000001</v>
      </c>
      <c r="I828" s="64">
        <f>SUBTOTAL(9,I812:I827)</f>
        <v>54787.649999999994</v>
      </c>
      <c r="J828" s="64">
        <f>SUBTOTAL(9,J812:J827)</f>
        <v>689937.51</v>
      </c>
      <c r="K828" s="65"/>
      <c r="L828" s="64">
        <f>SUBTOTAL(9,L812:L827)</f>
        <v>714085.32285</v>
      </c>
      <c r="M828" s="64">
        <f>SUBTOTAL(9,M812:M827)</f>
        <v>5.3887272727272721</v>
      </c>
    </row>
    <row r="829" spans="1:13" outlineLevel="2" x14ac:dyDescent="0.35">
      <c r="A829" s="42">
        <v>1817900110</v>
      </c>
      <c r="B829" s="42" t="str">
        <f>VLOOKUP(A829,'תקציב מפורט 2025'!A:O,2,FALSE)</f>
        <v>שכר קב"ס</v>
      </c>
      <c r="C829" s="42">
        <v>204581870</v>
      </c>
      <c r="D829" s="42" t="s">
        <v>442</v>
      </c>
      <c r="E829" s="42" t="s">
        <v>480</v>
      </c>
      <c r="F829" s="42">
        <v>817900</v>
      </c>
      <c r="G829" s="48">
        <v>0</v>
      </c>
      <c r="H829" s="45">
        <v>6109.66</v>
      </c>
      <c r="I829" s="45">
        <f>SUMIFS('שכר 11.2024'!N:N,'שכר 11.2024'!C:C,C:C,'שכר 11.2024'!F:F,F:F)</f>
        <v>2812.8</v>
      </c>
      <c r="J829" s="45">
        <f t="shared" si="48"/>
        <v>8922.4599999999991</v>
      </c>
      <c r="K829" s="61">
        <f t="shared" si="49"/>
        <v>1.0349999999999999</v>
      </c>
      <c r="L829" s="45">
        <f t="shared" si="50"/>
        <v>9234.7460999999985</v>
      </c>
      <c r="M829" s="45">
        <f t="shared" si="51"/>
        <v>0</v>
      </c>
    </row>
    <row r="830" spans="1:13" outlineLevel="2" x14ac:dyDescent="0.35">
      <c r="A830" s="42">
        <v>1817900110</v>
      </c>
      <c r="B830" s="42" t="str">
        <f>VLOOKUP(A830,'תקציב מפורט 2025'!A:O,2,FALSE)</f>
        <v>שכר קב"ס</v>
      </c>
      <c r="C830" s="42">
        <v>205957921</v>
      </c>
      <c r="D830" s="42" t="s">
        <v>875</v>
      </c>
      <c r="E830" s="42" t="s">
        <v>876</v>
      </c>
      <c r="F830" s="42">
        <v>817900</v>
      </c>
      <c r="G830" s="48">
        <v>0</v>
      </c>
      <c r="H830" s="45">
        <v>4698.33</v>
      </c>
      <c r="I830" s="45">
        <f>SUMIFS('שכר 11.2024'!N:N,'שכר 11.2024'!C:C,C:C,'שכר 11.2024'!F:F,F:F)</f>
        <v>700.63</v>
      </c>
      <c r="J830" s="45">
        <f t="shared" si="48"/>
        <v>5398.96</v>
      </c>
      <c r="K830" s="61">
        <f t="shared" si="49"/>
        <v>1.0349999999999999</v>
      </c>
      <c r="L830" s="45">
        <f t="shared" si="50"/>
        <v>5587.9235999999992</v>
      </c>
      <c r="M830" s="45">
        <f t="shared" si="51"/>
        <v>0</v>
      </c>
    </row>
    <row r="831" spans="1:13" outlineLevel="2" x14ac:dyDescent="0.35">
      <c r="A831" s="42">
        <v>1817900110</v>
      </c>
      <c r="B831" s="42" t="str">
        <f>VLOOKUP(A831,'תקציב מפורט 2025'!A:O,2,FALSE)</f>
        <v>שכר קב"ס</v>
      </c>
      <c r="C831" s="42">
        <v>305254310</v>
      </c>
      <c r="D831" s="42" t="s">
        <v>434</v>
      </c>
      <c r="E831" s="42" t="s">
        <v>952</v>
      </c>
      <c r="F831" s="42">
        <v>817900</v>
      </c>
      <c r="G831" s="48">
        <v>296.60000000000002</v>
      </c>
      <c r="H831" s="45">
        <v>46881.599999999999</v>
      </c>
      <c r="I831" s="45">
        <f>SUMIFS('שכר 11.2024'!N:N,'שכר 11.2024'!C:C,C:C,'שכר 11.2024'!F:F,F:F)</f>
        <v>0</v>
      </c>
      <c r="J831" s="45">
        <f t="shared" si="48"/>
        <v>46881.599999999999</v>
      </c>
      <c r="K831" s="61">
        <f t="shared" si="49"/>
        <v>1.0349999999999999</v>
      </c>
      <c r="L831" s="45">
        <f t="shared" si="50"/>
        <v>48522.455999999998</v>
      </c>
      <c r="M831" s="45">
        <f t="shared" si="51"/>
        <v>0.26963636363636367</v>
      </c>
    </row>
    <row r="832" spans="1:13" outlineLevel="2" x14ac:dyDescent="0.35">
      <c r="A832" s="42">
        <v>1817900110</v>
      </c>
      <c r="B832" s="42" t="str">
        <f>VLOOKUP(A832,'תקציב מפורט 2025'!A:O,2,FALSE)</f>
        <v>שכר קב"ס</v>
      </c>
      <c r="C832" s="42">
        <v>308183078</v>
      </c>
      <c r="D832" s="42" t="s">
        <v>442</v>
      </c>
      <c r="E832" s="42" t="s">
        <v>1874</v>
      </c>
      <c r="F832" s="42">
        <v>817900</v>
      </c>
      <c r="G832" s="48">
        <v>403.1</v>
      </c>
      <c r="H832" s="45">
        <v>50376.15</v>
      </c>
      <c r="I832" s="45">
        <f>SUMIFS('שכר 11.2024'!N:N,'שכר 11.2024'!C:C,C:C,'שכר 11.2024'!F:F,F:F)</f>
        <v>5330.4</v>
      </c>
      <c r="J832" s="45">
        <f t="shared" si="48"/>
        <v>55706.55</v>
      </c>
      <c r="K832" s="61">
        <f t="shared" si="49"/>
        <v>1.0349999999999999</v>
      </c>
      <c r="L832" s="45">
        <f t="shared" si="50"/>
        <v>57656.27925</v>
      </c>
      <c r="M832" s="45">
        <f t="shared" si="51"/>
        <v>0.36645454545454548</v>
      </c>
    </row>
    <row r="833" spans="1:13" outlineLevel="2" x14ac:dyDescent="0.35">
      <c r="A833" s="42">
        <v>1817900110</v>
      </c>
      <c r="B833" s="42" t="str">
        <f>VLOOKUP(A833,'תקציב מפורט 2025'!A:O,2,FALSE)</f>
        <v>שכר קב"ס</v>
      </c>
      <c r="C833" s="42">
        <v>308535400</v>
      </c>
      <c r="D833" s="42" t="s">
        <v>442</v>
      </c>
      <c r="E833" s="42" t="s">
        <v>946</v>
      </c>
      <c r="F833" s="42">
        <v>817900</v>
      </c>
      <c r="G833" s="48">
        <v>0</v>
      </c>
      <c r="H833" s="45">
        <v>6607.48</v>
      </c>
      <c r="I833" s="45">
        <f>SUMIFS('שכר 11.2024'!N:N,'שכר 11.2024'!C:C,C:C,'שכר 11.2024'!F:F,F:F)</f>
        <v>1132.71</v>
      </c>
      <c r="J833" s="45">
        <f t="shared" si="48"/>
        <v>7740.19</v>
      </c>
      <c r="K833" s="61">
        <f t="shared" si="49"/>
        <v>1.0349999999999999</v>
      </c>
      <c r="L833" s="45">
        <f t="shared" si="50"/>
        <v>8011.0966499999986</v>
      </c>
      <c r="M833" s="45">
        <f t="shared" si="51"/>
        <v>0</v>
      </c>
    </row>
    <row r="834" spans="1:13" outlineLevel="2" x14ac:dyDescent="0.35">
      <c r="A834" s="42">
        <v>1817900110</v>
      </c>
      <c r="B834" s="42" t="str">
        <f>VLOOKUP(A834,'תקציב מפורט 2025'!A:O,2,FALSE)</f>
        <v>שכר קב"ס</v>
      </c>
      <c r="C834" s="42">
        <v>21578026</v>
      </c>
      <c r="D834" s="42" t="s">
        <v>434</v>
      </c>
      <c r="E834" s="42" t="s">
        <v>453</v>
      </c>
      <c r="F834" s="42">
        <v>817906</v>
      </c>
      <c r="G834" s="48">
        <v>258.39999999999998</v>
      </c>
      <c r="H834" s="45">
        <v>26301.27</v>
      </c>
      <c r="I834" s="45">
        <f>SUMIFS('שכר 11.2024'!N:N,'שכר 11.2024'!C:C,C:C,'שכר 11.2024'!F:F,F:F)</f>
        <v>2809.12</v>
      </c>
      <c r="J834" s="45">
        <f t="shared" si="48"/>
        <v>29110.39</v>
      </c>
      <c r="K834" s="61">
        <f t="shared" si="49"/>
        <v>1.0349999999999999</v>
      </c>
      <c r="L834" s="45">
        <f t="shared" si="50"/>
        <v>30129.253649999999</v>
      </c>
      <c r="M834" s="45">
        <f t="shared" si="51"/>
        <v>0.2349090909090909</v>
      </c>
    </row>
    <row r="835" spans="1:13" outlineLevel="2" x14ac:dyDescent="0.35">
      <c r="A835" s="42">
        <v>1817900110</v>
      </c>
      <c r="B835" s="42" t="str">
        <f>VLOOKUP(A835,'תקציב מפורט 2025'!A:O,2,FALSE)</f>
        <v>שכר קב"ס</v>
      </c>
      <c r="C835" s="42">
        <v>29790441</v>
      </c>
      <c r="D835" s="42" t="s">
        <v>434</v>
      </c>
      <c r="E835" s="42" t="s">
        <v>465</v>
      </c>
      <c r="F835" s="42">
        <v>817906</v>
      </c>
      <c r="G835" s="48">
        <v>0</v>
      </c>
      <c r="H835" s="45">
        <v>3730.27</v>
      </c>
      <c r="I835" s="45">
        <f>SUMIFS('שכר 11.2024'!N:N,'שכר 11.2024'!C:C,C:C,'שכר 11.2024'!F:F,F:F)</f>
        <v>0</v>
      </c>
      <c r="J835" s="45">
        <f t="shared" si="48"/>
        <v>3730.27</v>
      </c>
      <c r="K835" s="61">
        <f t="shared" si="49"/>
        <v>1.0349999999999999</v>
      </c>
      <c r="L835" s="45">
        <f t="shared" si="50"/>
        <v>3860.8294499999997</v>
      </c>
      <c r="M835" s="45">
        <f t="shared" si="51"/>
        <v>0</v>
      </c>
    </row>
    <row r="836" spans="1:13" outlineLevel="2" x14ac:dyDescent="0.35">
      <c r="A836" s="42">
        <v>1817900110</v>
      </c>
      <c r="B836" s="42" t="str">
        <f>VLOOKUP(A836,'תקציב מפורט 2025'!A:O,2,FALSE)</f>
        <v>שכר קב"ס</v>
      </c>
      <c r="C836" s="42">
        <v>32524555</v>
      </c>
      <c r="D836" s="42" t="s">
        <v>442</v>
      </c>
      <c r="E836" s="42" t="s">
        <v>961</v>
      </c>
      <c r="F836" s="42">
        <v>817906</v>
      </c>
      <c r="G836" s="48">
        <v>169.1</v>
      </c>
      <c r="H836" s="45">
        <v>2665.36</v>
      </c>
      <c r="I836" s="45">
        <f>SUMIFS('שכר 11.2024'!N:N,'שכר 11.2024'!C:C,C:C,'שכר 11.2024'!F:F,F:F)</f>
        <v>3.33</v>
      </c>
      <c r="J836" s="45">
        <f t="shared" si="48"/>
        <v>2668.69</v>
      </c>
      <c r="K836" s="61">
        <f t="shared" si="49"/>
        <v>1.0349999999999999</v>
      </c>
      <c r="L836" s="45">
        <f t="shared" si="50"/>
        <v>2762.0941499999999</v>
      </c>
      <c r="M836" s="45">
        <f t="shared" si="51"/>
        <v>0.15372727272727271</v>
      </c>
    </row>
    <row r="837" spans="1:13" outlineLevel="2" x14ac:dyDescent="0.35">
      <c r="A837" s="42">
        <v>1817900110</v>
      </c>
      <c r="B837" s="42" t="str">
        <f>VLOOKUP(A837,'תקציב מפורט 2025'!A:O,2,FALSE)</f>
        <v>שכר קב"ס</v>
      </c>
      <c r="C837" s="42">
        <v>39826649</v>
      </c>
      <c r="D837" s="42" t="s">
        <v>495</v>
      </c>
      <c r="E837" s="42" t="s">
        <v>1825</v>
      </c>
      <c r="F837" s="42">
        <v>817906</v>
      </c>
      <c r="G837" s="48">
        <v>462.6</v>
      </c>
      <c r="H837" s="45">
        <v>57083.63</v>
      </c>
      <c r="I837" s="45">
        <f>SUMIFS('שכר 11.2024'!N:N,'שכר 11.2024'!C:C,C:C,'שכר 11.2024'!F:F,F:F)</f>
        <v>6117.6</v>
      </c>
      <c r="J837" s="45">
        <f t="shared" si="48"/>
        <v>63201.229999999996</v>
      </c>
      <c r="K837" s="61">
        <f t="shared" si="49"/>
        <v>1.0349999999999999</v>
      </c>
      <c r="L837" s="45">
        <f t="shared" si="50"/>
        <v>65413.273049999989</v>
      </c>
      <c r="M837" s="45">
        <f t="shared" si="51"/>
        <v>0.42054545454545456</v>
      </c>
    </row>
    <row r="838" spans="1:13" outlineLevel="2" x14ac:dyDescent="0.35">
      <c r="A838" s="42">
        <v>1817900110</v>
      </c>
      <c r="B838" s="42" t="str">
        <f>VLOOKUP(A838,'תקציב מפורט 2025'!A:O,2,FALSE)</f>
        <v>שכר קב"ס</v>
      </c>
      <c r="C838" s="42">
        <v>300271640</v>
      </c>
      <c r="D838" s="42" t="s">
        <v>448</v>
      </c>
      <c r="E838" s="42" t="s">
        <v>827</v>
      </c>
      <c r="F838" s="42">
        <v>817906</v>
      </c>
      <c r="G838" s="48">
        <v>464.3</v>
      </c>
      <c r="H838" s="45">
        <v>59057.31</v>
      </c>
      <c r="I838" s="45">
        <f>SUMIFS('שכר 11.2024'!N:N,'שכר 11.2024'!C:C,C:C,'שכר 11.2024'!F:F,F:F)</f>
        <v>6554.35</v>
      </c>
      <c r="J838" s="45">
        <f t="shared" si="48"/>
        <v>65611.66</v>
      </c>
      <c r="K838" s="61">
        <f t="shared" si="49"/>
        <v>1.0349999999999999</v>
      </c>
      <c r="L838" s="45">
        <f t="shared" si="50"/>
        <v>67908.068100000004</v>
      </c>
      <c r="M838" s="45">
        <f t="shared" si="51"/>
        <v>0.42209090909090913</v>
      </c>
    </row>
    <row r="839" spans="1:13" outlineLevel="2" x14ac:dyDescent="0.35">
      <c r="A839" s="42">
        <v>1817900110</v>
      </c>
      <c r="B839" s="42" t="str">
        <f>VLOOKUP(A839,'תקציב מפורט 2025'!A:O,2,FALSE)</f>
        <v>שכר קב"ס</v>
      </c>
      <c r="C839" s="42">
        <v>301586566</v>
      </c>
      <c r="D839" s="42" t="s">
        <v>495</v>
      </c>
      <c r="E839" s="42" t="s">
        <v>558</v>
      </c>
      <c r="F839" s="42">
        <v>817906</v>
      </c>
      <c r="G839" s="48">
        <v>141.1</v>
      </c>
      <c r="H839" s="45">
        <v>18721.48</v>
      </c>
      <c r="I839" s="45">
        <f>SUMIFS('שכר 11.2024'!N:N,'שכר 11.2024'!C:C,C:C,'שכר 11.2024'!F:F,F:F)</f>
        <v>0</v>
      </c>
      <c r="J839" s="45">
        <f t="shared" si="48"/>
        <v>18721.48</v>
      </c>
      <c r="K839" s="61">
        <f t="shared" si="49"/>
        <v>1.0349999999999999</v>
      </c>
      <c r="L839" s="45">
        <f t="shared" si="50"/>
        <v>19376.731799999998</v>
      </c>
      <c r="M839" s="45">
        <f t="shared" si="51"/>
        <v>0.12827272727272726</v>
      </c>
    </row>
    <row r="840" spans="1:13" outlineLevel="2" x14ac:dyDescent="0.35">
      <c r="A840" s="42">
        <v>1817900110</v>
      </c>
      <c r="B840" s="42" t="str">
        <f>VLOOKUP(A840,'תקציב מפורט 2025'!A:O,2,FALSE)</f>
        <v>שכר קב"ס</v>
      </c>
      <c r="C840" s="42">
        <v>315201624</v>
      </c>
      <c r="D840" s="42" t="s">
        <v>434</v>
      </c>
      <c r="E840" s="42" t="s">
        <v>1833</v>
      </c>
      <c r="F840" s="42">
        <v>817906</v>
      </c>
      <c r="G840" s="48">
        <v>589.9</v>
      </c>
      <c r="H840" s="45">
        <v>58247.16</v>
      </c>
      <c r="I840" s="45">
        <f>SUMIFS('שכר 11.2024'!N:N,'שכר 11.2024'!C:C,C:C,'שכר 11.2024'!F:F,F:F)</f>
        <v>6285.61</v>
      </c>
      <c r="J840" s="45">
        <f t="shared" si="48"/>
        <v>64532.770000000004</v>
      </c>
      <c r="K840" s="61">
        <f t="shared" si="49"/>
        <v>1.0349999999999999</v>
      </c>
      <c r="L840" s="45">
        <f t="shared" si="50"/>
        <v>66791.416949999999</v>
      </c>
      <c r="M840" s="45">
        <f t="shared" si="51"/>
        <v>0.53627272727272723</v>
      </c>
    </row>
    <row r="841" spans="1:13" outlineLevel="2" x14ac:dyDescent="0.35">
      <c r="A841" s="42">
        <v>1817900110</v>
      </c>
      <c r="B841" s="42" t="str">
        <f>VLOOKUP(A841,'תקציב מפורט 2025'!A:O,2,FALSE)</f>
        <v>שכר קב"ס</v>
      </c>
      <c r="C841" s="42">
        <v>318978798</v>
      </c>
      <c r="D841" s="42" t="s">
        <v>434</v>
      </c>
      <c r="E841" s="42" t="s">
        <v>829</v>
      </c>
      <c r="F841" s="42">
        <v>817906</v>
      </c>
      <c r="G841" s="48">
        <v>0</v>
      </c>
      <c r="H841" s="45">
        <v>3153.89</v>
      </c>
      <c r="I841" s="45">
        <f>SUMIFS('שכר 11.2024'!N:N,'שכר 11.2024'!C:C,C:C,'שכר 11.2024'!F:F,F:F)</f>
        <v>0</v>
      </c>
      <c r="J841" s="45">
        <f t="shared" si="48"/>
        <v>3153.89</v>
      </c>
      <c r="K841" s="61">
        <f t="shared" si="49"/>
        <v>1.0349999999999999</v>
      </c>
      <c r="L841" s="45">
        <f t="shared" si="50"/>
        <v>3264.2761499999997</v>
      </c>
      <c r="M841" s="45">
        <f t="shared" si="51"/>
        <v>0</v>
      </c>
    </row>
    <row r="842" spans="1:13" outlineLevel="1" x14ac:dyDescent="0.35">
      <c r="A842" s="63" t="s">
        <v>2028</v>
      </c>
      <c r="B842" s="63"/>
      <c r="C842" s="63"/>
      <c r="D842" s="63"/>
      <c r="E842" s="63"/>
      <c r="F842" s="63"/>
      <c r="G842" s="73">
        <f>SUBTOTAL(9,G829:G841)</f>
        <v>2785.1000000000004</v>
      </c>
      <c r="H842" s="64">
        <f>SUBTOTAL(9,H829:H841)</f>
        <v>343633.58999999997</v>
      </c>
      <c r="I842" s="64">
        <f>SUBTOTAL(9,I829:I841)</f>
        <v>31746.550000000003</v>
      </c>
      <c r="J842" s="64">
        <f>SUBTOTAL(9,J829:J841)</f>
        <v>375380.14</v>
      </c>
      <c r="K842" s="65"/>
      <c r="L842" s="64">
        <f>SUBTOTAL(9,L829:L841)</f>
        <v>388518.44489999994</v>
      </c>
      <c r="M842" s="64">
        <f>SUBTOTAL(9,M829:M841)</f>
        <v>2.5319090909090907</v>
      </c>
    </row>
    <row r="843" spans="1:13" outlineLevel="2" x14ac:dyDescent="0.35">
      <c r="A843" s="42">
        <v>1817905110</v>
      </c>
      <c r="B843" s="42" t="str">
        <f>VLOOKUP(A843,'תקציב מפורט 2025'!A:O,2,FALSE)</f>
        <v>קרן קיסריה משכורות</v>
      </c>
      <c r="C843" s="42">
        <v>23422371</v>
      </c>
      <c r="D843" s="42" t="s">
        <v>1875</v>
      </c>
      <c r="E843" s="42" t="s">
        <v>1876</v>
      </c>
      <c r="F843" s="42">
        <v>817905</v>
      </c>
      <c r="G843" s="48">
        <v>44.6</v>
      </c>
      <c r="H843" s="45">
        <v>6762.95</v>
      </c>
      <c r="I843" s="45">
        <f>SUMIFS('שכר 11.2024'!N:N,'שכר 11.2024'!C:C,C:C,'שכר 11.2024'!F:F,F:F)</f>
        <v>3664.65</v>
      </c>
      <c r="J843" s="45">
        <f t="shared" si="48"/>
        <v>10427.6</v>
      </c>
      <c r="K843" s="61">
        <f t="shared" si="49"/>
        <v>1.0349999999999999</v>
      </c>
      <c r="L843" s="45">
        <f t="shared" si="50"/>
        <v>10792.565999999999</v>
      </c>
      <c r="M843" s="45">
        <f t="shared" si="51"/>
        <v>4.0545454545454544E-2</v>
      </c>
    </row>
    <row r="844" spans="1:13" outlineLevel="2" x14ac:dyDescent="0.35">
      <c r="A844" s="42">
        <v>1817905110</v>
      </c>
      <c r="B844" s="42" t="str">
        <f>VLOOKUP(A844,'תקציב מפורט 2025'!A:O,2,FALSE)</f>
        <v>קרן קיסריה משכורות</v>
      </c>
      <c r="C844" s="42">
        <v>27516624</v>
      </c>
      <c r="D844" s="42" t="s">
        <v>957</v>
      </c>
      <c r="E844" s="42" t="s">
        <v>958</v>
      </c>
      <c r="F844" s="42">
        <v>817905</v>
      </c>
      <c r="G844" s="48">
        <v>363.2</v>
      </c>
      <c r="H844" s="45">
        <v>139919.51</v>
      </c>
      <c r="I844" s="45">
        <f>SUMIFS('שכר 11.2024'!N:N,'שכר 11.2024'!C:C,C:C,'שכר 11.2024'!F:F,F:F)</f>
        <v>24371.69</v>
      </c>
      <c r="J844" s="45">
        <f t="shared" si="48"/>
        <v>164291.20000000001</v>
      </c>
      <c r="K844" s="61">
        <f t="shared" si="49"/>
        <v>1.0349999999999999</v>
      </c>
      <c r="L844" s="45">
        <f t="shared" si="50"/>
        <v>170041.39199999999</v>
      </c>
      <c r="M844" s="45">
        <f t="shared" si="51"/>
        <v>0.33018181818181819</v>
      </c>
    </row>
    <row r="845" spans="1:13" outlineLevel="2" x14ac:dyDescent="0.35">
      <c r="A845" s="42">
        <v>1817905110</v>
      </c>
      <c r="B845" s="42" t="str">
        <f>VLOOKUP(A845,'תקציב מפורט 2025'!A:O,2,FALSE)</f>
        <v>קרן קיסריה משכורות</v>
      </c>
      <c r="C845" s="42">
        <v>29790441</v>
      </c>
      <c r="D845" s="42" t="s">
        <v>434</v>
      </c>
      <c r="E845" s="42" t="s">
        <v>465</v>
      </c>
      <c r="F845" s="42">
        <v>817905</v>
      </c>
      <c r="G845" s="48">
        <v>0</v>
      </c>
      <c r="H845" s="45">
        <v>12028.21</v>
      </c>
      <c r="I845" s="45">
        <f>SUMIFS('שכר 11.2024'!N:N,'שכר 11.2024'!C:C,C:C,'שכר 11.2024'!F:F,F:F)</f>
        <v>0</v>
      </c>
      <c r="J845" s="45">
        <f t="shared" si="48"/>
        <v>12028.21</v>
      </c>
      <c r="K845" s="61">
        <f t="shared" si="49"/>
        <v>1.0349999999999999</v>
      </c>
      <c r="L845" s="45">
        <f t="shared" si="50"/>
        <v>12449.197349999999</v>
      </c>
      <c r="M845" s="45">
        <f t="shared" si="51"/>
        <v>0</v>
      </c>
    </row>
    <row r="846" spans="1:13" outlineLevel="2" x14ac:dyDescent="0.35">
      <c r="A846" s="42">
        <v>1817905110</v>
      </c>
      <c r="B846" s="42" t="str">
        <f>VLOOKUP(A846,'תקציב מפורט 2025'!A:O,2,FALSE)</f>
        <v>קרן קיסריה משכורות</v>
      </c>
      <c r="C846" s="42">
        <v>31543358</v>
      </c>
      <c r="D846" s="42" t="s">
        <v>434</v>
      </c>
      <c r="E846" s="42" t="s">
        <v>537</v>
      </c>
      <c r="F846" s="42">
        <v>817905</v>
      </c>
      <c r="G846" s="48">
        <v>0</v>
      </c>
      <c r="H846" s="45">
        <v>1515.5</v>
      </c>
      <c r="I846" s="45">
        <f>SUMIFS('שכר 11.2024'!N:N,'שכר 11.2024'!C:C,C:C,'שכר 11.2024'!F:F,F:F)</f>
        <v>0</v>
      </c>
      <c r="J846" s="45">
        <f t="shared" si="48"/>
        <v>1515.5</v>
      </c>
      <c r="K846" s="61">
        <f t="shared" si="49"/>
        <v>1.0349999999999999</v>
      </c>
      <c r="L846" s="45">
        <f t="shared" si="50"/>
        <v>1568.5424999999998</v>
      </c>
      <c r="M846" s="45">
        <f t="shared" si="51"/>
        <v>0</v>
      </c>
    </row>
    <row r="847" spans="1:13" outlineLevel="2" x14ac:dyDescent="0.35">
      <c r="A847" s="42">
        <v>1817905110</v>
      </c>
      <c r="B847" s="42" t="str">
        <f>VLOOKUP(A847,'תקציב מפורט 2025'!A:O,2,FALSE)</f>
        <v>קרן קיסריה משכורות</v>
      </c>
      <c r="C847" s="42">
        <v>33607490</v>
      </c>
      <c r="D847" s="42" t="s">
        <v>533</v>
      </c>
      <c r="E847" s="42" t="s">
        <v>532</v>
      </c>
      <c r="F847" s="42">
        <v>817905</v>
      </c>
      <c r="G847" s="48">
        <v>0</v>
      </c>
      <c r="H847" s="45">
        <v>2429.0700000000002</v>
      </c>
      <c r="I847" s="45">
        <f>SUMIFS('שכר 11.2024'!N:N,'שכר 11.2024'!C:C,C:C,'שכר 11.2024'!F:F,F:F)</f>
        <v>0</v>
      </c>
      <c r="J847" s="45">
        <f t="shared" si="48"/>
        <v>2429.0700000000002</v>
      </c>
      <c r="K847" s="61">
        <f t="shared" si="49"/>
        <v>1.0349999999999999</v>
      </c>
      <c r="L847" s="45">
        <f t="shared" si="50"/>
        <v>2514.08745</v>
      </c>
      <c r="M847" s="45">
        <f t="shared" si="51"/>
        <v>0</v>
      </c>
    </row>
    <row r="848" spans="1:13" outlineLevel="2" x14ac:dyDescent="0.35">
      <c r="A848" s="42">
        <v>1817905110</v>
      </c>
      <c r="B848" s="42" t="str">
        <f>VLOOKUP(A848,'תקציב מפורט 2025'!A:O,2,FALSE)</f>
        <v>קרן קיסריה משכורות</v>
      </c>
      <c r="C848" s="42">
        <v>33982273</v>
      </c>
      <c r="D848" s="42" t="s">
        <v>528</v>
      </c>
      <c r="E848" s="42" t="s">
        <v>527</v>
      </c>
      <c r="F848" s="42">
        <v>817905</v>
      </c>
      <c r="G848" s="48">
        <v>0</v>
      </c>
      <c r="H848" s="45">
        <v>1517.89</v>
      </c>
      <c r="I848" s="45">
        <f>SUMIFS('שכר 11.2024'!N:N,'שכר 11.2024'!C:C,C:C,'שכר 11.2024'!F:F,F:F)</f>
        <v>0</v>
      </c>
      <c r="J848" s="45">
        <f t="shared" si="48"/>
        <v>1517.89</v>
      </c>
      <c r="K848" s="61">
        <f t="shared" si="49"/>
        <v>1.0349999999999999</v>
      </c>
      <c r="L848" s="45">
        <f t="shared" si="50"/>
        <v>1571.0161499999999</v>
      </c>
      <c r="M848" s="45">
        <f t="shared" si="51"/>
        <v>0</v>
      </c>
    </row>
    <row r="849" spans="1:13" outlineLevel="2" x14ac:dyDescent="0.35">
      <c r="A849" s="42">
        <v>1817905110</v>
      </c>
      <c r="B849" s="42" t="str">
        <f>VLOOKUP(A849,'תקציב מפורט 2025'!A:O,2,FALSE)</f>
        <v>קרן קיסריה משכורות</v>
      </c>
      <c r="C849" s="42">
        <v>34263491</v>
      </c>
      <c r="D849" s="42" t="s">
        <v>545</v>
      </c>
      <c r="E849" s="42" t="s">
        <v>510</v>
      </c>
      <c r="F849" s="42">
        <v>817905</v>
      </c>
      <c r="G849" s="48">
        <v>0</v>
      </c>
      <c r="H849" s="45">
        <v>1518.2</v>
      </c>
      <c r="I849" s="45">
        <f>SUMIFS('שכר 11.2024'!N:N,'שכר 11.2024'!C:C,C:C,'שכר 11.2024'!F:F,F:F)</f>
        <v>0</v>
      </c>
      <c r="J849" s="45">
        <f t="shared" si="48"/>
        <v>1518.2</v>
      </c>
      <c r="K849" s="61">
        <f t="shared" si="49"/>
        <v>1.0349999999999999</v>
      </c>
      <c r="L849" s="45">
        <f t="shared" si="50"/>
        <v>1571.337</v>
      </c>
      <c r="M849" s="45">
        <f t="shared" si="51"/>
        <v>0</v>
      </c>
    </row>
    <row r="850" spans="1:13" outlineLevel="2" x14ac:dyDescent="0.35">
      <c r="A850" s="42">
        <v>1817905110</v>
      </c>
      <c r="B850" s="42" t="str">
        <f>VLOOKUP(A850,'תקציב מפורט 2025'!A:O,2,FALSE)</f>
        <v>קרן קיסריה משכורות</v>
      </c>
      <c r="C850" s="42">
        <v>34834218</v>
      </c>
      <c r="D850" s="42" t="s">
        <v>434</v>
      </c>
      <c r="E850" s="42" t="s">
        <v>948</v>
      </c>
      <c r="F850" s="42">
        <v>817905</v>
      </c>
      <c r="G850" s="48">
        <v>0</v>
      </c>
      <c r="H850" s="45">
        <v>3949.99</v>
      </c>
      <c r="I850" s="45">
        <f>SUMIFS('שכר 11.2024'!N:N,'שכר 11.2024'!C:C,C:C,'שכר 11.2024'!F:F,F:F)</f>
        <v>0</v>
      </c>
      <c r="J850" s="45">
        <f t="shared" si="48"/>
        <v>3949.99</v>
      </c>
      <c r="K850" s="61">
        <f t="shared" si="49"/>
        <v>1.0349999999999999</v>
      </c>
      <c r="L850" s="45">
        <f t="shared" si="50"/>
        <v>4088.2396499999995</v>
      </c>
      <c r="M850" s="45">
        <f t="shared" si="51"/>
        <v>0</v>
      </c>
    </row>
    <row r="851" spans="1:13" outlineLevel="2" x14ac:dyDescent="0.35">
      <c r="A851" s="42">
        <v>1817905110</v>
      </c>
      <c r="B851" s="42" t="str">
        <f>VLOOKUP(A851,'תקציב מפורט 2025'!A:O,2,FALSE)</f>
        <v>קרן קיסריה משכורות</v>
      </c>
      <c r="C851" s="42">
        <v>36068617</v>
      </c>
      <c r="D851" s="42" t="s">
        <v>954</v>
      </c>
      <c r="E851" s="42" t="s">
        <v>571</v>
      </c>
      <c r="F851" s="42">
        <v>817905</v>
      </c>
      <c r="G851" s="48">
        <v>94.8</v>
      </c>
      <c r="H851" s="45">
        <v>0</v>
      </c>
      <c r="I851" s="45">
        <f>SUMIFS('שכר 11.2024'!N:N,'שכר 11.2024'!C:C,C:C,'שכר 11.2024'!F:F,F:F)</f>
        <v>0</v>
      </c>
      <c r="J851" s="45">
        <f t="shared" si="48"/>
        <v>0</v>
      </c>
      <c r="K851" s="61">
        <f t="shared" si="49"/>
        <v>1.0349999999999999</v>
      </c>
      <c r="L851" s="45">
        <f t="shared" si="50"/>
        <v>0</v>
      </c>
      <c r="M851" s="45">
        <f t="shared" si="51"/>
        <v>8.6181818181818179E-2</v>
      </c>
    </row>
    <row r="852" spans="1:13" outlineLevel="2" x14ac:dyDescent="0.35">
      <c r="A852" s="42">
        <v>1817905110</v>
      </c>
      <c r="B852" s="42" t="str">
        <f>VLOOKUP(A852,'תקציב מפורט 2025'!A:O,2,FALSE)</f>
        <v>קרן קיסריה משכורות</v>
      </c>
      <c r="C852" s="42">
        <v>36233252</v>
      </c>
      <c r="D852" s="42" t="s">
        <v>545</v>
      </c>
      <c r="E852" s="42" t="s">
        <v>519</v>
      </c>
      <c r="F852" s="42">
        <v>817905</v>
      </c>
      <c r="G852" s="48">
        <v>0</v>
      </c>
      <c r="H852" s="45">
        <v>2451.21</v>
      </c>
      <c r="I852" s="45">
        <f>SUMIFS('שכר 11.2024'!N:N,'שכר 11.2024'!C:C,C:C,'שכר 11.2024'!F:F,F:F)</f>
        <v>0</v>
      </c>
      <c r="J852" s="45">
        <f t="shared" si="48"/>
        <v>2451.21</v>
      </c>
      <c r="K852" s="61">
        <f t="shared" si="49"/>
        <v>1.0349999999999999</v>
      </c>
      <c r="L852" s="45">
        <f t="shared" si="50"/>
        <v>2537.0023499999998</v>
      </c>
      <c r="M852" s="45">
        <f t="shared" si="51"/>
        <v>0</v>
      </c>
    </row>
    <row r="853" spans="1:13" outlineLevel="2" x14ac:dyDescent="0.35">
      <c r="A853" s="42">
        <v>1817905110</v>
      </c>
      <c r="B853" s="42" t="str">
        <f>VLOOKUP(A853,'תקציב מפורט 2025'!A:O,2,FALSE)</f>
        <v>קרן קיסריה משכורות</v>
      </c>
      <c r="C853" s="42">
        <v>36829067</v>
      </c>
      <c r="D853" s="42" t="s">
        <v>1750</v>
      </c>
      <c r="E853" s="42" t="s">
        <v>530</v>
      </c>
      <c r="F853" s="42">
        <v>817905</v>
      </c>
      <c r="G853" s="48">
        <v>0</v>
      </c>
      <c r="H853" s="45">
        <v>1509.95</v>
      </c>
      <c r="I853" s="45">
        <f>SUMIFS('שכר 11.2024'!N:N,'שכר 11.2024'!C:C,C:C,'שכר 11.2024'!F:F,F:F)</f>
        <v>0</v>
      </c>
      <c r="J853" s="45">
        <f t="shared" si="48"/>
        <v>1509.95</v>
      </c>
      <c r="K853" s="61">
        <f t="shared" si="49"/>
        <v>1.0349999999999999</v>
      </c>
      <c r="L853" s="45">
        <f t="shared" si="50"/>
        <v>1562.7982499999998</v>
      </c>
      <c r="M853" s="45">
        <f t="shared" si="51"/>
        <v>0</v>
      </c>
    </row>
    <row r="854" spans="1:13" outlineLevel="2" x14ac:dyDescent="0.35">
      <c r="A854" s="42">
        <v>1817905110</v>
      </c>
      <c r="B854" s="42" t="str">
        <f>VLOOKUP(A854,'תקציב מפורט 2025'!A:O,2,FALSE)</f>
        <v>קרן קיסריה משכורות</v>
      </c>
      <c r="C854" s="42">
        <v>37409091</v>
      </c>
      <c r="D854" s="42" t="s">
        <v>434</v>
      </c>
      <c r="E854" s="42" t="s">
        <v>1751</v>
      </c>
      <c r="F854" s="42">
        <v>817905</v>
      </c>
      <c r="G854" s="48">
        <v>0</v>
      </c>
      <c r="H854" s="45">
        <v>2423.79</v>
      </c>
      <c r="I854" s="45">
        <f>SUMIFS('שכר 11.2024'!N:N,'שכר 11.2024'!C:C,C:C,'שכר 11.2024'!F:F,F:F)</f>
        <v>0</v>
      </c>
      <c r="J854" s="45">
        <f t="shared" si="48"/>
        <v>2423.79</v>
      </c>
      <c r="K854" s="61">
        <f t="shared" si="49"/>
        <v>1.0349999999999999</v>
      </c>
      <c r="L854" s="45">
        <f t="shared" si="50"/>
        <v>2508.6226499999998</v>
      </c>
      <c r="M854" s="45">
        <f t="shared" si="51"/>
        <v>0</v>
      </c>
    </row>
    <row r="855" spans="1:13" outlineLevel="2" x14ac:dyDescent="0.35">
      <c r="A855" s="42">
        <v>1817905110</v>
      </c>
      <c r="B855" s="42" t="str">
        <f>VLOOKUP(A855,'תקציב מפורט 2025'!A:O,2,FALSE)</f>
        <v>קרן קיסריה משכורות</v>
      </c>
      <c r="C855" s="42">
        <v>39513239</v>
      </c>
      <c r="D855" s="42" t="s">
        <v>863</v>
      </c>
      <c r="E855" s="42" t="s">
        <v>864</v>
      </c>
      <c r="F855" s="42">
        <v>817905</v>
      </c>
      <c r="G855" s="48">
        <v>0</v>
      </c>
      <c r="H855" s="45">
        <v>2440.7199999999998</v>
      </c>
      <c r="I855" s="45">
        <f>SUMIFS('שכר 11.2024'!N:N,'שכר 11.2024'!C:C,C:C,'שכר 11.2024'!F:F,F:F)</f>
        <v>0</v>
      </c>
      <c r="J855" s="45">
        <f t="shared" si="48"/>
        <v>2440.7199999999998</v>
      </c>
      <c r="K855" s="61">
        <f t="shared" si="49"/>
        <v>1.0349999999999999</v>
      </c>
      <c r="L855" s="45">
        <f t="shared" si="50"/>
        <v>2526.1451999999995</v>
      </c>
      <c r="M855" s="45">
        <f t="shared" si="51"/>
        <v>0</v>
      </c>
    </row>
    <row r="856" spans="1:13" outlineLevel="2" x14ac:dyDescent="0.35">
      <c r="A856" s="42">
        <v>1817905110</v>
      </c>
      <c r="B856" s="42" t="str">
        <f>VLOOKUP(A856,'תקציב מפורט 2025'!A:O,2,FALSE)</f>
        <v>קרן קיסריה משכורות</v>
      </c>
      <c r="C856" s="42">
        <v>39818836</v>
      </c>
      <c r="D856" s="42" t="s">
        <v>442</v>
      </c>
      <c r="E856" s="42" t="s">
        <v>845</v>
      </c>
      <c r="F856" s="42">
        <v>817905</v>
      </c>
      <c r="G856" s="48">
        <v>11.8</v>
      </c>
      <c r="H856" s="45">
        <v>2167.59</v>
      </c>
      <c r="I856" s="45">
        <f>SUMIFS('שכר 11.2024'!N:N,'שכר 11.2024'!C:C,C:C,'שכר 11.2024'!F:F,F:F)</f>
        <v>0</v>
      </c>
      <c r="J856" s="45">
        <f t="shared" si="48"/>
        <v>2167.59</v>
      </c>
      <c r="K856" s="61">
        <f t="shared" si="49"/>
        <v>1.0349999999999999</v>
      </c>
      <c r="L856" s="45">
        <f t="shared" si="50"/>
        <v>2243.4556499999999</v>
      </c>
      <c r="M856" s="45">
        <f t="shared" si="51"/>
        <v>1.0727272727272728E-2</v>
      </c>
    </row>
    <row r="857" spans="1:13" outlineLevel="2" x14ac:dyDescent="0.35">
      <c r="A857" s="42">
        <v>1817905110</v>
      </c>
      <c r="B857" s="42" t="str">
        <f>VLOOKUP(A857,'תקציב מפורט 2025'!A:O,2,FALSE)</f>
        <v>קרן קיסריה משכורות</v>
      </c>
      <c r="C857" s="42">
        <v>39827928</v>
      </c>
      <c r="D857" s="42" t="s">
        <v>434</v>
      </c>
      <c r="E857" s="42" t="s">
        <v>955</v>
      </c>
      <c r="F857" s="42">
        <v>817905</v>
      </c>
      <c r="G857" s="48">
        <v>438.3</v>
      </c>
      <c r="H857" s="45">
        <v>54277.99</v>
      </c>
      <c r="I857" s="45">
        <f>SUMIFS('שכר 11.2024'!N:N,'שכר 11.2024'!C:C,C:C,'שכר 11.2024'!F:F,F:F)</f>
        <v>5330.4</v>
      </c>
      <c r="J857" s="45">
        <f t="shared" si="48"/>
        <v>59608.39</v>
      </c>
      <c r="K857" s="61">
        <f t="shared" si="49"/>
        <v>1.0349999999999999</v>
      </c>
      <c r="L857" s="45">
        <f t="shared" si="50"/>
        <v>61694.683649999992</v>
      </c>
      <c r="M857" s="45">
        <f t="shared" si="51"/>
        <v>0.39845454545454545</v>
      </c>
    </row>
    <row r="858" spans="1:13" outlineLevel="2" x14ac:dyDescent="0.35">
      <c r="A858" s="42">
        <v>1817905110</v>
      </c>
      <c r="B858" s="42" t="str">
        <f>VLOOKUP(A858,'תקציב מפורט 2025'!A:O,2,FALSE)</f>
        <v>קרן קיסריה משכורות</v>
      </c>
      <c r="C858" s="42">
        <v>40461444</v>
      </c>
      <c r="D858" s="42" t="s">
        <v>515</v>
      </c>
      <c r="E858" s="42" t="s">
        <v>514</v>
      </c>
      <c r="F858" s="42">
        <v>817905</v>
      </c>
      <c r="G858" s="48">
        <v>0</v>
      </c>
      <c r="H858" s="45">
        <v>3926.42</v>
      </c>
      <c r="I858" s="45">
        <f>SUMIFS('שכר 11.2024'!N:N,'שכר 11.2024'!C:C,C:C,'שכר 11.2024'!F:F,F:F)</f>
        <v>0</v>
      </c>
      <c r="J858" s="45">
        <f t="shared" si="48"/>
        <v>3926.42</v>
      </c>
      <c r="K858" s="61">
        <f t="shared" si="49"/>
        <v>1.0349999999999999</v>
      </c>
      <c r="L858" s="45">
        <f t="shared" si="50"/>
        <v>4063.8446999999996</v>
      </c>
      <c r="M858" s="45">
        <f t="shared" si="51"/>
        <v>0</v>
      </c>
    </row>
    <row r="859" spans="1:13" outlineLevel="2" x14ac:dyDescent="0.35">
      <c r="A859" s="42">
        <v>1817905110</v>
      </c>
      <c r="B859" s="42" t="str">
        <f>VLOOKUP(A859,'תקציב מפורט 2025'!A:O,2,FALSE)</f>
        <v>קרן קיסריה משכורות</v>
      </c>
      <c r="C859" s="42">
        <v>40819625</v>
      </c>
      <c r="D859" s="42" t="s">
        <v>495</v>
      </c>
      <c r="E859" s="42" t="s">
        <v>506</v>
      </c>
      <c r="F859" s="42">
        <v>817905</v>
      </c>
      <c r="G859" s="48">
        <v>0</v>
      </c>
      <c r="H859" s="45">
        <v>11712.97</v>
      </c>
      <c r="I859" s="45">
        <f>SUMIFS('שכר 11.2024'!N:N,'שכר 11.2024'!C:C,C:C,'שכר 11.2024'!F:F,F:F)</f>
        <v>0</v>
      </c>
      <c r="J859" s="45">
        <f t="shared" si="48"/>
        <v>11712.97</v>
      </c>
      <c r="K859" s="61">
        <f t="shared" si="49"/>
        <v>1.0349999999999999</v>
      </c>
      <c r="L859" s="45">
        <f t="shared" si="50"/>
        <v>12122.923949999999</v>
      </c>
      <c r="M859" s="45">
        <f t="shared" si="51"/>
        <v>0</v>
      </c>
    </row>
    <row r="860" spans="1:13" outlineLevel="2" x14ac:dyDescent="0.35">
      <c r="A860" s="42">
        <v>1817905110</v>
      </c>
      <c r="B860" s="42" t="str">
        <f>VLOOKUP(A860,'תקציב מפורט 2025'!A:O,2,FALSE)</f>
        <v>קרן קיסריה משכורות</v>
      </c>
      <c r="C860" s="42">
        <v>40932261</v>
      </c>
      <c r="D860" s="42" t="s">
        <v>1754</v>
      </c>
      <c r="E860" s="42" t="s">
        <v>1755</v>
      </c>
      <c r="F860" s="42">
        <v>817905</v>
      </c>
      <c r="G860" s="48">
        <v>0</v>
      </c>
      <c r="H860" s="45">
        <v>2413.5100000000002</v>
      </c>
      <c r="I860" s="45">
        <f>SUMIFS('שכר 11.2024'!N:N,'שכר 11.2024'!C:C,C:C,'שכר 11.2024'!F:F,F:F)</f>
        <v>0</v>
      </c>
      <c r="J860" s="45">
        <f t="shared" si="48"/>
        <v>2413.5100000000002</v>
      </c>
      <c r="K860" s="61">
        <f t="shared" si="49"/>
        <v>1.0349999999999999</v>
      </c>
      <c r="L860" s="45">
        <f t="shared" si="50"/>
        <v>2497.9828499999999</v>
      </c>
      <c r="M860" s="45">
        <f t="shared" si="51"/>
        <v>0</v>
      </c>
    </row>
    <row r="861" spans="1:13" outlineLevel="2" x14ac:dyDescent="0.35">
      <c r="A861" s="42">
        <v>1817905110</v>
      </c>
      <c r="B861" s="42" t="str">
        <f>VLOOKUP(A861,'תקציב מפורט 2025'!A:O,2,FALSE)</f>
        <v>קרן קיסריה משכורות</v>
      </c>
      <c r="C861" s="42">
        <v>56259161</v>
      </c>
      <c r="D861" s="42" t="s">
        <v>1877</v>
      </c>
      <c r="E861" s="42" t="s">
        <v>948</v>
      </c>
      <c r="F861" s="42">
        <v>817905</v>
      </c>
      <c r="G861" s="48">
        <v>114.8</v>
      </c>
      <c r="H861" s="45">
        <v>25436.959999999999</v>
      </c>
      <c r="I861" s="45">
        <f>SUMIFS('שכר 11.2024'!N:N,'שכר 11.2024'!C:C,C:C,'שכר 11.2024'!F:F,F:F)</f>
        <v>0</v>
      </c>
      <c r="J861" s="45">
        <f t="shared" si="48"/>
        <v>25436.959999999999</v>
      </c>
      <c r="K861" s="61">
        <f t="shared" si="49"/>
        <v>1.0349999999999999</v>
      </c>
      <c r="L861" s="45">
        <f t="shared" si="50"/>
        <v>26327.253599999996</v>
      </c>
      <c r="M861" s="45">
        <f t="shared" si="51"/>
        <v>0.10436363636363637</v>
      </c>
    </row>
    <row r="862" spans="1:13" outlineLevel="2" x14ac:dyDescent="0.35">
      <c r="A862" s="42">
        <v>1817905110</v>
      </c>
      <c r="B862" s="42" t="str">
        <f>VLOOKUP(A862,'תקציב מפורט 2025'!A:O,2,FALSE)</f>
        <v>קרן קיסריה משכורות</v>
      </c>
      <c r="C862" s="42">
        <v>58977133</v>
      </c>
      <c r="D862" s="42" t="s">
        <v>448</v>
      </c>
      <c r="E862" s="42" t="s">
        <v>447</v>
      </c>
      <c r="F862" s="42">
        <v>817905</v>
      </c>
      <c r="G862" s="48">
        <v>1079.9000000000001</v>
      </c>
      <c r="H862" s="45">
        <v>95954.58</v>
      </c>
      <c r="I862" s="45">
        <f>SUMIFS('שכר 11.2024'!N:N,'שכר 11.2024'!C:C,C:C,'שכר 11.2024'!F:F,F:F)</f>
        <v>8379.5300000000007</v>
      </c>
      <c r="J862" s="45">
        <f t="shared" si="48"/>
        <v>104334.11</v>
      </c>
      <c r="K862" s="61">
        <f t="shared" si="49"/>
        <v>1.0349999999999999</v>
      </c>
      <c r="L862" s="45">
        <f t="shared" si="50"/>
        <v>107985.80385</v>
      </c>
      <c r="M862" s="45">
        <f t="shared" si="51"/>
        <v>0.98172727272727278</v>
      </c>
    </row>
    <row r="863" spans="1:13" outlineLevel="2" x14ac:dyDescent="0.35">
      <c r="A863" s="42">
        <v>1817905110</v>
      </c>
      <c r="B863" s="42" t="str">
        <f>VLOOKUP(A863,'תקציב מפורט 2025'!A:O,2,FALSE)</f>
        <v>קרן קיסריה משכורות</v>
      </c>
      <c r="C863" s="42">
        <v>200931376</v>
      </c>
      <c r="D863" s="42" t="s">
        <v>448</v>
      </c>
      <c r="E863" s="42" t="s">
        <v>505</v>
      </c>
      <c r="F863" s="42">
        <v>817905</v>
      </c>
      <c r="G863" s="48">
        <v>0</v>
      </c>
      <c r="H863" s="45">
        <v>2420.89</v>
      </c>
      <c r="I863" s="45">
        <f>SUMIFS('שכר 11.2024'!N:N,'שכר 11.2024'!C:C,C:C,'שכר 11.2024'!F:F,F:F)</f>
        <v>0</v>
      </c>
      <c r="J863" s="45">
        <f t="shared" si="48"/>
        <v>2420.89</v>
      </c>
      <c r="K863" s="61">
        <f t="shared" si="49"/>
        <v>1.0349999999999999</v>
      </c>
      <c r="L863" s="45">
        <f t="shared" si="50"/>
        <v>2505.6211499999995</v>
      </c>
      <c r="M863" s="45">
        <f t="shared" si="51"/>
        <v>0</v>
      </c>
    </row>
    <row r="864" spans="1:13" outlineLevel="2" x14ac:dyDescent="0.35">
      <c r="A864" s="42">
        <v>1817905110</v>
      </c>
      <c r="B864" s="42" t="str">
        <f>VLOOKUP(A864,'תקציב מפורט 2025'!A:O,2,FALSE)</f>
        <v>קרן קיסריה משכורות</v>
      </c>
      <c r="C864" s="42">
        <v>204195895</v>
      </c>
      <c r="D864" s="42" t="s">
        <v>434</v>
      </c>
      <c r="E864" s="42" t="s">
        <v>523</v>
      </c>
      <c r="F864" s="42">
        <v>817905</v>
      </c>
      <c r="G864" s="48">
        <v>693.7</v>
      </c>
      <c r="H864" s="45">
        <v>81975.47</v>
      </c>
      <c r="I864" s="45">
        <f>SUMIFS('שכר 11.2024'!N:N,'שכר 11.2024'!C:C,C:C,'שכר 11.2024'!F:F,F:F)</f>
        <v>7105.28</v>
      </c>
      <c r="J864" s="45">
        <f t="shared" si="48"/>
        <v>89080.75</v>
      </c>
      <c r="K864" s="61">
        <f t="shared" si="49"/>
        <v>1.0349999999999999</v>
      </c>
      <c r="L864" s="45">
        <f t="shared" si="50"/>
        <v>92198.576249999998</v>
      </c>
      <c r="M864" s="45">
        <f t="shared" si="51"/>
        <v>0.63063636363636366</v>
      </c>
    </row>
    <row r="865" spans="1:13" outlineLevel="2" x14ac:dyDescent="0.35">
      <c r="A865" s="42">
        <v>1817905110</v>
      </c>
      <c r="B865" s="42" t="str">
        <f>VLOOKUP(A865,'תקציב מפורט 2025'!A:O,2,FALSE)</f>
        <v>קרן קיסריה משכורות</v>
      </c>
      <c r="C865" s="42">
        <v>204581870</v>
      </c>
      <c r="D865" s="42" t="s">
        <v>442</v>
      </c>
      <c r="E865" s="42" t="s">
        <v>480</v>
      </c>
      <c r="F865" s="42">
        <v>817905</v>
      </c>
      <c r="G865" s="48">
        <v>0</v>
      </c>
      <c r="H865" s="45">
        <v>5741.86</v>
      </c>
      <c r="I865" s="45">
        <f>SUMIFS('שכר 11.2024'!N:N,'שכר 11.2024'!C:C,C:C,'שכר 11.2024'!F:F,F:F)</f>
        <v>0</v>
      </c>
      <c r="J865" s="45">
        <f t="shared" si="48"/>
        <v>5741.86</v>
      </c>
      <c r="K865" s="61">
        <f t="shared" si="49"/>
        <v>1.0349999999999999</v>
      </c>
      <c r="L865" s="45">
        <f t="shared" si="50"/>
        <v>5942.8250999999991</v>
      </c>
      <c r="M865" s="45">
        <f t="shared" si="51"/>
        <v>0</v>
      </c>
    </row>
    <row r="866" spans="1:13" outlineLevel="2" x14ac:dyDescent="0.35">
      <c r="A866" s="42">
        <v>1817905110</v>
      </c>
      <c r="B866" s="42" t="str">
        <f>VLOOKUP(A866,'תקציב מפורט 2025'!A:O,2,FALSE)</f>
        <v>קרן קיסריה משכורות</v>
      </c>
      <c r="C866" s="42">
        <v>205673387</v>
      </c>
      <c r="D866" s="42" t="s">
        <v>873</v>
      </c>
      <c r="E866" s="42" t="s">
        <v>1760</v>
      </c>
      <c r="F866" s="42">
        <v>817905</v>
      </c>
      <c r="G866" s="48">
        <v>0</v>
      </c>
      <c r="H866" s="45">
        <v>2411.75</v>
      </c>
      <c r="I866" s="45">
        <f>SUMIFS('שכר 11.2024'!N:N,'שכר 11.2024'!C:C,C:C,'שכר 11.2024'!F:F,F:F)</f>
        <v>0</v>
      </c>
      <c r="J866" s="45">
        <f t="shared" si="48"/>
        <v>2411.75</v>
      </c>
      <c r="K866" s="61">
        <f t="shared" si="49"/>
        <v>1.0349999999999999</v>
      </c>
      <c r="L866" s="45">
        <f t="shared" si="50"/>
        <v>2496.1612499999997</v>
      </c>
      <c r="M866" s="45">
        <f t="shared" si="51"/>
        <v>0</v>
      </c>
    </row>
    <row r="867" spans="1:13" outlineLevel="2" x14ac:dyDescent="0.35">
      <c r="A867" s="42">
        <v>1817905110</v>
      </c>
      <c r="B867" s="42" t="str">
        <f>VLOOKUP(A867,'תקציב מפורט 2025'!A:O,2,FALSE)</f>
        <v>קרן קיסריה משכורות</v>
      </c>
      <c r="C867" s="42">
        <v>205957921</v>
      </c>
      <c r="D867" s="42" t="s">
        <v>875</v>
      </c>
      <c r="E867" s="42" t="s">
        <v>876</v>
      </c>
      <c r="F867" s="42">
        <v>817905</v>
      </c>
      <c r="G867" s="48">
        <v>0</v>
      </c>
      <c r="H867" s="45">
        <v>4057.27</v>
      </c>
      <c r="I867" s="45">
        <f>SUMIFS('שכר 11.2024'!N:N,'שכר 11.2024'!C:C,C:C,'שכר 11.2024'!F:F,F:F)</f>
        <v>0</v>
      </c>
      <c r="J867" s="45">
        <f t="shared" si="48"/>
        <v>4057.27</v>
      </c>
      <c r="K867" s="61">
        <f t="shared" si="49"/>
        <v>1.0349999999999999</v>
      </c>
      <c r="L867" s="45">
        <f t="shared" si="50"/>
        <v>4199.2744499999999</v>
      </c>
      <c r="M867" s="45">
        <f t="shared" si="51"/>
        <v>0</v>
      </c>
    </row>
    <row r="868" spans="1:13" outlineLevel="2" x14ac:dyDescent="0.35">
      <c r="A868" s="42">
        <v>1817905110</v>
      </c>
      <c r="B868" s="42" t="str">
        <f>VLOOKUP(A868,'תקציב מפורט 2025'!A:O,2,FALSE)</f>
        <v>קרן קיסריה משכורות</v>
      </c>
      <c r="C868" s="42">
        <v>206213068</v>
      </c>
      <c r="D868" s="42" t="s">
        <v>434</v>
      </c>
      <c r="E868" s="42" t="s">
        <v>878</v>
      </c>
      <c r="F868" s="42">
        <v>817905</v>
      </c>
      <c r="G868" s="48">
        <v>0</v>
      </c>
      <c r="H868" s="45">
        <v>2442.14</v>
      </c>
      <c r="I868" s="45">
        <f>SUMIFS('שכר 11.2024'!N:N,'שכר 11.2024'!C:C,C:C,'שכר 11.2024'!F:F,F:F)</f>
        <v>0</v>
      </c>
      <c r="J868" s="45">
        <f t="shared" si="48"/>
        <v>2442.14</v>
      </c>
      <c r="K868" s="61">
        <f t="shared" si="49"/>
        <v>1.0349999999999999</v>
      </c>
      <c r="L868" s="45">
        <f t="shared" si="50"/>
        <v>2527.6148999999996</v>
      </c>
      <c r="M868" s="45">
        <f t="shared" si="51"/>
        <v>0</v>
      </c>
    </row>
    <row r="869" spans="1:13" outlineLevel="2" x14ac:dyDescent="0.35">
      <c r="A869" s="42">
        <v>1817905110</v>
      </c>
      <c r="B869" s="42" t="str">
        <f>VLOOKUP(A869,'תקציב מפורט 2025'!A:O,2,FALSE)</f>
        <v>קרן קיסריה משכורות</v>
      </c>
      <c r="C869" s="42">
        <v>206255275</v>
      </c>
      <c r="D869" s="42" t="s">
        <v>1765</v>
      </c>
      <c r="E869" s="42" t="s">
        <v>1766</v>
      </c>
      <c r="F869" s="42">
        <v>817905</v>
      </c>
      <c r="G869" s="48">
        <v>0</v>
      </c>
      <c r="H869" s="45">
        <v>3831.05</v>
      </c>
      <c r="I869" s="45">
        <f>SUMIFS('שכר 11.2024'!N:N,'שכר 11.2024'!C:C,C:C,'שכר 11.2024'!F:F,F:F)</f>
        <v>0</v>
      </c>
      <c r="J869" s="45">
        <f t="shared" si="48"/>
        <v>3831.05</v>
      </c>
      <c r="K869" s="61">
        <f t="shared" si="49"/>
        <v>1.0349999999999999</v>
      </c>
      <c r="L869" s="45">
        <f t="shared" si="50"/>
        <v>3965.1367499999997</v>
      </c>
      <c r="M869" s="45">
        <f t="shared" si="51"/>
        <v>0</v>
      </c>
    </row>
    <row r="870" spans="1:13" outlineLevel="2" x14ac:dyDescent="0.35">
      <c r="A870" s="42">
        <v>1817905110</v>
      </c>
      <c r="B870" s="42" t="str">
        <f>VLOOKUP(A870,'תקציב מפורט 2025'!A:O,2,FALSE)</f>
        <v>קרן קיסריה משכורות</v>
      </c>
      <c r="C870" s="42">
        <v>206257784</v>
      </c>
      <c r="D870" s="42" t="s">
        <v>954</v>
      </c>
      <c r="E870" s="42" t="s">
        <v>879</v>
      </c>
      <c r="F870" s="42">
        <v>817905</v>
      </c>
      <c r="G870" s="48">
        <v>0</v>
      </c>
      <c r="H870" s="45">
        <v>2453.15</v>
      </c>
      <c r="I870" s="45">
        <f>SUMIFS('שכר 11.2024'!N:N,'שכר 11.2024'!C:C,C:C,'שכר 11.2024'!F:F,F:F)</f>
        <v>0</v>
      </c>
      <c r="J870" s="45">
        <f t="shared" si="48"/>
        <v>2453.15</v>
      </c>
      <c r="K870" s="61">
        <f t="shared" si="49"/>
        <v>1.0349999999999999</v>
      </c>
      <c r="L870" s="45">
        <f t="shared" si="50"/>
        <v>2539.0102499999998</v>
      </c>
      <c r="M870" s="45">
        <f t="shared" si="51"/>
        <v>0</v>
      </c>
    </row>
    <row r="871" spans="1:13" outlineLevel="2" x14ac:dyDescent="0.35">
      <c r="A871" s="42">
        <v>1817905110</v>
      </c>
      <c r="B871" s="42" t="str">
        <f>VLOOKUP(A871,'תקציב מפורט 2025'!A:O,2,FALSE)</f>
        <v>קרן קיסריה משכורות</v>
      </c>
      <c r="C871" s="42">
        <v>206274086</v>
      </c>
      <c r="D871" s="42" t="s">
        <v>434</v>
      </c>
      <c r="E871" s="42" t="s">
        <v>1878</v>
      </c>
      <c r="F871" s="42">
        <v>817905</v>
      </c>
      <c r="G871" s="48">
        <v>229.8</v>
      </c>
      <c r="H871" s="45">
        <v>17923.47</v>
      </c>
      <c r="I871" s="45">
        <f>SUMIFS('שכר 11.2024'!N:N,'שכר 11.2024'!C:C,C:C,'שכר 11.2024'!F:F,F:F)</f>
        <v>3664.65</v>
      </c>
      <c r="J871" s="45">
        <f t="shared" si="48"/>
        <v>21588.120000000003</v>
      </c>
      <c r="K871" s="61">
        <f t="shared" si="49"/>
        <v>1.0349999999999999</v>
      </c>
      <c r="L871" s="45">
        <f t="shared" si="50"/>
        <v>22343.7042</v>
      </c>
      <c r="M871" s="45">
        <f t="shared" si="51"/>
        <v>0.20890909090909093</v>
      </c>
    </row>
    <row r="872" spans="1:13" outlineLevel="2" x14ac:dyDescent="0.35">
      <c r="A872" s="42">
        <v>1817905110</v>
      </c>
      <c r="B872" s="42" t="str">
        <f>VLOOKUP(A872,'תקציב מפורט 2025'!A:O,2,FALSE)</f>
        <v>קרן קיסריה משכורות</v>
      </c>
      <c r="C872" s="42">
        <v>206359085</v>
      </c>
      <c r="D872" s="42" t="s">
        <v>434</v>
      </c>
      <c r="E872" s="42" t="s">
        <v>845</v>
      </c>
      <c r="F872" s="42">
        <v>817905</v>
      </c>
      <c r="G872" s="48">
        <v>281.8</v>
      </c>
      <c r="H872" s="45">
        <v>28615.43</v>
      </c>
      <c r="I872" s="45">
        <f>SUMIFS('שכר 11.2024'!N:N,'שכר 11.2024'!C:C,C:C,'שכר 11.2024'!F:F,F:F)</f>
        <v>2054.4299999999998</v>
      </c>
      <c r="J872" s="45">
        <f t="shared" si="48"/>
        <v>30669.86</v>
      </c>
      <c r="K872" s="61">
        <f t="shared" si="49"/>
        <v>1.0349999999999999</v>
      </c>
      <c r="L872" s="45">
        <f t="shared" si="50"/>
        <v>31743.305099999998</v>
      </c>
      <c r="M872" s="45">
        <f t="shared" si="51"/>
        <v>0.25618181818181818</v>
      </c>
    </row>
    <row r="873" spans="1:13" outlineLevel="2" x14ac:dyDescent="0.35">
      <c r="A873" s="42">
        <v>1817905110</v>
      </c>
      <c r="B873" s="42" t="str">
        <f>VLOOKUP(A873,'תקציב מפורט 2025'!A:O,2,FALSE)</f>
        <v>קרן קיסריה משכורות</v>
      </c>
      <c r="C873" s="42">
        <v>206715674</v>
      </c>
      <c r="D873" s="42" t="s">
        <v>434</v>
      </c>
      <c r="E873" s="42" t="s">
        <v>913</v>
      </c>
      <c r="F873" s="42">
        <v>817905</v>
      </c>
      <c r="G873" s="48">
        <v>0</v>
      </c>
      <c r="H873" s="45">
        <v>1493.26</v>
      </c>
      <c r="I873" s="45">
        <f>SUMIFS('שכר 11.2024'!N:N,'שכר 11.2024'!C:C,C:C,'שכר 11.2024'!F:F,F:F)</f>
        <v>0</v>
      </c>
      <c r="J873" s="45">
        <f t="shared" si="48"/>
        <v>1493.26</v>
      </c>
      <c r="K873" s="61">
        <f t="shared" si="49"/>
        <v>1.0349999999999999</v>
      </c>
      <c r="L873" s="45">
        <f t="shared" si="50"/>
        <v>1545.5240999999999</v>
      </c>
      <c r="M873" s="45">
        <f t="shared" si="51"/>
        <v>0</v>
      </c>
    </row>
    <row r="874" spans="1:13" outlineLevel="2" x14ac:dyDescent="0.35">
      <c r="A874" s="42">
        <v>1817905110</v>
      </c>
      <c r="B874" s="42" t="str">
        <f>VLOOKUP(A874,'תקציב מפורט 2025'!A:O,2,FALSE)</f>
        <v>קרן קיסריה משכורות</v>
      </c>
      <c r="C874" s="42">
        <v>206716953</v>
      </c>
      <c r="D874" s="42" t="s">
        <v>448</v>
      </c>
      <c r="E874" s="42" t="s">
        <v>963</v>
      </c>
      <c r="F874" s="42">
        <v>817905</v>
      </c>
      <c r="G874" s="48">
        <v>399.5</v>
      </c>
      <c r="H874" s="45">
        <v>60507.03</v>
      </c>
      <c r="I874" s="45">
        <f>SUMIFS('שכר 11.2024'!N:N,'שכר 11.2024'!C:C,C:C,'שכר 11.2024'!F:F,F:F)</f>
        <v>5476.92</v>
      </c>
      <c r="J874" s="45">
        <f t="shared" si="48"/>
        <v>65983.95</v>
      </c>
      <c r="K874" s="61">
        <f t="shared" si="49"/>
        <v>1.0349999999999999</v>
      </c>
      <c r="L874" s="45">
        <f t="shared" si="50"/>
        <v>68293.388249999989</v>
      </c>
      <c r="M874" s="45">
        <f t="shared" si="51"/>
        <v>0.36318181818181816</v>
      </c>
    </row>
    <row r="875" spans="1:13" outlineLevel="2" x14ac:dyDescent="0.35">
      <c r="A875" s="42">
        <v>1817905110</v>
      </c>
      <c r="B875" s="42" t="str">
        <f>VLOOKUP(A875,'תקציב מפורט 2025'!A:O,2,FALSE)</f>
        <v>קרן קיסריה משכורות</v>
      </c>
      <c r="C875" s="42">
        <v>206717977</v>
      </c>
      <c r="D875" s="42" t="s">
        <v>442</v>
      </c>
      <c r="E875" s="42" t="s">
        <v>443</v>
      </c>
      <c r="F875" s="42">
        <v>817905</v>
      </c>
      <c r="G875" s="48">
        <v>340</v>
      </c>
      <c r="H875" s="45">
        <v>43677.97</v>
      </c>
      <c r="I875" s="45">
        <f>SUMIFS('שכר 11.2024'!N:N,'שכר 11.2024'!C:C,C:C,'שכר 11.2024'!F:F,F:F)</f>
        <v>631.29999999999995</v>
      </c>
      <c r="J875" s="45">
        <f t="shared" si="48"/>
        <v>44309.270000000004</v>
      </c>
      <c r="K875" s="61">
        <f t="shared" si="49"/>
        <v>1.0349999999999999</v>
      </c>
      <c r="L875" s="45">
        <f t="shared" si="50"/>
        <v>45860.094450000004</v>
      </c>
      <c r="M875" s="45">
        <f t="shared" si="51"/>
        <v>0.30909090909090908</v>
      </c>
    </row>
    <row r="876" spans="1:13" outlineLevel="2" x14ac:dyDescent="0.35">
      <c r="A876" s="42">
        <v>1817905110</v>
      </c>
      <c r="B876" s="42" t="str">
        <f>VLOOKUP(A876,'תקציב מפורט 2025'!A:O,2,FALSE)</f>
        <v>קרן קיסריה משכורות</v>
      </c>
      <c r="C876" s="42">
        <v>206805616</v>
      </c>
      <c r="D876" s="42" t="s">
        <v>434</v>
      </c>
      <c r="E876" s="42" t="s">
        <v>1768</v>
      </c>
      <c r="F876" s="42">
        <v>817905</v>
      </c>
      <c r="G876" s="48">
        <v>0</v>
      </c>
      <c r="H876" s="45">
        <v>9139.9599999999991</v>
      </c>
      <c r="I876" s="45">
        <f>SUMIFS('שכר 11.2024'!N:N,'שכר 11.2024'!C:C,C:C,'שכר 11.2024'!F:F,F:F)</f>
        <v>3049.28</v>
      </c>
      <c r="J876" s="45">
        <f t="shared" si="48"/>
        <v>12189.24</v>
      </c>
      <c r="K876" s="61">
        <f t="shared" si="49"/>
        <v>1.0349999999999999</v>
      </c>
      <c r="L876" s="45">
        <f t="shared" si="50"/>
        <v>12615.863399999998</v>
      </c>
      <c r="M876" s="45">
        <f t="shared" si="51"/>
        <v>0</v>
      </c>
    </row>
    <row r="877" spans="1:13" outlineLevel="2" x14ac:dyDescent="0.35">
      <c r="A877" s="42">
        <v>1817905110</v>
      </c>
      <c r="B877" s="42" t="str">
        <f>VLOOKUP(A877,'תקציב מפורט 2025'!A:O,2,FALSE)</f>
        <v>קרן קיסריה משכורות</v>
      </c>
      <c r="C877" s="42">
        <v>207153966</v>
      </c>
      <c r="D877" s="42" t="s">
        <v>442</v>
      </c>
      <c r="E877" s="42" t="s">
        <v>1769</v>
      </c>
      <c r="F877" s="42">
        <v>817905</v>
      </c>
      <c r="G877" s="48">
        <v>0</v>
      </c>
      <c r="H877" s="45">
        <v>2429.4299999999998</v>
      </c>
      <c r="I877" s="45">
        <f>SUMIFS('שכר 11.2024'!N:N,'שכר 11.2024'!C:C,C:C,'שכר 11.2024'!F:F,F:F)</f>
        <v>0</v>
      </c>
      <c r="J877" s="45">
        <f t="shared" si="48"/>
        <v>2429.4299999999998</v>
      </c>
      <c r="K877" s="61">
        <f t="shared" si="49"/>
        <v>1.0349999999999999</v>
      </c>
      <c r="L877" s="45">
        <f t="shared" si="50"/>
        <v>2514.4600499999997</v>
      </c>
      <c r="M877" s="45">
        <f t="shared" si="51"/>
        <v>0</v>
      </c>
    </row>
    <row r="878" spans="1:13" outlineLevel="2" x14ac:dyDescent="0.35">
      <c r="A878" s="42">
        <v>1817905110</v>
      </c>
      <c r="B878" s="42" t="str">
        <f>VLOOKUP(A878,'תקציב מפורט 2025'!A:O,2,FALSE)</f>
        <v>קרן קיסריה משכורות</v>
      </c>
      <c r="C878" s="42">
        <v>209545326</v>
      </c>
      <c r="D878" s="42" t="s">
        <v>846</v>
      </c>
      <c r="E878" s="42" t="s">
        <v>443</v>
      </c>
      <c r="F878" s="42">
        <v>817905</v>
      </c>
      <c r="G878" s="48">
        <v>199.5</v>
      </c>
      <c r="H878" s="45">
        <v>38923.03</v>
      </c>
      <c r="I878" s="45">
        <f>SUMIFS('שכר 11.2024'!N:N,'שכר 11.2024'!C:C,C:C,'שכר 11.2024'!F:F,F:F)</f>
        <v>6663</v>
      </c>
      <c r="J878" s="45">
        <f t="shared" si="48"/>
        <v>45586.03</v>
      </c>
      <c r="K878" s="61">
        <f t="shared" si="49"/>
        <v>1.0349999999999999</v>
      </c>
      <c r="L878" s="45">
        <f t="shared" si="50"/>
        <v>47181.541049999993</v>
      </c>
      <c r="M878" s="45">
        <f t="shared" si="51"/>
        <v>0.18136363636363637</v>
      </c>
    </row>
    <row r="879" spans="1:13" outlineLevel="2" x14ac:dyDescent="0.35">
      <c r="A879" s="42">
        <v>1817905110</v>
      </c>
      <c r="B879" s="42" t="str">
        <f>VLOOKUP(A879,'תקציב מפורט 2025'!A:O,2,FALSE)</f>
        <v>קרן קיסריה משכורות</v>
      </c>
      <c r="C879" s="42">
        <v>215857368</v>
      </c>
      <c r="D879" s="42" t="s">
        <v>442</v>
      </c>
      <c r="E879" s="42" t="s">
        <v>1879</v>
      </c>
      <c r="F879" s="42">
        <v>817905</v>
      </c>
      <c r="G879" s="48">
        <v>445.2</v>
      </c>
      <c r="H879" s="45">
        <v>30394.400000000001</v>
      </c>
      <c r="I879" s="45">
        <f>SUMIFS('שכר 11.2024'!N:N,'שכר 11.2024'!C:C,C:C,'שכר 11.2024'!F:F,F:F)</f>
        <v>5441.45</v>
      </c>
      <c r="J879" s="45">
        <f t="shared" si="48"/>
        <v>35835.85</v>
      </c>
      <c r="K879" s="61">
        <f t="shared" si="49"/>
        <v>1.0349999999999999</v>
      </c>
      <c r="L879" s="45">
        <f t="shared" si="50"/>
        <v>37090.104749999999</v>
      </c>
      <c r="M879" s="45">
        <f t="shared" si="51"/>
        <v>0.40472727272727271</v>
      </c>
    </row>
    <row r="880" spans="1:13" outlineLevel="2" x14ac:dyDescent="0.35">
      <c r="A880" s="42">
        <v>1817905110</v>
      </c>
      <c r="B880" s="42" t="str">
        <f>VLOOKUP(A880,'תקציב מפורט 2025'!A:O,2,FALSE)</f>
        <v>קרן קיסריה משכורות</v>
      </c>
      <c r="C880" s="42">
        <v>300820933</v>
      </c>
      <c r="D880" s="42" t="s">
        <v>495</v>
      </c>
      <c r="E880" s="42" t="s">
        <v>1880</v>
      </c>
      <c r="F880" s="42">
        <v>817905</v>
      </c>
      <c r="G880" s="48">
        <v>108.8</v>
      </c>
      <c r="H880" s="45">
        <v>9483.68</v>
      </c>
      <c r="I880" s="45">
        <f>SUMIFS('שכר 11.2024'!N:N,'שכר 11.2024'!C:C,C:C,'שכר 11.2024'!F:F,F:F)</f>
        <v>4486.42</v>
      </c>
      <c r="J880" s="45">
        <f t="shared" si="48"/>
        <v>13970.1</v>
      </c>
      <c r="K880" s="61">
        <f t="shared" si="49"/>
        <v>1.0349999999999999</v>
      </c>
      <c r="L880" s="45">
        <f t="shared" si="50"/>
        <v>14459.0535</v>
      </c>
      <c r="M880" s="45">
        <f t="shared" si="51"/>
        <v>9.8909090909090905E-2</v>
      </c>
    </row>
    <row r="881" spans="1:13" outlineLevel="2" x14ac:dyDescent="0.35">
      <c r="A881" s="42">
        <v>1817905110</v>
      </c>
      <c r="B881" s="42" t="str">
        <f>VLOOKUP(A881,'תקציב מפורט 2025'!A:O,2,FALSE)</f>
        <v>קרן קיסריה משכורות</v>
      </c>
      <c r="C881" s="42">
        <v>301232393</v>
      </c>
      <c r="D881" s="42" t="s">
        <v>885</v>
      </c>
      <c r="E881" s="42" t="s">
        <v>886</v>
      </c>
      <c r="F881" s="42">
        <v>817905</v>
      </c>
      <c r="G881" s="48">
        <v>0</v>
      </c>
      <c r="H881" s="45">
        <v>2472.6799999999998</v>
      </c>
      <c r="I881" s="45">
        <f>SUMIFS('שכר 11.2024'!N:N,'שכר 11.2024'!C:C,C:C,'שכר 11.2024'!F:F,F:F)</f>
        <v>0</v>
      </c>
      <c r="J881" s="45">
        <f t="shared" si="48"/>
        <v>2472.6799999999998</v>
      </c>
      <c r="K881" s="61">
        <f t="shared" si="49"/>
        <v>1.0349999999999999</v>
      </c>
      <c r="L881" s="45">
        <f t="shared" si="50"/>
        <v>2559.2237999999998</v>
      </c>
      <c r="M881" s="45">
        <f t="shared" si="51"/>
        <v>0</v>
      </c>
    </row>
    <row r="882" spans="1:13" outlineLevel="2" x14ac:dyDescent="0.35">
      <c r="A882" s="42">
        <v>1817905110</v>
      </c>
      <c r="B882" s="42" t="str">
        <f>VLOOKUP(A882,'תקציב מפורט 2025'!A:O,2,FALSE)</f>
        <v>קרן קיסריה משכורות</v>
      </c>
      <c r="C882" s="42">
        <v>301408597</v>
      </c>
      <c r="D882" s="42" t="s">
        <v>462</v>
      </c>
      <c r="E882" s="42" t="s">
        <v>1881</v>
      </c>
      <c r="F882" s="42">
        <v>817905</v>
      </c>
      <c r="G882" s="48">
        <v>74.400000000000006</v>
      </c>
      <c r="H882" s="45">
        <v>26304.89</v>
      </c>
      <c r="I882" s="45">
        <f>SUMIFS('שכר 11.2024'!N:N,'שכר 11.2024'!C:C,C:C,'שכר 11.2024'!F:F,F:F)</f>
        <v>5240.82</v>
      </c>
      <c r="J882" s="45">
        <f t="shared" ref="J882:J958" si="52">H882+I882</f>
        <v>31545.71</v>
      </c>
      <c r="K882" s="61">
        <f t="shared" ref="K882:K958" si="53">3.5/100+1</f>
        <v>1.0349999999999999</v>
      </c>
      <c r="L882" s="45">
        <f t="shared" ref="L882:L958" si="54">J882*K882</f>
        <v>32649.809849999998</v>
      </c>
      <c r="M882" s="45">
        <f t="shared" ref="M882:M958" si="55">G882/1100</f>
        <v>6.7636363636363647E-2</v>
      </c>
    </row>
    <row r="883" spans="1:13" outlineLevel="2" x14ac:dyDescent="0.35">
      <c r="A883" s="42">
        <v>1817905110</v>
      </c>
      <c r="B883" s="42" t="str">
        <f>VLOOKUP(A883,'תקציב מפורט 2025'!A:O,2,FALSE)</f>
        <v>קרן קיסריה משכורות</v>
      </c>
      <c r="C883" s="42">
        <v>301492542</v>
      </c>
      <c r="D883" s="42" t="s">
        <v>495</v>
      </c>
      <c r="E883" s="42" t="s">
        <v>494</v>
      </c>
      <c r="F883" s="42">
        <v>817905</v>
      </c>
      <c r="G883" s="48">
        <v>295.60000000000002</v>
      </c>
      <c r="H883" s="45">
        <v>26467.58</v>
      </c>
      <c r="I883" s="45">
        <f>SUMIFS('שכר 11.2024'!N:N,'שכר 11.2024'!C:C,C:C,'שכר 11.2024'!F:F,F:F)</f>
        <v>2645.4</v>
      </c>
      <c r="J883" s="45">
        <f t="shared" si="52"/>
        <v>29112.980000000003</v>
      </c>
      <c r="K883" s="61">
        <f t="shared" si="53"/>
        <v>1.0349999999999999</v>
      </c>
      <c r="L883" s="45">
        <f t="shared" si="54"/>
        <v>30131.934300000001</v>
      </c>
      <c r="M883" s="45">
        <f t="shared" si="55"/>
        <v>0.26872727272727276</v>
      </c>
    </row>
    <row r="884" spans="1:13" outlineLevel="2" x14ac:dyDescent="0.35">
      <c r="A884" s="42">
        <v>1817905110</v>
      </c>
      <c r="B884" s="42" t="str">
        <f>VLOOKUP(A884,'תקציב מפורט 2025'!A:O,2,FALSE)</f>
        <v>קרן קיסריה משכורות</v>
      </c>
      <c r="C884" s="42">
        <v>302649918</v>
      </c>
      <c r="D884" s="42" t="s">
        <v>442</v>
      </c>
      <c r="E884" s="42" t="s">
        <v>500</v>
      </c>
      <c r="F884" s="42">
        <v>817905</v>
      </c>
      <c r="G884" s="48">
        <v>0</v>
      </c>
      <c r="H884" s="45">
        <v>3956.61</v>
      </c>
      <c r="I884" s="45">
        <f>SUMIFS('שכר 11.2024'!N:N,'שכר 11.2024'!C:C,C:C,'שכר 11.2024'!F:F,F:F)</f>
        <v>0</v>
      </c>
      <c r="J884" s="45">
        <f t="shared" si="52"/>
        <v>3956.61</v>
      </c>
      <c r="K884" s="61">
        <f t="shared" si="53"/>
        <v>1.0349999999999999</v>
      </c>
      <c r="L884" s="45">
        <f t="shared" si="54"/>
        <v>4095.0913499999997</v>
      </c>
      <c r="M884" s="45">
        <f t="shared" si="55"/>
        <v>0</v>
      </c>
    </row>
    <row r="885" spans="1:13" outlineLevel="2" x14ac:dyDescent="0.35">
      <c r="A885" s="42">
        <v>1817905110</v>
      </c>
      <c r="B885" s="42" t="str">
        <f>VLOOKUP(A885,'תקציב מפורט 2025'!A:O,2,FALSE)</f>
        <v>קרן קיסריה משכורות</v>
      </c>
      <c r="C885" s="42">
        <v>302826672</v>
      </c>
      <c r="D885" s="42" t="s">
        <v>888</v>
      </c>
      <c r="E885" s="42" t="s">
        <v>885</v>
      </c>
      <c r="F885" s="42">
        <v>817905</v>
      </c>
      <c r="G885" s="48">
        <v>0</v>
      </c>
      <c r="H885" s="45">
        <v>3925.33</v>
      </c>
      <c r="I885" s="45">
        <f>SUMIFS('שכר 11.2024'!N:N,'שכר 11.2024'!C:C,C:C,'שכר 11.2024'!F:F,F:F)</f>
        <v>0</v>
      </c>
      <c r="J885" s="45">
        <f t="shared" si="52"/>
        <v>3925.33</v>
      </c>
      <c r="K885" s="61">
        <f t="shared" si="53"/>
        <v>1.0349999999999999</v>
      </c>
      <c r="L885" s="45">
        <f t="shared" si="54"/>
        <v>4062.7165499999996</v>
      </c>
      <c r="M885" s="45">
        <f t="shared" si="55"/>
        <v>0</v>
      </c>
    </row>
    <row r="886" spans="1:13" outlineLevel="2" x14ac:dyDescent="0.35">
      <c r="A886" s="42">
        <v>1817905110</v>
      </c>
      <c r="B886" s="42" t="str">
        <f>VLOOKUP(A886,'תקציב מפורט 2025'!A:O,2,FALSE)</f>
        <v>קרן קיסריה משכורות</v>
      </c>
      <c r="C886" s="42">
        <v>303147508</v>
      </c>
      <c r="D886" s="42" t="s">
        <v>434</v>
      </c>
      <c r="E886" s="42" t="s">
        <v>909</v>
      </c>
      <c r="F886" s="42">
        <v>817905</v>
      </c>
      <c r="G886" s="48">
        <v>80.099999999999994</v>
      </c>
      <c r="H886" s="45">
        <v>15658.05</v>
      </c>
      <c r="I886" s="45">
        <f>SUMIFS('שכר 11.2024'!N:N,'שכר 11.2024'!C:C,C:C,'שכר 11.2024'!F:F,F:F)</f>
        <v>2332.0500000000002</v>
      </c>
      <c r="J886" s="45">
        <f t="shared" si="52"/>
        <v>17990.099999999999</v>
      </c>
      <c r="K886" s="61">
        <f t="shared" si="53"/>
        <v>1.0349999999999999</v>
      </c>
      <c r="L886" s="45">
        <f t="shared" si="54"/>
        <v>18619.753499999995</v>
      </c>
      <c r="M886" s="45">
        <f t="shared" si="55"/>
        <v>7.281818181818181E-2</v>
      </c>
    </row>
    <row r="887" spans="1:13" outlineLevel="2" x14ac:dyDescent="0.35">
      <c r="A887" s="42">
        <v>1817905110</v>
      </c>
      <c r="B887" s="42" t="str">
        <f>VLOOKUP(A887,'תקציב מפורט 2025'!A:O,2,FALSE)</f>
        <v>קרן קיסריה משכורות</v>
      </c>
      <c r="C887" s="42">
        <v>308181072</v>
      </c>
      <c r="D887" s="42" t="s">
        <v>434</v>
      </c>
      <c r="E887" s="42" t="s">
        <v>507</v>
      </c>
      <c r="F887" s="42">
        <v>817905</v>
      </c>
      <c r="G887" s="48">
        <v>0</v>
      </c>
      <c r="H887" s="45">
        <v>4827.1000000000004</v>
      </c>
      <c r="I887" s="45">
        <f>SUMIFS('שכר 11.2024'!N:N,'שכר 11.2024'!C:C,C:C,'שכר 11.2024'!F:F,F:F)</f>
        <v>0</v>
      </c>
      <c r="J887" s="45">
        <f t="shared" si="52"/>
        <v>4827.1000000000004</v>
      </c>
      <c r="K887" s="61">
        <f t="shared" si="53"/>
        <v>1.0349999999999999</v>
      </c>
      <c r="L887" s="45">
        <f t="shared" si="54"/>
        <v>4996.0484999999999</v>
      </c>
      <c r="M887" s="45">
        <f t="shared" si="55"/>
        <v>0</v>
      </c>
    </row>
    <row r="888" spans="1:13" outlineLevel="2" x14ac:dyDescent="0.35">
      <c r="A888" s="42">
        <v>1817905110</v>
      </c>
      <c r="B888" s="42" t="str">
        <f>VLOOKUP(A888,'תקציב מפורט 2025'!A:O,2,FALSE)</f>
        <v>קרן קיסריה משכורות</v>
      </c>
      <c r="C888" s="42">
        <v>308182351</v>
      </c>
      <c r="D888" s="42" t="s">
        <v>1775</v>
      </c>
      <c r="E888" s="42" t="s">
        <v>949</v>
      </c>
      <c r="F888" s="42">
        <v>817905</v>
      </c>
      <c r="G888" s="48">
        <v>0</v>
      </c>
      <c r="H888" s="45">
        <v>2407.5100000000002</v>
      </c>
      <c r="I888" s="45">
        <f>SUMIFS('שכר 11.2024'!N:N,'שכר 11.2024'!C:C,C:C,'שכר 11.2024'!F:F,F:F)</f>
        <v>0</v>
      </c>
      <c r="J888" s="45">
        <f t="shared" si="52"/>
        <v>2407.5100000000002</v>
      </c>
      <c r="K888" s="61">
        <f t="shared" si="53"/>
        <v>1.0349999999999999</v>
      </c>
      <c r="L888" s="45">
        <f t="shared" si="54"/>
        <v>2491.7728499999998</v>
      </c>
      <c r="M888" s="45">
        <f t="shared" si="55"/>
        <v>0</v>
      </c>
    </row>
    <row r="889" spans="1:13" outlineLevel="2" x14ac:dyDescent="0.35">
      <c r="A889" s="42">
        <v>1817905110</v>
      </c>
      <c r="B889" s="42" t="str">
        <f>VLOOKUP(A889,'תקציב מפורט 2025'!A:O,2,FALSE)</f>
        <v>קרן קיסריה משכורות</v>
      </c>
      <c r="C889" s="42">
        <v>308535400</v>
      </c>
      <c r="D889" s="42" t="s">
        <v>442</v>
      </c>
      <c r="E889" s="42" t="s">
        <v>946</v>
      </c>
      <c r="F889" s="42">
        <v>817905</v>
      </c>
      <c r="G889" s="48">
        <v>40.299999999999997</v>
      </c>
      <c r="H889" s="45">
        <v>0</v>
      </c>
      <c r="I889" s="45">
        <f>SUMIFS('שכר 11.2024'!N:N,'שכר 11.2024'!C:C,C:C,'שכר 11.2024'!F:F,F:F)</f>
        <v>0</v>
      </c>
      <c r="J889" s="45">
        <f t="shared" si="52"/>
        <v>0</v>
      </c>
      <c r="K889" s="61">
        <f t="shared" si="53"/>
        <v>1.0349999999999999</v>
      </c>
      <c r="L889" s="45">
        <f t="shared" si="54"/>
        <v>0</v>
      </c>
      <c r="M889" s="45">
        <f t="shared" si="55"/>
        <v>3.6636363636363634E-2</v>
      </c>
    </row>
    <row r="890" spans="1:13" outlineLevel="2" x14ac:dyDescent="0.35">
      <c r="A890" s="42">
        <v>1817905110</v>
      </c>
      <c r="B890" s="42" t="str">
        <f>VLOOKUP(A890,'תקציב מפורט 2025'!A:O,2,FALSE)</f>
        <v>קרן קיסריה משכורות</v>
      </c>
      <c r="C890" s="42">
        <v>312394141</v>
      </c>
      <c r="D890" s="42" t="s">
        <v>434</v>
      </c>
      <c r="E890" s="42" t="s">
        <v>890</v>
      </c>
      <c r="F890" s="42">
        <v>817905</v>
      </c>
      <c r="G890" s="48">
        <v>0</v>
      </c>
      <c r="H890" s="45">
        <v>3960.97</v>
      </c>
      <c r="I890" s="45">
        <f>SUMIFS('שכר 11.2024'!N:N,'שכר 11.2024'!C:C,C:C,'שכר 11.2024'!F:F,F:F)</f>
        <v>0</v>
      </c>
      <c r="J890" s="45">
        <f t="shared" si="52"/>
        <v>3960.97</v>
      </c>
      <c r="K890" s="61">
        <f t="shared" si="53"/>
        <v>1.0349999999999999</v>
      </c>
      <c r="L890" s="45">
        <f t="shared" si="54"/>
        <v>4099.6039499999997</v>
      </c>
      <c r="M890" s="45">
        <f t="shared" si="55"/>
        <v>0</v>
      </c>
    </row>
    <row r="891" spans="1:13" outlineLevel="2" x14ac:dyDescent="0.35">
      <c r="A891" s="42">
        <v>1817905110</v>
      </c>
      <c r="B891" s="42" t="str">
        <f>VLOOKUP(A891,'תקציב מפורט 2025'!A:O,2,FALSE)</f>
        <v>קרן קיסריה משכורות</v>
      </c>
      <c r="C891" s="42">
        <v>312440555</v>
      </c>
      <c r="D891" s="42" t="s">
        <v>891</v>
      </c>
      <c r="E891" s="42" t="s">
        <v>496</v>
      </c>
      <c r="F891" s="42">
        <v>817905</v>
      </c>
      <c r="G891" s="48">
        <v>0</v>
      </c>
      <c r="H891" s="45">
        <v>2888.24</v>
      </c>
      <c r="I891" s="45">
        <f>SUMIFS('שכר 11.2024'!N:N,'שכר 11.2024'!C:C,C:C,'שכר 11.2024'!F:F,F:F)</f>
        <v>0</v>
      </c>
      <c r="J891" s="45">
        <f t="shared" si="52"/>
        <v>2888.24</v>
      </c>
      <c r="K891" s="61">
        <f t="shared" si="53"/>
        <v>1.0349999999999999</v>
      </c>
      <c r="L891" s="45">
        <f t="shared" si="54"/>
        <v>2989.3283999999994</v>
      </c>
      <c r="M891" s="45">
        <f t="shared" si="55"/>
        <v>0</v>
      </c>
    </row>
    <row r="892" spans="1:13" outlineLevel="2" x14ac:dyDescent="0.35">
      <c r="A892" s="42">
        <v>1817905110</v>
      </c>
      <c r="B892" s="42" t="str">
        <f>VLOOKUP(A892,'תקציב מפורט 2025'!A:O,2,FALSE)</f>
        <v>קרן קיסריה משכורות</v>
      </c>
      <c r="C892" s="42">
        <v>315054650</v>
      </c>
      <c r="D892" s="42" t="s">
        <v>434</v>
      </c>
      <c r="E892" s="42" t="s">
        <v>558</v>
      </c>
      <c r="F892" s="42">
        <v>817905</v>
      </c>
      <c r="G892" s="48">
        <v>97.9</v>
      </c>
      <c r="H892" s="45">
        <v>8861.7900000000009</v>
      </c>
      <c r="I892" s="45">
        <f>SUMIFS('שכר 11.2024'!N:N,'שכר 11.2024'!C:C,C:C,'שכר 11.2024'!F:F,F:F)</f>
        <v>2109.9499999999998</v>
      </c>
      <c r="J892" s="45">
        <f t="shared" si="52"/>
        <v>10971.740000000002</v>
      </c>
      <c r="K892" s="61">
        <f t="shared" si="53"/>
        <v>1.0349999999999999</v>
      </c>
      <c r="L892" s="45">
        <f t="shared" si="54"/>
        <v>11355.750900000001</v>
      </c>
      <c r="M892" s="45">
        <f t="shared" si="55"/>
        <v>8.900000000000001E-2</v>
      </c>
    </row>
    <row r="893" spans="1:13" outlineLevel="2" x14ac:dyDescent="0.35">
      <c r="A893" s="42">
        <v>1817905110</v>
      </c>
      <c r="B893" s="42" t="str">
        <f>VLOOKUP(A893,'תקציב מפורט 2025'!A:O,2,FALSE)</f>
        <v>קרן קיסריה משכורות</v>
      </c>
      <c r="C893" s="42">
        <v>315204081</v>
      </c>
      <c r="D893" s="42" t="s">
        <v>1781</v>
      </c>
      <c r="E893" s="42" t="s">
        <v>885</v>
      </c>
      <c r="F893" s="42">
        <v>817905</v>
      </c>
      <c r="G893" s="48">
        <v>0</v>
      </c>
      <c r="H893" s="45">
        <v>2407.44</v>
      </c>
      <c r="I893" s="45">
        <f>SUMIFS('שכר 11.2024'!N:N,'שכר 11.2024'!C:C,C:C,'שכר 11.2024'!F:F,F:F)</f>
        <v>0</v>
      </c>
      <c r="J893" s="45">
        <f t="shared" si="52"/>
        <v>2407.44</v>
      </c>
      <c r="K893" s="61">
        <f t="shared" si="53"/>
        <v>1.0349999999999999</v>
      </c>
      <c r="L893" s="45">
        <f t="shared" si="54"/>
        <v>2491.7003999999997</v>
      </c>
      <c r="M893" s="45">
        <f t="shared" si="55"/>
        <v>0</v>
      </c>
    </row>
    <row r="894" spans="1:13" outlineLevel="2" x14ac:dyDescent="0.35">
      <c r="A894" s="42">
        <v>1817905110</v>
      </c>
      <c r="B894" s="42" t="str">
        <f>VLOOKUP(A894,'תקציב מפורט 2025'!A:O,2,FALSE)</f>
        <v>קרן קיסריה משכורות</v>
      </c>
      <c r="C894" s="42">
        <v>318977899</v>
      </c>
      <c r="D894" s="42" t="s">
        <v>1783</v>
      </c>
      <c r="E894" s="42" t="s">
        <v>1784</v>
      </c>
      <c r="F894" s="42">
        <v>817905</v>
      </c>
      <c r="G894" s="48">
        <v>0</v>
      </c>
      <c r="H894" s="45">
        <v>14457.28</v>
      </c>
      <c r="I894" s="45">
        <f>SUMIFS('שכר 11.2024'!N:N,'שכר 11.2024'!C:C,C:C,'שכר 11.2024'!F:F,F:F)</f>
        <v>0</v>
      </c>
      <c r="J894" s="45">
        <f t="shared" si="52"/>
        <v>14457.28</v>
      </c>
      <c r="K894" s="61">
        <f t="shared" si="53"/>
        <v>1.0349999999999999</v>
      </c>
      <c r="L894" s="45">
        <f t="shared" si="54"/>
        <v>14963.284799999999</v>
      </c>
      <c r="M894" s="45">
        <f t="shared" si="55"/>
        <v>0</v>
      </c>
    </row>
    <row r="895" spans="1:13" outlineLevel="2" x14ac:dyDescent="0.35">
      <c r="A895" s="42">
        <v>1817905110</v>
      </c>
      <c r="B895" s="42" t="str">
        <f>VLOOKUP(A895,'תקציב מפורט 2025'!A:O,2,FALSE)</f>
        <v>קרן קיסריה משכורות</v>
      </c>
      <c r="C895" s="42">
        <v>318978798</v>
      </c>
      <c r="D895" s="42" t="s">
        <v>434</v>
      </c>
      <c r="E895" s="42" t="s">
        <v>829</v>
      </c>
      <c r="F895" s="42">
        <v>817905</v>
      </c>
      <c r="G895" s="48">
        <v>218.6</v>
      </c>
      <c r="H895" s="45">
        <v>26714.05</v>
      </c>
      <c r="I895" s="45">
        <f>SUMIFS('שכר 11.2024'!N:N,'שכר 11.2024'!C:C,C:C,'שכר 11.2024'!F:F,F:F)</f>
        <v>2918.24</v>
      </c>
      <c r="J895" s="45">
        <f t="shared" si="52"/>
        <v>29632.29</v>
      </c>
      <c r="K895" s="61">
        <f t="shared" si="53"/>
        <v>1.0349999999999999</v>
      </c>
      <c r="L895" s="45">
        <f t="shared" si="54"/>
        <v>30669.420149999998</v>
      </c>
      <c r="M895" s="45">
        <f t="shared" si="55"/>
        <v>0.19872727272727272</v>
      </c>
    </row>
    <row r="896" spans="1:13" outlineLevel="2" x14ac:dyDescent="0.35">
      <c r="A896" s="42">
        <v>1817905110</v>
      </c>
      <c r="B896" s="42" t="str">
        <f>VLOOKUP(A896,'תקציב מפורט 2025'!A:O,2,FALSE)</f>
        <v>קרן קיסריה משכורות</v>
      </c>
      <c r="C896" s="42">
        <v>327147708</v>
      </c>
      <c r="D896" s="42" t="s">
        <v>1882</v>
      </c>
      <c r="E896" s="42" t="s">
        <v>575</v>
      </c>
      <c r="F896" s="42">
        <v>817905</v>
      </c>
      <c r="G896" s="48">
        <v>875.8</v>
      </c>
      <c r="H896" s="45">
        <v>73099.490000000005</v>
      </c>
      <c r="I896" s="45">
        <f>SUMIFS('שכר 11.2024'!N:N,'שכר 11.2024'!C:C,C:C,'שכר 11.2024'!F:F,F:F)</f>
        <v>5857.3</v>
      </c>
      <c r="J896" s="45">
        <f t="shared" si="52"/>
        <v>78956.790000000008</v>
      </c>
      <c r="K896" s="61">
        <f t="shared" si="53"/>
        <v>1.0349999999999999</v>
      </c>
      <c r="L896" s="45">
        <f t="shared" si="54"/>
        <v>81720.277650000004</v>
      </c>
      <c r="M896" s="45">
        <f t="shared" si="55"/>
        <v>0.7961818181818181</v>
      </c>
    </row>
    <row r="897" spans="1:13" outlineLevel="2" x14ac:dyDescent="0.35">
      <c r="A897" s="42">
        <v>1817905110</v>
      </c>
      <c r="B897" s="42" t="str">
        <f>VLOOKUP(A897,'תקציב מפורט 2025'!A:O,2,FALSE)</f>
        <v>קרן קיסריה משכורות</v>
      </c>
      <c r="C897" s="42">
        <v>329201222</v>
      </c>
      <c r="D897" s="42" t="s">
        <v>442</v>
      </c>
      <c r="E897" s="42" t="s">
        <v>443</v>
      </c>
      <c r="F897" s="42">
        <v>817905</v>
      </c>
      <c r="G897" s="48">
        <v>181.7</v>
      </c>
      <c r="H897" s="45">
        <v>10749.67</v>
      </c>
      <c r="I897" s="45">
        <f>SUMIFS('שכר 11.2024'!N:N,'שכר 11.2024'!C:C,C:C,'שכר 11.2024'!F:F,F:F)</f>
        <v>2931.75</v>
      </c>
      <c r="J897" s="45">
        <f t="shared" si="52"/>
        <v>13681.42</v>
      </c>
      <c r="K897" s="61">
        <f t="shared" si="53"/>
        <v>1.0349999999999999</v>
      </c>
      <c r="L897" s="45">
        <f t="shared" si="54"/>
        <v>14160.269699999999</v>
      </c>
      <c r="M897" s="45">
        <f t="shared" si="55"/>
        <v>0.16518181818181818</v>
      </c>
    </row>
    <row r="898" spans="1:13" outlineLevel="1" x14ac:dyDescent="0.35">
      <c r="A898" s="63" t="s">
        <v>2029</v>
      </c>
      <c r="B898" s="63"/>
      <c r="C898" s="63"/>
      <c r="D898" s="63"/>
      <c r="E898" s="63"/>
      <c r="F898" s="63"/>
      <c r="G898" s="73">
        <f>SUBTOTAL(9,G843:G897)</f>
        <v>6710.1000000000013</v>
      </c>
      <c r="H898" s="64">
        <f>SUBTOTAL(9,H843:H897)</f>
        <v>951436.9300000004</v>
      </c>
      <c r="I898" s="64">
        <f>SUBTOTAL(9,I843:I897)</f>
        <v>104354.51000000001</v>
      </c>
      <c r="J898" s="64">
        <f>SUBTOTAL(9,J843:J897)</f>
        <v>1055791.44</v>
      </c>
      <c r="K898" s="65"/>
      <c r="L898" s="64">
        <f>SUBTOTAL(9,L843:L897)</f>
        <v>1092744.1404000001</v>
      </c>
      <c r="M898" s="64">
        <f>SUBTOTAL(9,M843:M897)</f>
        <v>6.100090909090909</v>
      </c>
    </row>
    <row r="899" spans="1:13" outlineLevel="2" x14ac:dyDescent="0.35">
      <c r="A899" s="42">
        <v>1817910110</v>
      </c>
      <c r="B899" s="42" t="str">
        <f>VLOOKUP(A899,'תקציב מפורט 2025'!A:O,2,FALSE)</f>
        <v>משכורת 360 דלת פתוחה</v>
      </c>
      <c r="C899" s="42">
        <v>31693203</v>
      </c>
      <c r="D899" s="42" t="s">
        <v>490</v>
      </c>
      <c r="E899" s="42" t="s">
        <v>1799</v>
      </c>
      <c r="F899" s="42">
        <v>817910</v>
      </c>
      <c r="G899" s="48">
        <v>175.8</v>
      </c>
      <c r="H899" s="45">
        <v>15704.02</v>
      </c>
      <c r="I899" s="45">
        <f>SUMIFS('שכר 11.2024'!N:N,'שכר 11.2024'!C:C,C:C,'שכר 11.2024'!F:F,F:F)</f>
        <v>0</v>
      </c>
      <c r="J899" s="45">
        <f t="shared" si="52"/>
        <v>15704.02</v>
      </c>
      <c r="K899" s="61">
        <f t="shared" si="53"/>
        <v>1.0349999999999999</v>
      </c>
      <c r="L899" s="45">
        <f t="shared" si="54"/>
        <v>16253.660699999999</v>
      </c>
      <c r="M899" s="45">
        <f t="shared" si="55"/>
        <v>0.15981818181818183</v>
      </c>
    </row>
    <row r="900" spans="1:13" outlineLevel="2" x14ac:dyDescent="0.35">
      <c r="A900" s="42">
        <v>1817910110</v>
      </c>
      <c r="B900" s="42" t="str">
        <f>VLOOKUP(A900,'תקציב מפורט 2025'!A:O,2,FALSE)</f>
        <v>משכורת 360 דלת פתוחה</v>
      </c>
      <c r="C900" s="42">
        <v>204196638</v>
      </c>
      <c r="D900" s="42" t="s">
        <v>916</v>
      </c>
      <c r="E900" s="42" t="s">
        <v>475</v>
      </c>
      <c r="F900" s="42">
        <v>817910</v>
      </c>
      <c r="G900" s="48">
        <v>1100</v>
      </c>
      <c r="H900" s="45">
        <v>140694.89000000001</v>
      </c>
      <c r="I900" s="45">
        <f>SUMIFS('שכר 11.2024'!N:N,'שכר 11.2024'!C:C,C:C,'שכר 11.2024'!F:F,F:F)</f>
        <v>12882.34</v>
      </c>
      <c r="J900" s="45">
        <f t="shared" si="52"/>
        <v>153577.23000000001</v>
      </c>
      <c r="K900" s="61">
        <f t="shared" si="53"/>
        <v>1.0349999999999999</v>
      </c>
      <c r="L900" s="45">
        <f t="shared" si="54"/>
        <v>158952.43304999999</v>
      </c>
      <c r="M900" s="45">
        <f t="shared" si="55"/>
        <v>1</v>
      </c>
    </row>
    <row r="901" spans="1:13" outlineLevel="2" x14ac:dyDescent="0.35">
      <c r="A901" s="42">
        <v>1817910110</v>
      </c>
      <c r="B901" s="42" t="str">
        <f>VLOOKUP(A901,'תקציב מפורט 2025'!A:O,2,FALSE)</f>
        <v>משכורת 360 דלת פתוחה</v>
      </c>
      <c r="C901" s="42">
        <v>308238286</v>
      </c>
      <c r="D901" s="42" t="s">
        <v>442</v>
      </c>
      <c r="E901" s="42" t="s">
        <v>471</v>
      </c>
      <c r="F901" s="42">
        <v>817910</v>
      </c>
      <c r="G901" s="48">
        <v>415.7</v>
      </c>
      <c r="H901" s="45">
        <v>39129.629999999997</v>
      </c>
      <c r="I901" s="45">
        <f>SUMIFS('שכר 11.2024'!N:N,'שכר 11.2024'!C:C,C:C,'שכר 11.2024'!F:F,F:F)</f>
        <v>3670.14</v>
      </c>
      <c r="J901" s="45">
        <f t="shared" si="52"/>
        <v>42799.77</v>
      </c>
      <c r="K901" s="61">
        <f t="shared" si="53"/>
        <v>1.0349999999999999</v>
      </c>
      <c r="L901" s="45">
        <f t="shared" si="54"/>
        <v>44297.761949999993</v>
      </c>
      <c r="M901" s="45">
        <f t="shared" si="55"/>
        <v>0.37790909090909092</v>
      </c>
    </row>
    <row r="902" spans="1:13" outlineLevel="1" x14ac:dyDescent="0.35">
      <c r="A902" s="63" t="s">
        <v>2030</v>
      </c>
      <c r="B902" s="63"/>
      <c r="C902" s="63"/>
      <c r="D902" s="63"/>
      <c r="E902" s="63"/>
      <c r="F902" s="63"/>
      <c r="G902" s="73">
        <f>SUBTOTAL(9,G899:G901)</f>
        <v>1691.5</v>
      </c>
      <c r="H902" s="64">
        <f>SUBTOTAL(9,H899:H901)</f>
        <v>195528.54</v>
      </c>
      <c r="I902" s="64">
        <f>SUBTOTAL(9,I899:I901)</f>
        <v>16552.48</v>
      </c>
      <c r="J902" s="64">
        <f>SUBTOTAL(9,J899:J901)</f>
        <v>212081.02</v>
      </c>
      <c r="K902" s="65"/>
      <c r="L902" s="64">
        <f>SUBTOTAL(9,L899:L901)</f>
        <v>219503.85569999999</v>
      </c>
      <c r="M902" s="64">
        <f>SUBTOTAL(9,M899:M901)</f>
        <v>1.5377272727272728</v>
      </c>
    </row>
    <row r="903" spans="1:13" outlineLevel="2" x14ac:dyDescent="0.35">
      <c r="A903" s="42">
        <v>1817911110</v>
      </c>
      <c r="B903" s="42" t="str">
        <f>VLOOKUP(A903,'תקציב מפורט 2025'!A:O,2,FALSE)</f>
        <v>משכורת תוכנית מלא</v>
      </c>
      <c r="C903" s="42">
        <v>66749318</v>
      </c>
      <c r="D903" s="42" t="s">
        <v>434</v>
      </c>
      <c r="E903" s="42" t="s">
        <v>459</v>
      </c>
      <c r="F903" s="42">
        <v>817911</v>
      </c>
      <c r="G903" s="48">
        <v>114.1</v>
      </c>
      <c r="H903" s="45">
        <v>11271.59</v>
      </c>
      <c r="I903" s="45">
        <f>SUMIFS('שכר 11.2024'!N:N,'שכר 11.2024'!C:C,C:C,'שכר 11.2024'!F:F,F:F)</f>
        <v>0</v>
      </c>
      <c r="J903" s="45">
        <f t="shared" si="52"/>
        <v>11271.59</v>
      </c>
      <c r="K903" s="61">
        <f t="shared" si="53"/>
        <v>1.0349999999999999</v>
      </c>
      <c r="L903" s="45">
        <f t="shared" si="54"/>
        <v>11666.095649999999</v>
      </c>
      <c r="M903" s="45">
        <f t="shared" si="55"/>
        <v>0.10372727272727272</v>
      </c>
    </row>
    <row r="904" spans="1:13" outlineLevel="1" x14ac:dyDescent="0.35">
      <c r="A904" s="63" t="s">
        <v>2031</v>
      </c>
      <c r="B904" s="63"/>
      <c r="C904" s="63"/>
      <c r="D904" s="63"/>
      <c r="E904" s="63"/>
      <c r="F904" s="63"/>
      <c r="G904" s="73">
        <f>SUBTOTAL(9,G903:G903)</f>
        <v>114.1</v>
      </c>
      <c r="H904" s="64">
        <f>SUBTOTAL(9,H903:H903)</f>
        <v>11271.59</v>
      </c>
      <c r="I904" s="64">
        <f>SUBTOTAL(9,I903:I903)</f>
        <v>0</v>
      </c>
      <c r="J904" s="64">
        <f>SUBTOTAL(9,J903:J903)</f>
        <v>11271.59</v>
      </c>
      <c r="K904" s="65"/>
      <c r="L904" s="64">
        <f>SUBTOTAL(9,L903:L903)</f>
        <v>11666.095649999999</v>
      </c>
      <c r="M904" s="64">
        <f>SUBTOTAL(9,M903:M903)</f>
        <v>0.10372727272727272</v>
      </c>
    </row>
    <row r="905" spans="1:13" outlineLevel="2" x14ac:dyDescent="0.35">
      <c r="A905" s="42">
        <v>1817913110</v>
      </c>
      <c r="B905" s="42" t="str">
        <f>VLOOKUP(A905,'תקציב מפורט 2025'!A:O,2,FALSE)</f>
        <v>התפתחות הילד פעולות</v>
      </c>
      <c r="C905" s="42">
        <v>36918530</v>
      </c>
      <c r="D905" s="42" t="s">
        <v>954</v>
      </c>
      <c r="E905" s="42" t="s">
        <v>443</v>
      </c>
      <c r="F905" s="42">
        <v>817913</v>
      </c>
      <c r="G905" s="48">
        <v>1100</v>
      </c>
      <c r="H905" s="45">
        <v>200509.44</v>
      </c>
      <c r="I905" s="45">
        <f>SUMIFS('שכר 11.2024'!N:N,'שכר 11.2024'!C:C,C:C,'שכר 11.2024'!F:F,F:F)</f>
        <v>19648.37</v>
      </c>
      <c r="J905" s="45">
        <f t="shared" si="52"/>
        <v>220157.81</v>
      </c>
      <c r="K905" s="61">
        <f t="shared" si="53"/>
        <v>1.0349999999999999</v>
      </c>
      <c r="L905" s="45">
        <f t="shared" si="54"/>
        <v>227863.33334999997</v>
      </c>
      <c r="M905" s="45">
        <f t="shared" si="55"/>
        <v>1</v>
      </c>
    </row>
    <row r="906" spans="1:13" outlineLevel="2" x14ac:dyDescent="0.35">
      <c r="A906" s="42">
        <v>1817913110</v>
      </c>
      <c r="B906" s="42" t="str">
        <f>VLOOKUP(A906,'תקציב מפורט 2025'!A:O,2,FALSE)</f>
        <v>התפתחות הילד פעולות</v>
      </c>
      <c r="C906" s="42">
        <v>65917999</v>
      </c>
      <c r="D906" s="42" t="s">
        <v>1883</v>
      </c>
      <c r="E906" s="42" t="s">
        <v>443</v>
      </c>
      <c r="F906" s="42">
        <v>817913</v>
      </c>
      <c r="G906" s="48">
        <v>356.4</v>
      </c>
      <c r="H906" s="45">
        <v>86904.72</v>
      </c>
      <c r="I906" s="45">
        <f>SUMIFS('שכר 11.2024'!N:N,'שכר 11.2024'!C:C,C:C,'שכר 11.2024'!F:F,F:F)</f>
        <v>7117.14</v>
      </c>
      <c r="J906" s="45">
        <f t="shared" si="52"/>
        <v>94021.86</v>
      </c>
      <c r="K906" s="61">
        <f t="shared" si="53"/>
        <v>1.0349999999999999</v>
      </c>
      <c r="L906" s="45">
        <f t="shared" si="54"/>
        <v>97312.62509999999</v>
      </c>
      <c r="M906" s="45">
        <f t="shared" si="55"/>
        <v>0.32399999999999995</v>
      </c>
    </row>
    <row r="907" spans="1:13" outlineLevel="2" x14ac:dyDescent="0.35">
      <c r="A907" s="42">
        <v>1817913110</v>
      </c>
      <c r="B907" s="42" t="str">
        <f>VLOOKUP(A907,'תקציב מפורט 2025'!A:O,2,FALSE)</f>
        <v>התפתחות הילד פעולות</v>
      </c>
      <c r="C907" s="42">
        <v>203760947</v>
      </c>
      <c r="D907" s="42" t="s">
        <v>1884</v>
      </c>
      <c r="E907" s="42" t="s">
        <v>449</v>
      </c>
      <c r="F907" s="42">
        <v>817913</v>
      </c>
      <c r="G907" s="48">
        <v>199.6</v>
      </c>
      <c r="H907" s="45">
        <v>61196.24</v>
      </c>
      <c r="I907" s="45">
        <f>SUMIFS('שכר 11.2024'!N:N,'שכר 11.2024'!C:C,C:C,'שכר 11.2024'!F:F,F:F)</f>
        <v>7887.37</v>
      </c>
      <c r="J907" s="45">
        <f t="shared" si="52"/>
        <v>69083.61</v>
      </c>
      <c r="K907" s="61">
        <f t="shared" si="53"/>
        <v>1.0349999999999999</v>
      </c>
      <c r="L907" s="45">
        <f t="shared" si="54"/>
        <v>71501.536349999995</v>
      </c>
      <c r="M907" s="45">
        <f t="shared" si="55"/>
        <v>0.18145454545454545</v>
      </c>
    </row>
    <row r="908" spans="1:13" outlineLevel="2" x14ac:dyDescent="0.35">
      <c r="A908" s="42">
        <v>1817913110</v>
      </c>
      <c r="B908" s="42" t="str">
        <f>VLOOKUP(A908,'תקציב מפורט 2025'!A:O,2,FALSE)</f>
        <v>התפתחות הילד פעולות</v>
      </c>
      <c r="C908" s="42">
        <v>208222224</v>
      </c>
      <c r="D908" s="42" t="s">
        <v>444</v>
      </c>
      <c r="E908" s="42" t="s">
        <v>844</v>
      </c>
      <c r="F908" s="42">
        <v>817913</v>
      </c>
      <c r="G908" s="48">
        <v>400.1</v>
      </c>
      <c r="H908" s="45">
        <v>112899.73</v>
      </c>
      <c r="I908" s="45">
        <f>SUMIFS('שכר 11.2024'!N:N,'שכר 11.2024'!C:C,C:C,'שכר 11.2024'!F:F,F:F)</f>
        <v>10327.67</v>
      </c>
      <c r="J908" s="45">
        <f t="shared" si="52"/>
        <v>123227.4</v>
      </c>
      <c r="K908" s="61">
        <f t="shared" si="53"/>
        <v>1.0349999999999999</v>
      </c>
      <c r="L908" s="45">
        <f t="shared" si="54"/>
        <v>127540.35899999998</v>
      </c>
      <c r="M908" s="45">
        <f t="shared" si="55"/>
        <v>0.36372727272727273</v>
      </c>
    </row>
    <row r="909" spans="1:13" outlineLevel="2" x14ac:dyDescent="0.35">
      <c r="A909" s="42">
        <v>1817913110</v>
      </c>
      <c r="B909" s="42" t="str">
        <f>VLOOKUP(A909,'תקציב מפורט 2025'!A:O,2,FALSE)</f>
        <v>התפתחות הילד פעולות</v>
      </c>
      <c r="C909" s="42">
        <v>301578449</v>
      </c>
      <c r="D909" s="42" t="s">
        <v>1885</v>
      </c>
      <c r="E909" s="42" t="s">
        <v>1865</v>
      </c>
      <c r="F909" s="42">
        <v>817913</v>
      </c>
      <c r="G909" s="48">
        <v>175.9</v>
      </c>
      <c r="H909" s="45">
        <v>68772.59</v>
      </c>
      <c r="I909" s="45">
        <f>SUMIFS('שכר 11.2024'!N:N,'שכר 11.2024'!C:C,C:C,'שכר 11.2024'!F:F,F:F)</f>
        <v>3080.34</v>
      </c>
      <c r="J909" s="45">
        <f t="shared" si="52"/>
        <v>71852.929999999993</v>
      </c>
      <c r="K909" s="61">
        <f t="shared" si="53"/>
        <v>1.0349999999999999</v>
      </c>
      <c r="L909" s="45">
        <f t="shared" si="54"/>
        <v>74367.782549999989</v>
      </c>
      <c r="M909" s="45">
        <f t="shared" si="55"/>
        <v>0.15990909090909092</v>
      </c>
    </row>
    <row r="910" spans="1:13" outlineLevel="2" x14ac:dyDescent="0.35">
      <c r="A910" s="42">
        <v>1817913110</v>
      </c>
      <c r="B910" s="42" t="str">
        <f>VLOOKUP(A910,'תקציב מפורט 2025'!A:O,2,FALSE)</f>
        <v>התפתחות הילד פעולות</v>
      </c>
      <c r="C910" s="42">
        <v>313806044</v>
      </c>
      <c r="D910" s="42" t="s">
        <v>486</v>
      </c>
      <c r="E910" s="42" t="s">
        <v>907</v>
      </c>
      <c r="F910" s="42">
        <v>817913</v>
      </c>
      <c r="G910" s="48">
        <v>825</v>
      </c>
      <c r="H910" s="45">
        <v>126659.86</v>
      </c>
      <c r="I910" s="45">
        <f>SUMIFS('שכר 11.2024'!N:N,'שכר 11.2024'!C:C,C:C,'שכר 11.2024'!F:F,F:F)</f>
        <v>10988.51</v>
      </c>
      <c r="J910" s="45">
        <f t="shared" si="52"/>
        <v>137648.37</v>
      </c>
      <c r="K910" s="61">
        <f t="shared" si="53"/>
        <v>1.0349999999999999</v>
      </c>
      <c r="L910" s="45">
        <f t="shared" si="54"/>
        <v>142466.06294999999</v>
      </c>
      <c r="M910" s="45">
        <f t="shared" si="55"/>
        <v>0.75</v>
      </c>
    </row>
    <row r="911" spans="1:13" outlineLevel="2" x14ac:dyDescent="0.35">
      <c r="A911" s="42">
        <v>1817913110</v>
      </c>
      <c r="B911" s="42" t="str">
        <f>VLOOKUP(A911,'תקציב מפורט 2025'!A:O,2,FALSE)</f>
        <v>התפתחות הילד פעולות</v>
      </c>
      <c r="C911" s="42">
        <v>315049270</v>
      </c>
      <c r="D911" s="42" t="s">
        <v>526</v>
      </c>
      <c r="E911" s="42" t="s">
        <v>844</v>
      </c>
      <c r="F911" s="42">
        <v>817913</v>
      </c>
      <c r="G911" s="48">
        <v>328.6</v>
      </c>
      <c r="H911" s="45">
        <v>97957.69</v>
      </c>
      <c r="I911" s="45">
        <f>SUMIFS('שכר 11.2024'!N:N,'שכר 11.2024'!C:C,C:C,'שכר 11.2024'!F:F,F:F)</f>
        <v>0</v>
      </c>
      <c r="J911" s="45">
        <f t="shared" si="52"/>
        <v>97957.69</v>
      </c>
      <c r="K911" s="61">
        <f t="shared" si="53"/>
        <v>1.0349999999999999</v>
      </c>
      <c r="L911" s="45">
        <f t="shared" si="54"/>
        <v>101386.20915</v>
      </c>
      <c r="M911" s="45">
        <f t="shared" si="55"/>
        <v>0.29872727272727273</v>
      </c>
    </row>
    <row r="912" spans="1:13" outlineLevel="2" x14ac:dyDescent="0.35">
      <c r="A912" s="42">
        <v>1817913110</v>
      </c>
      <c r="B912" s="42" t="str">
        <f>VLOOKUP(A912,'תקציב מפורט 2025'!A:O,2,FALSE)</f>
        <v>התפתחות הילד פעולות</v>
      </c>
      <c r="C912" s="42">
        <v>315816124</v>
      </c>
      <c r="D912" s="42" t="s">
        <v>846</v>
      </c>
      <c r="E912" s="42" t="s">
        <v>847</v>
      </c>
      <c r="F912" s="42">
        <v>817913</v>
      </c>
      <c r="G912" s="48">
        <v>252.9</v>
      </c>
      <c r="H912" s="45">
        <v>72956.320000000007</v>
      </c>
      <c r="I912" s="45">
        <f>SUMIFS('שכר 11.2024'!N:N,'שכר 11.2024'!C:C,C:C,'שכר 11.2024'!F:F,F:F)</f>
        <v>5369.43</v>
      </c>
      <c r="J912" s="45">
        <f t="shared" si="52"/>
        <v>78325.75</v>
      </c>
      <c r="K912" s="61">
        <f t="shared" si="53"/>
        <v>1.0349999999999999</v>
      </c>
      <c r="L912" s="45">
        <f t="shared" si="54"/>
        <v>81067.151249999995</v>
      </c>
      <c r="M912" s="45">
        <f t="shared" si="55"/>
        <v>0.22990909090909092</v>
      </c>
    </row>
    <row r="913" spans="1:13" outlineLevel="1" x14ac:dyDescent="0.35">
      <c r="A913" s="63" t="s">
        <v>2032</v>
      </c>
      <c r="B913" s="63"/>
      <c r="C913" s="63"/>
      <c r="D913" s="63"/>
      <c r="E913" s="63"/>
      <c r="F913" s="63"/>
      <c r="G913" s="73">
        <f>SUBTOTAL(9,G905:G912)</f>
        <v>3638.5</v>
      </c>
      <c r="H913" s="64">
        <f>SUBTOTAL(9,H905:H912)</f>
        <v>827856.59000000008</v>
      </c>
      <c r="I913" s="64">
        <f>SUBTOTAL(9,I905:I912)</f>
        <v>64418.83</v>
      </c>
      <c r="J913" s="64">
        <f>SUBTOTAL(9,J905:J912)</f>
        <v>892275.41999999993</v>
      </c>
      <c r="K913" s="65"/>
      <c r="L913" s="64">
        <f>SUBTOTAL(9,L905:L912)</f>
        <v>923505.05969999998</v>
      </c>
      <c r="M913" s="64">
        <f>SUBTOTAL(9,M905:M912)</f>
        <v>3.3077272727272726</v>
      </c>
    </row>
    <row r="914" spans="1:13" outlineLevel="2" x14ac:dyDescent="0.35">
      <c r="A914" s="42">
        <v>1817916110</v>
      </c>
      <c r="B914" s="42" t="str">
        <f>VLOOKUP(A914,'תקציב מפורט 2025'!A:O,2,FALSE)</f>
        <v>נוער ישובי 360 שכר</v>
      </c>
      <c r="C914" s="42">
        <v>36711257</v>
      </c>
      <c r="D914" s="42" t="s">
        <v>442</v>
      </c>
      <c r="E914" s="42" t="s">
        <v>492</v>
      </c>
      <c r="F914" s="42">
        <v>817916</v>
      </c>
      <c r="G914" s="48">
        <v>421.7</v>
      </c>
      <c r="H914" s="45">
        <v>67089.13</v>
      </c>
      <c r="I914" s="45">
        <f>SUMIFS('שכר 11.2024'!N:N,'שכר 11.2024'!C:C,C:C,'שכר 11.2024'!F:F,F:F)</f>
        <v>6070.66</v>
      </c>
      <c r="J914" s="45">
        <f t="shared" si="52"/>
        <v>73159.790000000008</v>
      </c>
      <c r="K914" s="61">
        <f t="shared" si="53"/>
        <v>1.0349999999999999</v>
      </c>
      <c r="L914" s="45">
        <f t="shared" si="54"/>
        <v>75720.38265</v>
      </c>
      <c r="M914" s="45">
        <f t="shared" si="55"/>
        <v>0.38336363636363635</v>
      </c>
    </row>
    <row r="915" spans="1:13" outlineLevel="2" x14ac:dyDescent="0.35">
      <c r="A915" s="42">
        <v>1817916110</v>
      </c>
      <c r="B915" s="42" t="str">
        <f>VLOOKUP(A915,'תקציב מפורט 2025'!A:O,2,FALSE)</f>
        <v>נוער ישובי 360 שכר</v>
      </c>
      <c r="C915" s="42">
        <v>205673072</v>
      </c>
      <c r="D915" s="42" t="s">
        <v>434</v>
      </c>
      <c r="E915" s="42" t="s">
        <v>1805</v>
      </c>
      <c r="F915" s="42">
        <v>817916</v>
      </c>
      <c r="G915" s="48">
        <v>142.6</v>
      </c>
      <c r="H915" s="45">
        <v>23773.15</v>
      </c>
      <c r="I915" s="45">
        <f>SUMIFS('שכר 11.2024'!N:N,'שכר 11.2024'!C:C,C:C,'שכר 11.2024'!F:F,F:F)</f>
        <v>0</v>
      </c>
      <c r="J915" s="45">
        <f t="shared" si="52"/>
        <v>23773.15</v>
      </c>
      <c r="K915" s="61">
        <f t="shared" si="53"/>
        <v>1.0349999999999999</v>
      </c>
      <c r="L915" s="45">
        <f t="shared" si="54"/>
        <v>24605.21025</v>
      </c>
      <c r="M915" s="45">
        <f t="shared" si="55"/>
        <v>0.12963636363636363</v>
      </c>
    </row>
    <row r="916" spans="1:13" outlineLevel="2" x14ac:dyDescent="0.35">
      <c r="A916" s="42">
        <v>1817916110</v>
      </c>
      <c r="B916" s="42" t="str">
        <f>VLOOKUP(A916,'תקציב מפורט 2025'!A:O,2,FALSE)</f>
        <v>נוער ישובי 360 שכר</v>
      </c>
      <c r="C916" s="42">
        <v>206211419</v>
      </c>
      <c r="D916" s="42" t="s">
        <v>434</v>
      </c>
      <c r="E916" s="42" t="s">
        <v>874</v>
      </c>
      <c r="F916" s="42">
        <v>817916</v>
      </c>
      <c r="G916" s="48">
        <v>146.5</v>
      </c>
      <c r="H916" s="45">
        <v>14453.86</v>
      </c>
      <c r="I916" s="45">
        <f>SUMIFS('שכר 11.2024'!N:N,'שכר 11.2024'!C:C,C:C,'שכר 11.2024'!F:F,F:F)</f>
        <v>0</v>
      </c>
      <c r="J916" s="45">
        <f t="shared" si="52"/>
        <v>14453.86</v>
      </c>
      <c r="K916" s="61">
        <f t="shared" si="53"/>
        <v>1.0349999999999999</v>
      </c>
      <c r="L916" s="45">
        <f t="shared" si="54"/>
        <v>14959.7451</v>
      </c>
      <c r="M916" s="45">
        <f t="shared" si="55"/>
        <v>0.13318181818181818</v>
      </c>
    </row>
    <row r="917" spans="1:13" outlineLevel="2" x14ac:dyDescent="0.35">
      <c r="A917" s="42">
        <v>1817916110</v>
      </c>
      <c r="B917" s="42" t="str">
        <f>VLOOKUP(A917,'תקציב מפורט 2025'!A:O,2,FALSE)</f>
        <v>נוער ישובי 360 שכר</v>
      </c>
      <c r="C917" s="42">
        <v>206213407</v>
      </c>
      <c r="D917" s="42" t="s">
        <v>538</v>
      </c>
      <c r="E917" s="42" t="s">
        <v>1849</v>
      </c>
      <c r="F917" s="42">
        <v>817916</v>
      </c>
      <c r="G917" s="48">
        <v>0</v>
      </c>
      <c r="H917" s="45">
        <v>2727.93</v>
      </c>
      <c r="I917" s="45">
        <f>SUMIFS('שכר 11.2024'!N:N,'שכר 11.2024'!C:C,C:C,'שכר 11.2024'!F:F,F:F)</f>
        <v>0</v>
      </c>
      <c r="J917" s="45">
        <f t="shared" si="52"/>
        <v>2727.93</v>
      </c>
      <c r="K917" s="61">
        <f t="shared" si="53"/>
        <v>1.0349999999999999</v>
      </c>
      <c r="L917" s="45">
        <f t="shared" si="54"/>
        <v>2823.4075499999994</v>
      </c>
      <c r="M917" s="45">
        <f t="shared" si="55"/>
        <v>0</v>
      </c>
    </row>
    <row r="918" spans="1:13" outlineLevel="2" x14ac:dyDescent="0.35">
      <c r="A918" s="42">
        <v>1817916110</v>
      </c>
      <c r="B918" s="42" t="str">
        <f>VLOOKUP(A918,'תקציב מפורט 2025'!A:O,2,FALSE)</f>
        <v>נוער ישובי 360 שכר</v>
      </c>
      <c r="C918" s="42">
        <v>206418212</v>
      </c>
      <c r="D918" s="42" t="s">
        <v>434</v>
      </c>
      <c r="E918" s="42" t="s">
        <v>950</v>
      </c>
      <c r="F918" s="42">
        <v>817916</v>
      </c>
      <c r="G918" s="48">
        <v>265.3</v>
      </c>
      <c r="H918" s="45">
        <v>28959.1</v>
      </c>
      <c r="I918" s="45">
        <f>SUMIFS('שכר 11.2024'!N:N,'שכר 11.2024'!C:C,C:C,'שכר 11.2024'!F:F,F:F)</f>
        <v>4303.22</v>
      </c>
      <c r="J918" s="45">
        <f t="shared" si="52"/>
        <v>33262.32</v>
      </c>
      <c r="K918" s="61">
        <f t="shared" si="53"/>
        <v>1.0349999999999999</v>
      </c>
      <c r="L918" s="45">
        <f t="shared" si="54"/>
        <v>34426.501199999999</v>
      </c>
      <c r="M918" s="45">
        <f t="shared" si="55"/>
        <v>0.24118181818181819</v>
      </c>
    </row>
    <row r="919" spans="1:13" outlineLevel="2" x14ac:dyDescent="0.35">
      <c r="A919" s="42">
        <v>1817916110</v>
      </c>
      <c r="B919" s="42" t="str">
        <f>VLOOKUP(A919,'תקציב מפורט 2025'!A:O,2,FALSE)</f>
        <v>נוער ישובי 360 שכר</v>
      </c>
      <c r="C919" s="42">
        <v>206805343</v>
      </c>
      <c r="D919" s="42" t="s">
        <v>442</v>
      </c>
      <c r="E919" s="42" t="s">
        <v>443</v>
      </c>
      <c r="F919" s="42">
        <v>817916</v>
      </c>
      <c r="G919" s="48">
        <v>37.5</v>
      </c>
      <c r="H919" s="45">
        <v>3609.13</v>
      </c>
      <c r="I919" s="45">
        <f>SUMIFS('שכר 11.2024'!N:N,'שכר 11.2024'!C:C,C:C,'שכר 11.2024'!F:F,F:F)</f>
        <v>3609.13</v>
      </c>
      <c r="J919" s="45">
        <f t="shared" si="52"/>
        <v>7218.26</v>
      </c>
      <c r="K919" s="61">
        <f t="shared" si="53"/>
        <v>1.0349999999999999</v>
      </c>
      <c r="L919" s="45">
        <f t="shared" si="54"/>
        <v>7470.8990999999996</v>
      </c>
      <c r="M919" s="45">
        <f t="shared" si="55"/>
        <v>3.4090909090909088E-2</v>
      </c>
    </row>
    <row r="920" spans="1:13" outlineLevel="2" x14ac:dyDescent="0.35">
      <c r="A920" s="42">
        <v>1817916110</v>
      </c>
      <c r="B920" s="42" t="str">
        <f>VLOOKUP(A920,'תקציב מפורט 2025'!A:O,2,FALSE)</f>
        <v>נוער ישובי 360 שכר</v>
      </c>
      <c r="C920" s="42">
        <v>206805616</v>
      </c>
      <c r="D920" s="42" t="s">
        <v>434</v>
      </c>
      <c r="E920" s="42" t="s">
        <v>1768</v>
      </c>
      <c r="F920" s="42">
        <v>817916</v>
      </c>
      <c r="G920" s="48">
        <v>427.8</v>
      </c>
      <c r="H920" s="45">
        <v>33406.199999999997</v>
      </c>
      <c r="I920" s="45">
        <f>SUMIFS('שכר 11.2024'!N:N,'שכר 11.2024'!C:C,C:C,'שכר 11.2024'!F:F,F:F)</f>
        <v>2079.02</v>
      </c>
      <c r="J920" s="45">
        <f t="shared" si="52"/>
        <v>35485.219999999994</v>
      </c>
      <c r="K920" s="61">
        <f t="shared" si="53"/>
        <v>1.0349999999999999</v>
      </c>
      <c r="L920" s="45">
        <f t="shared" si="54"/>
        <v>36727.202699999994</v>
      </c>
      <c r="M920" s="45">
        <f t="shared" si="55"/>
        <v>0.38890909090909093</v>
      </c>
    </row>
    <row r="921" spans="1:13" outlineLevel="2" x14ac:dyDescent="0.35">
      <c r="A921" s="42">
        <v>1817916110</v>
      </c>
      <c r="B921" s="42" t="str">
        <f>VLOOKUP(A921,'תקציב מפורט 2025'!A:O,2,FALSE)</f>
        <v>נוער ישובי 360 שכר</v>
      </c>
      <c r="C921" s="42">
        <v>207153867</v>
      </c>
      <c r="D921" s="42" t="s">
        <v>545</v>
      </c>
      <c r="E921" s="42" t="s">
        <v>478</v>
      </c>
      <c r="F921" s="42">
        <v>817916</v>
      </c>
      <c r="G921" s="48">
        <v>12.1</v>
      </c>
      <c r="H921" s="45">
        <v>1166.03</v>
      </c>
      <c r="I921" s="45">
        <f>SUMIFS('שכר 11.2024'!N:N,'שכר 11.2024'!C:C,C:C,'שכר 11.2024'!F:F,F:F)</f>
        <v>1166.03</v>
      </c>
      <c r="J921" s="45">
        <f t="shared" si="52"/>
        <v>2332.06</v>
      </c>
      <c r="K921" s="61">
        <f t="shared" si="53"/>
        <v>1.0349999999999999</v>
      </c>
      <c r="L921" s="45">
        <f t="shared" si="54"/>
        <v>2413.6820999999995</v>
      </c>
      <c r="M921" s="45">
        <f t="shared" si="55"/>
        <v>1.0999999999999999E-2</v>
      </c>
    </row>
    <row r="922" spans="1:13" outlineLevel="2" x14ac:dyDescent="0.35">
      <c r="A922" s="42">
        <v>1817916110</v>
      </c>
      <c r="B922" s="42" t="str">
        <f>VLOOKUP(A922,'תקציב מפורט 2025'!A:O,2,FALSE)</f>
        <v>נוער ישובי 360 שכר</v>
      </c>
      <c r="C922" s="42">
        <v>305034985</v>
      </c>
      <c r="D922" s="42" t="s">
        <v>434</v>
      </c>
      <c r="E922" s="42" t="s">
        <v>909</v>
      </c>
      <c r="F922" s="42">
        <v>817916</v>
      </c>
      <c r="G922" s="48">
        <v>278.5</v>
      </c>
      <c r="H922" s="45">
        <v>27220.91</v>
      </c>
      <c r="I922" s="45">
        <f>SUMIFS('שכר 11.2024'!N:N,'שכר 11.2024'!C:C,C:C,'שכר 11.2024'!F:F,F:F)</f>
        <v>0</v>
      </c>
      <c r="J922" s="45">
        <f t="shared" si="52"/>
        <v>27220.91</v>
      </c>
      <c r="K922" s="61">
        <f t="shared" si="53"/>
        <v>1.0349999999999999</v>
      </c>
      <c r="L922" s="45">
        <f t="shared" si="54"/>
        <v>28173.641849999996</v>
      </c>
      <c r="M922" s="45">
        <f t="shared" si="55"/>
        <v>0.25318181818181817</v>
      </c>
    </row>
    <row r="923" spans="1:13" outlineLevel="2" x14ac:dyDescent="0.35">
      <c r="A923" s="42">
        <v>1817916110</v>
      </c>
      <c r="B923" s="42" t="str">
        <f>VLOOKUP(A923,'תקציב מפורט 2025'!A:O,2,FALSE)</f>
        <v>נוער ישובי 360 שכר</v>
      </c>
      <c r="C923" s="42">
        <v>308499334</v>
      </c>
      <c r="D923" s="42" t="s">
        <v>1744</v>
      </c>
      <c r="E923" s="42" t="s">
        <v>918</v>
      </c>
      <c r="F923" s="42">
        <v>817916</v>
      </c>
      <c r="G923" s="48">
        <v>183.1</v>
      </c>
      <c r="H923" s="45">
        <v>26562.04</v>
      </c>
      <c r="I923" s="45">
        <f>SUMIFS('שכר 11.2024'!N:N,'שכר 11.2024'!C:C,C:C,'שכר 11.2024'!F:F,F:F)</f>
        <v>4720.05</v>
      </c>
      <c r="J923" s="45">
        <f t="shared" si="52"/>
        <v>31282.09</v>
      </c>
      <c r="K923" s="61">
        <f t="shared" si="53"/>
        <v>1.0349999999999999</v>
      </c>
      <c r="L923" s="45">
        <f t="shared" si="54"/>
        <v>32376.963149999996</v>
      </c>
      <c r="M923" s="45">
        <f t="shared" si="55"/>
        <v>0.16645454545454544</v>
      </c>
    </row>
    <row r="924" spans="1:13" outlineLevel="2" x14ac:dyDescent="0.35">
      <c r="A924" s="42">
        <v>1817916110</v>
      </c>
      <c r="B924" s="42" t="str">
        <f>VLOOKUP(A924,'תקציב מפורט 2025'!A:O,2,FALSE)</f>
        <v>נוער ישובי 360 שכר</v>
      </c>
      <c r="C924" s="42">
        <v>329201222</v>
      </c>
      <c r="D924" s="42" t="s">
        <v>442</v>
      </c>
      <c r="E924" s="42" t="s">
        <v>443</v>
      </c>
      <c r="F924" s="42">
        <v>817916</v>
      </c>
      <c r="G924" s="48">
        <v>0</v>
      </c>
      <c r="H924" s="45">
        <v>4136.6099999999997</v>
      </c>
      <c r="I924" s="45">
        <f>SUMIFS('שכר 11.2024'!N:N,'שכר 11.2024'!C:C,C:C,'שכר 11.2024'!F:F,F:F)</f>
        <v>2248.7600000000002</v>
      </c>
      <c r="J924" s="45">
        <f t="shared" si="52"/>
        <v>6385.37</v>
      </c>
      <c r="K924" s="61">
        <f t="shared" si="53"/>
        <v>1.0349999999999999</v>
      </c>
      <c r="L924" s="45">
        <f t="shared" si="54"/>
        <v>6608.8579499999996</v>
      </c>
      <c r="M924" s="45">
        <f t="shared" si="55"/>
        <v>0</v>
      </c>
    </row>
    <row r="925" spans="1:13" outlineLevel="1" x14ac:dyDescent="0.35">
      <c r="A925" s="63" t="s">
        <v>2033</v>
      </c>
      <c r="B925" s="63"/>
      <c r="C925" s="63"/>
      <c r="D925" s="63"/>
      <c r="E925" s="63"/>
      <c r="F925" s="63"/>
      <c r="G925" s="73">
        <f>SUBTOTAL(9,G914:G924)</f>
        <v>1915.0999999999997</v>
      </c>
      <c r="H925" s="64">
        <f>SUBTOTAL(9,H914:H924)</f>
        <v>233104.09</v>
      </c>
      <c r="I925" s="64">
        <f>SUBTOTAL(9,I914:I924)</f>
        <v>24196.870000000003</v>
      </c>
      <c r="J925" s="64">
        <f>SUBTOTAL(9,J914:J924)</f>
        <v>257300.96</v>
      </c>
      <c r="K925" s="65"/>
      <c r="L925" s="64">
        <f>SUBTOTAL(9,L914:L924)</f>
        <v>266306.49359999999</v>
      </c>
      <c r="M925" s="64">
        <f>SUBTOTAL(9,M914:M924)</f>
        <v>1.7409999999999999</v>
      </c>
    </row>
    <row r="926" spans="1:13" outlineLevel="2" x14ac:dyDescent="0.35">
      <c r="A926" s="42">
        <v>1817917110</v>
      </c>
      <c r="B926" s="42" t="str">
        <f>VLOOKUP(A926,'תקציב מפורט 2025'!A:O,2,FALSE)</f>
        <v>חדר שלווה 160</v>
      </c>
      <c r="C926" s="42">
        <v>21564067</v>
      </c>
      <c r="D926" s="42" t="s">
        <v>442</v>
      </c>
      <c r="E926" s="42" t="s">
        <v>493</v>
      </c>
      <c r="F926" s="42">
        <v>817917</v>
      </c>
      <c r="G926" s="48">
        <v>20.399999999999999</v>
      </c>
      <c r="H926" s="45">
        <v>5167.47</v>
      </c>
      <c r="I926" s="45">
        <f>SUMIFS('שכר 11.2024'!N:N,'שכר 11.2024'!C:C,C:C,'שכר 11.2024'!F:F,F:F)</f>
        <v>4155.45</v>
      </c>
      <c r="J926" s="45">
        <f t="shared" si="52"/>
        <v>9322.92</v>
      </c>
      <c r="K926" s="61">
        <f t="shared" si="53"/>
        <v>1.0349999999999999</v>
      </c>
      <c r="L926" s="45">
        <f t="shared" si="54"/>
        <v>9649.2222000000002</v>
      </c>
      <c r="M926" s="45">
        <f t="shared" si="55"/>
        <v>1.8545454545454546E-2</v>
      </c>
    </row>
    <row r="927" spans="1:13" outlineLevel="2" x14ac:dyDescent="0.35">
      <c r="A927" s="42">
        <v>1817917110</v>
      </c>
      <c r="B927" s="42" t="str">
        <f>VLOOKUP(A927,'תקציב מפורט 2025'!A:O,2,FALSE)</f>
        <v>חדר שלווה 160</v>
      </c>
      <c r="C927" s="42">
        <v>21862032</v>
      </c>
      <c r="D927" s="42" t="s">
        <v>894</v>
      </c>
      <c r="E927" s="42" t="s">
        <v>895</v>
      </c>
      <c r="F927" s="42">
        <v>817917</v>
      </c>
      <c r="G927" s="48">
        <v>0</v>
      </c>
      <c r="H927" s="45">
        <v>15305.61</v>
      </c>
      <c r="I927" s="45">
        <f>SUMIFS('שכר 11.2024'!N:N,'שכר 11.2024'!C:C,C:C,'שכר 11.2024'!F:F,F:F)</f>
        <v>4689.51</v>
      </c>
      <c r="J927" s="45">
        <f t="shared" si="52"/>
        <v>19995.120000000003</v>
      </c>
      <c r="K927" s="61">
        <f t="shared" si="53"/>
        <v>1.0349999999999999</v>
      </c>
      <c r="L927" s="45">
        <f t="shared" si="54"/>
        <v>20694.949200000003</v>
      </c>
      <c r="M927" s="45">
        <f t="shared" si="55"/>
        <v>0</v>
      </c>
    </row>
    <row r="928" spans="1:13" outlineLevel="2" x14ac:dyDescent="0.35">
      <c r="A928" s="42">
        <v>1817917110</v>
      </c>
      <c r="B928" s="42" t="str">
        <f>VLOOKUP(A928,'תקציב מפורט 2025'!A:O,2,FALSE)</f>
        <v>חדר שלווה 160</v>
      </c>
      <c r="C928" s="42">
        <v>32793226</v>
      </c>
      <c r="D928" s="42" t="s">
        <v>896</v>
      </c>
      <c r="E928" s="42" t="s">
        <v>476</v>
      </c>
      <c r="F928" s="42">
        <v>817917</v>
      </c>
      <c r="G928" s="48">
        <v>30</v>
      </c>
      <c r="H928" s="45">
        <v>5397.06</v>
      </c>
      <c r="I928" s="45">
        <f>SUMIFS('שכר 11.2024'!N:N,'שכר 11.2024'!C:C,C:C,'שכר 11.2024'!F:F,F:F)</f>
        <v>0</v>
      </c>
      <c r="J928" s="45">
        <f t="shared" si="52"/>
        <v>5397.06</v>
      </c>
      <c r="K928" s="61">
        <f t="shared" si="53"/>
        <v>1.0349999999999999</v>
      </c>
      <c r="L928" s="45">
        <f t="shared" si="54"/>
        <v>5585.9570999999996</v>
      </c>
      <c r="M928" s="45">
        <f t="shared" si="55"/>
        <v>2.7272727272727271E-2</v>
      </c>
    </row>
    <row r="929" spans="1:13" outlineLevel="2" x14ac:dyDescent="0.35">
      <c r="A929" s="42">
        <v>1817917110</v>
      </c>
      <c r="B929" s="42" t="str">
        <f>VLOOKUP(A929,'תקציב מפורט 2025'!A:O,2,FALSE)</f>
        <v>חדר שלווה 160</v>
      </c>
      <c r="C929" s="42">
        <v>36711257</v>
      </c>
      <c r="D929" s="42" t="s">
        <v>442</v>
      </c>
      <c r="E929" s="42" t="s">
        <v>492</v>
      </c>
      <c r="F929" s="42">
        <v>817917</v>
      </c>
      <c r="G929" s="48">
        <v>144.80000000000001</v>
      </c>
      <c r="H929" s="45">
        <v>66991.399999999994</v>
      </c>
      <c r="I929" s="45">
        <f>SUMIFS('שכר 11.2024'!N:N,'שכר 11.2024'!C:C,C:C,'שכר 11.2024'!F:F,F:F)</f>
        <v>7306.77</v>
      </c>
      <c r="J929" s="45">
        <f t="shared" si="52"/>
        <v>74298.17</v>
      </c>
      <c r="K929" s="61">
        <f t="shared" si="53"/>
        <v>1.0349999999999999</v>
      </c>
      <c r="L929" s="45">
        <f t="shared" si="54"/>
        <v>76898.605949999997</v>
      </c>
      <c r="M929" s="45">
        <f t="shared" si="55"/>
        <v>0.13163636363636363</v>
      </c>
    </row>
    <row r="930" spans="1:13" outlineLevel="2" x14ac:dyDescent="0.35">
      <c r="A930" s="42">
        <v>1817917110</v>
      </c>
      <c r="B930" s="42" t="str">
        <f>VLOOKUP(A930,'תקציב מפורט 2025'!A:O,2,FALSE)</f>
        <v>חדר שלווה 160</v>
      </c>
      <c r="C930" s="42">
        <v>37737046</v>
      </c>
      <c r="D930" s="42" t="s">
        <v>563</v>
      </c>
      <c r="E930" s="42" t="s">
        <v>959</v>
      </c>
      <c r="F930" s="42">
        <v>817917</v>
      </c>
      <c r="G930" s="48">
        <v>30</v>
      </c>
      <c r="H930" s="45">
        <v>5397.06</v>
      </c>
      <c r="I930" s="45">
        <f>SUMIFS('שכר 11.2024'!N:N,'שכר 11.2024'!C:C,C:C,'שכר 11.2024'!F:F,F:F)</f>
        <v>0</v>
      </c>
      <c r="J930" s="45">
        <f t="shared" si="52"/>
        <v>5397.06</v>
      </c>
      <c r="K930" s="61">
        <f t="shared" si="53"/>
        <v>1.0349999999999999</v>
      </c>
      <c r="L930" s="45">
        <f t="shared" si="54"/>
        <v>5585.9570999999996</v>
      </c>
      <c r="M930" s="45">
        <f t="shared" si="55"/>
        <v>2.7272727272727271E-2</v>
      </c>
    </row>
    <row r="931" spans="1:13" outlineLevel="2" x14ac:dyDescent="0.35">
      <c r="A931" s="42">
        <v>1817917110</v>
      </c>
      <c r="B931" s="42" t="str">
        <f>VLOOKUP(A931,'תקציב מפורט 2025'!A:O,2,FALSE)</f>
        <v>חדר שלווה 160</v>
      </c>
      <c r="C931" s="42">
        <v>40070666</v>
      </c>
      <c r="D931" s="42" t="s">
        <v>1886</v>
      </c>
      <c r="E931" s="42" t="s">
        <v>1887</v>
      </c>
      <c r="F931" s="42">
        <v>817917</v>
      </c>
      <c r="G931" s="48">
        <v>2.8</v>
      </c>
      <c r="H931" s="45">
        <v>499.73</v>
      </c>
      <c r="I931" s="45">
        <f>SUMIFS('שכר 11.2024'!N:N,'שכר 11.2024'!C:C,C:C,'שכר 11.2024'!F:F,F:F)</f>
        <v>499.73</v>
      </c>
      <c r="J931" s="45">
        <f t="shared" si="52"/>
        <v>999.46</v>
      </c>
      <c r="K931" s="61">
        <f t="shared" si="53"/>
        <v>1.0349999999999999</v>
      </c>
      <c r="L931" s="45">
        <f t="shared" si="54"/>
        <v>1034.4411</v>
      </c>
      <c r="M931" s="45">
        <f t="shared" si="55"/>
        <v>2.5454545454545452E-3</v>
      </c>
    </row>
    <row r="932" spans="1:13" outlineLevel="2" x14ac:dyDescent="0.35">
      <c r="A932" s="42">
        <v>1817917110</v>
      </c>
      <c r="B932" s="42" t="str">
        <f>VLOOKUP(A932,'תקציב מפורט 2025'!A:O,2,FALSE)</f>
        <v>חדר שלווה 160</v>
      </c>
      <c r="C932" s="42">
        <v>59985382</v>
      </c>
      <c r="D932" s="42" t="s">
        <v>1787</v>
      </c>
      <c r="E932" s="42" t="s">
        <v>1788</v>
      </c>
      <c r="F932" s="42">
        <v>817917</v>
      </c>
      <c r="G932" s="48">
        <v>0</v>
      </c>
      <c r="H932" s="45">
        <v>5955.34</v>
      </c>
      <c r="I932" s="45">
        <f>SUMIFS('שכר 11.2024'!N:N,'שכר 11.2024'!C:C,C:C,'שכר 11.2024'!F:F,F:F)</f>
        <v>1980.87</v>
      </c>
      <c r="J932" s="45">
        <f t="shared" si="52"/>
        <v>7936.21</v>
      </c>
      <c r="K932" s="61">
        <f t="shared" si="53"/>
        <v>1.0349999999999999</v>
      </c>
      <c r="L932" s="45">
        <f t="shared" si="54"/>
        <v>8213.9773499999992</v>
      </c>
      <c r="M932" s="45">
        <f t="shared" si="55"/>
        <v>0</v>
      </c>
    </row>
    <row r="933" spans="1:13" outlineLevel="2" x14ac:dyDescent="0.35">
      <c r="A933" s="42">
        <v>1817917110</v>
      </c>
      <c r="B933" s="42" t="str">
        <f>VLOOKUP(A933,'תקציב מפורט 2025'!A:O,2,FALSE)</f>
        <v>חדר שלווה 160</v>
      </c>
      <c r="C933" s="42">
        <v>302206651</v>
      </c>
      <c r="D933" s="42" t="s">
        <v>1888</v>
      </c>
      <c r="E933" s="42" t="s">
        <v>1889</v>
      </c>
      <c r="F933" s="42">
        <v>817917</v>
      </c>
      <c r="G933" s="48">
        <v>26.5</v>
      </c>
      <c r="H933" s="45">
        <v>9705.7800000000007</v>
      </c>
      <c r="I933" s="45">
        <f>SUMIFS('שכר 11.2024'!N:N,'שכר 11.2024'!C:C,C:C,'שכר 11.2024'!F:F,F:F)</f>
        <v>4430.8999999999996</v>
      </c>
      <c r="J933" s="45">
        <f t="shared" si="52"/>
        <v>14136.68</v>
      </c>
      <c r="K933" s="61">
        <f t="shared" si="53"/>
        <v>1.0349999999999999</v>
      </c>
      <c r="L933" s="45">
        <f t="shared" si="54"/>
        <v>14631.4638</v>
      </c>
      <c r="M933" s="45">
        <f t="shared" si="55"/>
        <v>2.409090909090909E-2</v>
      </c>
    </row>
    <row r="934" spans="1:13" outlineLevel="1" x14ac:dyDescent="0.35">
      <c r="A934" s="63" t="s">
        <v>2034</v>
      </c>
      <c r="B934" s="63"/>
      <c r="C934" s="63"/>
      <c r="D934" s="63"/>
      <c r="E934" s="63"/>
      <c r="F934" s="63"/>
      <c r="G934" s="73">
        <f>SUBTOTAL(9,G926:G933)</f>
        <v>254.50000000000003</v>
      </c>
      <c r="H934" s="64">
        <f>SUBTOTAL(9,H926:H933)</f>
        <v>114419.44999999998</v>
      </c>
      <c r="I934" s="64">
        <f>SUBTOTAL(9,I926:I933)</f>
        <v>23063.229999999996</v>
      </c>
      <c r="J934" s="64">
        <f>SUBTOTAL(9,J926:J933)</f>
        <v>137482.68</v>
      </c>
      <c r="K934" s="65"/>
      <c r="L934" s="64">
        <f>SUBTOTAL(9,L926:L933)</f>
        <v>142294.57380000001</v>
      </c>
      <c r="M934" s="64">
        <f>SUBTOTAL(9,M926:M933)</f>
        <v>0.23136363636363635</v>
      </c>
    </row>
    <row r="935" spans="1:13" outlineLevel="2" x14ac:dyDescent="0.35">
      <c r="A935" s="42">
        <v>1817920110</v>
      </c>
      <c r="B935" s="42" t="str">
        <f>VLOOKUP(A935,'תקציב מפורט 2025'!A:O,2,FALSE)</f>
        <v>שכר</v>
      </c>
      <c r="C935" s="42">
        <v>21578026</v>
      </c>
      <c r="D935" s="42" t="s">
        <v>434</v>
      </c>
      <c r="E935" s="42" t="s">
        <v>453</v>
      </c>
      <c r="F935" s="42">
        <v>817920</v>
      </c>
      <c r="G935" s="48">
        <v>43.2</v>
      </c>
      <c r="H935" s="45">
        <v>27122.84</v>
      </c>
      <c r="I935" s="45">
        <f>SUMIFS('שכר 11.2024'!N:N,'שכר 11.2024'!C:C,C:C,'שכר 11.2024'!F:F,F:F)</f>
        <v>9102.5</v>
      </c>
      <c r="J935" s="45">
        <f t="shared" si="52"/>
        <v>36225.339999999997</v>
      </c>
      <c r="K935" s="61">
        <f t="shared" si="53"/>
        <v>1.0349999999999999</v>
      </c>
      <c r="L935" s="45">
        <f t="shared" si="54"/>
        <v>37493.226899999994</v>
      </c>
      <c r="M935" s="45">
        <f t="shared" si="55"/>
        <v>3.9272727272727279E-2</v>
      </c>
    </row>
    <row r="936" spans="1:13" outlineLevel="2" x14ac:dyDescent="0.35">
      <c r="A936" s="42">
        <v>1817920110</v>
      </c>
      <c r="B936" s="42" t="str">
        <f>VLOOKUP(A936,'תקציב מפורט 2025'!A:O,2,FALSE)</f>
        <v>שכר</v>
      </c>
      <c r="C936" s="42">
        <v>32524555</v>
      </c>
      <c r="D936" s="42" t="s">
        <v>442</v>
      </c>
      <c r="E936" s="42" t="s">
        <v>961</v>
      </c>
      <c r="F936" s="42">
        <v>817920</v>
      </c>
      <c r="G936" s="48">
        <v>0</v>
      </c>
      <c r="H936" s="45">
        <v>14210.68</v>
      </c>
      <c r="I936" s="45">
        <f>SUMIFS('שכר 11.2024'!N:N,'שכר 11.2024'!C:C,C:C,'שכר 11.2024'!F:F,F:F)</f>
        <v>4535.32</v>
      </c>
      <c r="J936" s="45">
        <f t="shared" si="52"/>
        <v>18746</v>
      </c>
      <c r="K936" s="61">
        <f t="shared" si="53"/>
        <v>1.0349999999999999</v>
      </c>
      <c r="L936" s="45">
        <f t="shared" si="54"/>
        <v>19402.109999999997</v>
      </c>
      <c r="M936" s="45">
        <f t="shared" si="55"/>
        <v>0</v>
      </c>
    </row>
    <row r="937" spans="1:13" outlineLevel="2" x14ac:dyDescent="0.35">
      <c r="A937" s="42">
        <v>1817920110</v>
      </c>
      <c r="B937" s="42" t="str">
        <f>VLOOKUP(A937,'תקציב מפורט 2025'!A:O,2,FALSE)</f>
        <v>שכר</v>
      </c>
      <c r="C937" s="42">
        <v>206297459</v>
      </c>
      <c r="D937" s="42" t="s">
        <v>434</v>
      </c>
      <c r="E937" s="42" t="s">
        <v>474</v>
      </c>
      <c r="F937" s="42">
        <v>817920</v>
      </c>
      <c r="G937" s="48">
        <v>318.89999999999998</v>
      </c>
      <c r="H937" s="45">
        <v>25303.1</v>
      </c>
      <c r="I937" s="45">
        <f>SUMIFS('שכר 11.2024'!N:N,'שכר 11.2024'!C:C,C:C,'שכר 11.2024'!F:F,F:F)</f>
        <v>0</v>
      </c>
      <c r="J937" s="45">
        <f t="shared" si="52"/>
        <v>25303.1</v>
      </c>
      <c r="K937" s="61">
        <f t="shared" si="53"/>
        <v>1.0349999999999999</v>
      </c>
      <c r="L937" s="45">
        <f t="shared" si="54"/>
        <v>26188.708499999997</v>
      </c>
      <c r="M937" s="45">
        <f t="shared" si="55"/>
        <v>0.28990909090909089</v>
      </c>
    </row>
    <row r="938" spans="1:13" outlineLevel="1" x14ac:dyDescent="0.35">
      <c r="A938" s="63" t="s">
        <v>2035</v>
      </c>
      <c r="B938" s="63"/>
      <c r="C938" s="63"/>
      <c r="D938" s="63"/>
      <c r="E938" s="63"/>
      <c r="F938" s="63"/>
      <c r="G938" s="73">
        <f>SUBTOTAL(9,G935:G937)</f>
        <v>362.09999999999997</v>
      </c>
      <c r="H938" s="64">
        <f>SUBTOTAL(9,H935:H937)</f>
        <v>66636.62</v>
      </c>
      <c r="I938" s="64">
        <f>SUBTOTAL(9,I935:I937)</f>
        <v>13637.82</v>
      </c>
      <c r="J938" s="64">
        <f>SUBTOTAL(9,J935:J937)</f>
        <v>80274.44</v>
      </c>
      <c r="K938" s="65"/>
      <c r="L938" s="64">
        <f>SUBTOTAL(9,L935:L937)</f>
        <v>83084.045399999988</v>
      </c>
      <c r="M938" s="64">
        <f>SUBTOTAL(9,M935:M937)</f>
        <v>0.32918181818181819</v>
      </c>
    </row>
    <row r="939" spans="1:13" outlineLevel="2" x14ac:dyDescent="0.35">
      <c r="A939" s="42">
        <v>1823000110</v>
      </c>
      <c r="B939" s="42" t="str">
        <f>VLOOKUP(A939,'תקציב מפורט 2025'!A:O,2,FALSE)</f>
        <v>ספריה שכר</v>
      </c>
      <c r="C939" s="42">
        <v>36655033</v>
      </c>
      <c r="D939" s="42" t="s">
        <v>456</v>
      </c>
      <c r="E939" s="42" t="s">
        <v>1890</v>
      </c>
      <c r="F939" s="42">
        <v>823000</v>
      </c>
      <c r="G939" s="48">
        <v>1100</v>
      </c>
      <c r="H939" s="45">
        <v>132041.94</v>
      </c>
      <c r="I939" s="45">
        <f>SUMIFS('שכר 11.2024'!N:N,'שכר 11.2024'!C:C,C:C,'שכר 11.2024'!F:F,F:F)</f>
        <v>11203.88</v>
      </c>
      <c r="J939" s="45">
        <f t="shared" si="52"/>
        <v>143245.82</v>
      </c>
      <c r="K939" s="61">
        <f t="shared" si="53"/>
        <v>1.0349999999999999</v>
      </c>
      <c r="L939" s="45">
        <f t="shared" si="54"/>
        <v>148259.42369999998</v>
      </c>
      <c r="M939" s="45">
        <f t="shared" si="55"/>
        <v>1</v>
      </c>
    </row>
    <row r="940" spans="1:13" outlineLevel="1" x14ac:dyDescent="0.35">
      <c r="A940" s="63" t="s">
        <v>2036</v>
      </c>
      <c r="B940" s="63"/>
      <c r="C940" s="63"/>
      <c r="D940" s="63"/>
      <c r="E940" s="63"/>
      <c r="F940" s="63"/>
      <c r="G940" s="73">
        <f>SUBTOTAL(9,G939:G939)</f>
        <v>1100</v>
      </c>
      <c r="H940" s="64">
        <f>SUBTOTAL(9,H939:H939)</f>
        <v>132041.94</v>
      </c>
      <c r="I940" s="64">
        <f>SUBTOTAL(9,I939:I939)</f>
        <v>11203.88</v>
      </c>
      <c r="J940" s="64">
        <f>SUBTOTAL(9,J939:J939)</f>
        <v>143245.82</v>
      </c>
      <c r="K940" s="65"/>
      <c r="L940" s="64">
        <f>SUBTOTAL(9,L939:L939)</f>
        <v>148259.42369999998</v>
      </c>
      <c r="M940" s="64">
        <f>SUBTOTAL(9,M939:M939)</f>
        <v>1</v>
      </c>
    </row>
    <row r="941" spans="1:13" outlineLevel="2" x14ac:dyDescent="0.35">
      <c r="A941" s="42">
        <v>1824030110</v>
      </c>
      <c r="B941" s="42" t="str">
        <f>VLOOKUP(A941,'תקציב מפורט 2025'!A:O,2,FALSE)</f>
        <v>מנהל תוכנית 360</v>
      </c>
      <c r="C941" s="42">
        <v>21563622</v>
      </c>
      <c r="D941" s="42" t="s">
        <v>490</v>
      </c>
      <c r="E941" s="42" t="s">
        <v>443</v>
      </c>
      <c r="F941" s="42">
        <v>824030</v>
      </c>
      <c r="G941" s="48">
        <v>1100</v>
      </c>
      <c r="H941" s="45">
        <v>211511.08</v>
      </c>
      <c r="I941" s="45">
        <f>SUMIFS('שכר 11.2024'!N:N,'שכר 11.2024'!C:C,C:C,'שכר 11.2024'!F:F,F:F)</f>
        <v>17785.45</v>
      </c>
      <c r="J941" s="45">
        <f t="shared" si="52"/>
        <v>229296.53</v>
      </c>
      <c r="K941" s="61">
        <f t="shared" si="53"/>
        <v>1.0349999999999999</v>
      </c>
      <c r="L941" s="45">
        <f t="shared" si="54"/>
        <v>237321.90854999999</v>
      </c>
      <c r="M941" s="45">
        <f t="shared" si="55"/>
        <v>1</v>
      </c>
    </row>
    <row r="942" spans="1:13" outlineLevel="1" x14ac:dyDescent="0.35">
      <c r="A942" s="63" t="s">
        <v>2037</v>
      </c>
      <c r="B942" s="63"/>
      <c r="C942" s="63"/>
      <c r="D942" s="63"/>
      <c r="E942" s="63"/>
      <c r="F942" s="63"/>
      <c r="G942" s="73">
        <f>SUBTOTAL(9,G941:G941)</f>
        <v>1100</v>
      </c>
      <c r="H942" s="64">
        <f>SUBTOTAL(9,H941:H941)</f>
        <v>211511.08</v>
      </c>
      <c r="I942" s="64">
        <f>SUBTOTAL(9,I941:I941)</f>
        <v>17785.45</v>
      </c>
      <c r="J942" s="64">
        <f>SUBTOTAL(9,J941:J941)</f>
        <v>229296.53</v>
      </c>
      <c r="K942" s="65"/>
      <c r="L942" s="64">
        <f>SUBTOTAL(9,L941:L941)</f>
        <v>237321.90854999999</v>
      </c>
      <c r="M942" s="64">
        <f>SUBTOTAL(9,M941:M941)</f>
        <v>1</v>
      </c>
    </row>
    <row r="943" spans="1:13" outlineLevel="2" x14ac:dyDescent="0.35">
      <c r="A943" s="51">
        <v>1824000110</v>
      </c>
      <c r="B943" s="42" t="str">
        <f>VLOOKUP(A943,'תקציב מפורט 2025'!A:O,2,FALSE)</f>
        <v>מתנ"ס -משכורות</v>
      </c>
      <c r="C943" s="42">
        <v>308435940</v>
      </c>
      <c r="D943" s="42" t="s">
        <v>1872</v>
      </c>
      <c r="E943" s="42" t="s">
        <v>1873</v>
      </c>
      <c r="F943" s="42">
        <v>824035</v>
      </c>
      <c r="G943" s="48">
        <v>26.7</v>
      </c>
      <c r="H943" s="45">
        <v>0</v>
      </c>
      <c r="I943" s="45">
        <f>SUMIFS('שכר 11.2024'!N:N,'שכר 11.2024'!C:C,C:C,'שכר 11.2024'!F:F,F:F)</f>
        <v>0</v>
      </c>
      <c r="J943" s="45">
        <f t="shared" si="52"/>
        <v>0</v>
      </c>
      <c r="K943" s="61">
        <f t="shared" si="53"/>
        <v>1.0349999999999999</v>
      </c>
      <c r="L943" s="45">
        <f t="shared" si="54"/>
        <v>0</v>
      </c>
      <c r="M943" s="45">
        <f t="shared" si="55"/>
        <v>2.4272727272727272E-2</v>
      </c>
    </row>
    <row r="944" spans="1:13" outlineLevel="1" x14ac:dyDescent="0.35">
      <c r="A944" s="63" t="s">
        <v>2038</v>
      </c>
      <c r="B944" s="63"/>
      <c r="C944" s="63"/>
      <c r="D944" s="63"/>
      <c r="E944" s="63"/>
      <c r="F944" s="63"/>
      <c r="G944" s="73">
        <f>SUBTOTAL(9,G943:G943)</f>
        <v>26.7</v>
      </c>
      <c r="H944" s="64">
        <f>SUBTOTAL(9,H943:H943)</f>
        <v>0</v>
      </c>
      <c r="I944" s="64">
        <f>SUBTOTAL(9,I943:I943)</f>
        <v>0</v>
      </c>
      <c r="J944" s="64">
        <f>SUBTOTAL(9,J943:J943)</f>
        <v>0</v>
      </c>
      <c r="K944" s="65"/>
      <c r="L944" s="64">
        <f>SUBTOTAL(9,L943:L943)</f>
        <v>0</v>
      </c>
      <c r="M944" s="64">
        <f>SUBTOTAL(9,M943:M943)</f>
        <v>2.4272727272727272E-2</v>
      </c>
    </row>
    <row r="945" spans="1:13" outlineLevel="2" x14ac:dyDescent="0.35">
      <c r="A945" s="42">
        <v>1828100110</v>
      </c>
      <c r="B945" s="42" t="str">
        <f>VLOOKUP(A945,'תקציב מפורט 2025'!A:O,2,FALSE)</f>
        <v>בית הנוער</v>
      </c>
      <c r="C945" s="42">
        <v>21562855</v>
      </c>
      <c r="D945" s="42" t="s">
        <v>962</v>
      </c>
      <c r="E945" s="42" t="s">
        <v>440</v>
      </c>
      <c r="F945" s="42">
        <v>828100</v>
      </c>
      <c r="G945" s="48">
        <v>1073.9000000000001</v>
      </c>
      <c r="H945" s="45">
        <v>225940.53</v>
      </c>
      <c r="I945" s="45">
        <f>SUMIFS('שכר 11.2024'!N:N,'שכר 11.2024'!C:C,C:C,'שכר 11.2024'!F:F,F:F)</f>
        <v>23467.7</v>
      </c>
      <c r="J945" s="45">
        <f t="shared" si="52"/>
        <v>249408.23</v>
      </c>
      <c r="K945" s="61">
        <f t="shared" si="53"/>
        <v>1.0349999999999999</v>
      </c>
      <c r="L945" s="45">
        <f t="shared" si="54"/>
        <v>258137.51804999998</v>
      </c>
      <c r="M945" s="45">
        <f t="shared" si="55"/>
        <v>0.9762727272727274</v>
      </c>
    </row>
    <row r="946" spans="1:13" outlineLevel="2" x14ac:dyDescent="0.35">
      <c r="A946" s="42">
        <v>1828100110</v>
      </c>
      <c r="B946" s="42" t="str">
        <f>VLOOKUP(A946,'תקציב מפורט 2025'!A:O,2,FALSE)</f>
        <v>בית הנוער</v>
      </c>
      <c r="C946" s="42">
        <v>34830687</v>
      </c>
      <c r="D946" s="42" t="s">
        <v>448</v>
      </c>
      <c r="E946" s="42" t="s">
        <v>510</v>
      </c>
      <c r="F946" s="42">
        <v>828100</v>
      </c>
      <c r="G946" s="48">
        <v>550</v>
      </c>
      <c r="H946" s="45">
        <v>55124.7</v>
      </c>
      <c r="I946" s="45">
        <f>SUMIFS('שכר 11.2024'!N:N,'שכר 11.2024'!C:C,C:C,'שכר 11.2024'!F:F,F:F)</f>
        <v>4948.91</v>
      </c>
      <c r="J946" s="45">
        <f t="shared" si="52"/>
        <v>60073.61</v>
      </c>
      <c r="K946" s="61">
        <f t="shared" si="53"/>
        <v>1.0349999999999999</v>
      </c>
      <c r="L946" s="45">
        <f t="shared" si="54"/>
        <v>62176.186349999996</v>
      </c>
      <c r="M946" s="45">
        <f t="shared" si="55"/>
        <v>0.5</v>
      </c>
    </row>
    <row r="947" spans="1:13" outlineLevel="2" x14ac:dyDescent="0.35">
      <c r="A947" s="42">
        <v>1828100110</v>
      </c>
      <c r="B947" s="42" t="str">
        <f>VLOOKUP(A947,'תקציב מפורט 2025'!A:O,2,FALSE)</f>
        <v>בית הנוער</v>
      </c>
      <c r="C947" s="42">
        <v>207152307</v>
      </c>
      <c r="D947" s="42" t="s">
        <v>442</v>
      </c>
      <c r="E947" s="42" t="s">
        <v>914</v>
      </c>
      <c r="F947" s="42">
        <v>828100</v>
      </c>
      <c r="G947" s="48">
        <v>900</v>
      </c>
      <c r="H947" s="45">
        <v>107552.05</v>
      </c>
      <c r="I947" s="45">
        <f>SUMIFS('שכר 11.2024'!N:N,'שכר 11.2024'!C:C,C:C,'שכר 11.2024'!F:F,F:F)</f>
        <v>1070.54</v>
      </c>
      <c r="J947" s="45">
        <f t="shared" si="52"/>
        <v>108622.59</v>
      </c>
      <c r="K947" s="61">
        <f t="shared" si="53"/>
        <v>1.0349999999999999</v>
      </c>
      <c r="L947" s="45">
        <f t="shared" si="54"/>
        <v>112424.38064999999</v>
      </c>
      <c r="M947" s="45">
        <f t="shared" si="55"/>
        <v>0.81818181818181823</v>
      </c>
    </row>
    <row r="948" spans="1:13" outlineLevel="2" x14ac:dyDescent="0.35">
      <c r="A948" s="42">
        <v>1828100110</v>
      </c>
      <c r="B948" s="42" t="str">
        <f>VLOOKUP(A948,'תקציב מפורט 2025'!A:O,2,FALSE)</f>
        <v>בית הנוער</v>
      </c>
      <c r="C948" s="42">
        <v>302649058</v>
      </c>
      <c r="D948" s="42" t="s">
        <v>964</v>
      </c>
      <c r="E948" s="42" t="s">
        <v>965</v>
      </c>
      <c r="F948" s="42">
        <v>828100</v>
      </c>
      <c r="G948" s="48">
        <v>1100</v>
      </c>
      <c r="H948" s="45">
        <v>124190.45</v>
      </c>
      <c r="I948" s="45">
        <f>SUMIFS('שכר 11.2024'!N:N,'שכר 11.2024'!C:C,C:C,'שכר 11.2024'!F:F,F:F)</f>
        <v>3777.86</v>
      </c>
      <c r="J948" s="45">
        <f t="shared" si="52"/>
        <v>127968.31</v>
      </c>
      <c r="K948" s="61">
        <f t="shared" si="53"/>
        <v>1.0349999999999999</v>
      </c>
      <c r="L948" s="45">
        <f t="shared" si="54"/>
        <v>132447.20084999999</v>
      </c>
      <c r="M948" s="45">
        <f t="shared" si="55"/>
        <v>1</v>
      </c>
    </row>
    <row r="949" spans="1:13" outlineLevel="2" x14ac:dyDescent="0.35">
      <c r="A949" s="42">
        <v>1828100110</v>
      </c>
      <c r="B949" s="42" t="str">
        <f>VLOOKUP(A949,'תקציב מפורט 2025'!A:O,2,FALSE)</f>
        <v>בית הנוער</v>
      </c>
      <c r="C949" s="42">
        <v>303168660</v>
      </c>
      <c r="D949" s="42" t="s">
        <v>434</v>
      </c>
      <c r="E949" s="42" t="s">
        <v>966</v>
      </c>
      <c r="F949" s="42">
        <v>828100</v>
      </c>
      <c r="G949" s="48">
        <v>550</v>
      </c>
      <c r="H949" s="45">
        <v>59092.37</v>
      </c>
      <c r="I949" s="45">
        <f>SUMIFS('שכר 11.2024'!N:N,'שכר 11.2024'!C:C,C:C,'שכר 11.2024'!F:F,F:F)</f>
        <v>5840.46</v>
      </c>
      <c r="J949" s="45">
        <f t="shared" si="52"/>
        <v>64932.83</v>
      </c>
      <c r="K949" s="61">
        <f t="shared" si="53"/>
        <v>1.0349999999999999</v>
      </c>
      <c r="L949" s="45">
        <f t="shared" si="54"/>
        <v>67205.479049999994</v>
      </c>
      <c r="M949" s="45">
        <f t="shared" si="55"/>
        <v>0.5</v>
      </c>
    </row>
    <row r="950" spans="1:13" outlineLevel="1" x14ac:dyDescent="0.35">
      <c r="A950" s="63" t="s">
        <v>2039</v>
      </c>
      <c r="B950" s="63"/>
      <c r="C950" s="63"/>
      <c r="D950" s="63"/>
      <c r="E950" s="63"/>
      <c r="F950" s="63"/>
      <c r="G950" s="73">
        <f>SUBTOTAL(9,G945:G949)</f>
        <v>4173.8999999999996</v>
      </c>
      <c r="H950" s="64">
        <f>SUBTOTAL(9,H945:H949)</f>
        <v>571900.1</v>
      </c>
      <c r="I950" s="64">
        <f>SUBTOTAL(9,I945:I949)</f>
        <v>39105.47</v>
      </c>
      <c r="J950" s="64">
        <f>SUBTOTAL(9,J945:J949)</f>
        <v>611005.56999999995</v>
      </c>
      <c r="K950" s="65"/>
      <c r="L950" s="64">
        <f>SUBTOTAL(9,L945:L949)</f>
        <v>632390.76494999998</v>
      </c>
      <c r="M950" s="64">
        <f>SUBTOTAL(9,M945:M949)</f>
        <v>3.7944545454545455</v>
      </c>
    </row>
    <row r="951" spans="1:13" outlineLevel="2" x14ac:dyDescent="0.35">
      <c r="A951" s="42">
        <v>1828300110</v>
      </c>
      <c r="B951" s="42" t="str">
        <f>VLOOKUP(A951,'תקציב מפורט 2025'!A:O,2,FALSE)</f>
        <v>חוגי נוער-שכר</v>
      </c>
      <c r="C951" s="42">
        <v>26437871</v>
      </c>
      <c r="D951" s="42" t="s">
        <v>442</v>
      </c>
      <c r="E951" s="42" t="s">
        <v>468</v>
      </c>
      <c r="F951" s="42">
        <v>828300</v>
      </c>
      <c r="G951" s="48">
        <v>383.2</v>
      </c>
      <c r="H951" s="45">
        <v>41472.550000000003</v>
      </c>
      <c r="I951" s="45">
        <f>SUMIFS('שכר 11.2024'!N:N,'שכר 11.2024'!C:C,C:C,'שכר 11.2024'!F:F,F:F)</f>
        <v>4612.54</v>
      </c>
      <c r="J951" s="45">
        <f t="shared" si="52"/>
        <v>46085.090000000004</v>
      </c>
      <c r="K951" s="61">
        <f t="shared" si="53"/>
        <v>1.0349999999999999</v>
      </c>
      <c r="L951" s="45">
        <f t="shared" si="54"/>
        <v>47698.068149999999</v>
      </c>
      <c r="M951" s="45">
        <f t="shared" si="55"/>
        <v>0.34836363636363638</v>
      </c>
    </row>
    <row r="952" spans="1:13" outlineLevel="2" x14ac:dyDescent="0.35">
      <c r="A952" s="42">
        <v>1828300110</v>
      </c>
      <c r="B952" s="42" t="str">
        <f>VLOOKUP(A952,'תקציב מפורט 2025'!A:O,2,FALSE)</f>
        <v>חוגי נוער-שכר</v>
      </c>
      <c r="C952" s="42">
        <v>206297459</v>
      </c>
      <c r="D952" s="42" t="s">
        <v>434</v>
      </c>
      <c r="E952" s="42" t="s">
        <v>474</v>
      </c>
      <c r="F952" s="42">
        <v>828300</v>
      </c>
      <c r="G952" s="48">
        <v>0</v>
      </c>
      <c r="H952" s="45">
        <v>777.35</v>
      </c>
      <c r="I952" s="45">
        <f>SUMIFS('שכר 11.2024'!N:N,'שכר 11.2024'!C:C,C:C,'שכר 11.2024'!F:F,F:F)</f>
        <v>0</v>
      </c>
      <c r="J952" s="45">
        <f t="shared" si="52"/>
        <v>777.35</v>
      </c>
      <c r="K952" s="61">
        <f t="shared" si="53"/>
        <v>1.0349999999999999</v>
      </c>
      <c r="L952" s="45">
        <f t="shared" si="54"/>
        <v>804.55724999999995</v>
      </c>
      <c r="M952" s="45">
        <f t="shared" si="55"/>
        <v>0</v>
      </c>
    </row>
    <row r="953" spans="1:13" outlineLevel="1" x14ac:dyDescent="0.35">
      <c r="A953" s="63" t="s">
        <v>2040</v>
      </c>
      <c r="B953" s="63"/>
      <c r="C953" s="63"/>
      <c r="D953" s="63"/>
      <c r="E953" s="63"/>
      <c r="F953" s="63"/>
      <c r="G953" s="73">
        <f>SUBTOTAL(9,G951:G952)</f>
        <v>383.2</v>
      </c>
      <c r="H953" s="64">
        <f>SUBTOTAL(9,H951:H952)</f>
        <v>42249.9</v>
      </c>
      <c r="I953" s="64">
        <f>SUBTOTAL(9,I951:I952)</f>
        <v>4612.54</v>
      </c>
      <c r="J953" s="64">
        <f>SUBTOTAL(9,J951:J952)</f>
        <v>46862.44</v>
      </c>
      <c r="K953" s="65"/>
      <c r="L953" s="64">
        <f>SUBTOTAL(9,L951:L952)</f>
        <v>48502.625399999997</v>
      </c>
      <c r="M953" s="64">
        <f>SUBTOTAL(9,M951:M952)</f>
        <v>0.34836363636363638</v>
      </c>
    </row>
    <row r="954" spans="1:13" outlineLevel="2" x14ac:dyDescent="0.35">
      <c r="A954" s="42">
        <v>1829100110</v>
      </c>
      <c r="B954" s="42" t="str">
        <f>VLOOKUP(A954,'תקציב מפורט 2025'!A:O,2,FALSE)</f>
        <v>מנהל ספורט_-משכורת</v>
      </c>
      <c r="C954" s="42">
        <v>33069618</v>
      </c>
      <c r="D954" s="42" t="s">
        <v>434</v>
      </c>
      <c r="E954" s="42" t="s">
        <v>1892</v>
      </c>
      <c r="F954" s="42">
        <v>829210</v>
      </c>
      <c r="G954" s="48">
        <v>664.6</v>
      </c>
      <c r="H954" s="45">
        <v>50140.45</v>
      </c>
      <c r="I954" s="45">
        <f>SUMIFS('שכר 11.2024'!N:N,'שכר 11.2024'!C:C,C:C,'שכר 11.2024'!F:F,F:F)</f>
        <v>5937.98</v>
      </c>
      <c r="J954" s="45">
        <f t="shared" si="52"/>
        <v>56078.429999999993</v>
      </c>
      <c r="K954" s="61">
        <f t="shared" si="53"/>
        <v>1.0349999999999999</v>
      </c>
      <c r="L954" s="45">
        <f t="shared" si="54"/>
        <v>58041.175049999991</v>
      </c>
      <c r="M954" s="45">
        <f t="shared" si="55"/>
        <v>0.60418181818181815</v>
      </c>
    </row>
    <row r="955" spans="1:13" outlineLevel="2" x14ac:dyDescent="0.35">
      <c r="A955" s="42">
        <v>1829100110</v>
      </c>
      <c r="B955" s="42" t="str">
        <f>VLOOKUP(A955,'תקציב מפורט 2025'!A:O,2,FALSE)</f>
        <v>מנהל ספורט_-משכורת</v>
      </c>
      <c r="C955" s="42">
        <v>300594736</v>
      </c>
      <c r="D955" s="42" t="s">
        <v>464</v>
      </c>
      <c r="E955" s="42" t="s">
        <v>1870</v>
      </c>
      <c r="F955" s="42">
        <v>829210</v>
      </c>
      <c r="G955" s="48">
        <v>609.1</v>
      </c>
      <c r="H955" s="45">
        <v>32939.730000000003</v>
      </c>
      <c r="I955" s="45">
        <f>SUMIFS('שכר 11.2024'!N:N,'שכר 11.2024'!C:C,C:C,'שכר 11.2024'!F:F,F:F)</f>
        <v>0</v>
      </c>
      <c r="J955" s="45">
        <f t="shared" si="52"/>
        <v>32939.730000000003</v>
      </c>
      <c r="K955" s="61">
        <f t="shared" si="53"/>
        <v>1.0349999999999999</v>
      </c>
      <c r="L955" s="45">
        <f t="shared" si="54"/>
        <v>34092.62055</v>
      </c>
      <c r="M955" s="45">
        <f t="shared" si="55"/>
        <v>0.55372727272727273</v>
      </c>
    </row>
    <row r="956" spans="1:13" outlineLevel="2" x14ac:dyDescent="0.35">
      <c r="A956" s="42">
        <v>1829100110</v>
      </c>
      <c r="B956" s="42" t="str">
        <f>VLOOKUP(A956,'תקציב מפורט 2025'!A:O,2,FALSE)</f>
        <v>מנהל ספורט_-משכורת</v>
      </c>
      <c r="C956" s="42">
        <v>305194060</v>
      </c>
      <c r="D956" s="42" t="s">
        <v>434</v>
      </c>
      <c r="E956" s="42" t="s">
        <v>956</v>
      </c>
      <c r="F956" s="42">
        <v>829210</v>
      </c>
      <c r="G956" s="48">
        <v>1100</v>
      </c>
      <c r="H956" s="45">
        <v>226105.65</v>
      </c>
      <c r="I956" s="45">
        <f>SUMIFS('שכר 11.2024'!N:N,'שכר 11.2024'!C:C,C:C,'שכר 11.2024'!F:F,F:F)</f>
        <v>23253.200000000001</v>
      </c>
      <c r="J956" s="45">
        <f t="shared" si="52"/>
        <v>249358.85</v>
      </c>
      <c r="K956" s="61">
        <f t="shared" si="53"/>
        <v>1.0349999999999999</v>
      </c>
      <c r="L956" s="45">
        <f t="shared" si="54"/>
        <v>258086.40974999999</v>
      </c>
      <c r="M956" s="45">
        <f t="shared" si="55"/>
        <v>1</v>
      </c>
    </row>
    <row r="957" spans="1:13" outlineLevel="1" x14ac:dyDescent="0.35">
      <c r="A957" s="63" t="s">
        <v>2041</v>
      </c>
      <c r="B957" s="63"/>
      <c r="C957" s="63"/>
      <c r="D957" s="63"/>
      <c r="E957" s="63"/>
      <c r="F957" s="63"/>
      <c r="G957" s="73">
        <f>SUBTOTAL(9,G954:G956)</f>
        <v>2373.6999999999998</v>
      </c>
      <c r="H957" s="64">
        <f>SUBTOTAL(9,H954:H956)</f>
        <v>309185.82999999996</v>
      </c>
      <c r="I957" s="64">
        <f>SUBTOTAL(9,I954:I956)</f>
        <v>29191.18</v>
      </c>
      <c r="J957" s="64">
        <f>SUBTOTAL(9,J954:J956)</f>
        <v>338377.01</v>
      </c>
      <c r="K957" s="65"/>
      <c r="L957" s="64">
        <f>SUBTOTAL(9,L954:L956)</f>
        <v>350220.20534999995</v>
      </c>
      <c r="M957" s="64">
        <f>SUBTOTAL(9,M954:M956)</f>
        <v>2.157909090909091</v>
      </c>
    </row>
    <row r="958" spans="1:13" outlineLevel="2" x14ac:dyDescent="0.35">
      <c r="A958" s="42">
        <v>1829210110</v>
      </c>
      <c r="B958" s="42" t="str">
        <f>VLOOKUP(A958,'תקציב מפורט 2025'!A:O,2,FALSE)</f>
        <v>שכר מדריכי ספורט</v>
      </c>
      <c r="C958" s="42">
        <v>28277036</v>
      </c>
      <c r="D958" s="42" t="s">
        <v>434</v>
      </c>
      <c r="E958" s="42" t="s">
        <v>1891</v>
      </c>
      <c r="F958" s="42">
        <v>829200</v>
      </c>
      <c r="G958" s="48">
        <v>16.8</v>
      </c>
      <c r="H958" s="45">
        <v>19755.53</v>
      </c>
      <c r="I958" s="45">
        <f>SUMIFS('שכר 11.2024'!N:N,'שכר 11.2024'!C:C,C:C,'שכר 11.2024'!F:F,F:F)</f>
        <v>0</v>
      </c>
      <c r="J958" s="45">
        <f t="shared" si="52"/>
        <v>19755.53</v>
      </c>
      <c r="K958" s="61">
        <f t="shared" si="53"/>
        <v>1.0349999999999999</v>
      </c>
      <c r="L958" s="45">
        <f t="shared" si="54"/>
        <v>20446.973549999999</v>
      </c>
      <c r="M958" s="45">
        <f t="shared" si="55"/>
        <v>1.5272727272727273E-2</v>
      </c>
    </row>
    <row r="959" spans="1:13" outlineLevel="2" x14ac:dyDescent="0.35">
      <c r="A959" s="42">
        <v>1829210110</v>
      </c>
      <c r="B959" s="42" t="str">
        <f>VLOOKUP(A959,'תקציב מפורט 2025'!A:O,2,FALSE)</f>
        <v>שכר מדריכי ספורט</v>
      </c>
      <c r="C959" s="42">
        <v>31693203</v>
      </c>
      <c r="D959" s="42" t="s">
        <v>490</v>
      </c>
      <c r="E959" s="42" t="s">
        <v>1799</v>
      </c>
      <c r="F959" s="42">
        <v>829200</v>
      </c>
      <c r="G959" s="48">
        <v>28.2</v>
      </c>
      <c r="H959" s="45">
        <v>9161.6299999999992</v>
      </c>
      <c r="I959" s="45">
        <f>SUMIFS('שכר 11.2024'!N:N,'שכר 11.2024'!C:C,C:C,'שכר 11.2024'!F:F,F:F)</f>
        <v>3264.87</v>
      </c>
      <c r="J959" s="45">
        <f t="shared" ref="J959:J1008" si="56">H959+I959</f>
        <v>12426.5</v>
      </c>
      <c r="K959" s="61">
        <f t="shared" ref="K959:K1008" si="57">3.5/100+1</f>
        <v>1.0349999999999999</v>
      </c>
      <c r="L959" s="45">
        <f t="shared" ref="L959:L1008" si="58">J959*K959</f>
        <v>12861.4275</v>
      </c>
      <c r="M959" s="45">
        <f t="shared" ref="M959:M1008" si="59">G959/1100</f>
        <v>2.5636363636363634E-2</v>
      </c>
    </row>
    <row r="960" spans="1:13" outlineLevel="2" x14ac:dyDescent="0.35">
      <c r="A960" s="42">
        <v>1829210110</v>
      </c>
      <c r="B960" s="42" t="str">
        <f>VLOOKUP(A960,'תקציב מפורט 2025'!A:O,2,FALSE)</f>
        <v>שכר מדריכי ספורט</v>
      </c>
      <c r="C960" s="42">
        <v>33069618</v>
      </c>
      <c r="D960" s="42" t="s">
        <v>434</v>
      </c>
      <c r="E960" s="42" t="s">
        <v>1892</v>
      </c>
      <c r="F960" s="42">
        <v>829200</v>
      </c>
      <c r="G960" s="48">
        <v>0</v>
      </c>
      <c r="H960" s="45">
        <v>4567.68</v>
      </c>
      <c r="I960" s="45">
        <f>SUMIFS('שכר 11.2024'!N:N,'שכר 11.2024'!C:C,C:C,'שכר 11.2024'!F:F,F:F)</f>
        <v>0</v>
      </c>
      <c r="J960" s="45">
        <f t="shared" si="56"/>
        <v>4567.68</v>
      </c>
      <c r="K960" s="61">
        <f t="shared" si="57"/>
        <v>1.0349999999999999</v>
      </c>
      <c r="L960" s="45">
        <f t="shared" si="58"/>
        <v>4727.5487999999996</v>
      </c>
      <c r="M960" s="45">
        <f t="shared" si="59"/>
        <v>0</v>
      </c>
    </row>
    <row r="961" spans="1:13" outlineLevel="2" x14ac:dyDescent="0.35">
      <c r="A961" s="42">
        <v>1829210110</v>
      </c>
      <c r="B961" s="42" t="str">
        <f>VLOOKUP(A961,'תקציב מפורט 2025'!A:O,2,FALSE)</f>
        <v>שכר מדריכי ספורט</v>
      </c>
      <c r="C961" s="42">
        <v>56259161</v>
      </c>
      <c r="D961" s="42" t="s">
        <v>1877</v>
      </c>
      <c r="E961" s="42" t="s">
        <v>948</v>
      </c>
      <c r="F961" s="42">
        <v>829200</v>
      </c>
      <c r="G961" s="48">
        <v>0</v>
      </c>
      <c r="H961" s="45">
        <v>9161.68</v>
      </c>
      <c r="I961" s="45">
        <f>SUMIFS('שכר 11.2024'!N:N,'שכר 11.2024'!C:C,C:C,'שכר 11.2024'!F:F,F:F)</f>
        <v>4580.84</v>
      </c>
      <c r="J961" s="45">
        <f t="shared" si="56"/>
        <v>13742.52</v>
      </c>
      <c r="K961" s="61">
        <f t="shared" si="57"/>
        <v>1.0349999999999999</v>
      </c>
      <c r="L961" s="45">
        <f t="shared" si="58"/>
        <v>14223.5082</v>
      </c>
      <c r="M961" s="45">
        <f t="shared" si="59"/>
        <v>0</v>
      </c>
    </row>
    <row r="962" spans="1:13" outlineLevel="2" x14ac:dyDescent="0.35">
      <c r="A962" s="42">
        <v>1829210110</v>
      </c>
      <c r="B962" s="42" t="str">
        <f>VLOOKUP(A962,'תקציב מפורט 2025'!A:O,2,FALSE)</f>
        <v>שכר מדריכי ספורט</v>
      </c>
      <c r="C962" s="42">
        <v>56750995</v>
      </c>
      <c r="D962" s="42" t="s">
        <v>967</v>
      </c>
      <c r="E962" s="42" t="s">
        <v>968</v>
      </c>
      <c r="F962" s="42">
        <v>829200</v>
      </c>
      <c r="G962" s="48">
        <v>0</v>
      </c>
      <c r="H962" s="45">
        <v>1013.97</v>
      </c>
      <c r="I962" s="45">
        <f>SUMIFS('שכר 11.2024'!N:N,'שכר 11.2024'!C:C,C:C,'שכר 11.2024'!F:F,F:F)</f>
        <v>0</v>
      </c>
      <c r="J962" s="45">
        <f t="shared" si="56"/>
        <v>1013.97</v>
      </c>
      <c r="K962" s="61">
        <f t="shared" si="57"/>
        <v>1.0349999999999999</v>
      </c>
      <c r="L962" s="45">
        <f t="shared" si="58"/>
        <v>1049.45895</v>
      </c>
      <c r="M962" s="45">
        <f t="shared" si="59"/>
        <v>0</v>
      </c>
    </row>
    <row r="963" spans="1:13" outlineLevel="2" x14ac:dyDescent="0.35">
      <c r="A963" s="42">
        <v>1829210110</v>
      </c>
      <c r="B963" s="42" t="str">
        <f>VLOOKUP(A963,'תקציב מפורט 2025'!A:O,2,FALSE)</f>
        <v>שכר מדריכי ספורט</v>
      </c>
      <c r="C963" s="42">
        <v>206717977</v>
      </c>
      <c r="D963" s="42" t="s">
        <v>442</v>
      </c>
      <c r="E963" s="42" t="s">
        <v>443</v>
      </c>
      <c r="F963" s="42">
        <v>829200</v>
      </c>
      <c r="G963" s="48">
        <v>0</v>
      </c>
      <c r="H963" s="45">
        <v>10092.219999999999</v>
      </c>
      <c r="I963" s="45">
        <f>SUMIFS('שכר 11.2024'!N:N,'שכר 11.2024'!C:C,C:C,'שכר 11.2024'!F:F,F:F)</f>
        <v>10092.219999999999</v>
      </c>
      <c r="J963" s="45">
        <f t="shared" si="56"/>
        <v>20184.439999999999</v>
      </c>
      <c r="K963" s="61">
        <f t="shared" si="57"/>
        <v>1.0349999999999999</v>
      </c>
      <c r="L963" s="45">
        <f t="shared" si="58"/>
        <v>20890.895399999998</v>
      </c>
      <c r="M963" s="45">
        <f t="shared" si="59"/>
        <v>0</v>
      </c>
    </row>
    <row r="964" spans="1:13" outlineLevel="2" x14ac:dyDescent="0.35">
      <c r="A964" s="42">
        <v>1829210110</v>
      </c>
      <c r="B964" s="42" t="str">
        <f>VLOOKUP(A964,'תקציב מפורט 2025'!A:O,2,FALSE)</f>
        <v>שכר מדריכי ספורט</v>
      </c>
      <c r="C964" s="42">
        <v>207887092</v>
      </c>
      <c r="D964" s="42" t="s">
        <v>434</v>
      </c>
      <c r="E964" s="42" t="s">
        <v>1893</v>
      </c>
      <c r="F964" s="42">
        <v>829200</v>
      </c>
      <c r="G964" s="48">
        <v>297.89999999999998</v>
      </c>
      <c r="H964" s="45">
        <v>42226.63</v>
      </c>
      <c r="I964" s="45">
        <f>SUMIFS('שכר 11.2024'!N:N,'שכר 11.2024'!C:C,C:C,'שכר 11.2024'!F:F,F:F)</f>
        <v>4719.93</v>
      </c>
      <c r="J964" s="45">
        <f t="shared" si="56"/>
        <v>46946.559999999998</v>
      </c>
      <c r="K964" s="61">
        <f t="shared" si="57"/>
        <v>1.0349999999999999</v>
      </c>
      <c r="L964" s="45">
        <f t="shared" si="58"/>
        <v>48589.689599999991</v>
      </c>
      <c r="M964" s="45">
        <f t="shared" si="59"/>
        <v>0.27081818181818179</v>
      </c>
    </row>
    <row r="965" spans="1:13" outlineLevel="2" x14ac:dyDescent="0.35">
      <c r="A965" s="42">
        <v>1829210110</v>
      </c>
      <c r="B965" s="42" t="str">
        <f>VLOOKUP(A965,'תקציב מפורט 2025'!A:O,2,FALSE)</f>
        <v>שכר מדריכי ספורט</v>
      </c>
      <c r="C965" s="42">
        <v>213759129</v>
      </c>
      <c r="D965" s="42" t="s">
        <v>446</v>
      </c>
      <c r="E965" s="42" t="s">
        <v>517</v>
      </c>
      <c r="F965" s="42">
        <v>829200</v>
      </c>
      <c r="G965" s="48">
        <v>239.6</v>
      </c>
      <c r="H965" s="45">
        <v>25061.19</v>
      </c>
      <c r="I965" s="45">
        <f>SUMIFS('שכר 11.2024'!N:N,'שכר 11.2024'!C:C,C:C,'שכר 11.2024'!F:F,F:F)</f>
        <v>3331.5</v>
      </c>
      <c r="J965" s="45">
        <f t="shared" si="56"/>
        <v>28392.69</v>
      </c>
      <c r="K965" s="61">
        <f t="shared" si="57"/>
        <v>1.0349999999999999</v>
      </c>
      <c r="L965" s="45">
        <f t="shared" si="58"/>
        <v>29386.434149999997</v>
      </c>
      <c r="M965" s="45">
        <f t="shared" si="59"/>
        <v>0.2178181818181818</v>
      </c>
    </row>
    <row r="966" spans="1:13" outlineLevel="2" x14ac:dyDescent="0.35">
      <c r="A966" s="42">
        <v>1829210110</v>
      </c>
      <c r="B966" s="42" t="str">
        <f>VLOOKUP(A966,'תקציב מפורט 2025'!A:O,2,FALSE)</f>
        <v>שכר מדריכי ספורט</v>
      </c>
      <c r="C966" s="42">
        <v>300594736</v>
      </c>
      <c r="D966" s="42" t="s">
        <v>464</v>
      </c>
      <c r="E966" s="42" t="s">
        <v>1870</v>
      </c>
      <c r="F966" s="42">
        <v>829200</v>
      </c>
      <c r="G966" s="48">
        <v>0</v>
      </c>
      <c r="H966" s="45">
        <v>12593.08</v>
      </c>
      <c r="I966" s="45">
        <f>SUMIFS('שכר 11.2024'!N:N,'שכר 11.2024'!C:C,C:C,'שכר 11.2024'!F:F,F:F)</f>
        <v>4353.16</v>
      </c>
      <c r="J966" s="45">
        <f t="shared" si="56"/>
        <v>16946.239999999998</v>
      </c>
      <c r="K966" s="61">
        <f t="shared" si="57"/>
        <v>1.0349999999999999</v>
      </c>
      <c r="L966" s="45">
        <f t="shared" si="58"/>
        <v>17539.358399999997</v>
      </c>
      <c r="M966" s="45">
        <f t="shared" si="59"/>
        <v>0</v>
      </c>
    </row>
    <row r="967" spans="1:13" outlineLevel="2" x14ac:dyDescent="0.35">
      <c r="A967" s="42">
        <v>1829210110</v>
      </c>
      <c r="B967" s="42" t="str">
        <f>VLOOKUP(A967,'תקציב מפורט 2025'!A:O,2,FALSE)</f>
        <v>שכר מדריכי ספורט</v>
      </c>
      <c r="C967" s="42">
        <v>318703352</v>
      </c>
      <c r="D967" s="42" t="s">
        <v>434</v>
      </c>
      <c r="E967" s="42" t="s">
        <v>840</v>
      </c>
      <c r="F967" s="42">
        <v>829200</v>
      </c>
      <c r="G967" s="48">
        <v>11.8</v>
      </c>
      <c r="H967" s="45">
        <v>2120.73</v>
      </c>
      <c r="I967" s="45">
        <f>SUMIFS('שכר 11.2024'!N:N,'שכר 11.2024'!C:C,C:C,'שכר 11.2024'!F:F,F:F)</f>
        <v>0</v>
      </c>
      <c r="J967" s="45">
        <f t="shared" si="56"/>
        <v>2120.73</v>
      </c>
      <c r="K967" s="61">
        <f t="shared" si="57"/>
        <v>1.0349999999999999</v>
      </c>
      <c r="L967" s="45">
        <f t="shared" si="58"/>
        <v>2194.9555499999997</v>
      </c>
      <c r="M967" s="45">
        <f t="shared" si="59"/>
        <v>1.0727272727272728E-2</v>
      </c>
    </row>
    <row r="968" spans="1:13" outlineLevel="1" x14ac:dyDescent="0.35">
      <c r="A968" s="63" t="s">
        <v>2042</v>
      </c>
      <c r="B968" s="63"/>
      <c r="C968" s="63"/>
      <c r="D968" s="63"/>
      <c r="E968" s="63"/>
      <c r="F968" s="63"/>
      <c r="G968" s="73">
        <f>SUBTOTAL(9,G958:G967)</f>
        <v>594.29999999999995</v>
      </c>
      <c r="H968" s="64">
        <f>SUBTOTAL(9,H958:H967)</f>
        <v>135754.34</v>
      </c>
      <c r="I968" s="64">
        <f>SUBTOTAL(9,I958:I967)</f>
        <v>30342.52</v>
      </c>
      <c r="J968" s="64">
        <f>SUBTOTAL(9,J958:J967)</f>
        <v>166096.85999999999</v>
      </c>
      <c r="K968" s="65"/>
      <c r="L968" s="64">
        <f>SUBTOTAL(9,L958:L967)</f>
        <v>171910.25009999998</v>
      </c>
      <c r="M968" s="64">
        <f>SUBTOTAL(9,M958:M967)</f>
        <v>0.54027272727272724</v>
      </c>
    </row>
    <row r="969" spans="1:13" outlineLevel="2" x14ac:dyDescent="0.35">
      <c r="A969" s="51">
        <v>1832300110</v>
      </c>
      <c r="B969" s="42" t="e">
        <f>VLOOKUP(A969,'תקציב מפורט 2025'!A:O,2,FALSE)</f>
        <v>#N/A</v>
      </c>
      <c r="C969" s="42">
        <v>32520967</v>
      </c>
      <c r="D969" s="42" t="s">
        <v>490</v>
      </c>
      <c r="E969" s="42" t="s">
        <v>1894</v>
      </c>
      <c r="F969" s="42">
        <v>832000</v>
      </c>
      <c r="G969" s="48">
        <v>0</v>
      </c>
      <c r="H969" s="45">
        <v>7577.32</v>
      </c>
      <c r="I969" s="45">
        <f>SUMIFS('שכר 11.2024'!N:N,'שכר 11.2024'!C:C,C:C,'שכר 11.2024'!F:F,F:F)</f>
        <v>1476.94</v>
      </c>
      <c r="J969" s="45">
        <f t="shared" si="56"/>
        <v>9054.26</v>
      </c>
      <c r="K969" s="61">
        <f t="shared" si="57"/>
        <v>1.0349999999999999</v>
      </c>
      <c r="L969" s="45">
        <f t="shared" si="58"/>
        <v>9371.1590999999989</v>
      </c>
      <c r="M969" s="45">
        <f t="shared" si="59"/>
        <v>0</v>
      </c>
    </row>
    <row r="970" spans="1:13" outlineLevel="1" x14ac:dyDescent="0.35">
      <c r="A970" s="63" t="s">
        <v>2043</v>
      </c>
      <c r="B970" s="63"/>
      <c r="C970" s="63"/>
      <c r="D970" s="63"/>
      <c r="E970" s="63"/>
      <c r="F970" s="63"/>
      <c r="G970" s="73">
        <f>SUBTOTAL(9,G969:G969)</f>
        <v>0</v>
      </c>
      <c r="H970" s="64">
        <f>SUBTOTAL(9,H969:H969)</f>
        <v>7577.32</v>
      </c>
      <c r="I970" s="64">
        <f>SUBTOTAL(9,I969:I969)</f>
        <v>1476.94</v>
      </c>
      <c r="J970" s="64">
        <f>SUBTOTAL(9,J969:J969)</f>
        <v>9054.26</v>
      </c>
      <c r="K970" s="65"/>
      <c r="L970" s="64">
        <f>SUBTOTAL(9,L969:L969)</f>
        <v>9371.1590999999989</v>
      </c>
      <c r="M970" s="64">
        <f>SUBTOTAL(9,M969:M969)</f>
        <v>0</v>
      </c>
    </row>
    <row r="971" spans="1:13" outlineLevel="2" x14ac:dyDescent="0.35">
      <c r="A971" s="42">
        <v>1832400110</v>
      </c>
      <c r="B971" s="42" t="str">
        <f>VLOOKUP(A971,'תקציב מפורט 2025'!A:O,2,FALSE)</f>
        <v>בריאות המשפחה-משכורת</v>
      </c>
      <c r="C971" s="42">
        <v>27665884</v>
      </c>
      <c r="D971" s="42" t="s">
        <v>442</v>
      </c>
      <c r="E971" s="42" t="s">
        <v>953</v>
      </c>
      <c r="F971" s="42">
        <v>832400</v>
      </c>
      <c r="G971" s="48">
        <v>660</v>
      </c>
      <c r="H971" s="45">
        <v>82416.77</v>
      </c>
      <c r="I971" s="45">
        <f>SUMIFS('שכר 11.2024'!N:N,'שכר 11.2024'!C:C,C:C,'שכר 11.2024'!F:F,F:F)</f>
        <v>6762.25</v>
      </c>
      <c r="J971" s="45">
        <f t="shared" si="56"/>
        <v>89179.02</v>
      </c>
      <c r="K971" s="61">
        <f t="shared" si="57"/>
        <v>1.0349999999999999</v>
      </c>
      <c r="L971" s="45">
        <f t="shared" si="58"/>
        <v>92300.285699999993</v>
      </c>
      <c r="M971" s="45">
        <f t="shared" si="59"/>
        <v>0.6</v>
      </c>
    </row>
    <row r="972" spans="1:13" outlineLevel="2" x14ac:dyDescent="0.35">
      <c r="A972" s="42">
        <v>1832400110</v>
      </c>
      <c r="B972" s="42" t="str">
        <f>VLOOKUP(A972,'תקציב מפורט 2025'!A:O,2,FALSE)</f>
        <v>בריאות המשפחה-משכורת</v>
      </c>
      <c r="C972" s="42">
        <v>32520967</v>
      </c>
      <c r="D972" s="42" t="s">
        <v>490</v>
      </c>
      <c r="E972" s="42" t="s">
        <v>1894</v>
      </c>
      <c r="F972" s="42">
        <v>832400</v>
      </c>
      <c r="G972" s="48">
        <v>500</v>
      </c>
      <c r="H972" s="45">
        <v>41741.64</v>
      </c>
      <c r="I972" s="45">
        <f>SUMIFS('שכר 11.2024'!N:N,'שכר 11.2024'!C:C,C:C,'שכר 11.2024'!F:F,F:F)</f>
        <v>8416.6299999999992</v>
      </c>
      <c r="J972" s="45">
        <f t="shared" si="56"/>
        <v>50158.27</v>
      </c>
      <c r="K972" s="61">
        <f t="shared" si="57"/>
        <v>1.0349999999999999</v>
      </c>
      <c r="L972" s="45">
        <f t="shared" si="58"/>
        <v>51913.809449999993</v>
      </c>
      <c r="M972" s="45">
        <f t="shared" si="59"/>
        <v>0.45454545454545453</v>
      </c>
    </row>
    <row r="973" spans="1:13" outlineLevel="1" x14ac:dyDescent="0.35">
      <c r="A973" s="63" t="s">
        <v>2044</v>
      </c>
      <c r="B973" s="63"/>
      <c r="C973" s="63"/>
      <c r="D973" s="63"/>
      <c r="E973" s="63"/>
      <c r="F973" s="63"/>
      <c r="G973" s="73">
        <f>SUBTOTAL(9,G971:G972)</f>
        <v>1160</v>
      </c>
      <c r="H973" s="64">
        <f>SUBTOTAL(9,H971:H972)</f>
        <v>124158.41</v>
      </c>
      <c r="I973" s="64">
        <f>SUBTOTAL(9,I971:I972)</f>
        <v>15178.88</v>
      </c>
      <c r="J973" s="64">
        <f>SUBTOTAL(9,J971:J972)</f>
        <v>139337.29</v>
      </c>
      <c r="K973" s="65"/>
      <c r="L973" s="64">
        <f>SUBTOTAL(9,L971:L972)</f>
        <v>144214.09514999998</v>
      </c>
      <c r="M973" s="64">
        <f>SUBTOTAL(9,M971:M972)</f>
        <v>1.0545454545454545</v>
      </c>
    </row>
    <row r="974" spans="1:13" outlineLevel="2" x14ac:dyDescent="0.35">
      <c r="A974" s="42">
        <v>1841001110</v>
      </c>
      <c r="B974" s="42" t="str">
        <f>VLOOKUP(A974,'תקציב מפורט 2025'!A:O,2,FALSE)</f>
        <v>שכר עובדי מחלקה</v>
      </c>
      <c r="C974" s="42">
        <v>23429285</v>
      </c>
      <c r="D974" s="42" t="s">
        <v>522</v>
      </c>
      <c r="E974" s="42" t="s">
        <v>463</v>
      </c>
      <c r="F974" s="42">
        <v>841000</v>
      </c>
      <c r="G974" s="48">
        <v>1100</v>
      </c>
      <c r="H974" s="45">
        <v>310966.05</v>
      </c>
      <c r="I974" s="45">
        <f>SUMIFS('שכר 11.2024'!N:N,'שכר 11.2024'!C:C,C:C,'שכר 11.2024'!F:F,F:F)</f>
        <v>25687.15</v>
      </c>
      <c r="J974" s="45">
        <f t="shared" si="56"/>
        <v>336653.2</v>
      </c>
      <c r="K974" s="61">
        <f t="shared" si="57"/>
        <v>1.0349999999999999</v>
      </c>
      <c r="L974" s="45">
        <f t="shared" si="58"/>
        <v>348436.06199999998</v>
      </c>
      <c r="M974" s="45">
        <f t="shared" si="59"/>
        <v>1</v>
      </c>
    </row>
    <row r="975" spans="1:13" outlineLevel="2" x14ac:dyDescent="0.35">
      <c r="A975" s="42">
        <v>1841001110</v>
      </c>
      <c r="B975" s="42" t="str">
        <f>VLOOKUP(A975,'תקציב מפורט 2025'!A:O,2,FALSE)</f>
        <v>שכר עובדי מחלקה</v>
      </c>
      <c r="C975" s="42">
        <v>28246254</v>
      </c>
      <c r="D975" s="42" t="s">
        <v>446</v>
      </c>
      <c r="E975" s="42" t="s">
        <v>457</v>
      </c>
      <c r="F975" s="42">
        <v>841000</v>
      </c>
      <c r="G975" s="48">
        <v>1100</v>
      </c>
      <c r="H975" s="45">
        <v>156154.43</v>
      </c>
      <c r="I975" s="45">
        <f>SUMIFS('שכר 11.2024'!N:N,'שכר 11.2024'!C:C,C:C,'שכר 11.2024'!F:F,F:F)</f>
        <v>12958.17</v>
      </c>
      <c r="J975" s="45">
        <f t="shared" si="56"/>
        <v>169112.6</v>
      </c>
      <c r="K975" s="61">
        <f t="shared" si="57"/>
        <v>1.0349999999999999</v>
      </c>
      <c r="L975" s="45">
        <f t="shared" si="58"/>
        <v>175031.541</v>
      </c>
      <c r="M975" s="45">
        <f t="shared" si="59"/>
        <v>1</v>
      </c>
    </row>
    <row r="976" spans="1:13" outlineLevel="2" x14ac:dyDescent="0.35">
      <c r="A976" s="42">
        <v>1841001110</v>
      </c>
      <c r="B976" s="42" t="str">
        <f>VLOOKUP(A976,'תקציב מפורט 2025'!A:O,2,FALSE)</f>
        <v>שכר עובדי מחלקה</v>
      </c>
      <c r="C976" s="42">
        <v>28302669</v>
      </c>
      <c r="D976" s="42" t="s">
        <v>1895</v>
      </c>
      <c r="E976" s="42" t="s">
        <v>455</v>
      </c>
      <c r="F976" s="42">
        <v>841000</v>
      </c>
      <c r="G976" s="48">
        <v>1100</v>
      </c>
      <c r="H976" s="45">
        <v>259599.49</v>
      </c>
      <c r="I976" s="45">
        <f>SUMIFS('שכר 11.2024'!N:N,'שכר 11.2024'!C:C,C:C,'שכר 11.2024'!F:F,F:F)</f>
        <v>22718.43</v>
      </c>
      <c r="J976" s="45">
        <f t="shared" si="56"/>
        <v>282317.92</v>
      </c>
      <c r="K976" s="61">
        <f t="shared" si="57"/>
        <v>1.0349999999999999</v>
      </c>
      <c r="L976" s="45">
        <f t="shared" si="58"/>
        <v>292199.04719999997</v>
      </c>
      <c r="M976" s="45">
        <f t="shared" si="59"/>
        <v>1</v>
      </c>
    </row>
    <row r="977" spans="1:13" outlineLevel="2" x14ac:dyDescent="0.35">
      <c r="A977" s="42">
        <v>1841001110</v>
      </c>
      <c r="B977" s="42" t="str">
        <f>VLOOKUP(A977,'תקציב מפורט 2025'!A:O,2,FALSE)</f>
        <v>שכר עובדי מחלקה</v>
      </c>
      <c r="C977" s="42">
        <v>37409273</v>
      </c>
      <c r="D977" s="42" t="s">
        <v>442</v>
      </c>
      <c r="E977" s="42" t="s">
        <v>441</v>
      </c>
      <c r="F977" s="42">
        <v>841000</v>
      </c>
      <c r="G977" s="48">
        <v>1100</v>
      </c>
      <c r="H977" s="45">
        <v>122452.61</v>
      </c>
      <c r="I977" s="45">
        <f>SUMIFS('שכר 11.2024'!N:N,'שכר 11.2024'!C:C,C:C,'שכר 11.2024'!F:F,F:F)</f>
        <v>10491.11</v>
      </c>
      <c r="J977" s="45">
        <f t="shared" si="56"/>
        <v>132943.72</v>
      </c>
      <c r="K977" s="61">
        <f t="shared" si="57"/>
        <v>1.0349999999999999</v>
      </c>
      <c r="L977" s="45">
        <f t="shared" si="58"/>
        <v>137596.75019999998</v>
      </c>
      <c r="M977" s="45">
        <f t="shared" si="59"/>
        <v>1</v>
      </c>
    </row>
    <row r="978" spans="1:13" outlineLevel="2" x14ac:dyDescent="0.35">
      <c r="A978" s="42">
        <v>1841001110</v>
      </c>
      <c r="B978" s="42" t="str">
        <f>VLOOKUP(A978,'תקציב מפורט 2025'!A:O,2,FALSE)</f>
        <v>שכר עובדי מחלקה</v>
      </c>
      <c r="C978" s="42">
        <v>39106257</v>
      </c>
      <c r="D978" s="42" t="s">
        <v>522</v>
      </c>
      <c r="E978" s="42" t="s">
        <v>969</v>
      </c>
      <c r="F978" s="42">
        <v>841000</v>
      </c>
      <c r="G978" s="48">
        <v>1100</v>
      </c>
      <c r="H978" s="45">
        <v>174324.1</v>
      </c>
      <c r="I978" s="45">
        <f>SUMIFS('שכר 11.2024'!N:N,'שכר 11.2024'!C:C,C:C,'שכר 11.2024'!F:F,F:F)</f>
        <v>14933.72</v>
      </c>
      <c r="J978" s="45">
        <f t="shared" si="56"/>
        <v>189257.82</v>
      </c>
      <c r="K978" s="61">
        <f t="shared" si="57"/>
        <v>1.0349999999999999</v>
      </c>
      <c r="L978" s="45">
        <f t="shared" si="58"/>
        <v>195881.8437</v>
      </c>
      <c r="M978" s="45">
        <f t="shared" si="59"/>
        <v>1</v>
      </c>
    </row>
    <row r="979" spans="1:13" outlineLevel="2" x14ac:dyDescent="0.35">
      <c r="A979" s="42">
        <v>1841001110</v>
      </c>
      <c r="B979" s="42" t="str">
        <f>VLOOKUP(A979,'תקציב מפורט 2025'!A:O,2,FALSE)</f>
        <v>שכר עובדי מחלקה</v>
      </c>
      <c r="C979" s="42">
        <v>39442215</v>
      </c>
      <c r="D979" s="42" t="s">
        <v>1896</v>
      </c>
      <c r="E979" s="42" t="s">
        <v>1837</v>
      </c>
      <c r="F979" s="42">
        <v>841000</v>
      </c>
      <c r="G979" s="48">
        <v>22.5</v>
      </c>
      <c r="H979" s="45">
        <v>11947.62</v>
      </c>
      <c r="I979" s="45">
        <f>SUMIFS('שכר 11.2024'!N:N,'שכר 11.2024'!C:C,C:C,'שכר 11.2024'!F:F,F:F)</f>
        <v>0</v>
      </c>
      <c r="J979" s="45">
        <f t="shared" si="56"/>
        <v>11947.62</v>
      </c>
      <c r="K979" s="61">
        <f t="shared" si="57"/>
        <v>1.0349999999999999</v>
      </c>
      <c r="L979" s="45">
        <f t="shared" si="58"/>
        <v>12365.786700000001</v>
      </c>
      <c r="M979" s="45">
        <f t="shared" si="59"/>
        <v>2.0454545454545454E-2</v>
      </c>
    </row>
    <row r="980" spans="1:13" outlineLevel="2" x14ac:dyDescent="0.35">
      <c r="A980" s="42">
        <v>1841001110</v>
      </c>
      <c r="B980" s="42" t="str">
        <f>VLOOKUP(A980,'תקציב מפורט 2025'!A:O,2,FALSE)</f>
        <v>שכר עובדי מחלקה</v>
      </c>
      <c r="C980" s="42">
        <v>54801642</v>
      </c>
      <c r="D980" s="42" t="s">
        <v>452</v>
      </c>
      <c r="E980" s="42" t="s">
        <v>451</v>
      </c>
      <c r="F980" s="42">
        <v>841000</v>
      </c>
      <c r="G980" s="48">
        <v>550</v>
      </c>
      <c r="H980" s="45">
        <v>145620.07</v>
      </c>
      <c r="I980" s="45">
        <f>SUMIFS('שכר 11.2024'!N:N,'שכר 11.2024'!C:C,C:C,'שכר 11.2024'!F:F,F:F)</f>
        <v>12214.4</v>
      </c>
      <c r="J980" s="45">
        <f t="shared" si="56"/>
        <v>157834.47</v>
      </c>
      <c r="K980" s="61">
        <f t="shared" si="57"/>
        <v>1.0349999999999999</v>
      </c>
      <c r="L980" s="45">
        <f t="shared" si="58"/>
        <v>163358.67645</v>
      </c>
      <c r="M980" s="45">
        <f t="shared" si="59"/>
        <v>0.5</v>
      </c>
    </row>
    <row r="981" spans="1:13" outlineLevel="2" x14ac:dyDescent="0.35">
      <c r="A981" s="42">
        <v>1841001110</v>
      </c>
      <c r="B981" s="42" t="str">
        <f>VLOOKUP(A981,'תקציב מפורט 2025'!A:O,2,FALSE)</f>
        <v>שכר עובדי מחלקה</v>
      </c>
      <c r="C981" s="42">
        <v>55772008</v>
      </c>
      <c r="D981" s="42" t="s">
        <v>442</v>
      </c>
      <c r="E981" s="42" t="s">
        <v>450</v>
      </c>
      <c r="F981" s="42">
        <v>841000</v>
      </c>
      <c r="G981" s="48">
        <v>1100</v>
      </c>
      <c r="H981" s="45">
        <v>424921.48</v>
      </c>
      <c r="I981" s="45">
        <f>SUMIFS('שכר 11.2024'!N:N,'שכר 11.2024'!C:C,C:C,'שכר 11.2024'!F:F,F:F)</f>
        <v>50086.15</v>
      </c>
      <c r="J981" s="45">
        <f t="shared" si="56"/>
        <v>475007.63</v>
      </c>
      <c r="K981" s="61">
        <f t="shared" si="57"/>
        <v>1.0349999999999999</v>
      </c>
      <c r="L981" s="45">
        <f t="shared" si="58"/>
        <v>491632.89704999997</v>
      </c>
      <c r="M981" s="45">
        <f t="shared" si="59"/>
        <v>1</v>
      </c>
    </row>
    <row r="982" spans="1:13" outlineLevel="2" x14ac:dyDescent="0.35">
      <c r="A982" s="42">
        <v>1841001110</v>
      </c>
      <c r="B982" s="42" t="str">
        <f>VLOOKUP(A982,'תקציב מפורט 2025'!A:O,2,FALSE)</f>
        <v>שכר עובדי מחלקה</v>
      </c>
      <c r="C982" s="42">
        <v>59924696</v>
      </c>
      <c r="D982" s="42" t="s">
        <v>1744</v>
      </c>
      <c r="E982" s="42" t="s">
        <v>445</v>
      </c>
      <c r="F982" s="42">
        <v>841000</v>
      </c>
      <c r="G982" s="48">
        <v>185</v>
      </c>
      <c r="H982" s="45">
        <v>22582.62</v>
      </c>
      <c r="I982" s="45">
        <f>SUMIFS('שכר 11.2024'!N:N,'שכר 11.2024'!C:C,C:C,'שכר 11.2024'!F:F,F:F)</f>
        <v>1529.31</v>
      </c>
      <c r="J982" s="45">
        <f t="shared" si="56"/>
        <v>24111.93</v>
      </c>
      <c r="K982" s="61">
        <f t="shared" si="57"/>
        <v>1.0349999999999999</v>
      </c>
      <c r="L982" s="45">
        <f t="shared" si="58"/>
        <v>24955.847549999999</v>
      </c>
      <c r="M982" s="45">
        <f t="shared" si="59"/>
        <v>0.16818181818181818</v>
      </c>
    </row>
    <row r="983" spans="1:13" outlineLevel="2" x14ac:dyDescent="0.35">
      <c r="A983" s="42">
        <v>1841001110</v>
      </c>
      <c r="B983" s="42" t="str">
        <f>VLOOKUP(A983,'תקציב מפורט 2025'!A:O,2,FALSE)</f>
        <v>שכר עובדי מחלקה</v>
      </c>
      <c r="C983" s="42">
        <v>204376834</v>
      </c>
      <c r="D983" s="42" t="s">
        <v>448</v>
      </c>
      <c r="E983" s="42" t="s">
        <v>970</v>
      </c>
      <c r="F983" s="42">
        <v>841000</v>
      </c>
      <c r="G983" s="48">
        <v>825</v>
      </c>
      <c r="H983" s="45">
        <v>132523.48000000001</v>
      </c>
      <c r="I983" s="45">
        <f>SUMIFS('שכר 11.2024'!N:N,'שכר 11.2024'!C:C,C:C,'שכר 11.2024'!F:F,F:F)</f>
        <v>11014.34</v>
      </c>
      <c r="J983" s="45">
        <f t="shared" si="56"/>
        <v>143537.82</v>
      </c>
      <c r="K983" s="61">
        <f t="shared" si="57"/>
        <v>1.0349999999999999</v>
      </c>
      <c r="L983" s="45">
        <f t="shared" si="58"/>
        <v>148561.64369999999</v>
      </c>
      <c r="M983" s="45">
        <f t="shared" si="59"/>
        <v>0.75</v>
      </c>
    </row>
    <row r="984" spans="1:13" outlineLevel="2" x14ac:dyDescent="0.35">
      <c r="A984" s="42">
        <v>1841001110</v>
      </c>
      <c r="B984" s="42" t="str">
        <f>VLOOKUP(A984,'תקציב מפורט 2025'!A:O,2,FALSE)</f>
        <v>שכר עובדי מחלקה</v>
      </c>
      <c r="C984" s="42">
        <v>204734495</v>
      </c>
      <c r="D984" s="42" t="s">
        <v>1732</v>
      </c>
      <c r="E984" s="42" t="s">
        <v>1733</v>
      </c>
      <c r="F984" s="42">
        <v>841000</v>
      </c>
      <c r="G984" s="48">
        <v>400</v>
      </c>
      <c r="H984" s="45">
        <v>46263.88</v>
      </c>
      <c r="I984" s="45">
        <f>SUMIFS('שכר 11.2024'!N:N,'שכר 11.2024'!C:C,C:C,'שכר 11.2024'!F:F,F:F)</f>
        <v>6057.75</v>
      </c>
      <c r="J984" s="45">
        <f t="shared" si="56"/>
        <v>52321.63</v>
      </c>
      <c r="K984" s="61">
        <f t="shared" si="57"/>
        <v>1.0349999999999999</v>
      </c>
      <c r="L984" s="45">
        <f t="shared" si="58"/>
        <v>54152.88704999999</v>
      </c>
      <c r="M984" s="45">
        <f t="shared" si="59"/>
        <v>0.36363636363636365</v>
      </c>
    </row>
    <row r="985" spans="1:13" outlineLevel="2" x14ac:dyDescent="0.35">
      <c r="A985" s="42">
        <v>1841001110</v>
      </c>
      <c r="B985" s="42" t="str">
        <f>VLOOKUP(A985,'תקציב מפורט 2025'!A:O,2,FALSE)</f>
        <v>שכר עובדי מחלקה</v>
      </c>
      <c r="C985" s="42">
        <v>207151580</v>
      </c>
      <c r="D985" s="42" t="s">
        <v>1897</v>
      </c>
      <c r="E985" s="42" t="s">
        <v>1804</v>
      </c>
      <c r="F985" s="42">
        <v>841000</v>
      </c>
      <c r="G985" s="48">
        <v>1100</v>
      </c>
      <c r="H985" s="45">
        <v>165157.34</v>
      </c>
      <c r="I985" s="45">
        <f>SUMIFS('שכר 11.2024'!N:N,'שכר 11.2024'!C:C,C:C,'שכר 11.2024'!F:F,F:F)</f>
        <v>14265.13</v>
      </c>
      <c r="J985" s="45">
        <f t="shared" si="56"/>
        <v>179422.47</v>
      </c>
      <c r="K985" s="61">
        <f t="shared" si="57"/>
        <v>1.0349999999999999</v>
      </c>
      <c r="L985" s="45">
        <f t="shared" si="58"/>
        <v>185702.25644999999</v>
      </c>
      <c r="M985" s="45">
        <f t="shared" si="59"/>
        <v>1</v>
      </c>
    </row>
    <row r="986" spans="1:13" outlineLevel="2" x14ac:dyDescent="0.35">
      <c r="A986" s="42">
        <v>1841001110</v>
      </c>
      <c r="B986" s="42" t="str">
        <f>VLOOKUP(A986,'תקציב מפורט 2025'!A:O,2,FALSE)</f>
        <v>שכר עובדי מחלקה</v>
      </c>
      <c r="C986" s="42">
        <v>207629692</v>
      </c>
      <c r="D986" s="42" t="s">
        <v>434</v>
      </c>
      <c r="E986" s="42" t="s">
        <v>1898</v>
      </c>
      <c r="F986" s="42">
        <v>841000</v>
      </c>
      <c r="G986" s="48">
        <v>1100</v>
      </c>
      <c r="H986" s="45">
        <v>155686.57999999999</v>
      </c>
      <c r="I986" s="45">
        <f>SUMIFS('שכר 11.2024'!N:N,'שכר 11.2024'!C:C,C:C,'שכר 11.2024'!F:F,F:F)</f>
        <v>13404.76</v>
      </c>
      <c r="J986" s="45">
        <f t="shared" si="56"/>
        <v>169091.34</v>
      </c>
      <c r="K986" s="61">
        <f t="shared" si="57"/>
        <v>1.0349999999999999</v>
      </c>
      <c r="L986" s="45">
        <f t="shared" si="58"/>
        <v>175009.53689999998</v>
      </c>
      <c r="M986" s="45">
        <f t="shared" si="59"/>
        <v>1</v>
      </c>
    </row>
    <row r="987" spans="1:13" outlineLevel="2" x14ac:dyDescent="0.35">
      <c r="A987" s="42">
        <v>1841001110</v>
      </c>
      <c r="B987" s="42" t="str">
        <f>VLOOKUP(A987,'תקציב מפורט 2025'!A:O,2,FALSE)</f>
        <v>שכר עובדי מחלקה</v>
      </c>
      <c r="C987" s="42">
        <v>300150174</v>
      </c>
      <c r="D987" s="42" t="s">
        <v>442</v>
      </c>
      <c r="E987" s="42" t="s">
        <v>441</v>
      </c>
      <c r="F987" s="42">
        <v>841000</v>
      </c>
      <c r="G987" s="48">
        <v>1100</v>
      </c>
      <c r="H987" s="45">
        <v>189591.03</v>
      </c>
      <c r="I987" s="45">
        <f>SUMIFS('שכר 11.2024'!N:N,'שכר 11.2024'!C:C,C:C,'שכר 11.2024'!F:F,F:F)</f>
        <v>16523.55</v>
      </c>
      <c r="J987" s="45">
        <f t="shared" si="56"/>
        <v>206114.58</v>
      </c>
      <c r="K987" s="61">
        <f t="shared" si="57"/>
        <v>1.0349999999999999</v>
      </c>
      <c r="L987" s="45">
        <f t="shared" si="58"/>
        <v>213328.59029999998</v>
      </c>
      <c r="M987" s="45">
        <f t="shared" si="59"/>
        <v>1</v>
      </c>
    </row>
    <row r="988" spans="1:13" outlineLevel="2" x14ac:dyDescent="0.35">
      <c r="A988" s="42">
        <v>1841001110</v>
      </c>
      <c r="B988" s="42" t="str">
        <f>VLOOKUP(A988,'תקציב מפורט 2025'!A:O,2,FALSE)</f>
        <v>שכר עובדי מחלקה</v>
      </c>
      <c r="C988" s="42">
        <v>300598505</v>
      </c>
      <c r="D988" s="42" t="s">
        <v>563</v>
      </c>
      <c r="E988" s="42" t="s">
        <v>584</v>
      </c>
      <c r="F988" s="42">
        <v>841000</v>
      </c>
      <c r="G988" s="48">
        <v>825</v>
      </c>
      <c r="H988" s="45">
        <v>132543.81</v>
      </c>
      <c r="I988" s="45">
        <f>SUMIFS('שכר 11.2024'!N:N,'שכר 11.2024'!C:C,C:C,'שכר 11.2024'!F:F,F:F)</f>
        <v>11112.1</v>
      </c>
      <c r="J988" s="45">
        <f t="shared" si="56"/>
        <v>143655.91</v>
      </c>
      <c r="K988" s="61">
        <f t="shared" si="57"/>
        <v>1.0349999999999999</v>
      </c>
      <c r="L988" s="45">
        <f t="shared" si="58"/>
        <v>148683.86684999999</v>
      </c>
      <c r="M988" s="45">
        <f t="shared" si="59"/>
        <v>0.75</v>
      </c>
    </row>
    <row r="989" spans="1:13" outlineLevel="2" x14ac:dyDescent="0.35">
      <c r="A989" s="42">
        <v>1841001110</v>
      </c>
      <c r="B989" s="42" t="str">
        <f>VLOOKUP(A989,'תקציב מפורט 2025'!A:O,2,FALSE)</f>
        <v>שכר עובדי מחלקה</v>
      </c>
      <c r="C989" s="42">
        <v>300755378</v>
      </c>
      <c r="D989" s="42" t="s">
        <v>434</v>
      </c>
      <c r="E989" s="42" t="s">
        <v>440</v>
      </c>
      <c r="F989" s="42">
        <v>841000</v>
      </c>
      <c r="G989" s="48">
        <v>1100</v>
      </c>
      <c r="H989" s="45">
        <v>178029.15</v>
      </c>
      <c r="I989" s="45">
        <f>SUMIFS('שכר 11.2024'!N:N,'שכר 11.2024'!C:C,C:C,'שכר 11.2024'!F:F,F:F)</f>
        <v>15827.89</v>
      </c>
      <c r="J989" s="45">
        <f t="shared" si="56"/>
        <v>193857.03999999998</v>
      </c>
      <c r="K989" s="61">
        <f t="shared" si="57"/>
        <v>1.0349999999999999</v>
      </c>
      <c r="L989" s="45">
        <f t="shared" si="58"/>
        <v>200642.03639999995</v>
      </c>
      <c r="M989" s="45">
        <f t="shared" si="59"/>
        <v>1</v>
      </c>
    </row>
    <row r="990" spans="1:13" outlineLevel="2" x14ac:dyDescent="0.35">
      <c r="A990" s="42">
        <v>1841001110</v>
      </c>
      <c r="B990" s="42" t="str">
        <f>VLOOKUP(A990,'תקציב מפורט 2025'!A:O,2,FALSE)</f>
        <v>שכר עובדי מחלקה</v>
      </c>
      <c r="C990" s="42">
        <v>300953577</v>
      </c>
      <c r="D990" s="42" t="s">
        <v>1899</v>
      </c>
      <c r="E990" s="42" t="s">
        <v>1900</v>
      </c>
      <c r="F990" s="42">
        <v>841000</v>
      </c>
      <c r="G990" s="48">
        <v>1100</v>
      </c>
      <c r="H990" s="45">
        <v>199125.23</v>
      </c>
      <c r="I990" s="45">
        <f>SUMIFS('שכר 11.2024'!N:N,'שכר 11.2024'!C:C,C:C,'שכר 11.2024'!F:F,F:F)</f>
        <v>17565.55</v>
      </c>
      <c r="J990" s="45">
        <f t="shared" si="56"/>
        <v>216690.78</v>
      </c>
      <c r="K990" s="61">
        <f t="shared" si="57"/>
        <v>1.0349999999999999</v>
      </c>
      <c r="L990" s="45">
        <f t="shared" si="58"/>
        <v>224274.95729999998</v>
      </c>
      <c r="M990" s="45">
        <f t="shared" si="59"/>
        <v>1</v>
      </c>
    </row>
    <row r="991" spans="1:13" outlineLevel="2" x14ac:dyDescent="0.35">
      <c r="A991" s="42">
        <v>1841001110</v>
      </c>
      <c r="B991" s="42" t="str">
        <f>VLOOKUP(A991,'תקציב מפורט 2025'!A:O,2,FALSE)</f>
        <v>שכר עובדי מחלקה</v>
      </c>
      <c r="C991" s="42">
        <v>311575625</v>
      </c>
      <c r="D991" s="42" t="s">
        <v>526</v>
      </c>
      <c r="E991" s="42" t="s">
        <v>1804</v>
      </c>
      <c r="F991" s="42">
        <v>841000</v>
      </c>
      <c r="G991" s="48">
        <v>550</v>
      </c>
      <c r="H991" s="45">
        <v>60165.01</v>
      </c>
      <c r="I991" s="45">
        <f>SUMIFS('שכר 11.2024'!N:N,'שכר 11.2024'!C:C,C:C,'שכר 11.2024'!F:F,F:F)</f>
        <v>5260.14</v>
      </c>
      <c r="J991" s="45">
        <f t="shared" si="56"/>
        <v>65425.15</v>
      </c>
      <c r="K991" s="61">
        <f t="shared" si="57"/>
        <v>1.0349999999999999</v>
      </c>
      <c r="L991" s="45">
        <f t="shared" si="58"/>
        <v>67715.030249999996</v>
      </c>
      <c r="M991" s="45">
        <f t="shared" si="59"/>
        <v>0.5</v>
      </c>
    </row>
    <row r="992" spans="1:13" outlineLevel="2" x14ac:dyDescent="0.35">
      <c r="A992" s="42">
        <v>1841001110</v>
      </c>
      <c r="B992" s="42" t="str">
        <f>VLOOKUP(A992,'תקציב מפורט 2025'!A:O,2,FALSE)</f>
        <v>שכר עובדי מחלקה</v>
      </c>
      <c r="C992" s="42">
        <v>314635426</v>
      </c>
      <c r="D992" s="42" t="s">
        <v>515</v>
      </c>
      <c r="E992" s="42" t="s">
        <v>924</v>
      </c>
      <c r="F992" s="42">
        <v>841000</v>
      </c>
      <c r="G992" s="48">
        <v>825</v>
      </c>
      <c r="H992" s="45">
        <v>91050.5</v>
      </c>
      <c r="I992" s="45">
        <f>SUMIFS('שכר 11.2024'!N:N,'שכר 11.2024'!C:C,C:C,'שכר 11.2024'!F:F,F:F)</f>
        <v>7853.01</v>
      </c>
      <c r="J992" s="45">
        <f t="shared" si="56"/>
        <v>98903.51</v>
      </c>
      <c r="K992" s="61">
        <f t="shared" si="57"/>
        <v>1.0349999999999999</v>
      </c>
      <c r="L992" s="45">
        <f t="shared" si="58"/>
        <v>102365.13284999998</v>
      </c>
      <c r="M992" s="45">
        <f t="shared" si="59"/>
        <v>0.75</v>
      </c>
    </row>
    <row r="993" spans="1:13" outlineLevel="2" x14ac:dyDescent="0.35">
      <c r="A993" s="42">
        <v>1841001110</v>
      </c>
      <c r="B993" s="42" t="str">
        <f>VLOOKUP(A993,'תקציב מפורט 2025'!A:O,2,FALSE)</f>
        <v>שכר עובדי מחלקה</v>
      </c>
      <c r="C993" s="42">
        <v>315662551</v>
      </c>
      <c r="D993" s="42" t="s">
        <v>526</v>
      </c>
      <c r="E993" s="42" t="s">
        <v>909</v>
      </c>
      <c r="F993" s="42">
        <v>841000</v>
      </c>
      <c r="G993" s="48">
        <v>305.10000000000002</v>
      </c>
      <c r="H993" s="45">
        <v>25202.09</v>
      </c>
      <c r="I993" s="45">
        <f>SUMIFS('שכר 11.2024'!N:N,'שכר 11.2024'!C:C,C:C,'שכר 11.2024'!F:F,F:F)</f>
        <v>3819.67</v>
      </c>
      <c r="J993" s="45">
        <f t="shared" si="56"/>
        <v>29021.760000000002</v>
      </c>
      <c r="K993" s="61">
        <f t="shared" si="57"/>
        <v>1.0349999999999999</v>
      </c>
      <c r="L993" s="45">
        <f t="shared" si="58"/>
        <v>30037.5216</v>
      </c>
      <c r="M993" s="45">
        <f t="shared" si="59"/>
        <v>0.27736363636363637</v>
      </c>
    </row>
    <row r="994" spans="1:13" outlineLevel="2" x14ac:dyDescent="0.35">
      <c r="A994" s="42">
        <v>1841001110</v>
      </c>
      <c r="B994" s="42" t="str">
        <f>VLOOKUP(A994,'תקציב מפורט 2025'!A:O,2,FALSE)</f>
        <v>שכר עובדי מחלקה</v>
      </c>
      <c r="C994" s="42">
        <v>318268679</v>
      </c>
      <c r="D994" s="42" t="s">
        <v>506</v>
      </c>
      <c r="E994" s="42" t="s">
        <v>950</v>
      </c>
      <c r="F994" s="42">
        <v>841000</v>
      </c>
      <c r="G994" s="48">
        <v>1100</v>
      </c>
      <c r="H994" s="45">
        <v>170014.98</v>
      </c>
      <c r="I994" s="45">
        <f>SUMIFS('שכר 11.2024'!N:N,'שכר 11.2024'!C:C,C:C,'שכר 11.2024'!F:F,F:F)</f>
        <v>14632.68</v>
      </c>
      <c r="J994" s="45">
        <f t="shared" si="56"/>
        <v>184647.66</v>
      </c>
      <c r="K994" s="61">
        <f t="shared" si="57"/>
        <v>1.0349999999999999</v>
      </c>
      <c r="L994" s="45">
        <f t="shared" si="58"/>
        <v>191110.32809999998</v>
      </c>
      <c r="M994" s="45">
        <f t="shared" si="59"/>
        <v>1</v>
      </c>
    </row>
    <row r="995" spans="1:13" outlineLevel="1" x14ac:dyDescent="0.35">
      <c r="A995" s="63" t="s">
        <v>2045</v>
      </c>
      <c r="B995" s="63"/>
      <c r="C995" s="63"/>
      <c r="D995" s="63"/>
      <c r="E995" s="63"/>
      <c r="F995" s="63"/>
      <c r="G995" s="73">
        <f>SUBTOTAL(9,G974:G994)</f>
        <v>17687.599999999999</v>
      </c>
      <c r="H995" s="64">
        <f>SUBTOTAL(9,H974:H994)</f>
        <v>3173921.5499999993</v>
      </c>
      <c r="I995" s="64">
        <f>SUBTOTAL(9,I974:I994)</f>
        <v>287955.01</v>
      </c>
      <c r="J995" s="64">
        <f>SUBTOTAL(9,J974:J994)</f>
        <v>3461876.5599999996</v>
      </c>
      <c r="K995" s="65"/>
      <c r="L995" s="64">
        <f>SUBTOTAL(9,L974:L994)</f>
        <v>3583042.2396</v>
      </c>
      <c r="M995" s="64">
        <f>SUBTOTAL(9,M974:M994)</f>
        <v>16.079636363636361</v>
      </c>
    </row>
    <row r="996" spans="1:13" outlineLevel="2" x14ac:dyDescent="0.35">
      <c r="A996" s="42">
        <v>1841100110</v>
      </c>
      <c r="B996" s="42" t="str">
        <f>VLOOKUP(A996,'תקציב מפורט 2025'!A:O,2,FALSE)</f>
        <v>נושמים לרווחה</v>
      </c>
      <c r="C996" s="42">
        <v>27668342</v>
      </c>
      <c r="D996" s="42" t="s">
        <v>434</v>
      </c>
      <c r="E996" s="42" t="s">
        <v>498</v>
      </c>
      <c r="F996" s="42">
        <v>841100</v>
      </c>
      <c r="G996" s="48">
        <v>1100</v>
      </c>
      <c r="H996" s="45">
        <v>157156.64000000001</v>
      </c>
      <c r="I996" s="45">
        <f>SUMIFS('שכר 11.2024'!N:N,'שכר 11.2024'!C:C,C:C,'שכר 11.2024'!F:F,F:F)</f>
        <v>13090.05</v>
      </c>
      <c r="J996" s="45">
        <f t="shared" si="56"/>
        <v>170246.69</v>
      </c>
      <c r="K996" s="61">
        <f t="shared" si="57"/>
        <v>1.0349999999999999</v>
      </c>
      <c r="L996" s="45">
        <f t="shared" si="58"/>
        <v>176205.32415</v>
      </c>
      <c r="M996" s="45">
        <f t="shared" si="59"/>
        <v>1</v>
      </c>
    </row>
    <row r="997" spans="1:13" outlineLevel="1" x14ac:dyDescent="0.35">
      <c r="A997" s="63" t="s">
        <v>2046</v>
      </c>
      <c r="B997" s="63"/>
      <c r="C997" s="63"/>
      <c r="D997" s="63"/>
      <c r="E997" s="63"/>
      <c r="F997" s="63"/>
      <c r="G997" s="73">
        <f>SUBTOTAL(9,G996:G996)</f>
        <v>1100</v>
      </c>
      <c r="H997" s="64">
        <f>SUBTOTAL(9,H996:H996)</f>
        <v>157156.64000000001</v>
      </c>
      <c r="I997" s="64">
        <f>SUBTOTAL(9,I996:I996)</f>
        <v>13090.05</v>
      </c>
      <c r="J997" s="64">
        <f>SUBTOTAL(9,J996:J996)</f>
        <v>170246.69</v>
      </c>
      <c r="K997" s="65"/>
      <c r="L997" s="64">
        <f>SUBTOTAL(9,L996:L996)</f>
        <v>176205.32415</v>
      </c>
      <c r="M997" s="64">
        <f>SUBTOTAL(9,M996:M996)</f>
        <v>1</v>
      </c>
    </row>
    <row r="998" spans="1:13" outlineLevel="2" x14ac:dyDescent="0.35">
      <c r="A998" s="42">
        <v>1842200110</v>
      </c>
      <c r="B998" s="42" t="str">
        <f>VLOOKUP(A998,'תקציב מפורט 2025'!A:O,2,FALSE)</f>
        <v>בטחון עובדים מאבטחים</v>
      </c>
      <c r="C998" s="42">
        <v>23377658</v>
      </c>
      <c r="D998" s="42" t="s">
        <v>515</v>
      </c>
      <c r="E998" s="42" t="s">
        <v>458</v>
      </c>
      <c r="F998" s="42">
        <v>842200</v>
      </c>
      <c r="G998" s="48">
        <v>1100</v>
      </c>
      <c r="H998" s="45">
        <v>142124.89000000001</v>
      </c>
      <c r="I998" s="45">
        <f>SUMIFS('שכר 11.2024'!N:N,'שכר 11.2024'!C:C,C:C,'שכר 11.2024'!F:F,F:F)</f>
        <v>11620.36</v>
      </c>
      <c r="J998" s="45">
        <f t="shared" si="56"/>
        <v>153745.25</v>
      </c>
      <c r="K998" s="61">
        <f t="shared" si="57"/>
        <v>1.0349999999999999</v>
      </c>
      <c r="L998" s="45">
        <f t="shared" si="58"/>
        <v>159126.33374999999</v>
      </c>
      <c r="M998" s="45">
        <f t="shared" si="59"/>
        <v>1</v>
      </c>
    </row>
    <row r="999" spans="1:13" outlineLevel="1" x14ac:dyDescent="0.35">
      <c r="A999" s="63" t="s">
        <v>2047</v>
      </c>
      <c r="B999" s="63"/>
      <c r="C999" s="63"/>
      <c r="D999" s="63"/>
      <c r="E999" s="63"/>
      <c r="F999" s="63"/>
      <c r="G999" s="73">
        <f>SUBTOTAL(9,G998:G998)</f>
        <v>1100</v>
      </c>
      <c r="H999" s="64">
        <f>SUBTOTAL(9,H998:H998)</f>
        <v>142124.89000000001</v>
      </c>
      <c r="I999" s="64">
        <f>SUBTOTAL(9,I998:I998)</f>
        <v>11620.36</v>
      </c>
      <c r="J999" s="64">
        <f>SUBTOTAL(9,J998:J998)</f>
        <v>153745.25</v>
      </c>
      <c r="K999" s="65"/>
      <c r="L999" s="64">
        <f>SUBTOTAL(9,L998:L998)</f>
        <v>159126.33374999999</v>
      </c>
      <c r="M999" s="64">
        <f>SUBTOTAL(9,M998:M998)</f>
        <v>1</v>
      </c>
    </row>
    <row r="1000" spans="1:13" outlineLevel="2" x14ac:dyDescent="0.35">
      <c r="A1000" s="42">
        <v>1844401110</v>
      </c>
      <c r="B1000" s="42" t="str">
        <f>VLOOKUP(A1000,'תקציב מפורט 2025'!A:O,2,FALSE)</f>
        <v>מועדונים לזקנים-שכר</v>
      </c>
      <c r="C1000" s="42">
        <v>26172759</v>
      </c>
      <c r="D1000" s="42" t="s">
        <v>434</v>
      </c>
      <c r="E1000" s="42" t="s">
        <v>1901</v>
      </c>
      <c r="F1000" s="42">
        <v>844500</v>
      </c>
      <c r="G1000" s="48">
        <v>770</v>
      </c>
      <c r="H1000" s="45">
        <v>96830.85</v>
      </c>
      <c r="I1000" s="45">
        <f>SUMIFS('שכר 11.2024'!N:N,'שכר 11.2024'!C:C,C:C,'שכר 11.2024'!F:F,F:F)</f>
        <v>7844.35</v>
      </c>
      <c r="J1000" s="45">
        <f t="shared" si="56"/>
        <v>104675.20000000001</v>
      </c>
      <c r="K1000" s="61">
        <f t="shared" si="57"/>
        <v>1.0349999999999999</v>
      </c>
      <c r="L1000" s="45">
        <f t="shared" si="58"/>
        <v>108338.83200000001</v>
      </c>
      <c r="M1000" s="45">
        <f t="shared" si="59"/>
        <v>0.7</v>
      </c>
    </row>
    <row r="1001" spans="1:13" outlineLevel="2" x14ac:dyDescent="0.35">
      <c r="A1001" s="42">
        <v>1844401110</v>
      </c>
      <c r="B1001" s="42" t="str">
        <f>VLOOKUP(A1001,'תקציב מפורט 2025'!A:O,2,FALSE)</f>
        <v>מועדונים לזקנים-שכר</v>
      </c>
      <c r="C1001" s="42">
        <v>208590729</v>
      </c>
      <c r="D1001" s="42" t="s">
        <v>434</v>
      </c>
      <c r="E1001" s="42" t="s">
        <v>1902</v>
      </c>
      <c r="F1001" s="42">
        <v>844500</v>
      </c>
      <c r="G1001" s="48">
        <v>550</v>
      </c>
      <c r="H1001" s="45">
        <v>61134.61</v>
      </c>
      <c r="I1001" s="45">
        <f>SUMIFS('שכר 11.2024'!N:N,'שכר 11.2024'!C:C,C:C,'שכר 11.2024'!F:F,F:F)</f>
        <v>5391.58</v>
      </c>
      <c r="J1001" s="45">
        <f t="shared" si="56"/>
        <v>66526.19</v>
      </c>
      <c r="K1001" s="61">
        <f t="shared" si="57"/>
        <v>1.0349999999999999</v>
      </c>
      <c r="L1001" s="45">
        <f t="shared" si="58"/>
        <v>68854.606650000002</v>
      </c>
      <c r="M1001" s="45">
        <f t="shared" si="59"/>
        <v>0.5</v>
      </c>
    </row>
    <row r="1002" spans="1:13" outlineLevel="1" x14ac:dyDescent="0.35">
      <c r="A1002" s="63" t="s">
        <v>2048</v>
      </c>
      <c r="B1002" s="63"/>
      <c r="C1002" s="63"/>
      <c r="D1002" s="63"/>
      <c r="E1002" s="63"/>
      <c r="F1002" s="63"/>
      <c r="G1002" s="73">
        <f>SUBTOTAL(9,G1000:G1001)</f>
        <v>1320</v>
      </c>
      <c r="H1002" s="64">
        <f>SUBTOTAL(9,H1000:H1001)</f>
        <v>157965.46000000002</v>
      </c>
      <c r="I1002" s="64">
        <f>SUBTOTAL(9,I1000:I1001)</f>
        <v>13235.93</v>
      </c>
      <c r="J1002" s="64">
        <f>SUBTOTAL(9,J1000:J1001)</f>
        <v>171201.39</v>
      </c>
      <c r="K1002" s="65"/>
      <c r="L1002" s="64">
        <f>SUBTOTAL(9,L1000:L1001)</f>
        <v>177193.43865000003</v>
      </c>
      <c r="M1002" s="64">
        <f>SUBTOTAL(9,M1000:M1001)</f>
        <v>1.2</v>
      </c>
    </row>
    <row r="1003" spans="1:13" outlineLevel="2" x14ac:dyDescent="0.35">
      <c r="A1003" s="42">
        <v>1845200110</v>
      </c>
      <c r="B1003" s="42" t="str">
        <f>VLOOKUP(A1003,'תקציב מפורט 2025'!A:O,2,FALSE)</f>
        <v>שכר מעון יום למפגרים</v>
      </c>
      <c r="C1003" s="42">
        <v>56991441</v>
      </c>
      <c r="D1003" s="42" t="s">
        <v>434</v>
      </c>
      <c r="E1003" s="42" t="s">
        <v>449</v>
      </c>
      <c r="F1003" s="42">
        <v>845200</v>
      </c>
      <c r="G1003" s="48">
        <v>550</v>
      </c>
      <c r="H1003" s="45">
        <v>65047.28</v>
      </c>
      <c r="I1003" s="45">
        <f>SUMIFS('שכר 11.2024'!N:N,'שכר 11.2024'!C:C,C:C,'שכר 11.2024'!F:F,F:F)</f>
        <v>5535.8</v>
      </c>
      <c r="J1003" s="45">
        <f t="shared" si="56"/>
        <v>70583.08</v>
      </c>
      <c r="K1003" s="61">
        <f t="shared" si="57"/>
        <v>1.0349999999999999</v>
      </c>
      <c r="L1003" s="45">
        <f t="shared" si="58"/>
        <v>73053.487800000003</v>
      </c>
      <c r="M1003" s="45">
        <f t="shared" si="59"/>
        <v>0.5</v>
      </c>
    </row>
    <row r="1004" spans="1:13" outlineLevel="2" x14ac:dyDescent="0.35">
      <c r="A1004" s="42">
        <v>1845200110</v>
      </c>
      <c r="B1004" s="42" t="str">
        <f>VLOOKUP(A1004,'תקציב מפורט 2025'!A:O,2,FALSE)</f>
        <v>שכר מעון יום למפגרים</v>
      </c>
      <c r="C1004" s="42">
        <v>66748823</v>
      </c>
      <c r="D1004" s="42" t="s">
        <v>434</v>
      </c>
      <c r="E1004" s="42" t="s">
        <v>1903</v>
      </c>
      <c r="F1004" s="42">
        <v>845200</v>
      </c>
      <c r="G1004" s="48">
        <v>615.4</v>
      </c>
      <c r="H1004" s="45">
        <v>48405.61</v>
      </c>
      <c r="I1004" s="45">
        <f>SUMIFS('שכר 11.2024'!N:N,'שכר 11.2024'!C:C,C:C,'שכר 11.2024'!F:F,F:F)</f>
        <v>0</v>
      </c>
      <c r="J1004" s="45">
        <f t="shared" si="56"/>
        <v>48405.61</v>
      </c>
      <c r="K1004" s="61">
        <f t="shared" si="57"/>
        <v>1.0349999999999999</v>
      </c>
      <c r="L1004" s="45">
        <f t="shared" si="58"/>
        <v>50099.806349999999</v>
      </c>
      <c r="M1004" s="45">
        <f t="shared" si="59"/>
        <v>0.55945454545454543</v>
      </c>
    </row>
    <row r="1005" spans="1:13" outlineLevel="2" x14ac:dyDescent="0.35">
      <c r="A1005" s="42">
        <v>1845200110</v>
      </c>
      <c r="B1005" s="42" t="str">
        <f>VLOOKUP(A1005,'תקציב מפורט 2025'!A:O,2,FALSE)</f>
        <v>שכר מעון יום למפגרים</v>
      </c>
      <c r="C1005" s="42">
        <v>206791295</v>
      </c>
      <c r="D1005" s="42" t="s">
        <v>446</v>
      </c>
      <c r="E1005" s="42" t="s">
        <v>1904</v>
      </c>
      <c r="F1005" s="42">
        <v>845200</v>
      </c>
      <c r="G1005" s="48">
        <v>550</v>
      </c>
      <c r="H1005" s="45">
        <v>53572.47</v>
      </c>
      <c r="I1005" s="45">
        <f>SUMIFS('שכר 11.2024'!N:N,'שכר 11.2024'!C:C,C:C,'שכר 11.2024'!F:F,F:F)</f>
        <v>3903.91</v>
      </c>
      <c r="J1005" s="45">
        <f t="shared" si="56"/>
        <v>57476.380000000005</v>
      </c>
      <c r="K1005" s="61">
        <f t="shared" si="57"/>
        <v>1.0349999999999999</v>
      </c>
      <c r="L1005" s="45">
        <f t="shared" si="58"/>
        <v>59488.0533</v>
      </c>
      <c r="M1005" s="45">
        <f t="shared" si="59"/>
        <v>0.5</v>
      </c>
    </row>
    <row r="1006" spans="1:13" outlineLevel="1" x14ac:dyDescent="0.35">
      <c r="A1006" s="63" t="s">
        <v>2049</v>
      </c>
      <c r="B1006" s="63"/>
      <c r="C1006" s="63"/>
      <c r="D1006" s="63"/>
      <c r="E1006" s="63"/>
      <c r="F1006" s="63"/>
      <c r="G1006" s="73">
        <f>SUBTOTAL(9,G1003:G1005)</f>
        <v>1715.4</v>
      </c>
      <c r="H1006" s="64">
        <f>SUBTOTAL(9,H1003:H1005)</f>
        <v>167025.35999999999</v>
      </c>
      <c r="I1006" s="64">
        <f>SUBTOTAL(9,I1003:I1005)</f>
        <v>9439.7099999999991</v>
      </c>
      <c r="J1006" s="64">
        <f>SUBTOTAL(9,J1003:J1005)</f>
        <v>176465.07</v>
      </c>
      <c r="K1006" s="65"/>
      <c r="L1006" s="64">
        <f>SUBTOTAL(9,L1003:L1005)</f>
        <v>182641.34745</v>
      </c>
      <c r="M1006" s="64">
        <f>SUBTOTAL(9,M1003:M1005)</f>
        <v>1.5594545454545454</v>
      </c>
    </row>
    <row r="1007" spans="1:13" outlineLevel="2" x14ac:dyDescent="0.35">
      <c r="A1007" s="42">
        <v>1999000110</v>
      </c>
      <c r="B1007" s="42" t="str">
        <f>VLOOKUP(A1007,'תקציב מפורט 2025'!A:O,2,FALSE)</f>
        <v>פנסיה נבחרים</v>
      </c>
      <c r="C1007" s="42">
        <v>50047877</v>
      </c>
      <c r="D1007" s="42" t="s">
        <v>434</v>
      </c>
      <c r="E1007" s="42" t="s">
        <v>435</v>
      </c>
      <c r="F1007" s="42">
        <v>999000</v>
      </c>
      <c r="G1007" s="48">
        <v>70</v>
      </c>
      <c r="H1007" s="45">
        <v>32744.75</v>
      </c>
      <c r="I1007" s="45">
        <f>SUMIFS('שכר 11.2024'!N:N,'שכר 11.2024'!C:C,C:C,'שכר 11.2024'!F:F,F:F)</f>
        <v>0</v>
      </c>
      <c r="J1007" s="45">
        <f t="shared" si="56"/>
        <v>32744.75</v>
      </c>
      <c r="K1007" s="61">
        <f t="shared" si="57"/>
        <v>1.0349999999999999</v>
      </c>
      <c r="L1007" s="45">
        <f t="shared" si="58"/>
        <v>33890.816249999996</v>
      </c>
      <c r="M1007" s="45">
        <f t="shared" si="59"/>
        <v>6.363636363636363E-2</v>
      </c>
    </row>
    <row r="1008" spans="1:13" outlineLevel="2" x14ac:dyDescent="0.35">
      <c r="A1008" s="42">
        <v>1999000110</v>
      </c>
      <c r="B1008" s="42" t="str">
        <f>VLOOKUP(A1008,'תקציב מפורט 2025'!A:O,2,FALSE)</f>
        <v>פנסיה נבחרים</v>
      </c>
      <c r="C1008" s="42">
        <v>54796719</v>
      </c>
      <c r="D1008" s="42" t="s">
        <v>434</v>
      </c>
      <c r="E1008" s="42" t="s">
        <v>1905</v>
      </c>
      <c r="F1008" s="42">
        <v>999000</v>
      </c>
      <c r="G1008" s="48">
        <v>506</v>
      </c>
      <c r="H1008" s="45">
        <v>251971.69</v>
      </c>
      <c r="I1008" s="45">
        <f>SUMIFS('שכר 11.2024'!N:N,'שכר 11.2024'!C:C,C:C,'שכר 11.2024'!F:F,F:F)</f>
        <v>22885.1</v>
      </c>
      <c r="J1008" s="45">
        <f t="shared" si="56"/>
        <v>274856.78999999998</v>
      </c>
      <c r="K1008" s="61">
        <f t="shared" si="57"/>
        <v>1.0349999999999999</v>
      </c>
      <c r="L1008" s="45">
        <f t="shared" si="58"/>
        <v>284476.77764999995</v>
      </c>
      <c r="M1008" s="45">
        <f t="shared" si="59"/>
        <v>0.46</v>
      </c>
    </row>
    <row r="1009" spans="1:13" outlineLevel="1" x14ac:dyDescent="0.35">
      <c r="A1009" s="63" t="s">
        <v>2050</v>
      </c>
      <c r="B1009" s="63"/>
      <c r="C1009" s="63"/>
      <c r="D1009" s="63"/>
      <c r="E1009" s="63"/>
      <c r="F1009" s="63"/>
      <c r="G1009" s="73">
        <f>SUBTOTAL(9,G1007:G1008)</f>
        <v>576</v>
      </c>
      <c r="H1009" s="64">
        <f>SUBTOTAL(9,H1007:H1008)</f>
        <v>284716.44</v>
      </c>
      <c r="I1009" s="64">
        <f>SUBTOTAL(9,I1007:I1008)</f>
        <v>22885.1</v>
      </c>
      <c r="J1009" s="64">
        <f>SUBTOTAL(9,J1007:J1008)</f>
        <v>307601.53999999998</v>
      </c>
      <c r="K1009" s="65"/>
      <c r="L1009" s="64">
        <f>SUBTOTAL(9,L1007:L1008)</f>
        <v>318367.59389999992</v>
      </c>
      <c r="M1009" s="64">
        <f>SUBTOTAL(9,M1007:M1008)</f>
        <v>0.52363636363636368</v>
      </c>
    </row>
    <row r="1010" spans="1:13" x14ac:dyDescent="0.35">
      <c r="A1010" s="63" t="s">
        <v>432</v>
      </c>
      <c r="B1010" s="63"/>
      <c r="C1010" s="63"/>
      <c r="D1010" s="63"/>
      <c r="E1010" s="63"/>
      <c r="F1010" s="63"/>
      <c r="G1010" s="73">
        <f>SUBTOTAL(9,G2:G1008)</f>
        <v>297711.10000000009</v>
      </c>
      <c r="H1010" s="64">
        <f>SUBTOTAL(9,H2:H1008)</f>
        <v>51367599.179999977</v>
      </c>
      <c r="I1010" s="64">
        <f>SUBTOTAL(9,I2:I1008)</f>
        <v>4467880.7599999942</v>
      </c>
      <c r="J1010" s="64">
        <f>SUBTOTAL(9,J2:J1008)</f>
        <v>55835479.940000005</v>
      </c>
      <c r="K1010" s="65"/>
      <c r="L1010" s="64">
        <f>SUBTOTAL(9,L2:L1008)</f>
        <v>58029829.677800044</v>
      </c>
      <c r="M1010" s="64">
        <f>SUBTOTAL(9,M2:M1008)</f>
        <v>271.91918181818187</v>
      </c>
    </row>
    <row r="1011" spans="1:13" x14ac:dyDescent="0.35">
      <c r="A1011" s="42"/>
      <c r="B1011" s="42"/>
      <c r="C1011" s="42"/>
      <c r="D1011" s="42"/>
      <c r="E1011" s="42"/>
      <c r="F1011" s="42"/>
      <c r="G1011" s="48"/>
      <c r="H1011" s="45"/>
      <c r="I1011" s="45"/>
      <c r="J1011" s="45"/>
      <c r="K1011" s="45"/>
      <c r="L1011" s="45"/>
      <c r="M1011" s="45"/>
    </row>
  </sheetData>
  <autoFilter ref="A1:H1009" xr:uid="{7A2C5CD8-00DC-41D1-ACF5-F3060D832759}"/>
  <sortState xmlns:xlrd2="http://schemas.microsoft.com/office/spreadsheetml/2017/richdata2" ref="A2:T1008">
    <sortCondition ref="A2:A10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6359-49FC-428A-9243-35DA14BFD91F}">
  <sheetPr filterMode="1"/>
  <dimension ref="A1:J562"/>
  <sheetViews>
    <sheetView rightToLeft="1" workbookViewId="0">
      <selection activeCell="A473" sqref="A473:C474"/>
    </sheetView>
  </sheetViews>
  <sheetFormatPr defaultRowHeight="14.25" x14ac:dyDescent="0.2"/>
  <cols>
    <col min="1" max="1" width="10.875" bestFit="1" customWidth="1"/>
    <col min="2" max="2" width="23.875" bestFit="1" customWidth="1"/>
    <col min="3" max="3" width="22.375" bestFit="1" customWidth="1"/>
    <col min="4" max="5" width="11.875" bestFit="1" customWidth="1"/>
    <col min="6" max="6" width="11" bestFit="1" customWidth="1"/>
    <col min="7" max="7" width="33.25" bestFit="1" customWidth="1"/>
    <col min="8" max="8" width="45.75" bestFit="1" customWidth="1"/>
    <col min="9" max="9" width="13.375" bestFit="1" customWidth="1"/>
  </cols>
  <sheetData>
    <row r="1" spans="1:10" x14ac:dyDescent="0.2">
      <c r="A1" t="s">
        <v>1172</v>
      </c>
      <c r="B1" t="s">
        <v>1028</v>
      </c>
      <c r="C1" t="s">
        <v>1050</v>
      </c>
      <c r="D1" t="s">
        <v>1652</v>
      </c>
      <c r="E1" t="s">
        <v>2164</v>
      </c>
      <c r="F1" t="s">
        <v>2165</v>
      </c>
      <c r="G1" t="s">
        <v>2166</v>
      </c>
      <c r="H1" t="s">
        <v>259</v>
      </c>
      <c r="I1" t="s">
        <v>2167</v>
      </c>
    </row>
    <row r="2" spans="1:10" hidden="1" x14ac:dyDescent="0.2">
      <c r="A2">
        <v>1111000100</v>
      </c>
      <c r="B2" t="s">
        <v>1173</v>
      </c>
      <c r="C2" t="s">
        <v>332</v>
      </c>
      <c r="D2">
        <v>9947000</v>
      </c>
      <c r="E2">
        <v>8876545.3800000008</v>
      </c>
      <c r="G2">
        <v>522023.29999999888</v>
      </c>
      <c r="H2" t="s">
        <v>2168</v>
      </c>
      <c r="I2">
        <v>9398568.6799999997</v>
      </c>
      <c r="J2">
        <f>VLOOKUP(A2,'תקציב מפורט 2025'!A:O,11,FALSE)-I2</f>
        <v>0</v>
      </c>
    </row>
    <row r="3" spans="1:10" hidden="1" x14ac:dyDescent="0.2">
      <c r="A3">
        <v>1111000110</v>
      </c>
      <c r="B3" t="s">
        <v>1174</v>
      </c>
      <c r="C3" t="s">
        <v>332</v>
      </c>
      <c r="D3">
        <v>0</v>
      </c>
      <c r="E3">
        <v>-39911.1</v>
      </c>
      <c r="G3">
        <v>39911.1</v>
      </c>
      <c r="H3" t="s">
        <v>2168</v>
      </c>
      <c r="I3">
        <v>0</v>
      </c>
      <c r="J3" t="e">
        <f>VLOOKUP(A3,'תקציב מפורט 2025'!A:O,11,FALSE)-I3</f>
        <v>#N/A</v>
      </c>
    </row>
    <row r="4" spans="1:10" hidden="1" x14ac:dyDescent="0.2">
      <c r="A4">
        <v>1111000114</v>
      </c>
      <c r="B4" t="s">
        <v>1175</v>
      </c>
      <c r="C4" t="s">
        <v>336</v>
      </c>
      <c r="D4">
        <v>20000</v>
      </c>
      <c r="E4">
        <v>105902.9</v>
      </c>
      <c r="G4">
        <v>18025.530000000013</v>
      </c>
      <c r="H4" t="s">
        <v>2168</v>
      </c>
      <c r="I4">
        <v>123928.43000000001</v>
      </c>
      <c r="J4">
        <f>VLOOKUP(A4,'תקציב מפורט 2025'!A:O,11,FALSE)-I4</f>
        <v>0</v>
      </c>
    </row>
    <row r="5" spans="1:10" hidden="1" x14ac:dyDescent="0.2">
      <c r="A5">
        <v>1111200100</v>
      </c>
      <c r="B5" t="s">
        <v>1176</v>
      </c>
      <c r="C5" t="s">
        <v>261</v>
      </c>
      <c r="D5">
        <v>2625000</v>
      </c>
      <c r="E5">
        <v>1681771.69</v>
      </c>
      <c r="G5">
        <v>1361170.1400000001</v>
      </c>
      <c r="H5" t="s">
        <v>2168</v>
      </c>
      <c r="I5">
        <v>3042941.83</v>
      </c>
      <c r="J5">
        <f>VLOOKUP(A5,'תקציב מפורט 2025'!A:O,11,FALSE)-I5</f>
        <v>0</v>
      </c>
    </row>
    <row r="6" spans="1:10" hidden="1" x14ac:dyDescent="0.2">
      <c r="A6">
        <v>1112022100</v>
      </c>
      <c r="B6" t="s">
        <v>1591</v>
      </c>
      <c r="C6" t="s">
        <v>261</v>
      </c>
      <c r="D6">
        <v>0</v>
      </c>
      <c r="E6">
        <v>554111.06000000006</v>
      </c>
      <c r="G6">
        <v>-554111.06000000006</v>
      </c>
      <c r="H6" t="s">
        <v>2168</v>
      </c>
      <c r="I6">
        <v>0</v>
      </c>
      <c r="J6" t="e">
        <f>VLOOKUP(A6,'תקציב מפורט 2025'!A:O,11,FALSE)-I6</f>
        <v>#N/A</v>
      </c>
    </row>
    <row r="7" spans="1:10" hidden="1" x14ac:dyDescent="0.2">
      <c r="A7">
        <v>1116000100</v>
      </c>
      <c r="B7" t="s">
        <v>1177</v>
      </c>
      <c r="C7" t="s">
        <v>346</v>
      </c>
      <c r="D7">
        <v>6500000</v>
      </c>
      <c r="E7">
        <v>6198791</v>
      </c>
      <c r="G7">
        <v>393207.66999999993</v>
      </c>
      <c r="H7" t="s">
        <v>2169</v>
      </c>
      <c r="I7">
        <v>6591998.6699999999</v>
      </c>
      <c r="J7">
        <f>VLOOKUP(A7,'תקציב מפורט 2025'!A:O,11,FALSE)-I7</f>
        <v>0</v>
      </c>
    </row>
    <row r="8" spans="1:10" hidden="1" x14ac:dyDescent="0.2">
      <c r="A8">
        <v>1121000291</v>
      </c>
      <c r="B8" t="s">
        <v>1178</v>
      </c>
      <c r="C8" t="s">
        <v>336</v>
      </c>
      <c r="D8">
        <v>60000</v>
      </c>
      <c r="E8">
        <v>29100</v>
      </c>
      <c r="I8">
        <v>29100</v>
      </c>
      <c r="J8">
        <f>VLOOKUP(A8,'תקציב מפורט 2025'!A:O,11,FALSE)-I8</f>
        <v>0</v>
      </c>
    </row>
    <row r="9" spans="1:10" hidden="1" x14ac:dyDescent="0.2">
      <c r="A9">
        <v>1121000292</v>
      </c>
      <c r="B9" t="s">
        <v>1539</v>
      </c>
      <c r="C9" t="s">
        <v>336</v>
      </c>
      <c r="D9">
        <v>0</v>
      </c>
      <c r="E9">
        <v>2500</v>
      </c>
      <c r="I9">
        <v>2500</v>
      </c>
      <c r="J9">
        <f>VLOOKUP(A9,'תקציב מפורט 2025'!A:O,11,FALSE)-I9</f>
        <v>0</v>
      </c>
    </row>
    <row r="10" spans="1:10" hidden="1" x14ac:dyDescent="0.2">
      <c r="A10">
        <v>1191000910</v>
      </c>
      <c r="B10" t="s">
        <v>1179</v>
      </c>
      <c r="C10" t="s">
        <v>264</v>
      </c>
      <c r="D10">
        <v>15832700</v>
      </c>
      <c r="E10">
        <v>15690890</v>
      </c>
      <c r="H10" t="s">
        <v>2170</v>
      </c>
      <c r="I10">
        <v>15690890</v>
      </c>
      <c r="J10">
        <f>VLOOKUP(A10,'תקציב מפורט 2025'!A:O,11,FALSE)-I10</f>
        <v>0</v>
      </c>
    </row>
    <row r="11" spans="1:10" hidden="1" x14ac:dyDescent="0.2">
      <c r="A11">
        <v>1192000910</v>
      </c>
      <c r="B11" t="s">
        <v>1933</v>
      </c>
      <c r="C11" t="s">
        <v>341</v>
      </c>
      <c r="D11">
        <v>900000</v>
      </c>
      <c r="E11">
        <v>729405</v>
      </c>
      <c r="H11" t="s">
        <v>2171</v>
      </c>
      <c r="I11">
        <v>729405</v>
      </c>
      <c r="J11">
        <f>VLOOKUP(A11,'תקציב מפורט 2025'!A:O,11,FALSE)-I11</f>
        <v>0</v>
      </c>
    </row>
    <row r="12" spans="1:10" hidden="1" x14ac:dyDescent="0.2">
      <c r="A12">
        <v>1192010910</v>
      </c>
      <c r="B12" t="s">
        <v>1180</v>
      </c>
      <c r="C12" t="s">
        <v>349</v>
      </c>
      <c r="D12">
        <v>747166.25</v>
      </c>
      <c r="E12">
        <v>0</v>
      </c>
      <c r="G12">
        <v>1700000</v>
      </c>
      <c r="H12" t="s">
        <v>2172</v>
      </c>
      <c r="I12">
        <v>1700000</v>
      </c>
      <c r="J12">
        <f>VLOOKUP(A12,'תקציב מפורט 2025'!A:O,11,FALSE)-I12</f>
        <v>0</v>
      </c>
    </row>
    <row r="13" spans="1:10" hidden="1" x14ac:dyDescent="0.2">
      <c r="A13">
        <v>1196000910</v>
      </c>
      <c r="B13" t="s">
        <v>1181</v>
      </c>
      <c r="C13" t="s">
        <v>341</v>
      </c>
      <c r="D13">
        <v>1176323</v>
      </c>
      <c r="E13">
        <v>1762403</v>
      </c>
      <c r="H13" t="s">
        <v>798</v>
      </c>
      <c r="I13">
        <v>1762403</v>
      </c>
      <c r="J13">
        <f>VLOOKUP(A13,'תקציב מפורט 2025'!A:O,11,FALSE)-I13</f>
        <v>0</v>
      </c>
    </row>
    <row r="14" spans="1:10" hidden="1" x14ac:dyDescent="0.2">
      <c r="A14">
        <v>1212300220</v>
      </c>
      <c r="B14" t="s">
        <v>1182</v>
      </c>
      <c r="C14" t="s">
        <v>336</v>
      </c>
      <c r="D14">
        <v>3000</v>
      </c>
      <c r="E14">
        <v>8500</v>
      </c>
      <c r="I14">
        <v>8500</v>
      </c>
      <c r="J14">
        <f>VLOOKUP(A14,'תקציב מפורט 2025'!A:O,11,FALSE)-I14</f>
        <v>0</v>
      </c>
    </row>
    <row r="15" spans="1:10" hidden="1" x14ac:dyDescent="0.2">
      <c r="A15">
        <v>1224000970</v>
      </c>
      <c r="B15" t="s">
        <v>1183</v>
      </c>
      <c r="C15" t="s">
        <v>340</v>
      </c>
      <c r="D15">
        <v>350000</v>
      </c>
      <c r="E15">
        <v>563202</v>
      </c>
      <c r="G15">
        <v>-140925</v>
      </c>
      <c r="H15" t="s">
        <v>2173</v>
      </c>
      <c r="I15">
        <v>422277</v>
      </c>
      <c r="J15">
        <f>VLOOKUP(A15,'תקציב מפורט 2025'!A:O,11,FALSE)-I15</f>
        <v>0</v>
      </c>
    </row>
    <row r="16" spans="1:10" hidden="1" x14ac:dyDescent="0.2">
      <c r="A16">
        <v>1224200970</v>
      </c>
      <c r="B16" t="s">
        <v>1592</v>
      </c>
      <c r="C16" t="s">
        <v>340</v>
      </c>
      <c r="D16">
        <v>0</v>
      </c>
      <c r="E16">
        <v>0</v>
      </c>
      <c r="I16">
        <v>0</v>
      </c>
      <c r="J16">
        <f>VLOOKUP(A16,'תקציב מפורט 2025'!A:O,11,FALSE)-I16</f>
        <v>0</v>
      </c>
    </row>
    <row r="17" spans="1:10" hidden="1" x14ac:dyDescent="0.2">
      <c r="A17">
        <v>1224300970</v>
      </c>
      <c r="B17" t="s">
        <v>1593</v>
      </c>
      <c r="C17" t="s">
        <v>340</v>
      </c>
      <c r="D17">
        <v>200000</v>
      </c>
      <c r="E17">
        <v>0</v>
      </c>
      <c r="G17">
        <v>140925</v>
      </c>
      <c r="H17" t="s">
        <v>2173</v>
      </c>
      <c r="I17">
        <v>140925</v>
      </c>
      <c r="J17">
        <f>VLOOKUP(A17,'תקציב מפורט 2025'!A:O,11,FALSE)-I17</f>
        <v>0</v>
      </c>
    </row>
    <row r="18" spans="1:10" hidden="1" x14ac:dyDescent="0.2">
      <c r="A18">
        <v>1224400970</v>
      </c>
      <c r="B18" t="s">
        <v>1594</v>
      </c>
      <c r="C18" t="s">
        <v>340</v>
      </c>
      <c r="D18">
        <v>637000</v>
      </c>
      <c r="E18">
        <v>162285</v>
      </c>
      <c r="I18">
        <v>162285</v>
      </c>
      <c r="J18">
        <f>VLOOKUP(A18,'תקציב מפורט 2025'!A:O,11,FALSE)-I18</f>
        <v>0</v>
      </c>
    </row>
    <row r="19" spans="1:10" hidden="1" x14ac:dyDescent="0.2">
      <c r="A19">
        <v>1233100710</v>
      </c>
      <c r="B19" t="s">
        <v>1184</v>
      </c>
      <c r="C19" t="s">
        <v>336</v>
      </c>
      <c r="D19">
        <v>800000</v>
      </c>
      <c r="E19">
        <v>191272.8</v>
      </c>
      <c r="G19">
        <v>63757.599999999999</v>
      </c>
      <c r="H19" t="s">
        <v>2174</v>
      </c>
      <c r="I19">
        <v>255030.39999999999</v>
      </c>
      <c r="J19">
        <f>VLOOKUP(A19,'תקציב מפורט 2025'!A:O,11,FALSE)-I19</f>
        <v>0</v>
      </c>
    </row>
    <row r="20" spans="1:10" hidden="1" x14ac:dyDescent="0.2">
      <c r="A20">
        <v>1233410290</v>
      </c>
      <c r="B20" t="s">
        <v>737</v>
      </c>
      <c r="C20" t="s">
        <v>336</v>
      </c>
      <c r="D20">
        <v>900000</v>
      </c>
      <c r="E20">
        <v>0</v>
      </c>
      <c r="G20">
        <v>1500000</v>
      </c>
      <c r="H20" t="s">
        <v>2175</v>
      </c>
      <c r="I20">
        <v>1500000</v>
      </c>
      <c r="J20">
        <f>VLOOKUP(A20,'תקציב מפורט 2025'!A:O,11,FALSE)-I20</f>
        <v>0</v>
      </c>
    </row>
    <row r="21" spans="1:10" hidden="1" x14ac:dyDescent="0.2">
      <c r="A21">
        <v>1233420290</v>
      </c>
      <c r="B21" t="s">
        <v>1934</v>
      </c>
      <c r="C21" t="s">
        <v>336</v>
      </c>
      <c r="D21">
        <v>2008000</v>
      </c>
      <c r="E21">
        <v>0</v>
      </c>
      <c r="G21">
        <v>2008000</v>
      </c>
      <c r="H21" t="s">
        <v>2176</v>
      </c>
      <c r="I21">
        <v>2008000</v>
      </c>
      <c r="J21">
        <f>VLOOKUP(A21,'תקציב מפורט 2025'!A:O,11,FALSE)-I21</f>
        <v>0</v>
      </c>
    </row>
    <row r="22" spans="1:10" hidden="1" x14ac:dyDescent="0.2">
      <c r="A22">
        <v>1244000990</v>
      </c>
      <c r="B22" t="s">
        <v>1185</v>
      </c>
      <c r="C22" t="s">
        <v>340</v>
      </c>
      <c r="D22">
        <v>60000</v>
      </c>
      <c r="E22">
        <v>0</v>
      </c>
      <c r="I22">
        <v>0</v>
      </c>
      <c r="J22">
        <f>VLOOKUP(A22,'תקציב מפורט 2025'!A:O,11,FALSE)-I22</f>
        <v>60000</v>
      </c>
    </row>
    <row r="23" spans="1:10" hidden="1" x14ac:dyDescent="0.2">
      <c r="A23">
        <v>1269000690</v>
      </c>
      <c r="B23" t="s">
        <v>1186</v>
      </c>
      <c r="C23" t="s">
        <v>336</v>
      </c>
      <c r="D23">
        <v>250000</v>
      </c>
      <c r="E23">
        <v>93711.29</v>
      </c>
      <c r="I23">
        <v>93711.29</v>
      </c>
      <c r="J23">
        <f>VLOOKUP(A23,'תקציב מפורט 2025'!A:O,11,FALSE)-I23</f>
        <v>0</v>
      </c>
    </row>
    <row r="24" spans="1:10" hidden="1" x14ac:dyDescent="0.2">
      <c r="A24">
        <v>1269000691</v>
      </c>
      <c r="B24" t="s">
        <v>1187</v>
      </c>
      <c r="C24" t="s">
        <v>336</v>
      </c>
      <c r="D24">
        <v>0</v>
      </c>
      <c r="E24">
        <v>349.9</v>
      </c>
      <c r="I24">
        <v>349.9</v>
      </c>
      <c r="J24" t="e">
        <f>VLOOKUP(A24,'תקציב מפורט 2025'!A:O,11,FALSE)-I24</f>
        <v>#N/A</v>
      </c>
    </row>
    <row r="25" spans="1:10" hidden="1" x14ac:dyDescent="0.2">
      <c r="A25">
        <v>1269000692</v>
      </c>
      <c r="B25" t="s">
        <v>1188</v>
      </c>
      <c r="C25" t="s">
        <v>336</v>
      </c>
      <c r="D25">
        <v>0</v>
      </c>
      <c r="E25">
        <v>9000</v>
      </c>
      <c r="I25">
        <v>9000</v>
      </c>
      <c r="J25">
        <f>VLOOKUP(A25,'תקציב מפורט 2025'!A:O,11,FALSE)-I25</f>
        <v>11000</v>
      </c>
    </row>
    <row r="26" spans="1:10" x14ac:dyDescent="0.2">
      <c r="A26">
        <v>1269100920</v>
      </c>
      <c r="B26" t="s">
        <v>2177</v>
      </c>
      <c r="C26" t="s">
        <v>336</v>
      </c>
      <c r="D26">
        <v>0</v>
      </c>
      <c r="E26">
        <v>37260</v>
      </c>
      <c r="I26" s="17">
        <v>37260</v>
      </c>
      <c r="J26" t="e">
        <f>VLOOKUP(A26,'תקציב מפורט 2025'!A:O,11,FALSE)-I26</f>
        <v>#N/A</v>
      </c>
    </row>
    <row r="27" spans="1:10" hidden="1" x14ac:dyDescent="0.2">
      <c r="A27">
        <v>1310000920</v>
      </c>
      <c r="B27" t="s">
        <v>1595</v>
      </c>
      <c r="C27" t="s">
        <v>338</v>
      </c>
      <c r="D27">
        <v>6192</v>
      </c>
      <c r="E27">
        <v>0</v>
      </c>
      <c r="I27">
        <v>0</v>
      </c>
      <c r="J27">
        <f>VLOOKUP(A27,'תקציב מפורט 2025'!A:O,11,FALSE)-I27</f>
        <v>0</v>
      </c>
    </row>
    <row r="28" spans="1:10" hidden="1" x14ac:dyDescent="0.2">
      <c r="A28">
        <v>1311000790</v>
      </c>
      <c r="B28" t="s">
        <v>1596</v>
      </c>
      <c r="C28">
        <v>0</v>
      </c>
      <c r="D28">
        <v>0</v>
      </c>
      <c r="E28">
        <v>0</v>
      </c>
      <c r="I28">
        <v>0</v>
      </c>
      <c r="J28">
        <f>VLOOKUP(A28,'תקציב מפורט 2025'!A:O,11,FALSE)-I28</f>
        <v>0</v>
      </c>
    </row>
    <row r="29" spans="1:10" hidden="1" x14ac:dyDescent="0.2">
      <c r="A29">
        <v>1311001920</v>
      </c>
      <c r="B29" t="s">
        <v>1597</v>
      </c>
      <c r="C29" t="s">
        <v>338</v>
      </c>
      <c r="D29">
        <v>38946</v>
      </c>
      <c r="E29">
        <v>41333.440000000002</v>
      </c>
      <c r="I29">
        <v>41333.440000000002</v>
      </c>
      <c r="J29">
        <f>VLOOKUP(A29,'תקציב מפורט 2025'!A:O,11,FALSE)-I29</f>
        <v>0</v>
      </c>
    </row>
    <row r="30" spans="1:10" hidden="1" x14ac:dyDescent="0.2">
      <c r="A30">
        <v>1312001920</v>
      </c>
      <c r="B30" t="s">
        <v>1598</v>
      </c>
      <c r="C30" t="s">
        <v>338</v>
      </c>
      <c r="D30">
        <v>0</v>
      </c>
      <c r="E30">
        <v>0</v>
      </c>
      <c r="I30">
        <v>0</v>
      </c>
      <c r="J30">
        <f>VLOOKUP(A30,'תקציב מפורט 2025'!A:O,11,FALSE)-I30</f>
        <v>0</v>
      </c>
    </row>
    <row r="31" spans="1:10" x14ac:dyDescent="0.2">
      <c r="A31">
        <v>1312200690</v>
      </c>
      <c r="B31" t="s">
        <v>2178</v>
      </c>
      <c r="C31" t="s">
        <v>338</v>
      </c>
      <c r="D31">
        <v>0</v>
      </c>
      <c r="E31">
        <v>338653</v>
      </c>
      <c r="I31" s="17">
        <v>338653</v>
      </c>
      <c r="J31">
        <f>VLOOKUP(A31,'תקציב מפורט 2025'!A:O,11,FALSE)-I31</f>
        <v>-338653</v>
      </c>
    </row>
    <row r="32" spans="1:10" hidden="1" x14ac:dyDescent="0.2">
      <c r="A32">
        <v>1312201920</v>
      </c>
      <c r="B32" t="s">
        <v>1189</v>
      </c>
      <c r="C32" t="s">
        <v>338</v>
      </c>
      <c r="D32">
        <v>1919276</v>
      </c>
      <c r="E32">
        <v>2181912.6</v>
      </c>
      <c r="I32">
        <v>2181912.6</v>
      </c>
      <c r="J32">
        <f>VLOOKUP(A32,'תקציב מפורט 2025'!A:O,11,FALSE)-I32</f>
        <v>0</v>
      </c>
    </row>
    <row r="33" spans="1:10" hidden="1" x14ac:dyDescent="0.2">
      <c r="A33">
        <v>1312201923</v>
      </c>
      <c r="B33" t="s">
        <v>1935</v>
      </c>
      <c r="C33" t="s">
        <v>338</v>
      </c>
      <c r="D33">
        <v>23057</v>
      </c>
      <c r="E33">
        <v>0</v>
      </c>
      <c r="I33">
        <v>0</v>
      </c>
      <c r="J33">
        <f>VLOOKUP(A33,'תקציב מפורט 2025'!A:O,11,FALSE)-I33</f>
        <v>25974</v>
      </c>
    </row>
    <row r="34" spans="1:10" hidden="1" x14ac:dyDescent="0.2">
      <c r="A34">
        <v>1312203940</v>
      </c>
      <c r="B34" t="s">
        <v>1190</v>
      </c>
      <c r="C34" t="s">
        <v>338</v>
      </c>
      <c r="D34">
        <v>350000</v>
      </c>
      <c r="E34">
        <v>994375.9</v>
      </c>
      <c r="I34">
        <v>994375.9</v>
      </c>
      <c r="J34">
        <f>VLOOKUP(A34,'תקציב מפורט 2025'!A:O,11,FALSE)-I34</f>
        <v>0</v>
      </c>
    </row>
    <row r="35" spans="1:10" hidden="1" x14ac:dyDescent="0.2">
      <c r="A35">
        <v>1312213940</v>
      </c>
      <c r="B35" t="s">
        <v>1498</v>
      </c>
      <c r="C35" t="s">
        <v>338</v>
      </c>
      <c r="D35">
        <v>200000</v>
      </c>
      <c r="E35">
        <v>61330</v>
      </c>
      <c r="I35">
        <v>61330</v>
      </c>
      <c r="J35">
        <f>VLOOKUP(A35,'תקציב מפורט 2025'!A:O,11,FALSE)-I35</f>
        <v>0</v>
      </c>
    </row>
    <row r="36" spans="1:10" hidden="1" x14ac:dyDescent="0.2">
      <c r="A36">
        <v>1312300920</v>
      </c>
      <c r="B36" t="s">
        <v>1191</v>
      </c>
      <c r="C36" t="s">
        <v>338</v>
      </c>
      <c r="D36">
        <v>7148054</v>
      </c>
      <c r="E36">
        <v>7340617.2199999997</v>
      </c>
      <c r="I36">
        <v>7340617.2199999997</v>
      </c>
      <c r="J36">
        <f>VLOOKUP(A36,'תקציב מפורט 2025'!A:O,11,FALSE)-I36</f>
        <v>0</v>
      </c>
    </row>
    <row r="37" spans="1:10" hidden="1" x14ac:dyDescent="0.2">
      <c r="A37">
        <v>1312300923</v>
      </c>
      <c r="B37" t="s">
        <v>1197</v>
      </c>
      <c r="C37" t="s">
        <v>334</v>
      </c>
      <c r="D37">
        <v>0</v>
      </c>
      <c r="E37">
        <v>25974</v>
      </c>
      <c r="I37">
        <v>25974</v>
      </c>
      <c r="J37">
        <f>VLOOKUP(A37,'תקציב מפורט 2025'!A:O,11,FALSE)-I37</f>
        <v>-25974</v>
      </c>
    </row>
    <row r="38" spans="1:10" hidden="1" x14ac:dyDescent="0.2">
      <c r="A38">
        <v>1312301920</v>
      </c>
      <c r="B38" t="s">
        <v>1192</v>
      </c>
      <c r="C38" t="s">
        <v>338</v>
      </c>
      <c r="D38">
        <v>7161</v>
      </c>
      <c r="E38">
        <v>77940.100000000006</v>
      </c>
      <c r="I38">
        <v>77940.100000000006</v>
      </c>
      <c r="J38">
        <f>VLOOKUP(A38,'תקציב מפורט 2025'!A:O,11,FALSE)-I38</f>
        <v>0</v>
      </c>
    </row>
    <row r="39" spans="1:10" hidden="1" x14ac:dyDescent="0.2">
      <c r="A39">
        <v>1312302920</v>
      </c>
      <c r="B39" t="s">
        <v>1193</v>
      </c>
      <c r="C39" t="s">
        <v>338</v>
      </c>
      <c r="D39">
        <v>5584</v>
      </c>
      <c r="E39">
        <v>9635</v>
      </c>
      <c r="I39">
        <v>9635</v>
      </c>
      <c r="J39">
        <f>VLOOKUP(A39,'תקציב מפורט 2025'!A:O,11,FALSE)-I39</f>
        <v>0</v>
      </c>
    </row>
    <row r="40" spans="1:10" hidden="1" x14ac:dyDescent="0.2">
      <c r="A40">
        <v>1312311920</v>
      </c>
      <c r="B40" t="s">
        <v>1194</v>
      </c>
      <c r="C40" t="s">
        <v>338</v>
      </c>
      <c r="D40">
        <v>2903666</v>
      </c>
      <c r="E40">
        <v>2891149.26</v>
      </c>
      <c r="I40">
        <v>2891149.26</v>
      </c>
      <c r="J40">
        <f>VLOOKUP(A40,'תקציב מפורט 2025'!A:O,11,FALSE)-I40</f>
        <v>0</v>
      </c>
    </row>
    <row r="41" spans="1:10" hidden="1" x14ac:dyDescent="0.2">
      <c r="A41">
        <v>1312312980</v>
      </c>
      <c r="B41" t="s">
        <v>1599</v>
      </c>
      <c r="C41" t="s">
        <v>338</v>
      </c>
      <c r="D41">
        <v>0</v>
      </c>
      <c r="E41">
        <v>-441633.29</v>
      </c>
      <c r="G41">
        <v>441633.29</v>
      </c>
      <c r="H41" t="s">
        <v>2179</v>
      </c>
      <c r="I41">
        <v>0</v>
      </c>
      <c r="J41">
        <f>VLOOKUP(A41,'תקציב מפורט 2025'!A:O,11,FALSE)-I41</f>
        <v>0</v>
      </c>
    </row>
    <row r="42" spans="1:10" hidden="1" x14ac:dyDescent="0.2">
      <c r="A42">
        <v>1313100920</v>
      </c>
      <c r="B42" t="s">
        <v>1540</v>
      </c>
      <c r="C42" t="s">
        <v>338</v>
      </c>
      <c r="D42">
        <v>0</v>
      </c>
      <c r="E42">
        <v>324708.56</v>
      </c>
      <c r="I42">
        <v>324708.56</v>
      </c>
      <c r="J42">
        <f>VLOOKUP(A42,'תקציב מפורט 2025'!A:O,11,FALSE)-I42</f>
        <v>-324708.56</v>
      </c>
    </row>
    <row r="43" spans="1:10" hidden="1" x14ac:dyDescent="0.2">
      <c r="A43">
        <v>1313200920</v>
      </c>
      <c r="B43" t="s">
        <v>1195</v>
      </c>
      <c r="C43" t="s">
        <v>338</v>
      </c>
      <c r="D43">
        <v>550000</v>
      </c>
      <c r="E43">
        <v>1288075.06</v>
      </c>
      <c r="I43">
        <v>1288075.06</v>
      </c>
      <c r="J43">
        <f>VLOOKUP(A43,'תקציב מפורט 2025'!A:O,11,FALSE)-I43</f>
        <v>0</v>
      </c>
    </row>
    <row r="44" spans="1:10" hidden="1" x14ac:dyDescent="0.2">
      <c r="A44">
        <v>1313200921</v>
      </c>
      <c r="B44" t="s">
        <v>1196</v>
      </c>
      <c r="C44" t="s">
        <v>338</v>
      </c>
      <c r="D44">
        <v>1934106</v>
      </c>
      <c r="E44">
        <v>2065121.22</v>
      </c>
      <c r="I44">
        <v>2065121.22</v>
      </c>
      <c r="J44">
        <f>VLOOKUP(A44,'תקציב מפורט 2025'!A:O,11,FALSE)-I44</f>
        <v>0</v>
      </c>
    </row>
    <row r="45" spans="1:10" hidden="1" x14ac:dyDescent="0.2">
      <c r="A45">
        <v>1313200923</v>
      </c>
      <c r="B45" t="s">
        <v>1541</v>
      </c>
      <c r="C45" t="s">
        <v>338</v>
      </c>
      <c r="D45">
        <v>49340</v>
      </c>
      <c r="E45">
        <v>150125.54999999999</v>
      </c>
      <c r="I45">
        <v>150125.54999999999</v>
      </c>
      <c r="J45">
        <f>VLOOKUP(A45,'תקציב מפורט 2025'!A:O,11,FALSE)-I45</f>
        <v>0</v>
      </c>
    </row>
    <row r="46" spans="1:10" hidden="1" x14ac:dyDescent="0.2">
      <c r="A46">
        <v>1313200925</v>
      </c>
      <c r="B46" t="s">
        <v>1198</v>
      </c>
      <c r="C46" t="s">
        <v>338</v>
      </c>
      <c r="D46">
        <v>241281</v>
      </c>
      <c r="E46">
        <v>278430.78000000003</v>
      </c>
      <c r="I46">
        <v>278430.78000000003</v>
      </c>
      <c r="J46">
        <f>VLOOKUP(A46,'תקציב מפורט 2025'!A:O,11,FALSE)-I46</f>
        <v>0</v>
      </c>
    </row>
    <row r="47" spans="1:10" hidden="1" x14ac:dyDescent="0.2">
      <c r="A47">
        <v>1313202920</v>
      </c>
      <c r="B47" t="s">
        <v>1499</v>
      </c>
      <c r="C47" t="s">
        <v>338</v>
      </c>
      <c r="D47">
        <v>419187</v>
      </c>
      <c r="E47">
        <v>469270.13</v>
      </c>
      <c r="I47">
        <v>469270.13</v>
      </c>
      <c r="J47">
        <f>VLOOKUP(A47,'תקציב מפורט 2025'!A:O,11,FALSE)-I47</f>
        <v>0</v>
      </c>
    </row>
    <row r="48" spans="1:10" hidden="1" x14ac:dyDescent="0.2">
      <c r="A48">
        <v>1313202926</v>
      </c>
      <c r="B48" t="s">
        <v>1199</v>
      </c>
      <c r="C48" t="s">
        <v>338</v>
      </c>
      <c r="D48">
        <v>1065031</v>
      </c>
      <c r="E48">
        <v>1300707.04</v>
      </c>
      <c r="I48">
        <v>1300707.04</v>
      </c>
      <c r="J48">
        <f>VLOOKUP(A48,'תקציב מפורט 2025'!A:O,11,FALSE)-I48</f>
        <v>0</v>
      </c>
    </row>
    <row r="49" spans="1:10" hidden="1" x14ac:dyDescent="0.2">
      <c r="A49">
        <v>1313202927</v>
      </c>
      <c r="B49" t="s">
        <v>1200</v>
      </c>
      <c r="C49" t="s">
        <v>338</v>
      </c>
      <c r="D49">
        <v>393246</v>
      </c>
      <c r="E49">
        <v>386930.64</v>
      </c>
      <c r="I49">
        <v>386930.64</v>
      </c>
      <c r="J49">
        <f>VLOOKUP(A49,'תקציב מפורט 2025'!A:O,11,FALSE)-I49</f>
        <v>0</v>
      </c>
    </row>
    <row r="50" spans="1:10" hidden="1" x14ac:dyDescent="0.2">
      <c r="A50">
        <v>1313204920</v>
      </c>
      <c r="B50" t="s">
        <v>1936</v>
      </c>
      <c r="C50" t="s">
        <v>338</v>
      </c>
      <c r="D50">
        <v>220000</v>
      </c>
      <c r="E50">
        <v>0</v>
      </c>
      <c r="I50">
        <v>0</v>
      </c>
      <c r="J50">
        <f>VLOOKUP(A50,'תקציב מפורט 2025'!A:O,11,FALSE)-I50</f>
        <v>0</v>
      </c>
    </row>
    <row r="51" spans="1:10" hidden="1" x14ac:dyDescent="0.2">
      <c r="A51">
        <v>1313206920</v>
      </c>
      <c r="B51" t="s">
        <v>1013</v>
      </c>
      <c r="C51" t="s">
        <v>338</v>
      </c>
      <c r="D51">
        <v>0</v>
      </c>
      <c r="E51">
        <v>407913</v>
      </c>
      <c r="I51">
        <v>407913</v>
      </c>
      <c r="J51">
        <f>VLOOKUP(A51,'תקציב מפורט 2025'!A:O,11,FALSE)-I51</f>
        <v>0</v>
      </c>
    </row>
    <row r="52" spans="1:10" hidden="1" x14ac:dyDescent="0.2">
      <c r="A52">
        <v>1313210921</v>
      </c>
      <c r="B52" t="s">
        <v>1201</v>
      </c>
      <c r="C52" t="s">
        <v>338</v>
      </c>
      <c r="D52">
        <v>408288</v>
      </c>
      <c r="E52">
        <v>592650.22</v>
      </c>
      <c r="I52">
        <v>592650.22</v>
      </c>
      <c r="J52">
        <f>VLOOKUP(A52,'תקציב מפורט 2025'!A:O,11,FALSE)-I52</f>
        <v>0</v>
      </c>
    </row>
    <row r="53" spans="1:10" hidden="1" x14ac:dyDescent="0.2">
      <c r="A53">
        <v>1313210922</v>
      </c>
      <c r="B53" t="s">
        <v>1202</v>
      </c>
      <c r="C53" t="s">
        <v>338</v>
      </c>
      <c r="D53">
        <v>135065</v>
      </c>
      <c r="E53">
        <v>200673.93</v>
      </c>
      <c r="I53">
        <v>200673.93</v>
      </c>
      <c r="J53">
        <f>VLOOKUP(A53,'תקציב מפורט 2025'!A:O,11,FALSE)-I53</f>
        <v>0</v>
      </c>
    </row>
    <row r="54" spans="1:10" hidden="1" x14ac:dyDescent="0.2">
      <c r="A54">
        <v>1313210924</v>
      </c>
      <c r="B54" t="s">
        <v>1203</v>
      </c>
      <c r="C54" t="s">
        <v>338</v>
      </c>
      <c r="D54">
        <v>5355</v>
      </c>
      <c r="E54">
        <v>5354.91</v>
      </c>
      <c r="I54">
        <v>5354.91</v>
      </c>
      <c r="J54">
        <f>VLOOKUP(A54,'תקציב מפורט 2025'!A:O,11,FALSE)-I54</f>
        <v>0</v>
      </c>
    </row>
    <row r="55" spans="1:10" hidden="1" x14ac:dyDescent="0.2">
      <c r="A55">
        <v>1313210925</v>
      </c>
      <c r="B55" t="s">
        <v>1204</v>
      </c>
      <c r="C55" t="s">
        <v>338</v>
      </c>
      <c r="D55">
        <v>0</v>
      </c>
      <c r="E55">
        <v>2318889.52</v>
      </c>
      <c r="I55">
        <v>2318889.52</v>
      </c>
      <c r="J55">
        <f>VLOOKUP(A55,'תקציב מפורט 2025'!A:O,11,FALSE)-I55</f>
        <v>0</v>
      </c>
    </row>
    <row r="56" spans="1:10" hidden="1" x14ac:dyDescent="0.2">
      <c r="A56">
        <v>1313210926</v>
      </c>
      <c r="B56" t="s">
        <v>1937</v>
      </c>
      <c r="C56" t="s">
        <v>338</v>
      </c>
      <c r="D56">
        <v>0</v>
      </c>
      <c r="E56">
        <v>2268</v>
      </c>
      <c r="I56">
        <v>2268</v>
      </c>
      <c r="J56">
        <f>VLOOKUP(A56,'תקציב מפורט 2025'!A:O,11,FALSE)-I56</f>
        <v>0</v>
      </c>
    </row>
    <row r="57" spans="1:10" hidden="1" x14ac:dyDescent="0.2">
      <c r="A57">
        <v>1313210929</v>
      </c>
      <c r="B57" t="s">
        <v>1205</v>
      </c>
      <c r="C57" t="s">
        <v>338</v>
      </c>
      <c r="D57">
        <v>54715</v>
      </c>
      <c r="E57">
        <v>143263.5</v>
      </c>
      <c r="I57">
        <v>143263.5</v>
      </c>
      <c r="J57">
        <f>VLOOKUP(A57,'תקציב מפורט 2025'!A:O,11,FALSE)-I57</f>
        <v>0</v>
      </c>
    </row>
    <row r="58" spans="1:10" hidden="1" x14ac:dyDescent="0.2">
      <c r="A58">
        <v>1313225920</v>
      </c>
      <c r="B58" t="s">
        <v>1600</v>
      </c>
      <c r="C58" t="s">
        <v>338</v>
      </c>
      <c r="D58">
        <v>4178</v>
      </c>
      <c r="E58">
        <v>4328.1000000000004</v>
      </c>
      <c r="I58">
        <v>4328.1000000000004</v>
      </c>
      <c r="J58">
        <f>VLOOKUP(A58,'תקציב מפורט 2025'!A:O,11,FALSE)-I58</f>
        <v>0</v>
      </c>
    </row>
    <row r="59" spans="1:10" hidden="1" x14ac:dyDescent="0.2">
      <c r="A59">
        <v>1313230922</v>
      </c>
      <c r="B59" t="s">
        <v>1938</v>
      </c>
      <c r="C59" t="s">
        <v>336</v>
      </c>
      <c r="D59">
        <v>1404579</v>
      </c>
      <c r="E59">
        <v>0</v>
      </c>
      <c r="I59">
        <v>0</v>
      </c>
      <c r="J59">
        <f>VLOOKUP(A59,'תקציב מפורט 2025'!A:O,11,FALSE)-I59</f>
        <v>0</v>
      </c>
    </row>
    <row r="60" spans="1:10" hidden="1" x14ac:dyDescent="0.2">
      <c r="A60">
        <v>1313230925</v>
      </c>
      <c r="B60" t="s">
        <v>1939</v>
      </c>
      <c r="C60" t="s">
        <v>338</v>
      </c>
      <c r="D60">
        <v>3964376</v>
      </c>
      <c r="E60">
        <v>2367013.1800000002</v>
      </c>
      <c r="I60">
        <v>2367013.1800000002</v>
      </c>
      <c r="J60">
        <f>VLOOKUP(A60,'תקציב מפורט 2025'!A:O,11,FALSE)-I60</f>
        <v>0</v>
      </c>
    </row>
    <row r="61" spans="1:10" hidden="1" x14ac:dyDescent="0.2">
      <c r="A61">
        <v>1313300210</v>
      </c>
      <c r="B61" t="s">
        <v>1637</v>
      </c>
      <c r="C61" t="s">
        <v>334</v>
      </c>
      <c r="D61">
        <v>0</v>
      </c>
      <c r="E61">
        <v>-173330</v>
      </c>
      <c r="G61">
        <v>173330</v>
      </c>
      <c r="H61" t="s">
        <v>2179</v>
      </c>
      <c r="I61">
        <v>0</v>
      </c>
      <c r="J61">
        <f>VLOOKUP(A61,'תקציב מפורט 2025'!A:O,11,FALSE)-I61</f>
        <v>0</v>
      </c>
    </row>
    <row r="62" spans="1:10" hidden="1" x14ac:dyDescent="0.2">
      <c r="A62">
        <v>1313301920</v>
      </c>
      <c r="B62" t="s">
        <v>1500</v>
      </c>
      <c r="C62" t="s">
        <v>338</v>
      </c>
      <c r="D62">
        <v>0</v>
      </c>
      <c r="E62">
        <v>39501.629999999997</v>
      </c>
      <c r="I62">
        <v>39501.629999999997</v>
      </c>
      <c r="J62">
        <f>VLOOKUP(A62,'תקציב מפורט 2025'!A:O,11,FALSE)-I62</f>
        <v>0</v>
      </c>
    </row>
    <row r="63" spans="1:10" hidden="1" x14ac:dyDescent="0.2">
      <c r="A63">
        <v>1313303920</v>
      </c>
      <c r="B63" t="s">
        <v>1502</v>
      </c>
      <c r="C63" t="s">
        <v>338</v>
      </c>
      <c r="D63">
        <v>398472</v>
      </c>
      <c r="E63">
        <v>444667.96</v>
      </c>
      <c r="I63">
        <v>444667.96</v>
      </c>
      <c r="J63">
        <f>VLOOKUP(A63,'תקציב מפורט 2025'!A:O,11,FALSE)-I63</f>
        <v>0</v>
      </c>
    </row>
    <row r="64" spans="1:10" hidden="1" x14ac:dyDescent="0.2">
      <c r="A64">
        <v>1313306920</v>
      </c>
      <c r="B64" t="s">
        <v>1504</v>
      </c>
      <c r="C64" t="s">
        <v>338</v>
      </c>
      <c r="D64">
        <v>175000</v>
      </c>
      <c r="E64">
        <v>79400</v>
      </c>
      <c r="I64">
        <v>79400</v>
      </c>
      <c r="J64">
        <f>VLOOKUP(A64,'תקציב מפורט 2025'!A:O,11,FALSE)-I64</f>
        <v>0</v>
      </c>
    </row>
    <row r="65" spans="1:10" hidden="1" x14ac:dyDescent="0.2">
      <c r="A65">
        <v>1313307920</v>
      </c>
      <c r="B65" t="s">
        <v>1505</v>
      </c>
      <c r="C65" t="s">
        <v>338</v>
      </c>
      <c r="D65">
        <v>45717</v>
      </c>
      <c r="E65">
        <v>68502.649999999994</v>
      </c>
      <c r="I65">
        <v>68502.649999999994</v>
      </c>
      <c r="J65">
        <f>VLOOKUP(A65,'תקציב מפורט 2025'!A:O,11,FALSE)-I65</f>
        <v>0</v>
      </c>
    </row>
    <row r="66" spans="1:10" hidden="1" x14ac:dyDescent="0.2">
      <c r="A66">
        <v>1313309920</v>
      </c>
      <c r="B66" t="s">
        <v>1506</v>
      </c>
      <c r="C66" t="s">
        <v>338</v>
      </c>
      <c r="D66">
        <v>58076</v>
      </c>
      <c r="E66">
        <v>57060.99</v>
      </c>
      <c r="I66">
        <v>57060.99</v>
      </c>
      <c r="J66">
        <f>VLOOKUP(A66,'תקציב מפורט 2025'!A:O,11,FALSE)-I66</f>
        <v>0</v>
      </c>
    </row>
    <row r="67" spans="1:10" hidden="1" x14ac:dyDescent="0.2">
      <c r="A67">
        <v>1313319920</v>
      </c>
      <c r="B67" t="s">
        <v>1507</v>
      </c>
      <c r="C67" t="s">
        <v>338</v>
      </c>
      <c r="D67">
        <v>0</v>
      </c>
      <c r="E67">
        <v>0</v>
      </c>
      <c r="I67">
        <v>0</v>
      </c>
      <c r="J67">
        <f>VLOOKUP(A67,'תקציב מפורט 2025'!A:O,11,FALSE)-I67</f>
        <v>0</v>
      </c>
    </row>
    <row r="68" spans="1:10" hidden="1" x14ac:dyDescent="0.2">
      <c r="A68">
        <v>1313339920</v>
      </c>
      <c r="B68" t="s">
        <v>1601</v>
      </c>
      <c r="C68" t="s">
        <v>338</v>
      </c>
      <c r="D68">
        <v>2676708</v>
      </c>
      <c r="E68">
        <v>2200745.2000000002</v>
      </c>
      <c r="I68">
        <v>2200745.2000000002</v>
      </c>
      <c r="J68">
        <f>VLOOKUP(A68,'תקציב מפורט 2025'!A:O,11,FALSE)-I68</f>
        <v>0</v>
      </c>
    </row>
    <row r="69" spans="1:10" hidden="1" x14ac:dyDescent="0.2">
      <c r="A69">
        <v>1313429920</v>
      </c>
      <c r="B69" t="s">
        <v>1602</v>
      </c>
      <c r="C69" t="s">
        <v>338</v>
      </c>
      <c r="D69">
        <v>0</v>
      </c>
      <c r="E69">
        <v>0</v>
      </c>
      <c r="I69">
        <v>0</v>
      </c>
      <c r="J69">
        <f>VLOOKUP(A69,'תקציב מפורט 2025'!A:O,11,FALSE)-I69</f>
        <v>0</v>
      </c>
    </row>
    <row r="70" spans="1:10" hidden="1" x14ac:dyDescent="0.2">
      <c r="A70">
        <v>1313600420</v>
      </c>
      <c r="B70" t="s">
        <v>1206</v>
      </c>
      <c r="C70" t="s">
        <v>334</v>
      </c>
      <c r="D70">
        <v>120000</v>
      </c>
      <c r="E70">
        <v>0</v>
      </c>
      <c r="I70">
        <v>0</v>
      </c>
      <c r="J70">
        <f>VLOOKUP(A70,'תקציב מפורט 2025'!A:O,11,FALSE)-I70</f>
        <v>110000</v>
      </c>
    </row>
    <row r="71" spans="1:10" hidden="1" x14ac:dyDescent="0.2">
      <c r="A71">
        <v>1313800920</v>
      </c>
      <c r="B71" t="s">
        <v>1207</v>
      </c>
      <c r="C71" t="s">
        <v>338</v>
      </c>
      <c r="D71">
        <v>1200000</v>
      </c>
      <c r="E71">
        <v>1054593.22</v>
      </c>
      <c r="I71">
        <v>1054593.22</v>
      </c>
      <c r="J71">
        <f>VLOOKUP(A71,'תקציב מפורט 2025'!A:O,11,FALSE)-I71</f>
        <v>0</v>
      </c>
    </row>
    <row r="72" spans="1:10" hidden="1" x14ac:dyDescent="0.2">
      <c r="A72">
        <v>1313901920</v>
      </c>
      <c r="B72" t="s">
        <v>1603</v>
      </c>
      <c r="C72" t="s">
        <v>338</v>
      </c>
      <c r="D72">
        <v>67248</v>
      </c>
      <c r="E72">
        <v>0</v>
      </c>
      <c r="I72">
        <v>0</v>
      </c>
      <c r="J72">
        <f>VLOOKUP(A72,'תקציב מפורט 2025'!A:O,11,FALSE)-I72</f>
        <v>0</v>
      </c>
    </row>
    <row r="73" spans="1:10" hidden="1" x14ac:dyDescent="0.2">
      <c r="A73">
        <v>1314000920</v>
      </c>
      <c r="B73" t="s">
        <v>1208</v>
      </c>
      <c r="C73" t="s">
        <v>338</v>
      </c>
      <c r="D73">
        <v>2525991</v>
      </c>
      <c r="E73">
        <v>2470995.1</v>
      </c>
      <c r="I73">
        <v>2470995.1</v>
      </c>
      <c r="J73">
        <f>VLOOKUP(A73,'תקציב מפורט 2025'!A:O,11,FALSE)-I73</f>
        <v>0</v>
      </c>
    </row>
    <row r="74" spans="1:10" hidden="1" x14ac:dyDescent="0.2">
      <c r="A74">
        <v>1314000924</v>
      </c>
      <c r="B74" t="s">
        <v>1209</v>
      </c>
      <c r="C74" t="s">
        <v>338</v>
      </c>
      <c r="D74">
        <v>0</v>
      </c>
      <c r="E74">
        <v>0</v>
      </c>
      <c r="I74">
        <v>0</v>
      </c>
      <c r="J74">
        <f>VLOOKUP(A74,'תקציב מפורט 2025'!A:O,11,FALSE)-I74</f>
        <v>0</v>
      </c>
    </row>
    <row r="75" spans="1:10" hidden="1" x14ac:dyDescent="0.2">
      <c r="A75">
        <v>1315200927</v>
      </c>
      <c r="B75" t="s">
        <v>1197</v>
      </c>
      <c r="C75" t="s">
        <v>338</v>
      </c>
      <c r="D75">
        <v>9000</v>
      </c>
      <c r="E75">
        <v>0</v>
      </c>
      <c r="I75">
        <v>0</v>
      </c>
      <c r="J75">
        <f>VLOOKUP(A75,'תקציב מפורט 2025'!A:O,11,FALSE)-I75</f>
        <v>0</v>
      </c>
    </row>
    <row r="76" spans="1:10" hidden="1" x14ac:dyDescent="0.2">
      <c r="A76">
        <v>1315201920</v>
      </c>
      <c r="B76" t="s">
        <v>1210</v>
      </c>
      <c r="C76" t="s">
        <v>338</v>
      </c>
      <c r="D76">
        <v>8724015</v>
      </c>
      <c r="E76">
        <v>10412693.050000001</v>
      </c>
      <c r="I76">
        <v>10412693.050000001</v>
      </c>
      <c r="J76">
        <f>VLOOKUP(A76,'תקציב מפורט 2025'!A:O,11,FALSE)-I76</f>
        <v>0</v>
      </c>
    </row>
    <row r="77" spans="1:10" hidden="1" x14ac:dyDescent="0.2">
      <c r="A77">
        <v>1315202920</v>
      </c>
      <c r="B77" t="s">
        <v>1211</v>
      </c>
      <c r="C77" t="s">
        <v>338</v>
      </c>
      <c r="D77">
        <v>492452</v>
      </c>
      <c r="E77">
        <v>512346.5</v>
      </c>
      <c r="I77">
        <v>512346.5</v>
      </c>
      <c r="J77">
        <f>VLOOKUP(A77,'תקציב מפורט 2025'!A:O,11,FALSE)-I77</f>
        <v>0</v>
      </c>
    </row>
    <row r="78" spans="1:10" hidden="1" x14ac:dyDescent="0.2">
      <c r="A78">
        <v>1315203920</v>
      </c>
      <c r="B78" t="s">
        <v>1212</v>
      </c>
      <c r="C78" t="s">
        <v>338</v>
      </c>
      <c r="D78">
        <v>49498</v>
      </c>
      <c r="E78">
        <v>49498.02</v>
      </c>
      <c r="I78">
        <v>49498.02</v>
      </c>
      <c r="J78">
        <f>VLOOKUP(A78,'תקציב מפורט 2025'!A:O,11,FALSE)-I78</f>
        <v>0</v>
      </c>
    </row>
    <row r="79" spans="1:10" hidden="1" x14ac:dyDescent="0.2">
      <c r="A79">
        <v>1315204920</v>
      </c>
      <c r="B79" t="s">
        <v>1213</v>
      </c>
      <c r="C79" t="s">
        <v>338</v>
      </c>
      <c r="D79">
        <v>3378</v>
      </c>
      <c r="E79">
        <v>0</v>
      </c>
      <c r="I79">
        <v>0</v>
      </c>
      <c r="J79">
        <f>VLOOKUP(A79,'תקציב מפורט 2025'!A:O,11,FALSE)-I79</f>
        <v>0</v>
      </c>
    </row>
    <row r="80" spans="1:10" hidden="1" x14ac:dyDescent="0.2">
      <c r="A80">
        <v>1315206920</v>
      </c>
      <c r="B80" t="s">
        <v>1214</v>
      </c>
      <c r="C80" t="s">
        <v>338</v>
      </c>
      <c r="D80">
        <v>37343</v>
      </c>
      <c r="E80">
        <v>0</v>
      </c>
      <c r="I80">
        <v>0</v>
      </c>
      <c r="J80">
        <f>VLOOKUP(A80,'תקציב מפורט 2025'!A:O,11,FALSE)-I80</f>
        <v>0</v>
      </c>
    </row>
    <row r="81" spans="1:10" hidden="1" x14ac:dyDescent="0.2">
      <c r="A81">
        <v>1315209920</v>
      </c>
      <c r="B81" t="s">
        <v>1215</v>
      </c>
      <c r="C81" t="s">
        <v>338</v>
      </c>
      <c r="D81">
        <v>668854</v>
      </c>
      <c r="E81">
        <v>750348.25</v>
      </c>
      <c r="I81">
        <v>750348.25</v>
      </c>
      <c r="J81">
        <f>VLOOKUP(A81,'תקציב מפורט 2025'!A:O,11,FALSE)-I81</f>
        <v>0</v>
      </c>
    </row>
    <row r="82" spans="1:10" hidden="1" x14ac:dyDescent="0.2">
      <c r="A82">
        <v>1315210920</v>
      </c>
      <c r="B82" t="s">
        <v>1216</v>
      </c>
      <c r="C82" t="s">
        <v>338</v>
      </c>
      <c r="D82">
        <v>7398</v>
      </c>
      <c r="E82">
        <v>2552.06</v>
      </c>
      <c r="I82">
        <v>2552.06</v>
      </c>
      <c r="J82">
        <f>VLOOKUP(A82,'תקציב מפורט 2025'!A:O,11,FALSE)-I82</f>
        <v>0</v>
      </c>
    </row>
    <row r="83" spans="1:10" hidden="1" x14ac:dyDescent="0.2">
      <c r="A83">
        <v>1315211920</v>
      </c>
      <c r="B83" t="s">
        <v>1217</v>
      </c>
      <c r="C83" t="s">
        <v>338</v>
      </c>
      <c r="D83">
        <v>16557</v>
      </c>
      <c r="E83">
        <v>17393.62</v>
      </c>
      <c r="I83">
        <v>17393.62</v>
      </c>
      <c r="J83">
        <f>VLOOKUP(A83,'תקציב מפורט 2025'!A:O,11,FALSE)-I83</f>
        <v>0</v>
      </c>
    </row>
    <row r="84" spans="1:10" hidden="1" x14ac:dyDescent="0.2">
      <c r="A84">
        <v>1315213920</v>
      </c>
      <c r="B84" t="s">
        <v>1218</v>
      </c>
      <c r="C84" t="s">
        <v>338</v>
      </c>
      <c r="D84">
        <v>182394</v>
      </c>
      <c r="E84">
        <v>179644.72</v>
      </c>
      <c r="I84">
        <v>179644.72</v>
      </c>
      <c r="J84">
        <f>VLOOKUP(A84,'תקציב מפורט 2025'!A:O,11,FALSE)-I84</f>
        <v>0</v>
      </c>
    </row>
    <row r="85" spans="1:10" hidden="1" x14ac:dyDescent="0.2">
      <c r="A85">
        <v>1315214920</v>
      </c>
      <c r="B85" t="s">
        <v>1219</v>
      </c>
      <c r="C85" t="s">
        <v>338</v>
      </c>
      <c r="D85">
        <v>269615</v>
      </c>
      <c r="E85">
        <v>298052.77</v>
      </c>
      <c r="I85">
        <v>298052.77</v>
      </c>
      <c r="J85">
        <f>VLOOKUP(A85,'תקציב מפורט 2025'!A:O,11,FALSE)-I85</f>
        <v>0</v>
      </c>
    </row>
    <row r="86" spans="1:10" hidden="1" x14ac:dyDescent="0.2">
      <c r="A86">
        <v>1315216920</v>
      </c>
      <c r="B86" t="s">
        <v>1220</v>
      </c>
      <c r="C86" t="s">
        <v>338</v>
      </c>
      <c r="D86">
        <v>9857</v>
      </c>
      <c r="E86">
        <v>0</v>
      </c>
      <c r="I86">
        <v>0</v>
      </c>
      <c r="J86">
        <f>VLOOKUP(A86,'תקציב מפורט 2025'!A:O,11,FALSE)-I86</f>
        <v>0</v>
      </c>
    </row>
    <row r="87" spans="1:10" hidden="1" x14ac:dyDescent="0.2">
      <c r="A87">
        <v>1315218920</v>
      </c>
      <c r="B87" t="s">
        <v>707</v>
      </c>
      <c r="C87" t="s">
        <v>338</v>
      </c>
      <c r="D87">
        <v>282053</v>
      </c>
      <c r="E87">
        <v>311977.7</v>
      </c>
      <c r="I87">
        <v>311977.7</v>
      </c>
      <c r="J87">
        <f>VLOOKUP(A87,'תקציב מפורט 2025'!A:O,11,FALSE)-I87</f>
        <v>0</v>
      </c>
    </row>
    <row r="88" spans="1:10" hidden="1" x14ac:dyDescent="0.2">
      <c r="A88">
        <v>1315219920</v>
      </c>
      <c r="B88" t="s">
        <v>712</v>
      </c>
      <c r="C88" t="s">
        <v>338</v>
      </c>
      <c r="D88">
        <v>12643</v>
      </c>
      <c r="E88">
        <v>15394.51</v>
      </c>
      <c r="I88">
        <v>15394.51</v>
      </c>
      <c r="J88">
        <f>VLOOKUP(A88,'תקציב מפורט 2025'!A:O,11,FALSE)-I88</f>
        <v>0</v>
      </c>
    </row>
    <row r="89" spans="1:10" hidden="1" x14ac:dyDescent="0.2">
      <c r="A89">
        <v>1315220920</v>
      </c>
      <c r="B89" t="s">
        <v>1221</v>
      </c>
      <c r="C89" t="s">
        <v>338</v>
      </c>
      <c r="D89">
        <v>1547440</v>
      </c>
      <c r="E89">
        <v>1460023.23</v>
      </c>
      <c r="I89">
        <v>1460023.23</v>
      </c>
      <c r="J89">
        <f>VLOOKUP(A89,'תקציב מפורט 2025'!A:O,11,FALSE)-I89</f>
        <v>0</v>
      </c>
    </row>
    <row r="90" spans="1:10" hidden="1" x14ac:dyDescent="0.2">
      <c r="A90">
        <v>1315221920</v>
      </c>
      <c r="B90" t="s">
        <v>1005</v>
      </c>
      <c r="C90" t="s">
        <v>338</v>
      </c>
      <c r="D90">
        <v>7793</v>
      </c>
      <c r="E90">
        <v>14751.4</v>
      </c>
      <c r="I90">
        <v>14751.4</v>
      </c>
      <c r="J90">
        <f>VLOOKUP(A90,'תקציב מפורט 2025'!A:O,11,FALSE)-I90</f>
        <v>0</v>
      </c>
    </row>
    <row r="91" spans="1:10" hidden="1" x14ac:dyDescent="0.2">
      <c r="A91">
        <v>1315222920</v>
      </c>
      <c r="B91" t="s">
        <v>1222</v>
      </c>
      <c r="C91" t="s">
        <v>338</v>
      </c>
      <c r="D91">
        <v>169211</v>
      </c>
      <c r="E91">
        <v>158655.93</v>
      </c>
      <c r="I91">
        <v>158655.93</v>
      </c>
      <c r="J91">
        <f>VLOOKUP(A91,'תקציב מפורט 2025'!A:O,11,FALSE)-I91</f>
        <v>0</v>
      </c>
    </row>
    <row r="92" spans="1:10" hidden="1" x14ac:dyDescent="0.2">
      <c r="A92">
        <v>1315223920</v>
      </c>
      <c r="B92" t="s">
        <v>1223</v>
      </c>
      <c r="C92" t="s">
        <v>338</v>
      </c>
      <c r="D92">
        <v>636853</v>
      </c>
      <c r="E92">
        <v>706354.65</v>
      </c>
      <c r="I92">
        <v>706354.65</v>
      </c>
      <c r="J92">
        <f>VLOOKUP(A92,'תקציב מפורט 2025'!A:O,11,FALSE)-I92</f>
        <v>0</v>
      </c>
    </row>
    <row r="93" spans="1:10" hidden="1" x14ac:dyDescent="0.2">
      <c r="A93">
        <v>1315224920</v>
      </c>
      <c r="B93" t="s">
        <v>1224</v>
      </c>
      <c r="C93" t="s">
        <v>338</v>
      </c>
      <c r="D93">
        <v>108743</v>
      </c>
      <c r="E93">
        <v>123108.93</v>
      </c>
      <c r="I93">
        <v>123108.93</v>
      </c>
      <c r="J93">
        <f>VLOOKUP(A93,'תקציב מפורט 2025'!A:O,11,FALSE)-I93</f>
        <v>0</v>
      </c>
    </row>
    <row r="94" spans="1:10" hidden="1" x14ac:dyDescent="0.2">
      <c r="A94">
        <v>1315225920</v>
      </c>
      <c r="B94" t="s">
        <v>714</v>
      </c>
      <c r="C94" t="s">
        <v>338</v>
      </c>
      <c r="D94">
        <v>44823</v>
      </c>
      <c r="E94">
        <v>49855.39</v>
      </c>
      <c r="I94">
        <v>49855.39</v>
      </c>
      <c r="J94">
        <f>VLOOKUP(A94,'תקציב מפורט 2025'!A:O,11,FALSE)-I94</f>
        <v>0</v>
      </c>
    </row>
    <row r="95" spans="1:10" hidden="1" x14ac:dyDescent="0.2">
      <c r="A95">
        <v>1315226920</v>
      </c>
      <c r="B95" t="s">
        <v>1940</v>
      </c>
      <c r="C95" t="s">
        <v>336</v>
      </c>
      <c r="D95">
        <v>117171</v>
      </c>
      <c r="E95">
        <v>0</v>
      </c>
      <c r="I95">
        <v>0</v>
      </c>
      <c r="J95">
        <f>VLOOKUP(A95,'תקציב מפורט 2025'!A:O,11,FALSE)-I95</f>
        <v>0</v>
      </c>
    </row>
    <row r="96" spans="1:10" hidden="1" x14ac:dyDescent="0.2">
      <c r="A96">
        <v>1315228920</v>
      </c>
      <c r="B96" t="s">
        <v>1225</v>
      </c>
      <c r="C96" t="s">
        <v>338</v>
      </c>
      <c r="D96">
        <v>342603</v>
      </c>
      <c r="E96">
        <v>365417.28</v>
      </c>
      <c r="I96">
        <v>365417.28</v>
      </c>
      <c r="J96">
        <f>VLOOKUP(A96,'תקציב מפורט 2025'!A:O,11,FALSE)-I96</f>
        <v>0</v>
      </c>
    </row>
    <row r="97" spans="1:10" hidden="1" x14ac:dyDescent="0.2">
      <c r="A97">
        <v>1315229920</v>
      </c>
      <c r="B97" t="s">
        <v>1226</v>
      </c>
      <c r="C97" t="s">
        <v>338</v>
      </c>
      <c r="D97">
        <v>302867</v>
      </c>
      <c r="E97">
        <v>311639.87</v>
      </c>
      <c r="I97">
        <v>311639.87</v>
      </c>
      <c r="J97">
        <f>VLOOKUP(A97,'תקציב מפורט 2025'!A:O,11,FALSE)-I97</f>
        <v>0</v>
      </c>
    </row>
    <row r="98" spans="1:10" hidden="1" x14ac:dyDescent="0.2">
      <c r="A98">
        <v>1315230920</v>
      </c>
      <c r="B98" t="s">
        <v>1227</v>
      </c>
      <c r="C98" t="s">
        <v>338</v>
      </c>
      <c r="D98">
        <v>52351</v>
      </c>
      <c r="E98">
        <v>57310.39</v>
      </c>
      <c r="I98">
        <v>57310.39</v>
      </c>
      <c r="J98">
        <f>VLOOKUP(A98,'תקציב מפורט 2025'!A:O,11,FALSE)-I98</f>
        <v>0</v>
      </c>
    </row>
    <row r="99" spans="1:10" hidden="1" x14ac:dyDescent="0.2">
      <c r="A99">
        <v>1315230921</v>
      </c>
      <c r="B99" t="s">
        <v>1604</v>
      </c>
      <c r="C99" t="s">
        <v>338</v>
      </c>
      <c r="D99">
        <v>100000</v>
      </c>
      <c r="E99">
        <v>0</v>
      </c>
      <c r="I99">
        <v>0</v>
      </c>
      <c r="J99">
        <f>VLOOKUP(A99,'תקציב מפורט 2025'!A:O,11,FALSE)-I99</f>
        <v>90000</v>
      </c>
    </row>
    <row r="100" spans="1:10" hidden="1" x14ac:dyDescent="0.2">
      <c r="A100">
        <v>1315233920</v>
      </c>
      <c r="B100" t="s">
        <v>1228</v>
      </c>
      <c r="C100" t="s">
        <v>338</v>
      </c>
      <c r="D100">
        <v>2579066</v>
      </c>
      <c r="E100">
        <v>2927107.47</v>
      </c>
      <c r="I100">
        <v>2927107.47</v>
      </c>
      <c r="J100">
        <f>VLOOKUP(A100,'תקציב מפורט 2025'!A:O,11,FALSE)-I100</f>
        <v>0</v>
      </c>
    </row>
    <row r="101" spans="1:10" hidden="1" x14ac:dyDescent="0.2">
      <c r="A101">
        <v>1315326920</v>
      </c>
      <c r="B101" t="s">
        <v>1605</v>
      </c>
      <c r="C101" t="s">
        <v>338</v>
      </c>
      <c r="D101">
        <v>0</v>
      </c>
      <c r="E101">
        <v>-1022260.78</v>
      </c>
      <c r="I101">
        <v>-1022260.78</v>
      </c>
      <c r="J101">
        <f>VLOOKUP(A101,'תקציב מפורט 2025'!A:O,11,FALSE)-I101</f>
        <v>2047260.78</v>
      </c>
    </row>
    <row r="102" spans="1:10" hidden="1" x14ac:dyDescent="0.2">
      <c r="A102">
        <v>1315426920</v>
      </c>
      <c r="B102" t="s">
        <v>1606</v>
      </c>
      <c r="C102" t="s">
        <v>338</v>
      </c>
      <c r="D102">
        <v>51939</v>
      </c>
      <c r="E102">
        <v>87105.600000000006</v>
      </c>
      <c r="I102">
        <v>87105.600000000006</v>
      </c>
      <c r="J102">
        <f>VLOOKUP(A102,'תקציב מפורט 2025'!A:O,11,FALSE)-I102</f>
        <v>0</v>
      </c>
    </row>
    <row r="103" spans="1:10" hidden="1" x14ac:dyDescent="0.2">
      <c r="A103">
        <v>1315526920</v>
      </c>
      <c r="B103" t="s">
        <v>1607</v>
      </c>
      <c r="C103" t="s">
        <v>338</v>
      </c>
      <c r="D103">
        <v>111581</v>
      </c>
      <c r="E103">
        <v>178528</v>
      </c>
      <c r="I103">
        <v>178528</v>
      </c>
      <c r="J103">
        <f>VLOOKUP(A103,'תקציב מפורט 2025'!A:O,11,FALSE)-I103</f>
        <v>0</v>
      </c>
    </row>
    <row r="104" spans="1:10" hidden="1" x14ac:dyDescent="0.2">
      <c r="A104">
        <v>1315626920</v>
      </c>
      <c r="B104" t="s">
        <v>1608</v>
      </c>
      <c r="C104" t="s">
        <v>338</v>
      </c>
      <c r="D104">
        <v>0</v>
      </c>
      <c r="E104">
        <v>822594</v>
      </c>
      <c r="I104">
        <v>822594</v>
      </c>
      <c r="J104">
        <f>VLOOKUP(A104,'תקציב מפורט 2025'!A:O,11,FALSE)-I104</f>
        <v>0</v>
      </c>
    </row>
    <row r="105" spans="1:10" hidden="1" x14ac:dyDescent="0.2">
      <c r="A105">
        <v>1317100990</v>
      </c>
      <c r="B105" t="s">
        <v>1229</v>
      </c>
      <c r="C105" t="s">
        <v>340</v>
      </c>
      <c r="D105">
        <v>700000</v>
      </c>
      <c r="E105">
        <v>90027.59</v>
      </c>
      <c r="G105">
        <v>691262.91240000003</v>
      </c>
      <c r="H105" t="s">
        <v>2180</v>
      </c>
      <c r="I105">
        <v>781290.5024</v>
      </c>
      <c r="J105">
        <f>VLOOKUP(A105,'תקציב מפורט 2025'!A:O,11,FALSE)-I105</f>
        <v>0</v>
      </c>
    </row>
    <row r="106" spans="1:10" hidden="1" x14ac:dyDescent="0.2">
      <c r="A106">
        <v>1317301920</v>
      </c>
      <c r="B106" t="s">
        <v>1230</v>
      </c>
      <c r="C106" t="s">
        <v>338</v>
      </c>
      <c r="D106">
        <v>640205</v>
      </c>
      <c r="E106">
        <v>906236.71</v>
      </c>
      <c r="I106">
        <v>906236.71</v>
      </c>
      <c r="J106">
        <f>VLOOKUP(A106,'תקציב מפורט 2025'!A:O,11,FALSE)-I106</f>
        <v>0</v>
      </c>
    </row>
    <row r="107" spans="1:10" hidden="1" x14ac:dyDescent="0.2">
      <c r="A107">
        <v>1317302920</v>
      </c>
      <c r="B107" t="s">
        <v>1231</v>
      </c>
      <c r="C107" t="s">
        <v>338</v>
      </c>
      <c r="D107">
        <v>42277</v>
      </c>
      <c r="E107">
        <v>49665</v>
      </c>
      <c r="I107">
        <v>49665</v>
      </c>
      <c r="J107">
        <f>VLOOKUP(A107,'תקציב מפורט 2025'!A:O,11,FALSE)-I107</f>
        <v>0</v>
      </c>
    </row>
    <row r="108" spans="1:10" hidden="1" x14ac:dyDescent="0.2">
      <c r="A108">
        <v>1317603920</v>
      </c>
      <c r="B108" t="s">
        <v>1232</v>
      </c>
      <c r="C108" t="s">
        <v>338</v>
      </c>
      <c r="D108">
        <v>255237</v>
      </c>
      <c r="E108">
        <v>255237</v>
      </c>
      <c r="I108">
        <v>255237</v>
      </c>
      <c r="J108">
        <f>VLOOKUP(A108,'תקציב מפורט 2025'!A:O,11,FALSE)-I108</f>
        <v>0</v>
      </c>
    </row>
    <row r="109" spans="1:10" hidden="1" x14ac:dyDescent="0.2">
      <c r="A109">
        <v>1317610920</v>
      </c>
      <c r="B109" t="s">
        <v>1233</v>
      </c>
      <c r="C109" t="s">
        <v>338</v>
      </c>
      <c r="D109">
        <v>95874</v>
      </c>
      <c r="E109">
        <v>58002</v>
      </c>
      <c r="I109">
        <v>58002</v>
      </c>
      <c r="J109">
        <f>VLOOKUP(A109,'תקציב מפורט 2025'!A:O,11,FALSE)-I109</f>
        <v>0</v>
      </c>
    </row>
    <row r="110" spans="1:10" hidden="1" x14ac:dyDescent="0.2">
      <c r="A110">
        <v>1317620920</v>
      </c>
      <c r="B110" t="s">
        <v>1234</v>
      </c>
      <c r="C110" t="s">
        <v>338</v>
      </c>
      <c r="D110">
        <v>185828</v>
      </c>
      <c r="E110">
        <v>147919</v>
      </c>
      <c r="I110">
        <v>147919</v>
      </c>
      <c r="J110">
        <f>VLOOKUP(A110,'תקציב מפורט 2025'!A:O,11,FALSE)-I110</f>
        <v>0</v>
      </c>
    </row>
    <row r="111" spans="1:10" hidden="1" x14ac:dyDescent="0.2">
      <c r="A111">
        <v>1317700920</v>
      </c>
      <c r="B111" t="s">
        <v>1508</v>
      </c>
      <c r="C111" t="s">
        <v>338</v>
      </c>
      <c r="D111">
        <v>100000</v>
      </c>
      <c r="E111">
        <v>-255354</v>
      </c>
      <c r="I111">
        <v>-255354</v>
      </c>
      <c r="J111">
        <f>VLOOKUP(A111,'תקציב מפורט 2025'!A:O,11,FALSE)-I111</f>
        <v>255354</v>
      </c>
    </row>
    <row r="112" spans="1:10" hidden="1" x14ac:dyDescent="0.2">
      <c r="A112">
        <v>1317710920</v>
      </c>
      <c r="B112" t="s">
        <v>1235</v>
      </c>
      <c r="C112" t="s">
        <v>338</v>
      </c>
      <c r="D112">
        <v>322152</v>
      </c>
      <c r="E112">
        <v>334383.45</v>
      </c>
      <c r="I112">
        <v>334383.45</v>
      </c>
      <c r="J112">
        <f>VLOOKUP(A112,'תקציב מפורט 2025'!A:O,11,FALSE)-I112</f>
        <v>0</v>
      </c>
    </row>
    <row r="113" spans="1:10" hidden="1" x14ac:dyDescent="0.2">
      <c r="A113">
        <v>1317721920</v>
      </c>
      <c r="B113" t="s">
        <v>1236</v>
      </c>
      <c r="C113" t="s">
        <v>338</v>
      </c>
      <c r="D113">
        <v>55824</v>
      </c>
      <c r="E113">
        <v>58750.31</v>
      </c>
      <c r="I113">
        <v>58750.31</v>
      </c>
      <c r="J113">
        <f>VLOOKUP(A113,'תקציב מפורט 2025'!A:O,11,FALSE)-I113</f>
        <v>0</v>
      </c>
    </row>
    <row r="114" spans="1:10" hidden="1" x14ac:dyDescent="0.2">
      <c r="A114">
        <v>1317730920</v>
      </c>
      <c r="B114" t="s">
        <v>1609</v>
      </c>
      <c r="C114" t="s">
        <v>338</v>
      </c>
      <c r="D114">
        <v>42341</v>
      </c>
      <c r="E114">
        <v>50867.96</v>
      </c>
      <c r="I114">
        <v>50867.96</v>
      </c>
      <c r="J114">
        <f>VLOOKUP(A114,'תקציב מפורט 2025'!A:O,11,FALSE)-I114</f>
        <v>0</v>
      </c>
    </row>
    <row r="115" spans="1:10" hidden="1" x14ac:dyDescent="0.2">
      <c r="A115">
        <v>1317800920</v>
      </c>
      <c r="B115" t="s">
        <v>1237</v>
      </c>
      <c r="C115" t="s">
        <v>338</v>
      </c>
      <c r="D115">
        <v>158185</v>
      </c>
      <c r="E115">
        <v>130817.24</v>
      </c>
      <c r="I115">
        <v>130817.24</v>
      </c>
      <c r="J115">
        <f>VLOOKUP(A115,'תקציב מפורט 2025'!A:O,11,FALSE)-I115</f>
        <v>0</v>
      </c>
    </row>
    <row r="116" spans="1:10" hidden="1" x14ac:dyDescent="0.2">
      <c r="A116">
        <v>1317810920</v>
      </c>
      <c r="B116" t="s">
        <v>1238</v>
      </c>
      <c r="C116" t="s">
        <v>338</v>
      </c>
      <c r="D116">
        <v>1494822</v>
      </c>
      <c r="E116">
        <v>997307.35</v>
      </c>
      <c r="I116">
        <v>997307.35</v>
      </c>
      <c r="J116">
        <f>VLOOKUP(A116,'תקציב מפורט 2025'!A:O,11,FALSE)-I116</f>
        <v>0</v>
      </c>
    </row>
    <row r="117" spans="1:10" hidden="1" x14ac:dyDescent="0.2">
      <c r="A117">
        <v>1317820690</v>
      </c>
      <c r="B117" t="s">
        <v>1239</v>
      </c>
      <c r="C117" t="s">
        <v>343</v>
      </c>
      <c r="D117">
        <v>2500000</v>
      </c>
      <c r="E117">
        <v>2634319</v>
      </c>
      <c r="I117">
        <v>2634319</v>
      </c>
      <c r="J117">
        <f>VLOOKUP(A117,'תקציב מפורט 2025'!A:O,11,FALSE)-I117</f>
        <v>0</v>
      </c>
    </row>
    <row r="118" spans="1:10" hidden="1" x14ac:dyDescent="0.2">
      <c r="A118">
        <v>1317820920</v>
      </c>
      <c r="B118" t="s">
        <v>1240</v>
      </c>
      <c r="C118" t="s">
        <v>338</v>
      </c>
      <c r="D118">
        <v>1142592</v>
      </c>
      <c r="E118">
        <v>1465984.48</v>
      </c>
      <c r="I118">
        <v>1465984.48</v>
      </c>
      <c r="J118">
        <f>VLOOKUP(A118,'תקציב מפורט 2025'!A:O,11,FALSE)-I118</f>
        <v>0</v>
      </c>
    </row>
    <row r="119" spans="1:10" hidden="1" x14ac:dyDescent="0.2">
      <c r="A119">
        <v>1319000920</v>
      </c>
      <c r="B119" t="s">
        <v>1241</v>
      </c>
      <c r="C119" t="s">
        <v>338</v>
      </c>
      <c r="D119">
        <v>100000</v>
      </c>
      <c r="E119">
        <v>0</v>
      </c>
      <c r="I119">
        <v>0</v>
      </c>
      <c r="J119">
        <f>VLOOKUP(A119,'תקציב מפורט 2025'!A:O,11,FALSE)-I119</f>
        <v>0</v>
      </c>
    </row>
    <row r="120" spans="1:10" hidden="1" x14ac:dyDescent="0.2">
      <c r="A120">
        <v>1319101920</v>
      </c>
      <c r="B120" t="s">
        <v>1242</v>
      </c>
      <c r="C120" t="s">
        <v>338</v>
      </c>
      <c r="D120">
        <v>100000</v>
      </c>
      <c r="E120">
        <v>51845</v>
      </c>
      <c r="I120">
        <v>51845</v>
      </c>
      <c r="J120">
        <f>VLOOKUP(A120,'תקציב מפורט 2025'!A:O,11,FALSE)-I120</f>
        <v>0</v>
      </c>
    </row>
    <row r="121" spans="1:10" hidden="1" x14ac:dyDescent="0.2">
      <c r="A121">
        <v>1319102920</v>
      </c>
      <c r="B121" t="s">
        <v>1243</v>
      </c>
      <c r="C121" t="s">
        <v>338</v>
      </c>
      <c r="D121">
        <v>400000</v>
      </c>
      <c r="E121">
        <v>423394.89</v>
      </c>
      <c r="I121">
        <v>423394.89</v>
      </c>
      <c r="J121">
        <f>VLOOKUP(A121,'תקציב מפורט 2025'!A:O,11,FALSE)-I121</f>
        <v>0</v>
      </c>
    </row>
    <row r="122" spans="1:10" hidden="1" x14ac:dyDescent="0.2">
      <c r="A122">
        <v>1319103920</v>
      </c>
      <c r="B122" t="s">
        <v>1244</v>
      </c>
      <c r="C122" t="s">
        <v>338</v>
      </c>
      <c r="D122">
        <v>200000</v>
      </c>
      <c r="E122">
        <v>0</v>
      </c>
      <c r="I122">
        <v>0</v>
      </c>
      <c r="J122">
        <f>VLOOKUP(A122,'תקציב מפורט 2025'!A:O,11,FALSE)-I122</f>
        <v>0</v>
      </c>
    </row>
    <row r="123" spans="1:10" hidden="1" x14ac:dyDescent="0.2">
      <c r="A123">
        <v>1322300410</v>
      </c>
      <c r="B123" t="s">
        <v>1610</v>
      </c>
      <c r="C123" t="s">
        <v>338</v>
      </c>
      <c r="D123">
        <v>117000</v>
      </c>
      <c r="E123">
        <v>136500</v>
      </c>
      <c r="I123">
        <v>136500</v>
      </c>
      <c r="J123">
        <f>VLOOKUP(A123,'תקציב מפורט 2025'!A:O,11,FALSE)-I123</f>
        <v>0</v>
      </c>
    </row>
    <row r="124" spans="1:10" hidden="1" x14ac:dyDescent="0.2">
      <c r="A124">
        <v>1324000920</v>
      </c>
      <c r="B124" t="s">
        <v>1509</v>
      </c>
      <c r="C124" t="s">
        <v>340</v>
      </c>
      <c r="D124">
        <v>350000</v>
      </c>
      <c r="E124">
        <v>26407.5</v>
      </c>
      <c r="I124">
        <v>26407.5</v>
      </c>
      <c r="J124">
        <f>VLOOKUP(A124,'תקציב מפורט 2025'!A:O,11,FALSE)-I124</f>
        <v>163592.5</v>
      </c>
    </row>
    <row r="125" spans="1:10" hidden="1" x14ac:dyDescent="0.2">
      <c r="A125">
        <v>1328200750</v>
      </c>
      <c r="B125" t="s">
        <v>1436</v>
      </c>
      <c r="C125" t="s">
        <v>340</v>
      </c>
      <c r="D125">
        <v>0</v>
      </c>
      <c r="E125">
        <v>304928.58</v>
      </c>
      <c r="I125">
        <v>304928.58</v>
      </c>
      <c r="J125">
        <f>VLOOKUP(A125,'תקציב מפורט 2025'!A:O,11,FALSE)-I125</f>
        <v>0</v>
      </c>
    </row>
    <row r="126" spans="1:10" hidden="1" x14ac:dyDescent="0.2">
      <c r="A126">
        <v>1328300920</v>
      </c>
      <c r="B126" t="s">
        <v>1245</v>
      </c>
      <c r="C126" t="s">
        <v>340</v>
      </c>
      <c r="D126">
        <v>120000</v>
      </c>
      <c r="E126">
        <v>0</v>
      </c>
      <c r="I126">
        <v>0</v>
      </c>
      <c r="J126">
        <f>VLOOKUP(A126,'תקציב מפורט 2025'!A:O,11,FALSE)-I126</f>
        <v>0</v>
      </c>
    </row>
    <row r="127" spans="1:10" hidden="1" x14ac:dyDescent="0.2">
      <c r="A127">
        <v>1329200420</v>
      </c>
      <c r="B127" t="s">
        <v>1246</v>
      </c>
      <c r="C127" t="s">
        <v>336</v>
      </c>
      <c r="D127">
        <v>70000</v>
      </c>
      <c r="E127">
        <v>84963</v>
      </c>
      <c r="I127">
        <v>84963</v>
      </c>
      <c r="J127">
        <f>VLOOKUP(A127,'תקציב מפורט 2025'!A:O,11,FALSE)-I127</f>
        <v>0</v>
      </c>
    </row>
    <row r="128" spans="1:10" hidden="1" x14ac:dyDescent="0.2">
      <c r="A128">
        <v>1329200650</v>
      </c>
      <c r="B128" t="s">
        <v>1247</v>
      </c>
      <c r="C128" t="s">
        <v>336</v>
      </c>
      <c r="D128">
        <v>66000</v>
      </c>
      <c r="E128">
        <v>2600</v>
      </c>
      <c r="I128">
        <v>2600</v>
      </c>
      <c r="J128">
        <f>VLOOKUP(A128,'תקציב מפורט 2025'!A:O,11,FALSE)-I128</f>
        <v>0</v>
      </c>
    </row>
    <row r="129" spans="1:10" hidden="1" x14ac:dyDescent="0.2">
      <c r="A129">
        <v>1329200990</v>
      </c>
      <c r="B129" t="s">
        <v>1248</v>
      </c>
      <c r="C129" t="s">
        <v>340</v>
      </c>
      <c r="D129">
        <v>200000</v>
      </c>
      <c r="E129">
        <v>326178</v>
      </c>
      <c r="G129">
        <v>-144865</v>
      </c>
      <c r="H129" t="s">
        <v>2181</v>
      </c>
      <c r="I129">
        <v>181313</v>
      </c>
      <c r="J129">
        <f>VLOOKUP(A129,'תקציב מפורט 2025'!A:O,11,FALSE)-I129</f>
        <v>0</v>
      </c>
    </row>
    <row r="130" spans="1:10" x14ac:dyDescent="0.2">
      <c r="A130">
        <v>1322000990</v>
      </c>
      <c r="B130" t="s">
        <v>2182</v>
      </c>
      <c r="C130" t="s">
        <v>340</v>
      </c>
      <c r="G130">
        <v>144865</v>
      </c>
      <c r="H130" t="s">
        <v>2181</v>
      </c>
      <c r="I130" s="17">
        <v>144865</v>
      </c>
      <c r="J130">
        <f>VLOOKUP(A130,'תקציב מפורט 2025'!A:O,11,FALSE)-I130</f>
        <v>0</v>
      </c>
    </row>
    <row r="131" spans="1:10" hidden="1" x14ac:dyDescent="0.2">
      <c r="A131">
        <v>1329300990</v>
      </c>
      <c r="B131" t="s">
        <v>1604</v>
      </c>
      <c r="C131" t="s">
        <v>340</v>
      </c>
      <c r="D131">
        <v>100000</v>
      </c>
      <c r="E131">
        <v>0</v>
      </c>
      <c r="I131">
        <v>0</v>
      </c>
      <c r="J131">
        <f>VLOOKUP(A131,'תקציב מפורט 2025'!A:O,11,FALSE)-I131</f>
        <v>90000</v>
      </c>
    </row>
    <row r="132" spans="1:10" hidden="1" x14ac:dyDescent="0.2">
      <c r="A132">
        <v>1341000420</v>
      </c>
      <c r="B132" t="s">
        <v>1249</v>
      </c>
      <c r="C132" t="s">
        <v>335</v>
      </c>
      <c r="D132">
        <v>0</v>
      </c>
      <c r="E132">
        <v>5850</v>
      </c>
      <c r="I132">
        <v>5850</v>
      </c>
      <c r="J132">
        <f>VLOOKUP(A132,'תקציב מפורט 2025'!A:O,11,FALSE)-I132</f>
        <v>0</v>
      </c>
    </row>
    <row r="133" spans="1:10" hidden="1" x14ac:dyDescent="0.2">
      <c r="A133">
        <v>1341001930</v>
      </c>
      <c r="B133" t="s">
        <v>1250</v>
      </c>
      <c r="C133" t="s">
        <v>339</v>
      </c>
      <c r="D133">
        <v>2400000</v>
      </c>
      <c r="E133">
        <v>2019430</v>
      </c>
      <c r="I133">
        <v>2019430</v>
      </c>
      <c r="J133">
        <f>VLOOKUP(A133,'תקציב מפורט 2025'!A:O,11,FALSE)-I133</f>
        <v>0</v>
      </c>
    </row>
    <row r="134" spans="1:10" hidden="1" x14ac:dyDescent="0.2">
      <c r="A134">
        <v>1341002930</v>
      </c>
      <c r="B134" t="s">
        <v>1251</v>
      </c>
      <c r="C134" t="s">
        <v>339</v>
      </c>
      <c r="D134">
        <v>60000</v>
      </c>
      <c r="E134">
        <v>0</v>
      </c>
      <c r="I134">
        <v>0</v>
      </c>
      <c r="J134">
        <f>VLOOKUP(A134,'תקציב מפורט 2025'!A:O,11,FALSE)-I134</f>
        <v>0</v>
      </c>
    </row>
    <row r="135" spans="1:10" hidden="1" x14ac:dyDescent="0.2">
      <c r="A135">
        <v>1341004930</v>
      </c>
      <c r="B135" t="s">
        <v>1252</v>
      </c>
      <c r="C135" t="s">
        <v>339</v>
      </c>
      <c r="D135">
        <v>5000</v>
      </c>
      <c r="E135">
        <v>0</v>
      </c>
      <c r="I135">
        <v>0</v>
      </c>
      <c r="J135">
        <f>VLOOKUP(A135,'תקציב מפורט 2025'!A:O,11,FALSE)-I135</f>
        <v>0</v>
      </c>
    </row>
    <row r="136" spans="1:10" hidden="1" x14ac:dyDescent="0.2">
      <c r="A136">
        <v>1341100930</v>
      </c>
      <c r="B136" t="s">
        <v>1253</v>
      </c>
      <c r="C136" t="s">
        <v>339</v>
      </c>
      <c r="D136">
        <v>336000</v>
      </c>
      <c r="E136">
        <v>276174</v>
      </c>
      <c r="I136">
        <v>276174</v>
      </c>
      <c r="J136">
        <f>VLOOKUP(A136,'תקציב מפורט 2025'!A:O,11,FALSE)-I136</f>
        <v>0</v>
      </c>
    </row>
    <row r="137" spans="1:10" hidden="1" x14ac:dyDescent="0.2">
      <c r="A137">
        <v>1341105930</v>
      </c>
      <c r="B137" t="s">
        <v>1254</v>
      </c>
      <c r="C137" t="s">
        <v>339</v>
      </c>
      <c r="D137">
        <v>10000</v>
      </c>
      <c r="E137">
        <v>0</v>
      </c>
      <c r="I137">
        <v>0</v>
      </c>
      <c r="J137">
        <f>VLOOKUP(A137,'תקציב מפורט 2025'!A:O,11,FALSE)-I137</f>
        <v>0</v>
      </c>
    </row>
    <row r="138" spans="1:10" hidden="1" x14ac:dyDescent="0.2">
      <c r="A138">
        <v>1341200930</v>
      </c>
      <c r="B138" t="s">
        <v>1255</v>
      </c>
      <c r="C138" t="s">
        <v>339</v>
      </c>
      <c r="D138">
        <v>100000</v>
      </c>
      <c r="E138">
        <v>111473</v>
      </c>
      <c r="I138">
        <v>111473</v>
      </c>
      <c r="J138">
        <f>VLOOKUP(A138,'תקציב מפורט 2025'!A:O,11,FALSE)-I138</f>
        <v>0</v>
      </c>
    </row>
    <row r="139" spans="1:10" hidden="1" x14ac:dyDescent="0.2">
      <c r="A139">
        <v>1341206930</v>
      </c>
      <c r="B139" t="s">
        <v>1611</v>
      </c>
      <c r="C139" t="s">
        <v>339</v>
      </c>
      <c r="D139">
        <v>60000</v>
      </c>
      <c r="E139">
        <v>67476</v>
      </c>
      <c r="I139">
        <v>67476</v>
      </c>
      <c r="J139">
        <f>VLOOKUP(A139,'תקציב מפורט 2025'!A:O,11,FALSE)-I139</f>
        <v>0</v>
      </c>
    </row>
    <row r="140" spans="1:10" hidden="1" x14ac:dyDescent="0.2">
      <c r="A140">
        <v>1342100930</v>
      </c>
      <c r="B140" t="s">
        <v>1256</v>
      </c>
      <c r="C140" t="s">
        <v>339</v>
      </c>
      <c r="D140">
        <v>0</v>
      </c>
      <c r="E140">
        <v>0</v>
      </c>
      <c r="I140">
        <v>0</v>
      </c>
      <c r="J140" t="e">
        <f>VLOOKUP(A140,'תקציב מפורט 2025'!A:O,11,FALSE)-I140</f>
        <v>#N/A</v>
      </c>
    </row>
    <row r="141" spans="1:10" hidden="1" x14ac:dyDescent="0.2">
      <c r="A141">
        <v>1342101930</v>
      </c>
      <c r="B141" t="s">
        <v>1257</v>
      </c>
      <c r="C141" t="s">
        <v>339</v>
      </c>
      <c r="D141">
        <v>188000</v>
      </c>
      <c r="E141">
        <v>0</v>
      </c>
      <c r="I141">
        <v>0</v>
      </c>
      <c r="J141">
        <f>VLOOKUP(A141,'תקציב מפורט 2025'!A:O,11,FALSE)-I141</f>
        <v>0</v>
      </c>
    </row>
    <row r="142" spans="1:10" hidden="1" x14ac:dyDescent="0.2">
      <c r="A142">
        <v>1342102930</v>
      </c>
      <c r="B142" t="s">
        <v>1258</v>
      </c>
      <c r="C142" t="s">
        <v>339</v>
      </c>
      <c r="D142">
        <v>190000</v>
      </c>
      <c r="E142">
        <v>86308</v>
      </c>
      <c r="I142">
        <v>86308</v>
      </c>
      <c r="J142">
        <f>VLOOKUP(A142,'תקציב מפורט 2025'!A:O,11,FALSE)-I142</f>
        <v>0</v>
      </c>
    </row>
    <row r="143" spans="1:10" hidden="1" x14ac:dyDescent="0.2">
      <c r="A143">
        <v>1342202930</v>
      </c>
      <c r="B143" t="s">
        <v>1259</v>
      </c>
      <c r="C143" t="s">
        <v>339</v>
      </c>
      <c r="D143">
        <v>110000</v>
      </c>
      <c r="E143">
        <v>111059</v>
      </c>
      <c r="I143">
        <v>111059</v>
      </c>
      <c r="J143">
        <f>VLOOKUP(A143,'תקציב מפורט 2025'!A:O,11,FALSE)-I143</f>
        <v>0</v>
      </c>
    </row>
    <row r="144" spans="1:10" hidden="1" x14ac:dyDescent="0.2">
      <c r="A144">
        <v>1342208930</v>
      </c>
      <c r="B144" t="s">
        <v>1260</v>
      </c>
      <c r="C144" t="s">
        <v>339</v>
      </c>
      <c r="D144">
        <v>100000</v>
      </c>
      <c r="E144">
        <v>107563</v>
      </c>
      <c r="I144">
        <v>107563</v>
      </c>
      <c r="J144">
        <f>VLOOKUP(A144,'תקציב מפורט 2025'!A:O,11,FALSE)-I144</f>
        <v>0</v>
      </c>
    </row>
    <row r="145" spans="1:10" hidden="1" x14ac:dyDescent="0.2">
      <c r="A145">
        <v>1342231930</v>
      </c>
      <c r="B145" t="s">
        <v>1124</v>
      </c>
      <c r="C145" t="s">
        <v>339</v>
      </c>
      <c r="D145">
        <v>0</v>
      </c>
      <c r="E145">
        <v>161236</v>
      </c>
      <c r="I145">
        <v>161236</v>
      </c>
      <c r="J145">
        <f>VLOOKUP(A145,'תקציב מפורט 2025'!A:O,11,FALSE)-I145</f>
        <v>0</v>
      </c>
    </row>
    <row r="146" spans="1:10" x14ac:dyDescent="0.2">
      <c r="A146">
        <v>1342232930</v>
      </c>
      <c r="B146" t="s">
        <v>2183</v>
      </c>
      <c r="C146" t="s">
        <v>339</v>
      </c>
      <c r="D146">
        <v>0</v>
      </c>
      <c r="E146">
        <v>283581</v>
      </c>
      <c r="I146" s="17">
        <v>283581</v>
      </c>
      <c r="J146">
        <f>VLOOKUP(A146,'תקציב מפורט 2025'!A:O,11,FALSE)-I146</f>
        <v>0</v>
      </c>
    </row>
    <row r="147" spans="1:10" x14ac:dyDescent="0.2">
      <c r="A147">
        <v>1342233930</v>
      </c>
      <c r="B147" t="s">
        <v>2184</v>
      </c>
      <c r="C147" t="s">
        <v>339</v>
      </c>
      <c r="D147">
        <v>0</v>
      </c>
      <c r="E147">
        <v>3249366</v>
      </c>
      <c r="I147" s="17">
        <v>3249366</v>
      </c>
      <c r="J147">
        <f>VLOOKUP(A147,'תקציב מפורט 2025'!A:O,11,FALSE)-I147</f>
        <v>0</v>
      </c>
    </row>
    <row r="148" spans="1:10" hidden="1" x14ac:dyDescent="0.2">
      <c r="A148">
        <v>1342301930</v>
      </c>
      <c r="B148" t="s">
        <v>1941</v>
      </c>
      <c r="C148" t="s">
        <v>339</v>
      </c>
      <c r="D148">
        <v>0</v>
      </c>
      <c r="E148">
        <v>61532</v>
      </c>
      <c r="I148">
        <v>61532</v>
      </c>
      <c r="J148">
        <f>VLOOKUP(A148,'תקציב מפורט 2025'!A:O,11,FALSE)-I148</f>
        <v>0</v>
      </c>
    </row>
    <row r="149" spans="1:10" hidden="1" x14ac:dyDescent="0.2">
      <c r="A149">
        <v>1342401930</v>
      </c>
      <c r="B149" t="s">
        <v>1262</v>
      </c>
      <c r="C149" t="s">
        <v>339</v>
      </c>
      <c r="D149">
        <v>26000</v>
      </c>
      <c r="E149">
        <v>-12339</v>
      </c>
      <c r="I149">
        <v>-12339</v>
      </c>
      <c r="J149">
        <f>VLOOKUP(A149,'תקציב מפורט 2025'!A:O,11,FALSE)-I149</f>
        <v>12339</v>
      </c>
    </row>
    <row r="150" spans="1:10" hidden="1" x14ac:dyDescent="0.2">
      <c r="A150">
        <v>1342402930</v>
      </c>
      <c r="B150" t="s">
        <v>1125</v>
      </c>
      <c r="C150" t="s">
        <v>339</v>
      </c>
      <c r="D150">
        <v>100000</v>
      </c>
      <c r="E150">
        <v>112011</v>
      </c>
      <c r="I150">
        <v>112011</v>
      </c>
      <c r="J150">
        <f>VLOOKUP(A150,'תקציב מפורט 2025'!A:O,11,FALSE)-I150</f>
        <v>0</v>
      </c>
    </row>
    <row r="151" spans="1:10" hidden="1" x14ac:dyDescent="0.2">
      <c r="A151">
        <v>1342404930</v>
      </c>
      <c r="B151" t="s">
        <v>1263</v>
      </c>
      <c r="C151" t="s">
        <v>339</v>
      </c>
      <c r="D151">
        <v>0</v>
      </c>
      <c r="E151">
        <v>1088</v>
      </c>
      <c r="I151">
        <v>1088</v>
      </c>
      <c r="J151" t="e">
        <f>VLOOKUP(A151,'תקציב מפורט 2025'!A:O,11,FALSE)-I151</f>
        <v>#N/A</v>
      </c>
    </row>
    <row r="152" spans="1:10" hidden="1" x14ac:dyDescent="0.2">
      <c r="A152">
        <v>1342405930</v>
      </c>
      <c r="B152" t="s">
        <v>1264</v>
      </c>
      <c r="C152" t="s">
        <v>339</v>
      </c>
      <c r="D152">
        <v>18000</v>
      </c>
      <c r="E152">
        <v>0</v>
      </c>
      <c r="I152">
        <v>0</v>
      </c>
      <c r="J152">
        <f>VLOOKUP(A152,'תקציב מפורט 2025'!A:O,11,FALSE)-I152</f>
        <v>0</v>
      </c>
    </row>
    <row r="153" spans="1:10" hidden="1" x14ac:dyDescent="0.2">
      <c r="A153">
        <v>1343501930</v>
      </c>
      <c r="B153" t="s">
        <v>1265</v>
      </c>
      <c r="C153" t="s">
        <v>339</v>
      </c>
      <c r="D153">
        <v>74000</v>
      </c>
      <c r="E153">
        <v>0</v>
      </c>
      <c r="I153">
        <v>0</v>
      </c>
      <c r="J153">
        <f>VLOOKUP(A153,'תקציב מפורט 2025'!A:O,11,FALSE)-I153</f>
        <v>0</v>
      </c>
    </row>
    <row r="154" spans="1:10" hidden="1" x14ac:dyDescent="0.2">
      <c r="A154">
        <v>1343502930</v>
      </c>
      <c r="B154" t="s">
        <v>1266</v>
      </c>
      <c r="C154" t="s">
        <v>339</v>
      </c>
      <c r="D154">
        <v>433000</v>
      </c>
      <c r="E154">
        <v>463021</v>
      </c>
      <c r="I154">
        <v>463021</v>
      </c>
      <c r="J154">
        <f>VLOOKUP(A154,'תקציב מפורט 2025'!A:O,11,FALSE)-I154</f>
        <v>0</v>
      </c>
    </row>
    <row r="155" spans="1:10" hidden="1" x14ac:dyDescent="0.2">
      <c r="A155">
        <v>1343503930</v>
      </c>
      <c r="B155" t="s">
        <v>1267</v>
      </c>
      <c r="C155" t="s">
        <v>339</v>
      </c>
      <c r="D155">
        <v>450000</v>
      </c>
      <c r="E155">
        <v>0</v>
      </c>
      <c r="I155">
        <v>0</v>
      </c>
      <c r="J155">
        <f>VLOOKUP(A155,'תקציב מפורט 2025'!A:O,11,FALSE)-I155</f>
        <v>0</v>
      </c>
    </row>
    <row r="156" spans="1:10" hidden="1" x14ac:dyDescent="0.2">
      <c r="A156">
        <v>1343505930</v>
      </c>
      <c r="B156" t="s">
        <v>1268</v>
      </c>
      <c r="C156" t="s">
        <v>339</v>
      </c>
      <c r="D156">
        <v>70000</v>
      </c>
      <c r="E156">
        <v>144844</v>
      </c>
      <c r="I156">
        <v>144844</v>
      </c>
      <c r="J156">
        <f>VLOOKUP(A156,'תקציב מפורט 2025'!A:O,11,FALSE)-I156</f>
        <v>0</v>
      </c>
    </row>
    <row r="157" spans="1:10" hidden="1" x14ac:dyDescent="0.2">
      <c r="A157">
        <v>1343801930</v>
      </c>
      <c r="B157" t="s">
        <v>1128</v>
      </c>
      <c r="C157" t="s">
        <v>339</v>
      </c>
      <c r="D157">
        <v>4200000</v>
      </c>
      <c r="E157">
        <v>4756489</v>
      </c>
      <c r="I157">
        <v>4756489</v>
      </c>
      <c r="J157">
        <f>VLOOKUP(A157,'תקציב מפורט 2025'!A:O,11,FALSE)-I157</f>
        <v>0</v>
      </c>
    </row>
    <row r="158" spans="1:10" hidden="1" x14ac:dyDescent="0.2">
      <c r="A158">
        <v>1343901930</v>
      </c>
      <c r="B158" t="s">
        <v>1129</v>
      </c>
      <c r="C158" t="s">
        <v>339</v>
      </c>
      <c r="D158">
        <v>4800000</v>
      </c>
      <c r="E158">
        <v>5401892.7800000003</v>
      </c>
      <c r="G158">
        <v>-110087</v>
      </c>
      <c r="H158" t="s">
        <v>2185</v>
      </c>
      <c r="I158">
        <v>5291805.78</v>
      </c>
      <c r="J158">
        <f>VLOOKUP(A158,'תקציב מפורט 2025'!A:O,11,FALSE)-I158</f>
        <v>0</v>
      </c>
    </row>
    <row r="159" spans="1:10" x14ac:dyDescent="0.2">
      <c r="A159">
        <v>1319200920</v>
      </c>
      <c r="B159" t="s">
        <v>2186</v>
      </c>
      <c r="C159" t="s">
        <v>338</v>
      </c>
      <c r="G159">
        <v>110087</v>
      </c>
      <c r="H159" t="s">
        <v>2185</v>
      </c>
      <c r="I159" s="17">
        <v>110087</v>
      </c>
      <c r="J159">
        <f>VLOOKUP(A159,'תקציב מפורט 2025'!A:O,11,FALSE)-I159</f>
        <v>0</v>
      </c>
    </row>
    <row r="160" spans="1:10" hidden="1" x14ac:dyDescent="0.2">
      <c r="A160">
        <v>1343903930</v>
      </c>
      <c r="B160" t="s">
        <v>1942</v>
      </c>
      <c r="C160" t="s">
        <v>339</v>
      </c>
      <c r="D160">
        <v>0</v>
      </c>
      <c r="E160">
        <v>202840</v>
      </c>
      <c r="I160">
        <v>202840</v>
      </c>
      <c r="J160">
        <f>VLOOKUP(A160,'תקציב מפורט 2025'!A:O,11,FALSE)-I160</f>
        <v>0</v>
      </c>
    </row>
    <row r="161" spans="1:10" hidden="1" x14ac:dyDescent="0.2">
      <c r="A161">
        <v>1343904930</v>
      </c>
      <c r="B161" t="s">
        <v>1943</v>
      </c>
      <c r="C161" t="s">
        <v>339</v>
      </c>
      <c r="D161">
        <v>0</v>
      </c>
      <c r="E161">
        <v>5594</v>
      </c>
      <c r="I161">
        <v>5594</v>
      </c>
      <c r="J161">
        <f>VLOOKUP(A161,'תקציב מפורט 2025'!A:O,11,FALSE)-I161</f>
        <v>-5594</v>
      </c>
    </row>
    <row r="162" spans="1:10" hidden="1" x14ac:dyDescent="0.2">
      <c r="A162">
        <v>1344300930</v>
      </c>
      <c r="B162" t="s">
        <v>1270</v>
      </c>
      <c r="C162" t="s">
        <v>339</v>
      </c>
      <c r="D162">
        <v>95000</v>
      </c>
      <c r="E162">
        <v>96415</v>
      </c>
      <c r="I162">
        <v>96415</v>
      </c>
      <c r="J162">
        <f>VLOOKUP(A162,'תקציב מפורט 2025'!A:O,11,FALSE)-I162</f>
        <v>0</v>
      </c>
    </row>
    <row r="163" spans="1:10" hidden="1" x14ac:dyDescent="0.2">
      <c r="A163">
        <v>1344402420</v>
      </c>
      <c r="B163" t="s">
        <v>1271</v>
      </c>
      <c r="C163" t="s">
        <v>339</v>
      </c>
      <c r="D163">
        <v>0</v>
      </c>
      <c r="E163">
        <v>4100</v>
      </c>
      <c r="I163">
        <v>4100</v>
      </c>
      <c r="J163">
        <f>VLOOKUP(A163,'תקציב מפורט 2025'!A:O,11,FALSE)-I163</f>
        <v>-4100</v>
      </c>
    </row>
    <row r="164" spans="1:10" hidden="1" x14ac:dyDescent="0.2">
      <c r="A164">
        <v>1344402930</v>
      </c>
      <c r="B164" t="s">
        <v>1271</v>
      </c>
      <c r="C164" t="s">
        <v>339</v>
      </c>
      <c r="D164">
        <v>190000</v>
      </c>
      <c r="E164">
        <v>209501</v>
      </c>
      <c r="I164">
        <v>209501</v>
      </c>
      <c r="J164">
        <f>VLOOKUP(A164,'תקציב מפורט 2025'!A:O,11,FALSE)-I164</f>
        <v>0</v>
      </c>
    </row>
    <row r="165" spans="1:10" hidden="1" x14ac:dyDescent="0.2">
      <c r="A165">
        <v>1344403930</v>
      </c>
      <c r="B165" t="s">
        <v>1272</v>
      </c>
      <c r="C165" t="s">
        <v>339</v>
      </c>
      <c r="D165">
        <v>17000</v>
      </c>
      <c r="E165">
        <v>0</v>
      </c>
      <c r="I165">
        <v>0</v>
      </c>
      <c r="J165">
        <f>VLOOKUP(A165,'תקציב מפורט 2025'!A:O,11,FALSE)-I165</f>
        <v>0</v>
      </c>
    </row>
    <row r="166" spans="1:10" hidden="1" x14ac:dyDescent="0.2">
      <c r="A166">
        <v>1345101930</v>
      </c>
      <c r="B166" t="s">
        <v>1273</v>
      </c>
      <c r="C166" t="s">
        <v>339</v>
      </c>
      <c r="D166">
        <v>5250000</v>
      </c>
      <c r="E166">
        <v>5184780</v>
      </c>
      <c r="I166">
        <v>5184780</v>
      </c>
      <c r="J166">
        <f>VLOOKUP(A166,'תקציב מפורט 2025'!A:O,11,FALSE)-I166</f>
        <v>0</v>
      </c>
    </row>
    <row r="167" spans="1:10" hidden="1" x14ac:dyDescent="0.2">
      <c r="A167">
        <v>1345102930</v>
      </c>
      <c r="B167" t="s">
        <v>1274</v>
      </c>
      <c r="C167" t="s">
        <v>339</v>
      </c>
      <c r="D167">
        <v>10000</v>
      </c>
      <c r="E167">
        <v>10978</v>
      </c>
      <c r="I167">
        <v>10978</v>
      </c>
      <c r="J167">
        <f>VLOOKUP(A167,'תקציב מפורט 2025'!A:O,11,FALSE)-I167</f>
        <v>0</v>
      </c>
    </row>
    <row r="168" spans="1:10" hidden="1" x14ac:dyDescent="0.2">
      <c r="A168">
        <v>1345201930</v>
      </c>
      <c r="B168" t="s">
        <v>1275</v>
      </c>
      <c r="C168" t="s">
        <v>339</v>
      </c>
      <c r="D168">
        <v>4150000</v>
      </c>
      <c r="E168">
        <v>6030999</v>
      </c>
      <c r="I168">
        <v>6030999</v>
      </c>
      <c r="J168">
        <f>VLOOKUP(A168,'תקציב מפורט 2025'!A:O,11,FALSE)-I168</f>
        <v>0</v>
      </c>
    </row>
    <row r="169" spans="1:10" hidden="1" x14ac:dyDescent="0.2">
      <c r="A169">
        <v>1345202930</v>
      </c>
      <c r="B169" t="s">
        <v>1276</v>
      </c>
      <c r="C169" t="s">
        <v>339</v>
      </c>
      <c r="D169">
        <v>60000</v>
      </c>
      <c r="E169">
        <v>40245</v>
      </c>
      <c r="I169">
        <v>40245</v>
      </c>
      <c r="J169">
        <f>VLOOKUP(A169,'תקציב מפורט 2025'!A:O,11,FALSE)-I169</f>
        <v>0</v>
      </c>
    </row>
    <row r="170" spans="1:10" hidden="1" x14ac:dyDescent="0.2">
      <c r="A170">
        <v>1345203930</v>
      </c>
      <c r="B170" t="s">
        <v>1137</v>
      </c>
      <c r="C170" t="s">
        <v>339</v>
      </c>
      <c r="D170">
        <v>450000</v>
      </c>
      <c r="E170">
        <v>450089</v>
      </c>
      <c r="I170">
        <v>450089</v>
      </c>
      <c r="J170">
        <f>VLOOKUP(A170,'תקציב מפורט 2025'!A:O,11,FALSE)-I170</f>
        <v>0</v>
      </c>
    </row>
    <row r="171" spans="1:10" hidden="1" x14ac:dyDescent="0.2">
      <c r="A171">
        <v>1345301930</v>
      </c>
      <c r="B171" t="s">
        <v>1277</v>
      </c>
      <c r="C171" t="s">
        <v>339</v>
      </c>
      <c r="D171">
        <v>10000</v>
      </c>
      <c r="E171">
        <v>0</v>
      </c>
      <c r="I171">
        <v>0</v>
      </c>
      <c r="J171">
        <f>VLOOKUP(A171,'תקציב מפורט 2025'!A:O,11,FALSE)-I171</f>
        <v>0</v>
      </c>
    </row>
    <row r="172" spans="1:10" hidden="1" x14ac:dyDescent="0.2">
      <c r="A172">
        <v>1345302420</v>
      </c>
      <c r="B172" t="s">
        <v>1278</v>
      </c>
      <c r="C172" t="s">
        <v>335</v>
      </c>
      <c r="D172">
        <v>0</v>
      </c>
      <c r="E172">
        <v>9962</v>
      </c>
      <c r="I172">
        <v>9962</v>
      </c>
      <c r="J172">
        <f>VLOOKUP(A172,'תקציב מפורט 2025'!A:O,11,FALSE)-I172</f>
        <v>0</v>
      </c>
    </row>
    <row r="173" spans="1:10" hidden="1" x14ac:dyDescent="0.2">
      <c r="A173">
        <v>1345302930</v>
      </c>
      <c r="B173" t="s">
        <v>1278</v>
      </c>
      <c r="C173" t="s">
        <v>339</v>
      </c>
      <c r="D173">
        <v>10000</v>
      </c>
      <c r="E173">
        <v>0</v>
      </c>
      <c r="I173">
        <v>0</v>
      </c>
      <c r="J173">
        <f>VLOOKUP(A173,'תקציב מפורט 2025'!A:O,11,FALSE)-I173</f>
        <v>0</v>
      </c>
    </row>
    <row r="174" spans="1:10" hidden="1" x14ac:dyDescent="0.2">
      <c r="A174">
        <v>1345303930</v>
      </c>
      <c r="B174" t="s">
        <v>1279</v>
      </c>
      <c r="C174" t="s">
        <v>339</v>
      </c>
      <c r="D174">
        <v>0</v>
      </c>
      <c r="E174">
        <v>0</v>
      </c>
      <c r="I174">
        <v>0</v>
      </c>
      <c r="J174">
        <f>VLOOKUP(A174,'תקציב מפורט 2025'!A:O,11,FALSE)-I174</f>
        <v>0</v>
      </c>
    </row>
    <row r="175" spans="1:10" hidden="1" x14ac:dyDescent="0.2">
      <c r="A175">
        <v>1345401840</v>
      </c>
      <c r="B175" t="s">
        <v>1612</v>
      </c>
      <c r="C175" t="s">
        <v>339</v>
      </c>
      <c r="D175">
        <v>240000</v>
      </c>
      <c r="E175">
        <v>352366</v>
      </c>
      <c r="I175">
        <v>352366</v>
      </c>
      <c r="J175">
        <f>VLOOKUP(A175,'תקציב מפורט 2025'!A:O,11,FALSE)-I175</f>
        <v>0</v>
      </c>
    </row>
    <row r="176" spans="1:10" hidden="1" x14ac:dyDescent="0.2">
      <c r="A176">
        <v>1345902930</v>
      </c>
      <c r="B176" t="s">
        <v>1613</v>
      </c>
      <c r="C176" t="s">
        <v>339</v>
      </c>
      <c r="D176">
        <v>6000</v>
      </c>
      <c r="E176">
        <v>0</v>
      </c>
      <c r="I176">
        <v>0</v>
      </c>
      <c r="J176">
        <f>VLOOKUP(A176,'תקציב מפורט 2025'!A:O,11,FALSE)-I176</f>
        <v>0</v>
      </c>
    </row>
    <row r="177" spans="1:10" hidden="1" x14ac:dyDescent="0.2">
      <c r="A177">
        <v>1346302930</v>
      </c>
      <c r="B177" t="s">
        <v>1138</v>
      </c>
      <c r="C177" t="s">
        <v>339</v>
      </c>
      <c r="D177">
        <v>0</v>
      </c>
      <c r="E177">
        <v>45269</v>
      </c>
      <c r="I177">
        <v>45269</v>
      </c>
      <c r="J177">
        <f>VLOOKUP(A177,'תקציב מפורט 2025'!A:O,11,FALSE)-I177</f>
        <v>0</v>
      </c>
    </row>
    <row r="178" spans="1:10" hidden="1" x14ac:dyDescent="0.2">
      <c r="A178">
        <v>1346401930</v>
      </c>
      <c r="B178" t="s">
        <v>1280</v>
      </c>
      <c r="C178" t="s">
        <v>339</v>
      </c>
      <c r="D178">
        <v>10000</v>
      </c>
      <c r="E178">
        <v>0</v>
      </c>
      <c r="I178">
        <v>0</v>
      </c>
      <c r="J178">
        <f>VLOOKUP(A178,'תקציב מפורט 2025'!A:O,11,FALSE)-I178</f>
        <v>0</v>
      </c>
    </row>
    <row r="179" spans="1:10" hidden="1" x14ac:dyDescent="0.2">
      <c r="A179">
        <v>1346500930</v>
      </c>
      <c r="B179" t="s">
        <v>1139</v>
      </c>
      <c r="C179" t="s">
        <v>339</v>
      </c>
      <c r="D179">
        <v>600000</v>
      </c>
      <c r="E179">
        <v>859513</v>
      </c>
      <c r="I179">
        <v>859513</v>
      </c>
      <c r="J179">
        <f>VLOOKUP(A179,'תקציב מפורט 2025'!A:O,11,FALSE)-I179</f>
        <v>0</v>
      </c>
    </row>
    <row r="180" spans="1:10" hidden="1" x14ac:dyDescent="0.2">
      <c r="A180">
        <v>1346601930</v>
      </c>
      <c r="B180" t="s">
        <v>1140</v>
      </c>
      <c r="C180" t="s">
        <v>339</v>
      </c>
      <c r="D180">
        <v>260000</v>
      </c>
      <c r="E180">
        <v>291299</v>
      </c>
      <c r="I180">
        <v>291299</v>
      </c>
      <c r="J180">
        <f>VLOOKUP(A180,'תקציב מפורט 2025'!A:O,11,FALSE)-I180</f>
        <v>0</v>
      </c>
    </row>
    <row r="181" spans="1:10" hidden="1" x14ac:dyDescent="0.2">
      <c r="A181">
        <v>1346603930</v>
      </c>
      <c r="B181" t="s">
        <v>1281</v>
      </c>
      <c r="C181" t="s">
        <v>339</v>
      </c>
      <c r="D181">
        <v>40000</v>
      </c>
      <c r="E181">
        <v>0</v>
      </c>
      <c r="I181">
        <v>0</v>
      </c>
      <c r="J181">
        <f>VLOOKUP(A181,'תקציב מפורט 2025'!A:O,11,FALSE)-I181</f>
        <v>0</v>
      </c>
    </row>
    <row r="182" spans="1:10" hidden="1" x14ac:dyDescent="0.2">
      <c r="A182">
        <v>1346604930</v>
      </c>
      <c r="B182" t="s">
        <v>1944</v>
      </c>
      <c r="C182" t="s">
        <v>339</v>
      </c>
      <c r="D182">
        <v>0</v>
      </c>
      <c r="E182">
        <v>196558</v>
      </c>
      <c r="I182">
        <v>196558</v>
      </c>
      <c r="J182">
        <f>VLOOKUP(A182,'תקציב מפורט 2025'!A:O,11,FALSE)-I182</f>
        <v>0</v>
      </c>
    </row>
    <row r="183" spans="1:10" hidden="1" x14ac:dyDescent="0.2">
      <c r="A183">
        <v>1346701930</v>
      </c>
      <c r="B183" t="s">
        <v>1141</v>
      </c>
      <c r="C183" t="s">
        <v>339</v>
      </c>
      <c r="D183">
        <v>1000000</v>
      </c>
      <c r="E183">
        <v>1073484</v>
      </c>
      <c r="I183">
        <v>1073484</v>
      </c>
      <c r="J183">
        <f>VLOOKUP(A183,'תקציב מפורט 2025'!A:O,11,FALSE)-I183</f>
        <v>0</v>
      </c>
    </row>
    <row r="184" spans="1:10" hidden="1" x14ac:dyDescent="0.2">
      <c r="A184">
        <v>1346702930</v>
      </c>
      <c r="B184" t="s">
        <v>1510</v>
      </c>
      <c r="C184" t="s">
        <v>339</v>
      </c>
      <c r="D184">
        <v>0</v>
      </c>
      <c r="E184">
        <v>36347</v>
      </c>
      <c r="I184">
        <v>36347</v>
      </c>
      <c r="J184">
        <f>VLOOKUP(A184,'תקציב מפורט 2025'!A:O,11,FALSE)-I184</f>
        <v>0</v>
      </c>
    </row>
    <row r="185" spans="1:10" hidden="1" x14ac:dyDescent="0.2">
      <c r="A185">
        <v>1346703930</v>
      </c>
      <c r="B185" t="s">
        <v>1142</v>
      </c>
      <c r="C185" t="s">
        <v>339</v>
      </c>
      <c r="D185">
        <v>600000</v>
      </c>
      <c r="E185">
        <v>500752</v>
      </c>
      <c r="I185">
        <v>500752</v>
      </c>
      <c r="J185">
        <f>VLOOKUP(A185,'תקציב מפורט 2025'!A:O,11,FALSE)-I185</f>
        <v>0</v>
      </c>
    </row>
    <row r="186" spans="1:10" hidden="1" x14ac:dyDescent="0.2">
      <c r="A186">
        <v>1346704930</v>
      </c>
      <c r="B186" t="s">
        <v>1143</v>
      </c>
      <c r="C186" t="s">
        <v>339</v>
      </c>
      <c r="D186">
        <v>150000</v>
      </c>
      <c r="E186">
        <v>102609</v>
      </c>
      <c r="I186">
        <v>102609</v>
      </c>
      <c r="J186">
        <f>VLOOKUP(A186,'תקציב מפורט 2025'!A:O,11,FALSE)-I186</f>
        <v>0</v>
      </c>
    </row>
    <row r="187" spans="1:10" hidden="1" x14ac:dyDescent="0.2">
      <c r="A187">
        <v>1346705930</v>
      </c>
      <c r="B187" t="s">
        <v>1144</v>
      </c>
      <c r="C187" t="s">
        <v>339</v>
      </c>
      <c r="D187">
        <v>50000</v>
      </c>
      <c r="E187">
        <v>204579</v>
      </c>
      <c r="I187">
        <v>204579</v>
      </c>
      <c r="J187">
        <f>VLOOKUP(A187,'תקציב מפורט 2025'!A:O,11,FALSE)-I187</f>
        <v>0</v>
      </c>
    </row>
    <row r="188" spans="1:10" hidden="1" x14ac:dyDescent="0.2">
      <c r="A188">
        <v>1346801930</v>
      </c>
      <c r="B188" t="s">
        <v>1282</v>
      </c>
      <c r="C188" t="s">
        <v>339</v>
      </c>
      <c r="D188">
        <v>200000</v>
      </c>
      <c r="E188">
        <v>354739</v>
      </c>
      <c r="I188">
        <v>354739</v>
      </c>
      <c r="J188">
        <f>VLOOKUP(A188,'תקציב מפורט 2025'!A:O,11,FALSE)-I188</f>
        <v>0</v>
      </c>
    </row>
    <row r="189" spans="1:10" hidden="1" x14ac:dyDescent="0.2">
      <c r="A189">
        <v>1347101930</v>
      </c>
      <c r="B189" t="s">
        <v>1283</v>
      </c>
      <c r="C189" t="s">
        <v>339</v>
      </c>
      <c r="D189">
        <v>20000</v>
      </c>
      <c r="E189">
        <v>0</v>
      </c>
      <c r="I189">
        <v>0</v>
      </c>
      <c r="J189">
        <f>VLOOKUP(A189,'תקציב מפורט 2025'!A:O,11,FALSE)-I189</f>
        <v>0</v>
      </c>
    </row>
    <row r="190" spans="1:10" hidden="1" x14ac:dyDescent="0.2">
      <c r="A190">
        <v>1347102930</v>
      </c>
      <c r="B190" t="s">
        <v>1284</v>
      </c>
      <c r="C190" t="s">
        <v>339</v>
      </c>
      <c r="D190">
        <v>38000</v>
      </c>
      <c r="E190">
        <v>0</v>
      </c>
      <c r="I190">
        <v>0</v>
      </c>
      <c r="J190">
        <f>VLOOKUP(A190,'תקציב מפורט 2025'!A:O,11,FALSE)-I190</f>
        <v>0</v>
      </c>
    </row>
    <row r="191" spans="1:10" hidden="1" x14ac:dyDescent="0.2">
      <c r="A191">
        <v>1347103930</v>
      </c>
      <c r="B191" t="s">
        <v>1285</v>
      </c>
      <c r="C191" t="s">
        <v>339</v>
      </c>
      <c r="D191">
        <v>180000</v>
      </c>
      <c r="E191">
        <v>0</v>
      </c>
      <c r="I191">
        <v>0</v>
      </c>
      <c r="J191">
        <f>VLOOKUP(A191,'תקציב מפורט 2025'!A:O,11,FALSE)-I191</f>
        <v>0</v>
      </c>
    </row>
    <row r="192" spans="1:10" hidden="1" x14ac:dyDescent="0.2">
      <c r="A192">
        <v>1347104930</v>
      </c>
      <c r="B192" t="s">
        <v>1257</v>
      </c>
      <c r="C192" t="s">
        <v>339</v>
      </c>
      <c r="D192">
        <v>25000</v>
      </c>
      <c r="E192">
        <v>243866</v>
      </c>
      <c r="I192">
        <v>243866</v>
      </c>
      <c r="J192">
        <f>VLOOKUP(A192,'תקציב מפורט 2025'!A:O,11,FALSE)-I192</f>
        <v>0</v>
      </c>
    </row>
    <row r="193" spans="1:10" hidden="1" x14ac:dyDescent="0.2">
      <c r="A193">
        <v>1347201930</v>
      </c>
      <c r="B193" t="s">
        <v>1286</v>
      </c>
      <c r="C193" t="s">
        <v>339</v>
      </c>
      <c r="D193">
        <v>150000</v>
      </c>
      <c r="E193">
        <v>0</v>
      </c>
      <c r="I193">
        <v>0</v>
      </c>
      <c r="J193">
        <f>VLOOKUP(A193,'תקציב מפורט 2025'!A:O,11,FALSE)-I193</f>
        <v>0</v>
      </c>
    </row>
    <row r="194" spans="1:10" hidden="1" x14ac:dyDescent="0.2">
      <c r="A194">
        <v>1347202930</v>
      </c>
      <c r="B194" t="s">
        <v>1287</v>
      </c>
      <c r="C194" t="s">
        <v>339</v>
      </c>
      <c r="D194">
        <v>75000</v>
      </c>
      <c r="E194">
        <v>0</v>
      </c>
      <c r="I194">
        <v>0</v>
      </c>
      <c r="J194">
        <f>VLOOKUP(A194,'תקציב מפורט 2025'!A:O,11,FALSE)-I194</f>
        <v>0</v>
      </c>
    </row>
    <row r="195" spans="1:10" hidden="1" x14ac:dyDescent="0.2">
      <c r="A195">
        <v>1347220930</v>
      </c>
      <c r="B195" t="s">
        <v>1288</v>
      </c>
      <c r="C195" t="s">
        <v>339</v>
      </c>
      <c r="D195">
        <v>430000</v>
      </c>
      <c r="E195">
        <v>428049</v>
      </c>
      <c r="I195">
        <v>428049</v>
      </c>
      <c r="J195">
        <f>VLOOKUP(A195,'תקציב מפורט 2025'!A:O,11,FALSE)-I195</f>
        <v>0</v>
      </c>
    </row>
    <row r="196" spans="1:10" hidden="1" x14ac:dyDescent="0.2">
      <c r="A196">
        <v>1347301930</v>
      </c>
      <c r="B196" t="s">
        <v>1289</v>
      </c>
      <c r="C196" t="s">
        <v>339</v>
      </c>
      <c r="D196">
        <v>70000</v>
      </c>
      <c r="E196">
        <v>141539</v>
      </c>
      <c r="I196">
        <v>141539</v>
      </c>
      <c r="J196">
        <f>VLOOKUP(A196,'תקציב מפורט 2025'!A:O,11,FALSE)-I196</f>
        <v>0</v>
      </c>
    </row>
    <row r="197" spans="1:10" hidden="1" x14ac:dyDescent="0.2">
      <c r="A197">
        <v>1347305930</v>
      </c>
      <c r="B197" t="s">
        <v>1151</v>
      </c>
      <c r="C197" t="s">
        <v>339</v>
      </c>
      <c r="D197">
        <v>1250000</v>
      </c>
      <c r="E197">
        <v>1260343</v>
      </c>
      <c r="I197">
        <v>1260343</v>
      </c>
      <c r="J197">
        <f>VLOOKUP(A197,'תקציב מפורט 2025'!A:O,11,FALSE)-I197</f>
        <v>0</v>
      </c>
    </row>
    <row r="198" spans="1:10" hidden="1" x14ac:dyDescent="0.2">
      <c r="A198">
        <v>1347400930</v>
      </c>
      <c r="B198" t="s">
        <v>1290</v>
      </c>
      <c r="C198" t="s">
        <v>339</v>
      </c>
      <c r="D198">
        <v>20000</v>
      </c>
      <c r="E198">
        <v>28290</v>
      </c>
      <c r="I198">
        <v>28290</v>
      </c>
      <c r="J198">
        <f>VLOOKUP(A198,'תקציב מפורט 2025'!A:O,11,FALSE)-I198</f>
        <v>0</v>
      </c>
    </row>
    <row r="199" spans="1:10" hidden="1" x14ac:dyDescent="0.2">
      <c r="A199">
        <v>1348501930</v>
      </c>
      <c r="B199" t="s">
        <v>2187</v>
      </c>
      <c r="C199" t="s">
        <v>339</v>
      </c>
      <c r="D199">
        <v>0</v>
      </c>
      <c r="E199">
        <v>60530</v>
      </c>
      <c r="I199">
        <v>60530</v>
      </c>
      <c r="J199">
        <f>VLOOKUP(A199,'תקציב מפורט 2025'!A:O,11,FALSE)-I199</f>
        <v>-60530</v>
      </c>
    </row>
    <row r="200" spans="1:10" hidden="1" x14ac:dyDescent="0.2">
      <c r="A200">
        <v>1348900930</v>
      </c>
      <c r="B200" t="s">
        <v>1292</v>
      </c>
      <c r="C200" t="s">
        <v>339</v>
      </c>
      <c r="D200">
        <v>0</v>
      </c>
      <c r="E200">
        <v>252501</v>
      </c>
      <c r="I200">
        <v>252501</v>
      </c>
      <c r="J200">
        <f>VLOOKUP(A200,'תקציב מפורט 2025'!A:O,11,FALSE)-I200</f>
        <v>0</v>
      </c>
    </row>
    <row r="201" spans="1:10" hidden="1" x14ac:dyDescent="0.2">
      <c r="A201">
        <v>1413110210</v>
      </c>
      <c r="B201" t="s">
        <v>1293</v>
      </c>
      <c r="C201" t="s">
        <v>333</v>
      </c>
      <c r="D201">
        <v>750000</v>
      </c>
      <c r="E201">
        <v>790692.48</v>
      </c>
      <c r="G201">
        <v>126311.43000000005</v>
      </c>
      <c r="H201" t="s">
        <v>2188</v>
      </c>
      <c r="I201">
        <v>917003.91</v>
      </c>
      <c r="J201">
        <f>VLOOKUP(A201,'תקציב מפורט 2025'!A:O,11,FALSE)-I201</f>
        <v>0</v>
      </c>
    </row>
    <row r="202" spans="1:10" hidden="1" x14ac:dyDescent="0.2">
      <c r="A202">
        <v>1413200220</v>
      </c>
      <c r="B202" t="s">
        <v>1294</v>
      </c>
      <c r="C202" t="s">
        <v>336</v>
      </c>
      <c r="D202">
        <v>0</v>
      </c>
      <c r="E202">
        <v>9664.76</v>
      </c>
      <c r="G202">
        <v>2277.6499999999996</v>
      </c>
      <c r="H202" t="s">
        <v>2188</v>
      </c>
      <c r="I202">
        <v>11942.41</v>
      </c>
      <c r="J202" t="e">
        <f>VLOOKUP(A202,'תקציב מפורט 2025'!A:O,11,FALSE)-I202</f>
        <v>#N/A</v>
      </c>
    </row>
    <row r="203" spans="1:10" hidden="1" x14ac:dyDescent="0.2">
      <c r="A203">
        <v>1413300810</v>
      </c>
      <c r="B203" t="s">
        <v>1295</v>
      </c>
      <c r="C203" t="s">
        <v>333</v>
      </c>
      <c r="D203">
        <v>0</v>
      </c>
      <c r="E203">
        <v>16754.490000000002</v>
      </c>
      <c r="I203">
        <v>16754.490000000002</v>
      </c>
      <c r="J203" t="e">
        <f>VLOOKUP(A203,'תקציב מפורט 2025'!A:O,11,FALSE)-I203</f>
        <v>#N/A</v>
      </c>
    </row>
    <row r="204" spans="1:10" hidden="1" x14ac:dyDescent="0.2">
      <c r="A204">
        <v>1433000290</v>
      </c>
      <c r="B204" t="s">
        <v>1296</v>
      </c>
      <c r="C204" t="s">
        <v>336</v>
      </c>
      <c r="D204">
        <v>0</v>
      </c>
      <c r="E204">
        <v>1398</v>
      </c>
      <c r="I204">
        <v>1398</v>
      </c>
      <c r="J204">
        <f>VLOOKUP(A204,'תקציב מפורט 2025'!A:O,11,FALSE)-I204</f>
        <v>0</v>
      </c>
    </row>
    <row r="205" spans="1:10" hidden="1" x14ac:dyDescent="0.2">
      <c r="A205">
        <v>1472000210</v>
      </c>
      <c r="B205" t="s">
        <v>1297</v>
      </c>
      <c r="C205" t="s">
        <v>336</v>
      </c>
      <c r="D205">
        <v>0</v>
      </c>
      <c r="E205">
        <v>2251.4699999999998</v>
      </c>
      <c r="I205">
        <v>2251.4699999999998</v>
      </c>
      <c r="J205" t="e">
        <f>VLOOKUP(A205,'תקציב מפורט 2025'!A:O,11,FALSE)-I205</f>
        <v>#N/A</v>
      </c>
    </row>
    <row r="206" spans="1:10" hidden="1" x14ac:dyDescent="0.2">
      <c r="A206">
        <v>1472000810</v>
      </c>
      <c r="B206" t="s">
        <v>1298</v>
      </c>
      <c r="C206" t="s">
        <v>336</v>
      </c>
      <c r="D206">
        <v>0</v>
      </c>
      <c r="E206">
        <v>29451.72</v>
      </c>
      <c r="G206">
        <v>626</v>
      </c>
      <c r="H206" t="s">
        <v>2188</v>
      </c>
      <c r="I206">
        <v>30077.72</v>
      </c>
      <c r="J206" t="e">
        <f>VLOOKUP(A206,'תקציב מפורט 2025'!A:O,11,FALSE)-I206</f>
        <v>#N/A</v>
      </c>
    </row>
    <row r="207" spans="1:10" hidden="1" x14ac:dyDescent="0.2">
      <c r="A207">
        <v>1472100210</v>
      </c>
      <c r="B207" t="s">
        <v>1299</v>
      </c>
      <c r="C207" t="s">
        <v>336</v>
      </c>
      <c r="D207">
        <v>40000</v>
      </c>
      <c r="E207">
        <v>59387.16</v>
      </c>
      <c r="G207">
        <v>5312.9499999999971</v>
      </c>
      <c r="H207" t="s">
        <v>2188</v>
      </c>
      <c r="I207">
        <v>64700.11</v>
      </c>
      <c r="J207">
        <f>VLOOKUP(A207,'תקציב מפורט 2025'!A:O,11,FALSE)-I207</f>
        <v>30299.89</v>
      </c>
    </row>
    <row r="208" spans="1:10" hidden="1" x14ac:dyDescent="0.2">
      <c r="A208">
        <v>1511000661</v>
      </c>
      <c r="B208" t="s">
        <v>1300</v>
      </c>
      <c r="C208" t="s">
        <v>343</v>
      </c>
      <c r="D208">
        <v>100000</v>
      </c>
      <c r="E208">
        <v>56498.13</v>
      </c>
      <c r="I208">
        <v>56498.13</v>
      </c>
      <c r="J208">
        <f>VLOOKUP(A208,'תקציב מפורט 2025'!A:O,11,FALSE)-I208</f>
        <v>0</v>
      </c>
    </row>
    <row r="209" spans="1:10" hidden="1" x14ac:dyDescent="0.2">
      <c r="A209">
        <v>1599000590</v>
      </c>
      <c r="B209" t="s">
        <v>1301</v>
      </c>
      <c r="C209">
        <v>0</v>
      </c>
      <c r="D209">
        <v>0</v>
      </c>
      <c r="E209">
        <v>0</v>
      </c>
      <c r="I209">
        <v>0</v>
      </c>
      <c r="J209">
        <f>VLOOKUP(A209,'תקציב מפורט 2025'!A:O,11,FALSE)-I209</f>
        <v>0</v>
      </c>
    </row>
    <row r="210" spans="1:10" hidden="1" x14ac:dyDescent="0.2">
      <c r="A210">
        <v>1599100910</v>
      </c>
      <c r="B210" t="s">
        <v>1614</v>
      </c>
      <c r="C210" t="s">
        <v>347</v>
      </c>
      <c r="D210">
        <v>0</v>
      </c>
      <c r="E210">
        <v>0</v>
      </c>
      <c r="I210">
        <v>0</v>
      </c>
      <c r="J210">
        <f>VLOOKUP(A210,'תקציב מפורט 2025'!A:O,11,FALSE)-I210</f>
        <v>0</v>
      </c>
    </row>
    <row r="211" spans="1:10" hidden="1" x14ac:dyDescent="0.2">
      <c r="A211">
        <v>1599200910</v>
      </c>
      <c r="B211" t="s">
        <v>1302</v>
      </c>
      <c r="C211" t="s">
        <v>347</v>
      </c>
      <c r="D211">
        <v>0</v>
      </c>
      <c r="E211">
        <v>0</v>
      </c>
      <c r="I211">
        <v>0</v>
      </c>
      <c r="J211">
        <f>VLOOKUP(A211,'תקציב מפורט 2025'!A:O,11,FALSE)-I211</f>
        <v>0</v>
      </c>
    </row>
    <row r="212" spans="1:10" hidden="1" x14ac:dyDescent="0.2">
      <c r="C212" t="s">
        <v>426</v>
      </c>
      <c r="D212">
        <v>130505919.25</v>
      </c>
      <c r="E212">
        <v>132849598.85000001</v>
      </c>
      <c r="F212">
        <v>0</v>
      </c>
      <c r="G212">
        <v>8492738.5123999994</v>
      </c>
      <c r="H212">
        <v>0</v>
      </c>
      <c r="I212">
        <v>141342337.3624</v>
      </c>
      <c r="J212">
        <v>0</v>
      </c>
    </row>
    <row r="213" spans="1:10" hidden="1" x14ac:dyDescent="0.2">
      <c r="A213">
        <v>1611100110</v>
      </c>
      <c r="B213" t="s">
        <v>1303</v>
      </c>
      <c r="C213" t="s">
        <v>352</v>
      </c>
      <c r="D213">
        <v>1600000</v>
      </c>
      <c r="E213">
        <v>1307296.6499999999</v>
      </c>
      <c r="I213">
        <v>1307296.6499999999</v>
      </c>
      <c r="J213">
        <f>VLOOKUP(A213,'תקציב מפורט 2025'!A:O,11,FALSE)-I213</f>
        <v>0</v>
      </c>
    </row>
    <row r="214" spans="1:10" hidden="1" x14ac:dyDescent="0.2">
      <c r="A214">
        <v>1611100511</v>
      </c>
      <c r="B214" t="s">
        <v>1304</v>
      </c>
      <c r="C214" t="s">
        <v>353</v>
      </c>
      <c r="D214">
        <v>50000</v>
      </c>
      <c r="E214">
        <v>45003.33</v>
      </c>
      <c r="I214">
        <v>45003.33</v>
      </c>
      <c r="J214">
        <f>VLOOKUP(A214,'תקציב מפורט 2025'!A:O,11,FALSE)-I214</f>
        <v>0</v>
      </c>
    </row>
    <row r="215" spans="1:10" hidden="1" x14ac:dyDescent="0.2">
      <c r="A215">
        <v>1611100521</v>
      </c>
      <c r="B215" t="s">
        <v>1305</v>
      </c>
      <c r="C215" t="s">
        <v>353</v>
      </c>
      <c r="D215">
        <v>0</v>
      </c>
      <c r="E215">
        <v>0</v>
      </c>
      <c r="I215">
        <v>0</v>
      </c>
      <c r="J215" t="e">
        <f>VLOOKUP(A215,'תקציב מפורט 2025'!A:O,11,FALSE)-I215</f>
        <v>#N/A</v>
      </c>
    </row>
    <row r="216" spans="1:10" hidden="1" x14ac:dyDescent="0.2">
      <c r="A216">
        <v>1611100523</v>
      </c>
      <c r="B216" t="s">
        <v>1306</v>
      </c>
      <c r="C216" t="s">
        <v>353</v>
      </c>
      <c r="D216">
        <v>0</v>
      </c>
      <c r="E216">
        <v>300</v>
      </c>
      <c r="I216">
        <v>300</v>
      </c>
      <c r="J216">
        <f>VLOOKUP(A216,'תקציב מפורט 2025'!A:O,11,FALSE)-I216</f>
        <v>-300</v>
      </c>
    </row>
    <row r="217" spans="1:10" hidden="1" x14ac:dyDescent="0.2">
      <c r="A217">
        <v>1611100560</v>
      </c>
      <c r="B217" t="s">
        <v>1307</v>
      </c>
      <c r="C217" t="s">
        <v>353</v>
      </c>
      <c r="D217">
        <v>85000</v>
      </c>
      <c r="E217">
        <v>78239.990000000005</v>
      </c>
      <c r="I217">
        <v>78239.990000000005</v>
      </c>
      <c r="J217">
        <f>VLOOKUP(A217,'תקציב מפורט 2025'!A:O,11,FALSE)-I217</f>
        <v>0</v>
      </c>
    </row>
    <row r="218" spans="1:10" hidden="1" x14ac:dyDescent="0.2">
      <c r="A218">
        <v>1611100750</v>
      </c>
      <c r="B218" t="s">
        <v>1308</v>
      </c>
      <c r="C218" t="s">
        <v>353</v>
      </c>
      <c r="D218">
        <v>150000</v>
      </c>
      <c r="E218">
        <v>202412.66</v>
      </c>
      <c r="I218">
        <v>202412.66</v>
      </c>
      <c r="J218">
        <f>VLOOKUP(A218,'תקציב מפורט 2025'!A:O,11,FALSE)-I218</f>
        <v>0</v>
      </c>
    </row>
    <row r="219" spans="1:10" hidden="1" x14ac:dyDescent="0.2">
      <c r="A219">
        <v>1611100780</v>
      </c>
      <c r="B219" t="s">
        <v>1309</v>
      </c>
      <c r="C219" t="s">
        <v>353</v>
      </c>
      <c r="D219">
        <v>75000</v>
      </c>
      <c r="E219">
        <v>103305.99</v>
      </c>
      <c r="I219">
        <v>103305.99</v>
      </c>
      <c r="J219">
        <f>VLOOKUP(A219,'תקציב מפורט 2025'!A:O,11,FALSE)-I219</f>
        <v>0</v>
      </c>
    </row>
    <row r="220" spans="1:10" hidden="1" x14ac:dyDescent="0.2">
      <c r="A220">
        <v>1611110110</v>
      </c>
      <c r="B220" t="s">
        <v>1945</v>
      </c>
      <c r="C220" t="s">
        <v>352</v>
      </c>
      <c r="D220">
        <v>330000</v>
      </c>
      <c r="E220">
        <v>384788.73</v>
      </c>
      <c r="I220">
        <v>384788.73</v>
      </c>
      <c r="J220">
        <f>VLOOKUP(A220,'תקציב מפורט 2025'!A:O,11,FALSE)-I220</f>
        <v>0</v>
      </c>
    </row>
    <row r="221" spans="1:10" hidden="1" x14ac:dyDescent="0.2">
      <c r="A221">
        <v>1612000523</v>
      </c>
      <c r="B221" t="s">
        <v>1310</v>
      </c>
      <c r="C221" t="s">
        <v>353</v>
      </c>
      <c r="D221">
        <v>2000</v>
      </c>
      <c r="E221">
        <v>1400</v>
      </c>
      <c r="I221">
        <v>1400</v>
      </c>
      <c r="J221">
        <f>VLOOKUP(A221,'תקציב מפורט 2025'!A:O,11,FALSE)-I221</f>
        <v>0</v>
      </c>
    </row>
    <row r="222" spans="1:10" hidden="1" x14ac:dyDescent="0.2">
      <c r="A222">
        <v>1612000930</v>
      </c>
      <c r="B222" t="s">
        <v>1311</v>
      </c>
      <c r="C222" t="s">
        <v>353</v>
      </c>
      <c r="D222">
        <v>5000</v>
      </c>
      <c r="E222">
        <v>0</v>
      </c>
      <c r="I222">
        <v>0</v>
      </c>
      <c r="J222">
        <f>VLOOKUP(A222,'תקציב מפורט 2025'!A:O,11,FALSE)-I222</f>
        <v>0</v>
      </c>
    </row>
    <row r="223" spans="1:10" hidden="1" x14ac:dyDescent="0.2">
      <c r="A223">
        <v>1613000110</v>
      </c>
      <c r="B223" t="s">
        <v>1312</v>
      </c>
      <c r="C223" t="s">
        <v>352</v>
      </c>
      <c r="D223">
        <v>450000</v>
      </c>
      <c r="E223">
        <v>580595.04</v>
      </c>
      <c r="I223">
        <v>580595.04</v>
      </c>
      <c r="J223">
        <f>VLOOKUP(A223,'תקציב מפורט 2025'!A:O,11,FALSE)-I223</f>
        <v>0</v>
      </c>
    </row>
    <row r="224" spans="1:10" hidden="1" x14ac:dyDescent="0.2">
      <c r="A224">
        <v>1613000320</v>
      </c>
      <c r="B224" t="s">
        <v>1313</v>
      </c>
      <c r="C224" t="s">
        <v>352</v>
      </c>
      <c r="D224">
        <v>0</v>
      </c>
      <c r="E224">
        <v>0</v>
      </c>
      <c r="I224">
        <v>0</v>
      </c>
      <c r="J224" t="e">
        <f>VLOOKUP(A224,'תקציב מפורט 2025'!A:O,11,FALSE)-I224</f>
        <v>#N/A</v>
      </c>
    </row>
    <row r="225" spans="1:10" hidden="1" x14ac:dyDescent="0.2">
      <c r="A225">
        <v>1613000431</v>
      </c>
      <c r="B225" t="s">
        <v>1314</v>
      </c>
      <c r="C225" t="s">
        <v>353</v>
      </c>
      <c r="D225">
        <v>30000</v>
      </c>
      <c r="E225">
        <v>65984.899999999994</v>
      </c>
      <c r="I225">
        <v>65984.899999999994</v>
      </c>
      <c r="J225">
        <f>VLOOKUP(A225,'תקציב מפורט 2025'!A:O,11,FALSE)-I225</f>
        <v>-10984.899999999994</v>
      </c>
    </row>
    <row r="226" spans="1:10" hidden="1" x14ac:dyDescent="0.2">
      <c r="A226">
        <v>1613000523</v>
      </c>
      <c r="B226" t="s">
        <v>1315</v>
      </c>
      <c r="C226" t="s">
        <v>353</v>
      </c>
      <c r="D226">
        <v>33000</v>
      </c>
      <c r="E226">
        <v>49721</v>
      </c>
      <c r="I226">
        <v>49721</v>
      </c>
      <c r="J226">
        <f>VLOOKUP(A226,'תקציב מפורט 2025'!A:O,11,FALSE)-I226</f>
        <v>0</v>
      </c>
    </row>
    <row r="227" spans="1:10" hidden="1" x14ac:dyDescent="0.2">
      <c r="A227">
        <v>1613000540</v>
      </c>
      <c r="B227" t="s">
        <v>1316</v>
      </c>
      <c r="C227" t="s">
        <v>353</v>
      </c>
      <c r="D227">
        <v>0</v>
      </c>
      <c r="E227">
        <v>31412.62</v>
      </c>
      <c r="G227">
        <v>-31412.62</v>
      </c>
      <c r="H227" t="s">
        <v>2189</v>
      </c>
      <c r="I227">
        <v>0</v>
      </c>
      <c r="J227" t="e">
        <f>VLOOKUP(A227,'תקציב מפורט 2025'!A:O,11,FALSE)-I227</f>
        <v>#N/A</v>
      </c>
    </row>
    <row r="228" spans="1:10" hidden="1" x14ac:dyDescent="0.2">
      <c r="A228">
        <v>1613000550</v>
      </c>
      <c r="B228" t="s">
        <v>1615</v>
      </c>
      <c r="C228" t="s">
        <v>353</v>
      </c>
      <c r="D228">
        <v>40000</v>
      </c>
      <c r="E228">
        <v>4102</v>
      </c>
      <c r="I228">
        <v>4102</v>
      </c>
      <c r="J228">
        <f>VLOOKUP(A228,'תקציב מפורט 2025'!A:O,11,FALSE)-I228</f>
        <v>0</v>
      </c>
    </row>
    <row r="229" spans="1:10" hidden="1" x14ac:dyDescent="0.2">
      <c r="A229">
        <v>1613000560</v>
      </c>
      <c r="B229" t="s">
        <v>1317</v>
      </c>
      <c r="C229" t="s">
        <v>353</v>
      </c>
      <c r="D229">
        <v>0</v>
      </c>
      <c r="E229">
        <v>19847.5</v>
      </c>
      <c r="I229">
        <v>19847.5</v>
      </c>
      <c r="J229">
        <f>VLOOKUP(A229,'תקציב מפורט 2025'!A:O,11,FALSE)-I229</f>
        <v>0</v>
      </c>
    </row>
    <row r="230" spans="1:10" hidden="1" x14ac:dyDescent="0.2">
      <c r="A230">
        <v>1613000750</v>
      </c>
      <c r="B230" t="s">
        <v>1318</v>
      </c>
      <c r="C230" t="s">
        <v>353</v>
      </c>
      <c r="D230">
        <v>85000</v>
      </c>
      <c r="E230">
        <v>78777.83</v>
      </c>
      <c r="I230">
        <v>78777.83</v>
      </c>
      <c r="J230">
        <f>VLOOKUP(A230,'תקציב מפורט 2025'!A:O,11,FALSE)-I230</f>
        <v>0</v>
      </c>
    </row>
    <row r="231" spans="1:10" hidden="1" x14ac:dyDescent="0.2">
      <c r="A231">
        <v>1613000780</v>
      </c>
      <c r="B231" t="s">
        <v>1309</v>
      </c>
      <c r="C231" t="s">
        <v>353</v>
      </c>
      <c r="D231">
        <v>50000</v>
      </c>
      <c r="E231">
        <v>35316.19</v>
      </c>
      <c r="I231">
        <v>35316.19</v>
      </c>
      <c r="J231">
        <f>VLOOKUP(A231,'תקציב מפורט 2025'!A:O,11,FALSE)-I231</f>
        <v>0</v>
      </c>
    </row>
    <row r="232" spans="1:10" hidden="1" x14ac:dyDescent="0.2">
      <c r="A232">
        <v>1613000830</v>
      </c>
      <c r="B232" t="s">
        <v>1319</v>
      </c>
      <c r="C232" t="s">
        <v>353</v>
      </c>
      <c r="D232">
        <v>0</v>
      </c>
      <c r="E232">
        <v>0</v>
      </c>
      <c r="I232">
        <v>0</v>
      </c>
      <c r="J232" t="e">
        <f>VLOOKUP(A232,'תקציב מפורט 2025'!A:O,11,FALSE)-I232</f>
        <v>#N/A</v>
      </c>
    </row>
    <row r="233" spans="1:10" hidden="1" x14ac:dyDescent="0.2">
      <c r="A233">
        <v>1615000110</v>
      </c>
      <c r="B233" t="s">
        <v>1320</v>
      </c>
      <c r="C233" t="s">
        <v>352</v>
      </c>
      <c r="D233">
        <v>560000</v>
      </c>
      <c r="E233">
        <v>544117.52</v>
      </c>
      <c r="I233">
        <v>544117.52</v>
      </c>
      <c r="J233">
        <f>VLOOKUP(A233,'תקציב מפורט 2025'!A:O,11,FALSE)-I233</f>
        <v>0</v>
      </c>
    </row>
    <row r="234" spans="1:10" hidden="1" x14ac:dyDescent="0.2">
      <c r="A234">
        <v>1615101110</v>
      </c>
      <c r="B234" t="s">
        <v>1321</v>
      </c>
      <c r="C234" t="s">
        <v>352</v>
      </c>
      <c r="D234">
        <v>300000</v>
      </c>
      <c r="E234">
        <v>180161.53</v>
      </c>
      <c r="I234">
        <v>180161.53</v>
      </c>
      <c r="J234">
        <f>VLOOKUP(A234,'תקציב מפורט 2025'!A:O,11,FALSE)-I234</f>
        <v>0</v>
      </c>
    </row>
    <row r="235" spans="1:10" hidden="1" x14ac:dyDescent="0.2">
      <c r="A235">
        <v>1615200110</v>
      </c>
      <c r="B235" t="s">
        <v>1946</v>
      </c>
      <c r="C235" t="s">
        <v>352</v>
      </c>
      <c r="D235">
        <v>60000</v>
      </c>
      <c r="E235">
        <v>0</v>
      </c>
      <c r="I235">
        <v>0</v>
      </c>
      <c r="J235">
        <f>VLOOKUP(A235,'תקציב מפורט 2025'!A:O,11,FALSE)-I235</f>
        <v>0</v>
      </c>
    </row>
    <row r="236" spans="1:10" hidden="1" x14ac:dyDescent="0.2">
      <c r="A236">
        <v>1616000521</v>
      </c>
      <c r="B236" t="s">
        <v>1322</v>
      </c>
      <c r="C236" t="s">
        <v>353</v>
      </c>
      <c r="D236">
        <v>220000</v>
      </c>
      <c r="E236">
        <v>166065</v>
      </c>
      <c r="I236">
        <v>166065</v>
      </c>
      <c r="J236">
        <f>VLOOKUP(A236,'תקציב מפורט 2025'!A:O,11,FALSE)-I236</f>
        <v>0</v>
      </c>
    </row>
    <row r="237" spans="1:10" x14ac:dyDescent="0.2">
      <c r="A237">
        <v>1617000581</v>
      </c>
      <c r="B237" t="s">
        <v>1616</v>
      </c>
      <c r="C237" t="s">
        <v>353</v>
      </c>
      <c r="D237">
        <v>0</v>
      </c>
      <c r="E237">
        <v>6000</v>
      </c>
      <c r="I237" s="17">
        <v>6000</v>
      </c>
      <c r="J237">
        <f>VLOOKUP(A237,'תקציב מפורט 2025'!A:O,11,FALSE)-I237</f>
        <v>-6000</v>
      </c>
    </row>
    <row r="238" spans="1:10" hidden="1" x14ac:dyDescent="0.2">
      <c r="A238">
        <v>1617000750</v>
      </c>
      <c r="B238" t="s">
        <v>1323</v>
      </c>
      <c r="C238" t="s">
        <v>353</v>
      </c>
      <c r="D238">
        <v>403656</v>
      </c>
      <c r="E238">
        <v>477497.15</v>
      </c>
      <c r="I238">
        <v>477497.15</v>
      </c>
      <c r="J238">
        <f>VLOOKUP(A238,'תקציב מפורט 2025'!A:O,11,FALSE)-I238</f>
        <v>0</v>
      </c>
    </row>
    <row r="239" spans="1:10" hidden="1" x14ac:dyDescent="0.2">
      <c r="A239">
        <v>1618000780</v>
      </c>
      <c r="B239" t="s">
        <v>1617</v>
      </c>
      <c r="C239" t="s">
        <v>353</v>
      </c>
      <c r="D239">
        <v>0</v>
      </c>
      <c r="E239">
        <v>0</v>
      </c>
      <c r="I239">
        <v>0</v>
      </c>
      <c r="J239" t="e">
        <f>VLOOKUP(A239,'תקציב מפורט 2025'!A:O,11,FALSE)-I239</f>
        <v>#N/A</v>
      </c>
    </row>
    <row r="240" spans="1:10" hidden="1" x14ac:dyDescent="0.2">
      <c r="A240">
        <v>1619000780</v>
      </c>
      <c r="B240" t="s">
        <v>1618</v>
      </c>
      <c r="C240" t="s">
        <v>353</v>
      </c>
      <c r="D240">
        <v>0</v>
      </c>
      <c r="E240">
        <v>101417.60000000001</v>
      </c>
      <c r="I240">
        <v>101417.60000000001</v>
      </c>
      <c r="J240">
        <f>VLOOKUP(A240,'תקציב מפורט 2025'!A:O,11,FALSE)-I240</f>
        <v>60000</v>
      </c>
    </row>
    <row r="241" spans="1:10" hidden="1" x14ac:dyDescent="0.2">
      <c r="A241">
        <v>1621200110</v>
      </c>
      <c r="B241" t="s">
        <v>1324</v>
      </c>
      <c r="C241" t="s">
        <v>352</v>
      </c>
      <c r="D241">
        <v>165000</v>
      </c>
      <c r="E241">
        <v>165054.18</v>
      </c>
      <c r="I241">
        <v>165054.18</v>
      </c>
      <c r="J241">
        <f>VLOOKUP(A241,'תקציב מפורט 2025'!A:O,11,FALSE)-I241</f>
        <v>0</v>
      </c>
    </row>
    <row r="242" spans="1:10" hidden="1" x14ac:dyDescent="0.2">
      <c r="A242">
        <v>1621300110</v>
      </c>
      <c r="B242" t="s">
        <v>1325</v>
      </c>
      <c r="C242" t="s">
        <v>352</v>
      </c>
      <c r="D242">
        <v>870000</v>
      </c>
      <c r="E242">
        <v>896838.86</v>
      </c>
      <c r="I242">
        <v>896838.86</v>
      </c>
      <c r="J242">
        <f>VLOOKUP(A242,'תקציב מפורט 2025'!A:O,11,FALSE)-I242</f>
        <v>-20000</v>
      </c>
    </row>
    <row r="243" spans="1:10" hidden="1" x14ac:dyDescent="0.2">
      <c r="A243">
        <v>1621300523</v>
      </c>
      <c r="B243" t="s">
        <v>1315</v>
      </c>
      <c r="C243" t="s">
        <v>353</v>
      </c>
      <c r="D243">
        <v>0</v>
      </c>
      <c r="E243">
        <v>13550</v>
      </c>
      <c r="I243">
        <v>13550</v>
      </c>
      <c r="J243">
        <f>VLOOKUP(A243,'תקציב מפורט 2025'!A:O,11,FALSE)-I243</f>
        <v>-13550</v>
      </c>
    </row>
    <row r="244" spans="1:10" hidden="1" x14ac:dyDescent="0.2">
      <c r="A244">
        <v>1621300560</v>
      </c>
      <c r="B244" t="s">
        <v>1326</v>
      </c>
      <c r="C244">
        <v>0</v>
      </c>
      <c r="D244">
        <v>0</v>
      </c>
      <c r="E244">
        <v>0</v>
      </c>
      <c r="I244">
        <v>0</v>
      </c>
      <c r="J244" t="e">
        <f>VLOOKUP(A244,'תקציב מפורט 2025'!A:O,11,FALSE)-I244</f>
        <v>#N/A</v>
      </c>
    </row>
    <row r="245" spans="1:10" hidden="1" x14ac:dyDescent="0.2">
      <c r="A245">
        <v>1621300570</v>
      </c>
      <c r="B245" t="s">
        <v>1327</v>
      </c>
      <c r="C245" t="s">
        <v>353</v>
      </c>
      <c r="D245">
        <v>360000</v>
      </c>
      <c r="E245">
        <v>440528.06</v>
      </c>
      <c r="I245">
        <v>440528.06</v>
      </c>
      <c r="J245">
        <f>VLOOKUP(A245,'תקציב מפורט 2025'!A:O,11,FALSE)-I245</f>
        <v>0</v>
      </c>
    </row>
    <row r="246" spans="1:10" hidden="1" x14ac:dyDescent="0.2">
      <c r="A246">
        <v>1621300571</v>
      </c>
      <c r="B246" t="s">
        <v>1542</v>
      </c>
      <c r="C246" t="s">
        <v>353</v>
      </c>
      <c r="D246">
        <v>0</v>
      </c>
      <c r="E246">
        <v>0</v>
      </c>
      <c r="I246">
        <v>0</v>
      </c>
      <c r="J246" t="e">
        <f>VLOOKUP(A246,'תקציב מפורט 2025'!A:O,11,FALSE)-I246</f>
        <v>#N/A</v>
      </c>
    </row>
    <row r="247" spans="1:10" hidden="1" x14ac:dyDescent="0.2">
      <c r="A247">
        <v>1621300750</v>
      </c>
      <c r="B247" t="s">
        <v>1619</v>
      </c>
      <c r="C247" t="s">
        <v>353</v>
      </c>
      <c r="D247">
        <v>0</v>
      </c>
      <c r="E247">
        <v>0</v>
      </c>
      <c r="I247">
        <v>0</v>
      </c>
      <c r="J247" t="e">
        <f>VLOOKUP(A247,'תקציב מפורט 2025'!A:O,11,FALSE)-I247</f>
        <v>#N/A</v>
      </c>
    </row>
    <row r="248" spans="1:10" hidden="1" x14ac:dyDescent="0.2">
      <c r="A248">
        <v>1621300751</v>
      </c>
      <c r="B248" t="s">
        <v>1328</v>
      </c>
      <c r="C248" t="s">
        <v>353</v>
      </c>
      <c r="D248">
        <v>550000</v>
      </c>
      <c r="E248">
        <v>434380</v>
      </c>
      <c r="I248">
        <v>434380</v>
      </c>
      <c r="J248">
        <f>VLOOKUP(A248,'תקציב מפורט 2025'!A:O,11,FALSE)-I248</f>
        <v>60000</v>
      </c>
    </row>
    <row r="249" spans="1:10" hidden="1" x14ac:dyDescent="0.2">
      <c r="A249">
        <v>1621300780</v>
      </c>
      <c r="B249" t="s">
        <v>976</v>
      </c>
      <c r="C249" t="s">
        <v>353</v>
      </c>
      <c r="D249">
        <v>30000</v>
      </c>
      <c r="E249">
        <v>13180.5</v>
      </c>
      <c r="I249">
        <v>13180.5</v>
      </c>
      <c r="J249">
        <f>VLOOKUP(A249,'תקציב מפורט 2025'!A:O,11,FALSE)-I249</f>
        <v>0</v>
      </c>
    </row>
    <row r="250" spans="1:10" hidden="1" x14ac:dyDescent="0.2">
      <c r="A250">
        <v>1621300930</v>
      </c>
      <c r="B250" t="s">
        <v>1329</v>
      </c>
      <c r="C250" t="s">
        <v>353</v>
      </c>
      <c r="D250">
        <v>15000</v>
      </c>
      <c r="E250">
        <v>0</v>
      </c>
      <c r="I250">
        <v>0</v>
      </c>
      <c r="J250">
        <f>VLOOKUP(A250,'תקציב מפורט 2025'!A:O,11,FALSE)-I250</f>
        <v>0</v>
      </c>
    </row>
    <row r="251" spans="1:10" hidden="1" x14ac:dyDescent="0.2">
      <c r="A251">
        <v>1623000110</v>
      </c>
      <c r="B251" t="s">
        <v>1330</v>
      </c>
      <c r="C251" t="s">
        <v>352</v>
      </c>
      <c r="D251">
        <v>400000</v>
      </c>
      <c r="E251">
        <v>557794.21</v>
      </c>
      <c r="I251">
        <v>557794.21</v>
      </c>
      <c r="J251">
        <f>VLOOKUP(A251,'תקציב מפורט 2025'!A:O,11,FALSE)-I251</f>
        <v>60000</v>
      </c>
    </row>
    <row r="252" spans="1:10" x14ac:dyDescent="0.2">
      <c r="A252">
        <v>1623000550</v>
      </c>
      <c r="B252" t="s">
        <v>2190</v>
      </c>
      <c r="C252" t="s">
        <v>353</v>
      </c>
      <c r="D252">
        <v>0</v>
      </c>
      <c r="E252">
        <v>21908.86</v>
      </c>
      <c r="I252" s="17">
        <v>21908.86</v>
      </c>
      <c r="J252">
        <f>VLOOKUP(A252,'תקציב מפורט 2025'!A:O,11,FALSE)-I252</f>
        <v>-21908.86</v>
      </c>
    </row>
    <row r="253" spans="1:10" hidden="1" x14ac:dyDescent="0.2">
      <c r="A253">
        <v>1623000582</v>
      </c>
      <c r="B253" t="s">
        <v>1318</v>
      </c>
      <c r="C253" t="s">
        <v>353</v>
      </c>
      <c r="D253">
        <v>60000</v>
      </c>
      <c r="E253">
        <v>61719.42</v>
      </c>
      <c r="I253">
        <v>61719.42</v>
      </c>
      <c r="J253">
        <f>VLOOKUP(A253,'תקציב מפורט 2025'!A:O,11,FALSE)-I253</f>
        <v>0</v>
      </c>
    </row>
    <row r="254" spans="1:10" hidden="1" x14ac:dyDescent="0.2">
      <c r="A254">
        <v>1623000750</v>
      </c>
      <c r="B254" t="s">
        <v>1331</v>
      </c>
      <c r="C254" t="s">
        <v>353</v>
      </c>
      <c r="D254">
        <v>250000</v>
      </c>
      <c r="E254">
        <v>392442.69</v>
      </c>
      <c r="I254">
        <v>392442.69</v>
      </c>
      <c r="J254">
        <f>VLOOKUP(A254,'תקציב מפורט 2025'!A:O,11,FALSE)-I254</f>
        <v>0</v>
      </c>
    </row>
    <row r="255" spans="1:10" x14ac:dyDescent="0.2">
      <c r="A255">
        <v>1623000780</v>
      </c>
      <c r="B255" t="s">
        <v>2191</v>
      </c>
      <c r="C255" t="s">
        <v>353</v>
      </c>
      <c r="D255">
        <v>0</v>
      </c>
      <c r="E255">
        <v>49034</v>
      </c>
      <c r="I255" s="17">
        <v>49034</v>
      </c>
      <c r="J255">
        <f>VLOOKUP(A255,'תקציב מפורט 2025'!A:O,11,FALSE)-I255</f>
        <v>-49034</v>
      </c>
    </row>
    <row r="256" spans="1:10" hidden="1" x14ac:dyDescent="0.2">
      <c r="A256">
        <v>1624000110</v>
      </c>
      <c r="B256" t="s">
        <v>2192</v>
      </c>
      <c r="C256" t="s">
        <v>352</v>
      </c>
      <c r="D256">
        <v>0</v>
      </c>
      <c r="E256">
        <v>93782.38</v>
      </c>
      <c r="I256">
        <v>93782.38</v>
      </c>
      <c r="J256">
        <f>VLOOKUP(A256,'תקציב מפורט 2025'!A:O,11,FALSE)-I256</f>
        <v>0</v>
      </c>
    </row>
    <row r="257" spans="1:10" hidden="1" x14ac:dyDescent="0.2">
      <c r="A257">
        <v>1631000610</v>
      </c>
      <c r="B257" t="s">
        <v>1332</v>
      </c>
      <c r="C257" t="s">
        <v>364</v>
      </c>
      <c r="D257">
        <v>200000</v>
      </c>
      <c r="E257">
        <v>267321.26</v>
      </c>
      <c r="I257">
        <v>267321.26</v>
      </c>
      <c r="J257">
        <f>VLOOKUP(A257,'תקציב מפורט 2025'!A:O,11,FALSE)-I257</f>
        <v>0</v>
      </c>
    </row>
    <row r="258" spans="1:10" hidden="1" x14ac:dyDescent="0.2">
      <c r="A258">
        <v>1632000620</v>
      </c>
      <c r="B258" t="s">
        <v>1333</v>
      </c>
      <c r="C258" t="s">
        <v>364</v>
      </c>
      <c r="D258">
        <v>0</v>
      </c>
      <c r="E258">
        <v>14601.66</v>
      </c>
      <c r="I258">
        <v>14601.66</v>
      </c>
      <c r="J258" t="e">
        <f>VLOOKUP(A258,'תקציב מפורט 2025'!A:O,11,FALSE)-I258</f>
        <v>#N/A</v>
      </c>
    </row>
    <row r="259" spans="1:10" hidden="1" x14ac:dyDescent="0.2">
      <c r="A259">
        <v>1648000691</v>
      </c>
      <c r="B259" t="s">
        <v>1334</v>
      </c>
      <c r="C259" t="s">
        <v>362</v>
      </c>
      <c r="D259">
        <v>1500000</v>
      </c>
      <c r="E259">
        <v>1689186.27</v>
      </c>
      <c r="I259">
        <v>1689186.27</v>
      </c>
      <c r="J259">
        <f>VLOOKUP(A259,'תקציב מפורט 2025'!A:O,11,FALSE)-I259</f>
        <v>0</v>
      </c>
    </row>
    <row r="260" spans="1:10" hidden="1" x14ac:dyDescent="0.2">
      <c r="A260">
        <v>1648000692</v>
      </c>
      <c r="B260" t="s">
        <v>1335</v>
      </c>
      <c r="C260" t="s">
        <v>362</v>
      </c>
      <c r="D260">
        <v>500000</v>
      </c>
      <c r="E260">
        <v>534204.09</v>
      </c>
      <c r="I260">
        <v>534204.09</v>
      </c>
      <c r="J260">
        <f>VLOOKUP(A260,'תקציב מפורט 2025'!A:O,11,FALSE)-I260</f>
        <v>0</v>
      </c>
    </row>
    <row r="261" spans="1:10" hidden="1" x14ac:dyDescent="0.2">
      <c r="A261">
        <v>1648000693</v>
      </c>
      <c r="B261" t="s">
        <v>1336</v>
      </c>
      <c r="C261" t="s">
        <v>362</v>
      </c>
      <c r="D261">
        <v>170000</v>
      </c>
      <c r="E261">
        <v>213037.38</v>
      </c>
      <c r="I261">
        <v>213037.38</v>
      </c>
      <c r="J261">
        <f>VLOOKUP(A261,'תקציב מפורט 2025'!A:O,11,FALSE)-I261</f>
        <v>0</v>
      </c>
    </row>
    <row r="262" spans="1:10" hidden="1" x14ac:dyDescent="0.2">
      <c r="A262">
        <v>1711000110</v>
      </c>
      <c r="B262" t="s">
        <v>1337</v>
      </c>
      <c r="C262" t="s">
        <v>352</v>
      </c>
      <c r="D262">
        <v>130000</v>
      </c>
      <c r="E262">
        <v>197101.97</v>
      </c>
      <c r="I262">
        <v>197101.97</v>
      </c>
      <c r="J262">
        <f>VLOOKUP(A262,'תקציב מפורט 2025'!A:O,11,FALSE)-I262</f>
        <v>52898.03</v>
      </c>
    </row>
    <row r="263" spans="1:10" hidden="1" x14ac:dyDescent="0.2">
      <c r="A263">
        <v>1711000523</v>
      </c>
      <c r="B263" t="s">
        <v>1338</v>
      </c>
      <c r="C263" t="s">
        <v>353</v>
      </c>
      <c r="D263">
        <v>1527</v>
      </c>
      <c r="E263">
        <v>0</v>
      </c>
      <c r="I263">
        <v>0</v>
      </c>
      <c r="J263">
        <f>VLOOKUP(A263,'תקציב מפורט 2025'!A:O,11,FALSE)-I263</f>
        <v>1527</v>
      </c>
    </row>
    <row r="264" spans="1:10" hidden="1" x14ac:dyDescent="0.2">
      <c r="A264">
        <v>1712200740</v>
      </c>
      <c r="B264" t="s">
        <v>1339</v>
      </c>
      <c r="C264" t="s">
        <v>353</v>
      </c>
      <c r="D264">
        <v>20000</v>
      </c>
      <c r="E264">
        <v>20000</v>
      </c>
      <c r="I264">
        <v>20000</v>
      </c>
      <c r="J264">
        <f>VLOOKUP(A264,'תקציב מפורט 2025'!A:O,11,FALSE)-I264</f>
        <v>0</v>
      </c>
    </row>
    <row r="265" spans="1:10" hidden="1" x14ac:dyDescent="0.2">
      <c r="A265">
        <v>1712200750</v>
      </c>
      <c r="B265" t="s">
        <v>1331</v>
      </c>
      <c r="C265" t="s">
        <v>353</v>
      </c>
      <c r="D265">
        <v>530000</v>
      </c>
      <c r="E265">
        <v>1008218.66</v>
      </c>
      <c r="G265">
        <v>103258.54</v>
      </c>
      <c r="H265" t="s">
        <v>2193</v>
      </c>
      <c r="I265">
        <v>1111477.2</v>
      </c>
      <c r="J265">
        <f>VLOOKUP(A265,'תקציב מפורט 2025'!A:O,11,FALSE)-I265</f>
        <v>0</v>
      </c>
    </row>
    <row r="266" spans="1:10" hidden="1" x14ac:dyDescent="0.2">
      <c r="A266">
        <v>1712200780</v>
      </c>
      <c r="B266" t="s">
        <v>1309</v>
      </c>
      <c r="C266" t="s">
        <v>353</v>
      </c>
      <c r="D266">
        <v>20000</v>
      </c>
      <c r="E266">
        <v>0</v>
      </c>
      <c r="I266">
        <v>0</v>
      </c>
      <c r="J266">
        <f>VLOOKUP(A266,'תקציב מפורט 2025'!A:O,11,FALSE)-I266</f>
        <v>10000</v>
      </c>
    </row>
    <row r="267" spans="1:10" hidden="1" x14ac:dyDescent="0.2">
      <c r="A267">
        <v>1712300751</v>
      </c>
      <c r="B267" t="s">
        <v>1340</v>
      </c>
      <c r="C267" t="s">
        <v>353</v>
      </c>
      <c r="D267">
        <v>5000000</v>
      </c>
      <c r="E267">
        <v>4822492.46</v>
      </c>
      <c r="G267">
        <v>403000</v>
      </c>
      <c r="H267" t="s">
        <v>2194</v>
      </c>
      <c r="I267">
        <v>5225492.46</v>
      </c>
      <c r="J267">
        <f>VLOOKUP(A267,'תקציב מפורט 2025'!A:O,11,FALSE)-I267</f>
        <v>50000</v>
      </c>
    </row>
    <row r="268" spans="1:10" hidden="1" x14ac:dyDescent="0.2">
      <c r="A268">
        <v>1712300752</v>
      </c>
      <c r="B268" t="s">
        <v>1341</v>
      </c>
      <c r="C268" t="s">
        <v>353</v>
      </c>
      <c r="D268">
        <v>250000</v>
      </c>
      <c r="E268">
        <v>33000</v>
      </c>
      <c r="I268">
        <v>33000</v>
      </c>
      <c r="J268">
        <f>VLOOKUP(A268,'תקציב מפורט 2025'!A:O,11,FALSE)-I268</f>
        <v>0</v>
      </c>
    </row>
    <row r="269" spans="1:10" hidden="1" x14ac:dyDescent="0.2">
      <c r="A269">
        <v>1713000110</v>
      </c>
      <c r="B269" t="s">
        <v>1342</v>
      </c>
      <c r="C269" t="s">
        <v>352</v>
      </c>
      <c r="D269">
        <v>0</v>
      </c>
      <c r="E269">
        <v>93403.06</v>
      </c>
      <c r="I269">
        <v>93403.06</v>
      </c>
      <c r="J269" t="e">
        <f>VLOOKUP(A269,'תקציב מפורט 2025'!A:O,11,FALSE)-I269</f>
        <v>#N/A</v>
      </c>
    </row>
    <row r="270" spans="1:10" hidden="1" x14ac:dyDescent="0.2">
      <c r="A270">
        <v>1714100830</v>
      </c>
      <c r="B270" t="s">
        <v>1343</v>
      </c>
      <c r="C270" t="s">
        <v>353</v>
      </c>
      <c r="D270">
        <v>121000</v>
      </c>
      <c r="E270">
        <v>119377</v>
      </c>
      <c r="I270">
        <v>119377</v>
      </c>
      <c r="J270">
        <f>VLOOKUP(A270,'תקציב מפורט 2025'!A:O,11,FALSE)-I270</f>
        <v>0</v>
      </c>
    </row>
    <row r="271" spans="1:10" hidden="1" x14ac:dyDescent="0.2">
      <c r="A271">
        <v>1715300750</v>
      </c>
      <c r="B271" t="s">
        <v>1344</v>
      </c>
      <c r="C271" t="s">
        <v>353</v>
      </c>
      <c r="D271">
        <v>60000</v>
      </c>
      <c r="E271">
        <v>13272</v>
      </c>
      <c r="I271">
        <v>13272</v>
      </c>
      <c r="J271">
        <f>VLOOKUP(A271,'תקציב מפורט 2025'!A:O,11,FALSE)-I271</f>
        <v>0</v>
      </c>
    </row>
    <row r="272" spans="1:10" hidden="1" x14ac:dyDescent="0.2">
      <c r="A272">
        <v>1722000110</v>
      </c>
      <c r="B272" t="s">
        <v>1345</v>
      </c>
      <c r="C272" t="s">
        <v>352</v>
      </c>
      <c r="D272">
        <v>280000</v>
      </c>
      <c r="E272">
        <v>281328.02</v>
      </c>
      <c r="I272">
        <v>281328.02</v>
      </c>
      <c r="J272">
        <f>VLOOKUP(A272,'תקציב מפורט 2025'!A:O,11,FALSE)-I272</f>
        <v>0</v>
      </c>
    </row>
    <row r="273" spans="1:10" hidden="1" x14ac:dyDescent="0.2">
      <c r="A273">
        <v>1722000731</v>
      </c>
      <c r="B273" t="s">
        <v>1620</v>
      </c>
      <c r="C273" t="s">
        <v>353</v>
      </c>
      <c r="D273">
        <v>25000</v>
      </c>
      <c r="E273">
        <v>10799.59</v>
      </c>
      <c r="G273">
        <v>1500</v>
      </c>
      <c r="H273" t="s">
        <v>2195</v>
      </c>
      <c r="I273">
        <v>12299.59</v>
      </c>
      <c r="J273">
        <f>VLOOKUP(A273,'תקציב מפורט 2025'!A:O,11,FALSE)-I273</f>
        <v>0</v>
      </c>
    </row>
    <row r="274" spans="1:10" hidden="1" x14ac:dyDescent="0.2">
      <c r="A274">
        <v>1722000732</v>
      </c>
      <c r="B274" t="s">
        <v>1346</v>
      </c>
      <c r="C274" t="s">
        <v>353</v>
      </c>
      <c r="D274">
        <v>10000</v>
      </c>
      <c r="E274">
        <v>1170</v>
      </c>
      <c r="I274">
        <v>1170</v>
      </c>
      <c r="J274">
        <f>VLOOKUP(A274,'תקציב מפורט 2025'!A:O,11,FALSE)-I274</f>
        <v>0</v>
      </c>
    </row>
    <row r="275" spans="1:10" hidden="1" x14ac:dyDescent="0.2">
      <c r="A275">
        <v>1722000733</v>
      </c>
      <c r="B275" t="s">
        <v>1029</v>
      </c>
      <c r="C275" t="s">
        <v>353</v>
      </c>
      <c r="D275">
        <v>13000</v>
      </c>
      <c r="E275">
        <v>23722</v>
      </c>
      <c r="I275">
        <v>23722</v>
      </c>
      <c r="J275">
        <f>VLOOKUP(A275,'תקציב מפורט 2025'!A:O,11,FALSE)-I275</f>
        <v>0</v>
      </c>
    </row>
    <row r="276" spans="1:10" hidden="1" x14ac:dyDescent="0.2">
      <c r="A276">
        <v>1722000780</v>
      </c>
      <c r="B276" t="s">
        <v>976</v>
      </c>
      <c r="C276" t="s">
        <v>353</v>
      </c>
      <c r="D276">
        <v>0</v>
      </c>
      <c r="E276">
        <v>85.38</v>
      </c>
      <c r="I276">
        <v>85.38</v>
      </c>
      <c r="J276">
        <f>VLOOKUP(A276,'תקציב מפורט 2025'!A:O,11,FALSE)-I276</f>
        <v>-85.38</v>
      </c>
    </row>
    <row r="277" spans="1:10" hidden="1" x14ac:dyDescent="0.2">
      <c r="A277">
        <v>1722002110</v>
      </c>
      <c r="B277" t="s">
        <v>1621</v>
      </c>
      <c r="C277" t="s">
        <v>352</v>
      </c>
      <c r="D277">
        <v>910000</v>
      </c>
      <c r="E277">
        <v>287970.78000000003</v>
      </c>
      <c r="I277">
        <v>287970.78000000003</v>
      </c>
      <c r="J277">
        <f>VLOOKUP(A277,'תקציב מפורט 2025'!A:O,11,FALSE)-I277</f>
        <v>0</v>
      </c>
    </row>
    <row r="278" spans="1:10" hidden="1" x14ac:dyDescent="0.2">
      <c r="A278">
        <v>1722100750</v>
      </c>
      <c r="B278" t="s">
        <v>1622</v>
      </c>
      <c r="C278" t="s">
        <v>353</v>
      </c>
      <c r="D278">
        <v>70000</v>
      </c>
      <c r="E278">
        <v>0</v>
      </c>
      <c r="I278">
        <v>0</v>
      </c>
      <c r="J278">
        <f>VLOOKUP(A278,'תקציב מפורט 2025'!A:O,11,FALSE)-I278</f>
        <v>0</v>
      </c>
    </row>
    <row r="279" spans="1:10" hidden="1" x14ac:dyDescent="0.2">
      <c r="A279">
        <v>1723000810</v>
      </c>
      <c r="B279" t="s">
        <v>1347</v>
      </c>
      <c r="C279" t="s">
        <v>353</v>
      </c>
      <c r="D279">
        <v>93574</v>
      </c>
      <c r="E279">
        <v>0</v>
      </c>
      <c r="G279">
        <v>93574</v>
      </c>
      <c r="H279" t="s">
        <v>2196</v>
      </c>
      <c r="I279">
        <v>93574</v>
      </c>
      <c r="J279">
        <f>VLOOKUP(A279,'תקציב מפורט 2025'!A:O,11,FALSE)-I279</f>
        <v>0</v>
      </c>
    </row>
    <row r="280" spans="1:10" hidden="1" x14ac:dyDescent="0.2">
      <c r="A280">
        <v>1723100110</v>
      </c>
      <c r="B280" t="s">
        <v>1348</v>
      </c>
      <c r="C280" t="s">
        <v>352</v>
      </c>
      <c r="D280">
        <v>130000</v>
      </c>
      <c r="E280">
        <v>137859.62</v>
      </c>
      <c r="I280">
        <v>137859.62</v>
      </c>
      <c r="J280">
        <f>VLOOKUP(A280,'תקציב מפורט 2025'!A:O,11,FALSE)-I280</f>
        <v>0</v>
      </c>
    </row>
    <row r="281" spans="1:10" hidden="1" x14ac:dyDescent="0.2">
      <c r="A281">
        <v>1723420750</v>
      </c>
      <c r="B281" t="s">
        <v>1349</v>
      </c>
      <c r="C281" t="s">
        <v>353</v>
      </c>
      <c r="D281">
        <v>47000</v>
      </c>
      <c r="E281">
        <v>0</v>
      </c>
      <c r="I281">
        <v>0</v>
      </c>
      <c r="J281">
        <f>VLOOKUP(A281,'תקציב מפורט 2025'!A:O,11,FALSE)-I281</f>
        <v>0</v>
      </c>
    </row>
    <row r="282" spans="1:10" hidden="1" x14ac:dyDescent="0.2">
      <c r="A282">
        <v>1723421750</v>
      </c>
      <c r="B282" t="s">
        <v>1350</v>
      </c>
      <c r="C282" t="s">
        <v>353</v>
      </c>
      <c r="D282">
        <v>45000</v>
      </c>
      <c r="E282">
        <v>27424</v>
      </c>
      <c r="I282">
        <v>27424</v>
      </c>
      <c r="J282">
        <f>VLOOKUP(A282,'תקציב מפורט 2025'!A:O,11,FALSE)-I282</f>
        <v>0</v>
      </c>
    </row>
    <row r="283" spans="1:10" hidden="1" x14ac:dyDescent="0.2">
      <c r="A283">
        <v>1723422750</v>
      </c>
      <c r="B283" t="s">
        <v>1351</v>
      </c>
      <c r="C283" t="s">
        <v>353</v>
      </c>
      <c r="D283">
        <v>69000</v>
      </c>
      <c r="E283">
        <v>23197.74</v>
      </c>
      <c r="I283">
        <v>23197.74</v>
      </c>
      <c r="J283">
        <f>VLOOKUP(A283,'תקציב מפורט 2025'!A:O,11,FALSE)-I283</f>
        <v>0</v>
      </c>
    </row>
    <row r="284" spans="1:10" hidden="1" x14ac:dyDescent="0.2">
      <c r="A284">
        <v>1723423750</v>
      </c>
      <c r="B284" t="s">
        <v>1352</v>
      </c>
      <c r="C284" t="s">
        <v>353</v>
      </c>
      <c r="D284">
        <v>51700</v>
      </c>
      <c r="E284">
        <v>0</v>
      </c>
      <c r="I284">
        <v>0</v>
      </c>
      <c r="J284">
        <f>VLOOKUP(A284,'תקציב מפורט 2025'!A:O,11,FALSE)-I284</f>
        <v>50000</v>
      </c>
    </row>
    <row r="285" spans="1:10" hidden="1" x14ac:dyDescent="0.2">
      <c r="A285">
        <v>1725000110</v>
      </c>
      <c r="B285" t="s">
        <v>1183</v>
      </c>
      <c r="C285" t="s">
        <v>352</v>
      </c>
      <c r="D285">
        <v>350000</v>
      </c>
      <c r="E285">
        <v>539958.86</v>
      </c>
      <c r="G285">
        <v>-19000</v>
      </c>
      <c r="H285" t="s">
        <v>2197</v>
      </c>
      <c r="I285">
        <v>520958.86</v>
      </c>
      <c r="J285">
        <f>VLOOKUP(A285,'תקציב מפורט 2025'!A:O,11,FALSE)-I285</f>
        <v>0</v>
      </c>
    </row>
    <row r="286" spans="1:10" hidden="1" x14ac:dyDescent="0.2">
      <c r="A286">
        <v>1725000750</v>
      </c>
      <c r="B286" t="s">
        <v>1353</v>
      </c>
      <c r="C286" t="s">
        <v>353</v>
      </c>
      <c r="D286">
        <v>74848</v>
      </c>
      <c r="E286">
        <v>73757</v>
      </c>
      <c r="G286">
        <v>19000</v>
      </c>
      <c r="H286" t="s">
        <v>2197</v>
      </c>
      <c r="I286">
        <v>92757</v>
      </c>
      <c r="J286">
        <f>VLOOKUP(A286,'תקציב מפורט 2025'!A:O,11,FALSE)-I286</f>
        <v>-92757</v>
      </c>
    </row>
    <row r="287" spans="1:10" hidden="1" x14ac:dyDescent="0.2">
      <c r="A287">
        <v>1725002750</v>
      </c>
      <c r="B287" t="s">
        <v>1623</v>
      </c>
      <c r="C287" t="s">
        <v>353</v>
      </c>
      <c r="D287">
        <v>0</v>
      </c>
      <c r="E287">
        <v>30056.5</v>
      </c>
      <c r="I287">
        <v>30056.5</v>
      </c>
      <c r="J287">
        <f>VLOOKUP(A287,'תקציב מפורט 2025'!A:O,11,FALSE)-I287</f>
        <v>-30056.5</v>
      </c>
    </row>
    <row r="288" spans="1:10" hidden="1" x14ac:dyDescent="0.2">
      <c r="A288">
        <v>1725004110</v>
      </c>
      <c r="B288" t="s">
        <v>1593</v>
      </c>
      <c r="C288" t="s">
        <v>352</v>
      </c>
      <c r="D288">
        <v>200000</v>
      </c>
      <c r="E288">
        <v>145986.46</v>
      </c>
      <c r="I288">
        <v>145986.46</v>
      </c>
      <c r="J288">
        <f>VLOOKUP(A288,'תקציב מפורט 2025'!A:O,11,FALSE)-I288</f>
        <v>0</v>
      </c>
    </row>
    <row r="289" spans="1:10" hidden="1" x14ac:dyDescent="0.2">
      <c r="A289">
        <v>1731000110</v>
      </c>
      <c r="B289" t="s">
        <v>1354</v>
      </c>
      <c r="C289" t="s">
        <v>352</v>
      </c>
      <c r="D289">
        <v>800000</v>
      </c>
      <c r="E289">
        <v>632894.38</v>
      </c>
      <c r="I289">
        <v>632894.38</v>
      </c>
      <c r="J289">
        <f>VLOOKUP(A289,'תקציב מפורט 2025'!A:O,11,FALSE)-I289</f>
        <v>0</v>
      </c>
    </row>
    <row r="290" spans="1:10" hidden="1" x14ac:dyDescent="0.2">
      <c r="A290">
        <v>1731000320</v>
      </c>
      <c r="B290" t="s">
        <v>1355</v>
      </c>
      <c r="C290" t="s">
        <v>352</v>
      </c>
      <c r="D290">
        <v>0</v>
      </c>
      <c r="E290">
        <v>3825</v>
      </c>
      <c r="I290">
        <v>3825</v>
      </c>
      <c r="J290" t="e">
        <f>VLOOKUP(A290,'תקציב מפורט 2025'!A:O,11,FALSE)-I290</f>
        <v>#N/A</v>
      </c>
    </row>
    <row r="291" spans="1:10" hidden="1" x14ac:dyDescent="0.2">
      <c r="A291">
        <v>1731000780</v>
      </c>
      <c r="B291" t="s">
        <v>1309</v>
      </c>
      <c r="C291" t="s">
        <v>353</v>
      </c>
      <c r="D291">
        <v>100000</v>
      </c>
      <c r="E291">
        <v>72688</v>
      </c>
      <c r="I291">
        <v>72688</v>
      </c>
      <c r="J291">
        <f>VLOOKUP(A291,'תקציב מפורט 2025'!A:O,11,FALSE)-I291</f>
        <v>0</v>
      </c>
    </row>
    <row r="292" spans="1:10" hidden="1" x14ac:dyDescent="0.2">
      <c r="A292">
        <v>1732100750</v>
      </c>
      <c r="B292" t="s">
        <v>1356</v>
      </c>
      <c r="C292" t="s">
        <v>353</v>
      </c>
      <c r="D292">
        <v>100000</v>
      </c>
      <c r="E292">
        <v>163510.04999999999</v>
      </c>
      <c r="I292">
        <v>163510.04999999999</v>
      </c>
      <c r="J292">
        <f>VLOOKUP(A292,'תקציב מפורט 2025'!A:O,11,FALSE)-I292</f>
        <v>0</v>
      </c>
    </row>
    <row r="293" spans="1:10" hidden="1" x14ac:dyDescent="0.2">
      <c r="A293">
        <v>1733400750</v>
      </c>
      <c r="B293" t="s">
        <v>1357</v>
      </c>
      <c r="C293" t="s">
        <v>353</v>
      </c>
      <c r="D293">
        <v>1300000</v>
      </c>
      <c r="E293">
        <v>1115000</v>
      </c>
      <c r="G293">
        <v>223000</v>
      </c>
      <c r="H293" t="s">
        <v>2198</v>
      </c>
      <c r="I293">
        <v>1338000</v>
      </c>
      <c r="J293">
        <f>VLOOKUP(A293,'תקציב מפורט 2025'!A:O,11,FALSE)-I293</f>
        <v>0</v>
      </c>
    </row>
    <row r="294" spans="1:10" hidden="1" x14ac:dyDescent="0.2">
      <c r="A294">
        <v>1741000110</v>
      </c>
      <c r="B294" t="s">
        <v>1358</v>
      </c>
      <c r="C294" t="s">
        <v>352</v>
      </c>
      <c r="D294">
        <v>350000</v>
      </c>
      <c r="E294">
        <v>224769.33</v>
      </c>
      <c r="I294">
        <v>224769.33</v>
      </c>
      <c r="J294">
        <f>VLOOKUP(A294,'תקציב מפורט 2025'!A:O,11,FALSE)-I294</f>
        <v>0</v>
      </c>
    </row>
    <row r="295" spans="1:10" hidden="1" x14ac:dyDescent="0.2">
      <c r="A295">
        <v>1741000750</v>
      </c>
      <c r="B295" t="s">
        <v>1331</v>
      </c>
      <c r="C295" t="s">
        <v>353</v>
      </c>
      <c r="D295">
        <v>50000</v>
      </c>
      <c r="E295">
        <v>27993</v>
      </c>
      <c r="I295">
        <v>27993</v>
      </c>
      <c r="J295">
        <f>VLOOKUP(A295,'תקציב מפורט 2025'!A:O,11,FALSE)-I295</f>
        <v>0</v>
      </c>
    </row>
    <row r="296" spans="1:10" hidden="1" x14ac:dyDescent="0.2">
      <c r="A296">
        <v>1741000751</v>
      </c>
      <c r="B296" t="s">
        <v>1359</v>
      </c>
      <c r="C296" t="s">
        <v>353</v>
      </c>
      <c r="D296">
        <v>200000</v>
      </c>
      <c r="E296">
        <v>457295.11</v>
      </c>
      <c r="I296">
        <v>457295.11</v>
      </c>
      <c r="J296">
        <f>VLOOKUP(A296,'תקציב מפורט 2025'!A:O,11,FALSE)-I296</f>
        <v>0</v>
      </c>
    </row>
    <row r="297" spans="1:10" hidden="1" x14ac:dyDescent="0.2">
      <c r="A297">
        <v>1742200110</v>
      </c>
      <c r="B297" t="s">
        <v>1624</v>
      </c>
      <c r="C297" t="s">
        <v>352</v>
      </c>
      <c r="D297">
        <v>0</v>
      </c>
      <c r="E297">
        <v>38332.74</v>
      </c>
      <c r="I297">
        <v>38332.74</v>
      </c>
      <c r="J297">
        <f>VLOOKUP(A297,'תקציב מפורט 2025'!A:O,11,FALSE)-I297</f>
        <v>0</v>
      </c>
    </row>
    <row r="298" spans="1:10" hidden="1" x14ac:dyDescent="0.2">
      <c r="A298">
        <v>1743000750</v>
      </c>
      <c r="B298" t="s">
        <v>1360</v>
      </c>
      <c r="C298" t="s">
        <v>353</v>
      </c>
      <c r="D298">
        <v>100000</v>
      </c>
      <c r="E298">
        <v>120563.3</v>
      </c>
      <c r="I298">
        <v>120563.3</v>
      </c>
      <c r="J298">
        <f>VLOOKUP(A298,'תקציב מפורט 2025'!A:O,11,FALSE)-I298</f>
        <v>0</v>
      </c>
    </row>
    <row r="299" spans="1:10" hidden="1" x14ac:dyDescent="0.2">
      <c r="A299">
        <v>1743000771</v>
      </c>
      <c r="B299" t="s">
        <v>1361</v>
      </c>
      <c r="C299" t="s">
        <v>353</v>
      </c>
      <c r="D299">
        <v>250000</v>
      </c>
      <c r="E299">
        <v>188393.33</v>
      </c>
      <c r="I299">
        <v>188393.33</v>
      </c>
      <c r="J299">
        <f>VLOOKUP(A299,'תקציב מפורט 2025'!A:O,11,FALSE)-I299</f>
        <v>0</v>
      </c>
    </row>
    <row r="300" spans="1:10" hidden="1" x14ac:dyDescent="0.2">
      <c r="A300">
        <v>1744000750</v>
      </c>
      <c r="B300" t="s">
        <v>1947</v>
      </c>
      <c r="C300" t="s">
        <v>353</v>
      </c>
      <c r="D300">
        <v>0</v>
      </c>
      <c r="E300">
        <v>14000</v>
      </c>
      <c r="I300">
        <v>14000</v>
      </c>
      <c r="J300">
        <f>VLOOKUP(A300,'תקציב מפורט 2025'!A:O,11,FALSE)-I300</f>
        <v>0</v>
      </c>
    </row>
    <row r="301" spans="1:10" hidden="1" x14ac:dyDescent="0.2">
      <c r="A301">
        <v>1745000830</v>
      </c>
      <c r="B301" t="s">
        <v>1362</v>
      </c>
      <c r="C301" t="s">
        <v>353</v>
      </c>
      <c r="D301">
        <v>130000</v>
      </c>
      <c r="E301">
        <v>142191</v>
      </c>
      <c r="I301">
        <v>142191</v>
      </c>
      <c r="J301">
        <f>VLOOKUP(A301,'תקציב מפורט 2025'!A:O,11,FALSE)-I301</f>
        <v>0</v>
      </c>
    </row>
    <row r="302" spans="1:10" hidden="1" x14ac:dyDescent="0.2">
      <c r="A302">
        <v>1747200110</v>
      </c>
      <c r="B302" t="s">
        <v>1363</v>
      </c>
      <c r="C302" t="s">
        <v>352</v>
      </c>
      <c r="D302">
        <v>450000</v>
      </c>
      <c r="E302">
        <v>489700.62</v>
      </c>
      <c r="I302">
        <v>489700.62</v>
      </c>
      <c r="J302">
        <f>VLOOKUP(A302,'תקציב מפורט 2025'!A:O,11,FALSE)-I302</f>
        <v>0</v>
      </c>
    </row>
    <row r="303" spans="1:10" hidden="1" x14ac:dyDescent="0.2">
      <c r="A303">
        <v>1747200431</v>
      </c>
      <c r="B303" t="s">
        <v>1364</v>
      </c>
      <c r="C303" t="s">
        <v>353</v>
      </c>
      <c r="D303">
        <v>40000</v>
      </c>
      <c r="E303">
        <v>60778.57</v>
      </c>
      <c r="I303">
        <v>60778.57</v>
      </c>
      <c r="J303">
        <f>VLOOKUP(A303,'תקציב מפורט 2025'!A:O,11,FALSE)-I303</f>
        <v>0</v>
      </c>
    </row>
    <row r="304" spans="1:10" hidden="1" x14ac:dyDescent="0.2">
      <c r="A304">
        <v>1747200432</v>
      </c>
      <c r="B304" t="s">
        <v>1365</v>
      </c>
      <c r="C304" t="s">
        <v>353</v>
      </c>
      <c r="D304">
        <v>60000</v>
      </c>
      <c r="E304">
        <v>19738.5</v>
      </c>
      <c r="I304">
        <v>19738.5</v>
      </c>
      <c r="J304">
        <f>VLOOKUP(A304,'תקציב מפורט 2025'!A:O,11,FALSE)-I304</f>
        <v>0</v>
      </c>
    </row>
    <row r="305" spans="1:10" hidden="1" x14ac:dyDescent="0.2">
      <c r="A305">
        <v>1747200433</v>
      </c>
      <c r="B305" t="s">
        <v>1366</v>
      </c>
      <c r="C305" t="s">
        <v>353</v>
      </c>
      <c r="D305">
        <v>10000</v>
      </c>
      <c r="E305">
        <v>0</v>
      </c>
      <c r="I305">
        <v>0</v>
      </c>
      <c r="J305">
        <f>VLOOKUP(A305,'תקציב מפורט 2025'!A:O,11,FALSE)-I305</f>
        <v>9000</v>
      </c>
    </row>
    <row r="306" spans="1:10" hidden="1" x14ac:dyDescent="0.2">
      <c r="A306">
        <v>1747200750</v>
      </c>
      <c r="B306" t="s">
        <v>1331</v>
      </c>
      <c r="C306" t="s">
        <v>353</v>
      </c>
      <c r="D306">
        <v>150000</v>
      </c>
      <c r="E306">
        <v>114417.5</v>
      </c>
      <c r="I306">
        <v>114417.5</v>
      </c>
      <c r="J306">
        <f>VLOOKUP(A306,'תקציב מפורט 2025'!A:O,11,FALSE)-I306</f>
        <v>0</v>
      </c>
    </row>
    <row r="307" spans="1:10" hidden="1" x14ac:dyDescent="0.2">
      <c r="A307">
        <v>1766000870</v>
      </c>
      <c r="B307" t="s">
        <v>1367</v>
      </c>
      <c r="C307" t="s">
        <v>353</v>
      </c>
      <c r="D307">
        <v>0</v>
      </c>
      <c r="E307">
        <v>167080</v>
      </c>
      <c r="I307">
        <v>167080</v>
      </c>
      <c r="J307">
        <f>VLOOKUP(A307,'תקציב מפורט 2025'!A:O,11,FALSE)-I307</f>
        <v>0</v>
      </c>
    </row>
    <row r="308" spans="1:10" hidden="1" x14ac:dyDescent="0.2">
      <c r="A308">
        <v>1767000441</v>
      </c>
      <c r="B308" t="s">
        <v>2199</v>
      </c>
      <c r="C308" t="s">
        <v>353</v>
      </c>
      <c r="D308">
        <v>1050000</v>
      </c>
      <c r="E308">
        <v>1074928</v>
      </c>
      <c r="I308">
        <v>1074928</v>
      </c>
      <c r="J308">
        <f>VLOOKUP(A308,'תקציב מפורט 2025'!A:O,11,FALSE)-I308</f>
        <v>0</v>
      </c>
    </row>
    <row r="309" spans="1:10" hidden="1" x14ac:dyDescent="0.2">
      <c r="A309">
        <v>1811000110</v>
      </c>
      <c r="B309" t="s">
        <v>1369</v>
      </c>
      <c r="C309" t="s">
        <v>355</v>
      </c>
      <c r="D309">
        <v>970000</v>
      </c>
      <c r="E309">
        <v>1009510.4</v>
      </c>
      <c r="I309">
        <v>1009510.4</v>
      </c>
      <c r="J309">
        <f>VLOOKUP(A309,'תקציב מפורט 2025'!A:O,11,FALSE)-I309</f>
        <v>0</v>
      </c>
    </row>
    <row r="310" spans="1:10" hidden="1" x14ac:dyDescent="0.2">
      <c r="A310">
        <v>1811000540</v>
      </c>
      <c r="B310" t="s">
        <v>1370</v>
      </c>
      <c r="C310" t="s">
        <v>356</v>
      </c>
      <c r="D310">
        <v>100000</v>
      </c>
      <c r="E310">
        <v>348405.1</v>
      </c>
      <c r="G310">
        <v>62826</v>
      </c>
      <c r="H310" t="s">
        <v>2200</v>
      </c>
      <c r="I310">
        <v>411231.1</v>
      </c>
      <c r="J310">
        <f>VLOOKUP(A310,'תקציב מפורט 2025'!A:O,11,FALSE)-I310</f>
        <v>0</v>
      </c>
    </row>
    <row r="311" spans="1:10" hidden="1" x14ac:dyDescent="0.2">
      <c r="A311">
        <v>1811000705</v>
      </c>
      <c r="B311" t="s">
        <v>1625</v>
      </c>
      <c r="C311" t="s">
        <v>356</v>
      </c>
      <c r="D311">
        <v>0</v>
      </c>
      <c r="E311">
        <v>0</v>
      </c>
      <c r="I311">
        <v>0</v>
      </c>
      <c r="J311" t="e">
        <f>VLOOKUP(A311,'תקציב מפורט 2025'!A:O,11,FALSE)-I311</f>
        <v>#N/A</v>
      </c>
    </row>
    <row r="312" spans="1:10" hidden="1" x14ac:dyDescent="0.2">
      <c r="A312">
        <v>1811000750</v>
      </c>
      <c r="B312" t="s">
        <v>1331</v>
      </c>
      <c r="C312" t="s">
        <v>356</v>
      </c>
      <c r="D312">
        <v>0</v>
      </c>
      <c r="E312">
        <v>71946.5</v>
      </c>
      <c r="I312">
        <v>71946.5</v>
      </c>
      <c r="J312">
        <f>VLOOKUP(A312,'תקציב מפורט 2025'!A:O,11,FALSE)-I312</f>
        <v>0</v>
      </c>
    </row>
    <row r="313" spans="1:10" hidden="1" x14ac:dyDescent="0.2">
      <c r="A313">
        <v>1811000780</v>
      </c>
      <c r="B313" t="s">
        <v>1309</v>
      </c>
      <c r="C313" t="s">
        <v>356</v>
      </c>
      <c r="D313">
        <v>0</v>
      </c>
      <c r="E313">
        <v>0</v>
      </c>
      <c r="I313">
        <v>0</v>
      </c>
      <c r="J313" t="e">
        <f>VLOOKUP(A313,'תקציב מפורט 2025'!A:O,11,FALSE)-I313</f>
        <v>#N/A</v>
      </c>
    </row>
    <row r="314" spans="1:10" hidden="1" x14ac:dyDescent="0.2">
      <c r="A314">
        <v>1811000781</v>
      </c>
      <c r="B314" t="s">
        <v>1626</v>
      </c>
      <c r="C314" t="s">
        <v>356</v>
      </c>
      <c r="D314">
        <v>15000</v>
      </c>
      <c r="E314">
        <v>15480</v>
      </c>
      <c r="I314">
        <v>15480</v>
      </c>
      <c r="J314">
        <f>VLOOKUP(A314,'תקציב מפורט 2025'!A:O,11,FALSE)-I314</f>
        <v>0</v>
      </c>
    </row>
    <row r="315" spans="1:10" hidden="1" x14ac:dyDescent="0.2">
      <c r="A315">
        <v>1811000800</v>
      </c>
      <c r="B315" t="s">
        <v>1627</v>
      </c>
      <c r="C315">
        <v>0</v>
      </c>
      <c r="D315">
        <v>0</v>
      </c>
      <c r="E315">
        <v>0</v>
      </c>
      <c r="I315">
        <v>0</v>
      </c>
      <c r="J315">
        <f>VLOOKUP(A315,'תקציב מפורט 2025'!A:O,11,FALSE)-I315</f>
        <v>0</v>
      </c>
    </row>
    <row r="316" spans="1:10" hidden="1" x14ac:dyDescent="0.2">
      <c r="A316">
        <v>1811000930</v>
      </c>
      <c r="B316" t="s">
        <v>1948</v>
      </c>
      <c r="C316" t="s">
        <v>356</v>
      </c>
      <c r="D316">
        <v>100000</v>
      </c>
      <c r="E316">
        <v>79561</v>
      </c>
      <c r="I316">
        <v>79561</v>
      </c>
      <c r="J316">
        <f>VLOOKUP(A316,'תקציב מפורט 2025'!A:O,11,FALSE)-I316</f>
        <v>0</v>
      </c>
    </row>
    <row r="317" spans="1:10" hidden="1" x14ac:dyDescent="0.2">
      <c r="A317">
        <v>1811000980</v>
      </c>
      <c r="B317" t="s">
        <v>1628</v>
      </c>
      <c r="C317" t="s">
        <v>356</v>
      </c>
      <c r="D317">
        <v>0</v>
      </c>
      <c r="E317">
        <v>1543341.15</v>
      </c>
      <c r="I317">
        <v>1543341.15</v>
      </c>
      <c r="J317">
        <f>VLOOKUP(A317,'תקציב מפורט 2025'!A:O,11,FALSE)-I317</f>
        <v>0</v>
      </c>
    </row>
    <row r="318" spans="1:10" hidden="1" x14ac:dyDescent="0.2">
      <c r="A318">
        <v>1811010930</v>
      </c>
      <c r="B318" t="s">
        <v>1629</v>
      </c>
      <c r="C318" t="s">
        <v>356</v>
      </c>
      <c r="D318">
        <v>100000</v>
      </c>
      <c r="E318">
        <v>64700</v>
      </c>
      <c r="I318">
        <v>64700</v>
      </c>
      <c r="J318">
        <f>VLOOKUP(A318,'תקציב מפורט 2025'!A:O,11,FALSE)-I318</f>
        <v>0</v>
      </c>
    </row>
    <row r="319" spans="1:10" hidden="1" x14ac:dyDescent="0.2">
      <c r="A319">
        <v>1812200110</v>
      </c>
      <c r="B319" t="s">
        <v>1371</v>
      </c>
      <c r="C319" t="s">
        <v>355</v>
      </c>
      <c r="D319">
        <v>3000000</v>
      </c>
      <c r="E319">
        <v>2893512.13</v>
      </c>
      <c r="I319">
        <v>2893512.13</v>
      </c>
      <c r="J319">
        <f>VLOOKUP(A319,'תקציב מפורט 2025'!A:O,11,FALSE)-I319</f>
        <v>85862.870000000112</v>
      </c>
    </row>
    <row r="320" spans="1:10" hidden="1" x14ac:dyDescent="0.2">
      <c r="A320">
        <v>1812200420</v>
      </c>
      <c r="B320" t="s">
        <v>1372</v>
      </c>
      <c r="C320" t="s">
        <v>356</v>
      </c>
      <c r="D320">
        <v>0</v>
      </c>
      <c r="E320">
        <v>12845</v>
      </c>
      <c r="I320">
        <v>12845</v>
      </c>
      <c r="J320">
        <f>VLOOKUP(A320,'תקציב מפורט 2025'!A:O,11,FALSE)-I320</f>
        <v>-12845</v>
      </c>
    </row>
    <row r="321" spans="1:10" hidden="1" x14ac:dyDescent="0.2">
      <c r="A321">
        <v>1812200431</v>
      </c>
      <c r="B321" t="s">
        <v>1373</v>
      </c>
      <c r="C321" t="s">
        <v>356</v>
      </c>
      <c r="D321">
        <v>30000</v>
      </c>
      <c r="E321">
        <v>56040.08</v>
      </c>
      <c r="I321">
        <v>56040.08</v>
      </c>
      <c r="J321">
        <f>VLOOKUP(A321,'תקציב מפורט 2025'!A:O,11,FALSE)-I321</f>
        <v>0</v>
      </c>
    </row>
    <row r="322" spans="1:10" hidden="1" x14ac:dyDescent="0.2">
      <c r="A322">
        <v>1812200432</v>
      </c>
      <c r="B322" t="s">
        <v>1374</v>
      </c>
      <c r="C322" t="s">
        <v>356</v>
      </c>
      <c r="D322">
        <v>50000</v>
      </c>
      <c r="E322">
        <v>0</v>
      </c>
      <c r="G322">
        <v>250000</v>
      </c>
      <c r="H322" t="s">
        <v>2201</v>
      </c>
      <c r="I322">
        <v>250000</v>
      </c>
      <c r="J322">
        <f>VLOOKUP(A322,'תקציב מפורט 2025'!A:O,11,FALSE)-I322</f>
        <v>-100000</v>
      </c>
    </row>
    <row r="323" spans="1:10" hidden="1" x14ac:dyDescent="0.2">
      <c r="A323">
        <v>1812200433</v>
      </c>
      <c r="B323" t="s">
        <v>1366</v>
      </c>
      <c r="C323" t="s">
        <v>356</v>
      </c>
      <c r="D323">
        <v>40000</v>
      </c>
      <c r="E323">
        <v>0</v>
      </c>
      <c r="I323">
        <v>0</v>
      </c>
      <c r="J323">
        <f>VLOOKUP(A323,'תקציב מפורט 2025'!A:O,11,FALSE)-I323</f>
        <v>25000</v>
      </c>
    </row>
    <row r="324" spans="1:10" hidden="1" x14ac:dyDescent="0.2">
      <c r="A324">
        <v>1812200740</v>
      </c>
      <c r="B324" t="s">
        <v>1339</v>
      </c>
      <c r="C324" t="s">
        <v>356</v>
      </c>
      <c r="D324">
        <v>40000</v>
      </c>
      <c r="E324">
        <v>12570</v>
      </c>
      <c r="I324">
        <v>12570</v>
      </c>
      <c r="J324">
        <f>VLOOKUP(A324,'תקציב מפורט 2025'!A:O,11,FALSE)-I324</f>
        <v>10000</v>
      </c>
    </row>
    <row r="325" spans="1:10" hidden="1" x14ac:dyDescent="0.2">
      <c r="A325">
        <v>1812200750</v>
      </c>
      <c r="B325" t="s">
        <v>1375</v>
      </c>
      <c r="C325" t="s">
        <v>356</v>
      </c>
      <c r="D325">
        <v>100000</v>
      </c>
      <c r="E325">
        <v>69403</v>
      </c>
      <c r="I325">
        <v>69403</v>
      </c>
      <c r="J325">
        <f>VLOOKUP(A325,'תקציב מפורט 2025'!A:O,11,FALSE)-I325</f>
        <v>0</v>
      </c>
    </row>
    <row r="326" spans="1:10" hidden="1" x14ac:dyDescent="0.2">
      <c r="A326">
        <v>1812200751</v>
      </c>
      <c r="B326" t="s">
        <v>1949</v>
      </c>
      <c r="C326" t="s">
        <v>356</v>
      </c>
      <c r="D326">
        <v>0</v>
      </c>
      <c r="E326">
        <v>66391</v>
      </c>
      <c r="I326">
        <v>66391</v>
      </c>
      <c r="J326">
        <f>VLOOKUP(A326,'תקציב מפורט 2025'!A:O,11,FALSE)-I326</f>
        <v>0</v>
      </c>
    </row>
    <row r="327" spans="1:10" hidden="1" x14ac:dyDescent="0.2">
      <c r="A327">
        <v>1812300110</v>
      </c>
      <c r="B327" t="s">
        <v>1376</v>
      </c>
      <c r="C327" t="s">
        <v>355</v>
      </c>
      <c r="D327">
        <v>7100000</v>
      </c>
      <c r="E327">
        <v>5539882.2000000002</v>
      </c>
      <c r="I327">
        <v>5539882.2000000002</v>
      </c>
      <c r="J327">
        <f>VLOOKUP(A327,'תקציב מפורט 2025'!A:O,11,FALSE)-I327</f>
        <v>0</v>
      </c>
    </row>
    <row r="328" spans="1:10" hidden="1" x14ac:dyDescent="0.2">
      <c r="A328">
        <v>1812300320</v>
      </c>
      <c r="B328" t="s">
        <v>1377</v>
      </c>
      <c r="C328" t="s">
        <v>355</v>
      </c>
      <c r="D328">
        <v>0</v>
      </c>
      <c r="E328">
        <v>70535</v>
      </c>
      <c r="I328">
        <v>70535</v>
      </c>
      <c r="J328" t="e">
        <f>VLOOKUP(A328,'תקציב מפורט 2025'!A:O,11,FALSE)-I328</f>
        <v>#N/A</v>
      </c>
    </row>
    <row r="329" spans="1:10" hidden="1" x14ac:dyDescent="0.2">
      <c r="A329">
        <v>1812300410</v>
      </c>
      <c r="B329" t="s">
        <v>1378</v>
      </c>
      <c r="C329" t="s">
        <v>356</v>
      </c>
      <c r="D329">
        <v>220000</v>
      </c>
      <c r="E329">
        <v>185766</v>
      </c>
      <c r="I329">
        <v>185766</v>
      </c>
      <c r="J329">
        <f>VLOOKUP(A329,'תקציב מפורט 2025'!A:O,11,FALSE)-I329</f>
        <v>0</v>
      </c>
    </row>
    <row r="330" spans="1:10" hidden="1" x14ac:dyDescent="0.2">
      <c r="A330">
        <v>1812300431</v>
      </c>
      <c r="B330" t="s">
        <v>1314</v>
      </c>
      <c r="C330" t="s">
        <v>356</v>
      </c>
      <c r="D330">
        <v>126000</v>
      </c>
      <c r="E330">
        <v>59517.46</v>
      </c>
      <c r="I330">
        <v>59517.46</v>
      </c>
      <c r="J330">
        <f>VLOOKUP(A330,'תקציב מפורט 2025'!A:O,11,FALSE)-I330</f>
        <v>0</v>
      </c>
    </row>
    <row r="331" spans="1:10" hidden="1" x14ac:dyDescent="0.2">
      <c r="A331">
        <v>1812300750</v>
      </c>
      <c r="B331" t="s">
        <v>1331</v>
      </c>
      <c r="C331" t="s">
        <v>356</v>
      </c>
      <c r="D331">
        <v>0</v>
      </c>
      <c r="E331">
        <v>0</v>
      </c>
      <c r="I331">
        <v>0</v>
      </c>
      <c r="J331">
        <f>VLOOKUP(A331,'תקציב מפורט 2025'!A:O,11,FALSE)-I331</f>
        <v>0</v>
      </c>
    </row>
    <row r="332" spans="1:10" hidden="1" x14ac:dyDescent="0.2">
      <c r="A332">
        <v>1812300760</v>
      </c>
      <c r="B332" t="s">
        <v>1380</v>
      </c>
      <c r="C332" t="s">
        <v>356</v>
      </c>
      <c r="D332">
        <v>4802065</v>
      </c>
      <c r="E332">
        <v>4487497.7699999996</v>
      </c>
      <c r="I332">
        <v>4487497.7699999996</v>
      </c>
      <c r="J332">
        <f>VLOOKUP(A332,'תקציב מפורט 2025'!A:O,11,FALSE)-I332</f>
        <v>0</v>
      </c>
    </row>
    <row r="333" spans="1:10" hidden="1" x14ac:dyDescent="0.2">
      <c r="A333">
        <v>1812300780</v>
      </c>
      <c r="B333" t="s">
        <v>1381</v>
      </c>
      <c r="C333" t="s">
        <v>356</v>
      </c>
      <c r="D333">
        <v>500000</v>
      </c>
      <c r="E333">
        <v>701752.03</v>
      </c>
      <c r="I333">
        <v>701752.03</v>
      </c>
      <c r="J333">
        <f>VLOOKUP(A333,'תקציב מפורט 2025'!A:O,11,FALSE)-I333</f>
        <v>0</v>
      </c>
    </row>
    <row r="334" spans="1:10" hidden="1" x14ac:dyDescent="0.2">
      <c r="A334">
        <v>1812301780</v>
      </c>
      <c r="B334" t="s">
        <v>1950</v>
      </c>
      <c r="C334" t="s">
        <v>356</v>
      </c>
      <c r="D334">
        <v>0</v>
      </c>
      <c r="E334">
        <v>52000</v>
      </c>
      <c r="I334">
        <v>52000</v>
      </c>
      <c r="J334">
        <f>VLOOKUP(A334,'תקציב מפורט 2025'!A:O,11,FALSE)-I334</f>
        <v>0</v>
      </c>
    </row>
    <row r="335" spans="1:10" hidden="1" x14ac:dyDescent="0.2">
      <c r="A335">
        <v>1812310631</v>
      </c>
      <c r="B335" t="s">
        <v>1630</v>
      </c>
      <c r="C335" t="s">
        <v>356</v>
      </c>
      <c r="D335">
        <v>0</v>
      </c>
      <c r="E335">
        <v>0</v>
      </c>
      <c r="I335">
        <v>0</v>
      </c>
      <c r="J335" t="e">
        <f>VLOOKUP(A335,'תקציב מפורט 2025'!A:O,11,FALSE)-I335</f>
        <v>#N/A</v>
      </c>
    </row>
    <row r="336" spans="1:10" hidden="1" x14ac:dyDescent="0.2">
      <c r="A336">
        <v>1812312110</v>
      </c>
      <c r="B336" t="s">
        <v>1951</v>
      </c>
      <c r="C336" t="s">
        <v>355</v>
      </c>
      <c r="D336">
        <v>0</v>
      </c>
      <c r="E336">
        <v>1668703.07</v>
      </c>
      <c r="I336">
        <v>1668703.07</v>
      </c>
      <c r="J336">
        <f>VLOOKUP(A336,'תקציב מפורט 2025'!A:O,11,FALSE)-I336</f>
        <v>0</v>
      </c>
    </row>
    <row r="337" spans="1:10" hidden="1" x14ac:dyDescent="0.2">
      <c r="A337">
        <v>1812312980</v>
      </c>
      <c r="B337" t="s">
        <v>1631</v>
      </c>
      <c r="C337" t="s">
        <v>356</v>
      </c>
      <c r="D337">
        <v>0</v>
      </c>
      <c r="E337">
        <v>11124</v>
      </c>
      <c r="I337">
        <v>11124</v>
      </c>
      <c r="J337">
        <f>VLOOKUP(A337,'תקציב מפורט 2025'!A:O,11,FALSE)-I337</f>
        <v>-11124</v>
      </c>
    </row>
    <row r="338" spans="1:10" hidden="1" x14ac:dyDescent="0.2">
      <c r="A338">
        <v>1812400110</v>
      </c>
      <c r="B338" t="s">
        <v>1511</v>
      </c>
      <c r="C338" t="s">
        <v>355</v>
      </c>
      <c r="D338">
        <v>100000</v>
      </c>
      <c r="E338">
        <v>103211.6</v>
      </c>
      <c r="I338">
        <v>103211.6</v>
      </c>
      <c r="J338">
        <f>VLOOKUP(A338,'תקציב מפורט 2025'!A:O,11,FALSE)-I338</f>
        <v>0</v>
      </c>
    </row>
    <row r="339" spans="1:10" hidden="1" x14ac:dyDescent="0.2">
      <c r="A339">
        <v>1812410780</v>
      </c>
      <c r="B339" t="s">
        <v>1512</v>
      </c>
      <c r="C339" t="s">
        <v>356</v>
      </c>
      <c r="D339">
        <v>60000</v>
      </c>
      <c r="E339">
        <v>0</v>
      </c>
      <c r="I339">
        <v>0</v>
      </c>
      <c r="J339">
        <f>VLOOKUP(A339,'תקציב מפורט 2025'!A:O,11,FALSE)-I339</f>
        <v>0</v>
      </c>
    </row>
    <row r="340" spans="1:10" hidden="1" x14ac:dyDescent="0.2">
      <c r="A340">
        <v>1812500110</v>
      </c>
      <c r="B340" t="s">
        <v>1382</v>
      </c>
      <c r="C340" t="s">
        <v>355</v>
      </c>
      <c r="D340">
        <v>165000</v>
      </c>
      <c r="E340">
        <v>168329.7</v>
      </c>
      <c r="I340">
        <v>168329.7</v>
      </c>
      <c r="J340">
        <f>VLOOKUP(A340,'תקציב מפורט 2025'!A:O,11,FALSE)-I340</f>
        <v>0</v>
      </c>
    </row>
    <row r="341" spans="1:10" hidden="1" x14ac:dyDescent="0.2">
      <c r="A341">
        <v>1812500431</v>
      </c>
      <c r="B341" t="s">
        <v>1314</v>
      </c>
      <c r="C341" t="s">
        <v>356</v>
      </c>
      <c r="D341">
        <v>40000</v>
      </c>
      <c r="E341">
        <v>4494.04</v>
      </c>
      <c r="I341">
        <v>4494.04</v>
      </c>
      <c r="J341">
        <f>VLOOKUP(A341,'תקציב מפורט 2025'!A:O,11,FALSE)-I341</f>
        <v>-4494.04</v>
      </c>
    </row>
    <row r="342" spans="1:10" hidden="1" x14ac:dyDescent="0.2">
      <c r="A342">
        <v>1813200110</v>
      </c>
      <c r="B342" t="s">
        <v>1952</v>
      </c>
      <c r="C342" t="s">
        <v>355</v>
      </c>
      <c r="D342">
        <v>0</v>
      </c>
      <c r="E342">
        <v>831.2</v>
      </c>
      <c r="I342">
        <v>831.2</v>
      </c>
      <c r="J342" t="e">
        <f>VLOOKUP(A342,'תקציב מפורט 2025'!A:O,11,FALSE)-I342</f>
        <v>#N/A</v>
      </c>
    </row>
    <row r="343" spans="1:10" hidden="1" x14ac:dyDescent="0.2">
      <c r="A343">
        <v>1813200760</v>
      </c>
      <c r="B343" t="s">
        <v>1383</v>
      </c>
      <c r="C343" t="s">
        <v>356</v>
      </c>
      <c r="D343">
        <v>1000000</v>
      </c>
      <c r="E343">
        <v>237990</v>
      </c>
      <c r="I343">
        <v>237990</v>
      </c>
      <c r="J343">
        <f>VLOOKUP(A343,'תקציב מפורט 2025'!A:O,11,FALSE)-I343</f>
        <v>0</v>
      </c>
    </row>
    <row r="344" spans="1:10" hidden="1" x14ac:dyDescent="0.2">
      <c r="A344">
        <v>1813200780</v>
      </c>
      <c r="B344" t="s">
        <v>1513</v>
      </c>
      <c r="C344" t="s">
        <v>356</v>
      </c>
      <c r="D344">
        <v>860690</v>
      </c>
      <c r="E344">
        <v>1610640.14</v>
      </c>
      <c r="G344">
        <v>441633.29</v>
      </c>
      <c r="H344" t="s">
        <v>2202</v>
      </c>
      <c r="I344">
        <v>2052273.43</v>
      </c>
      <c r="J344">
        <f>VLOOKUP(A344,'תקציב מפורט 2025'!A:O,11,FALSE)-I344</f>
        <v>0</v>
      </c>
    </row>
    <row r="345" spans="1:10" hidden="1" x14ac:dyDescent="0.2">
      <c r="A345">
        <v>1813200923</v>
      </c>
      <c r="B345" t="s">
        <v>1632</v>
      </c>
      <c r="C345" t="s">
        <v>356</v>
      </c>
      <c r="D345">
        <v>0</v>
      </c>
      <c r="E345">
        <v>0</v>
      </c>
      <c r="I345">
        <v>0</v>
      </c>
      <c r="J345" t="e">
        <f>VLOOKUP(A345,'תקציב מפורט 2025'!A:O,11,FALSE)-I345</f>
        <v>#N/A</v>
      </c>
    </row>
    <row r="346" spans="1:10" hidden="1" x14ac:dyDescent="0.2">
      <c r="A346">
        <v>1813200931</v>
      </c>
      <c r="B346" t="s">
        <v>1013</v>
      </c>
      <c r="C346" t="s">
        <v>356</v>
      </c>
      <c r="D346">
        <v>0</v>
      </c>
      <c r="E346">
        <v>499938.87</v>
      </c>
      <c r="I346">
        <v>499938.87</v>
      </c>
      <c r="J346">
        <f>VLOOKUP(A346,'תקציב מפורט 2025'!A:O,11,FALSE)-I346</f>
        <v>0</v>
      </c>
    </row>
    <row r="347" spans="1:10" hidden="1" x14ac:dyDescent="0.2">
      <c r="A347">
        <v>1813210110</v>
      </c>
      <c r="B347" t="s">
        <v>1384</v>
      </c>
      <c r="C347" t="s">
        <v>355</v>
      </c>
      <c r="D347">
        <v>700000</v>
      </c>
      <c r="E347">
        <v>764819.75</v>
      </c>
      <c r="I347">
        <v>764819.75</v>
      </c>
      <c r="J347">
        <f>VLOOKUP(A347,'תקציב מפורט 2025'!A:O,11,FALSE)-I347</f>
        <v>0</v>
      </c>
    </row>
    <row r="348" spans="1:10" hidden="1" x14ac:dyDescent="0.2">
      <c r="A348">
        <v>1813210431</v>
      </c>
      <c r="B348" t="s">
        <v>1385</v>
      </c>
      <c r="C348" t="s">
        <v>356</v>
      </c>
      <c r="D348">
        <v>50000</v>
      </c>
      <c r="E348">
        <v>4901.7700000000004</v>
      </c>
      <c r="I348">
        <v>4901.7700000000004</v>
      </c>
      <c r="J348">
        <f>VLOOKUP(A348,'תקציב מפורט 2025'!A:O,11,FALSE)-I348</f>
        <v>28498.23</v>
      </c>
    </row>
    <row r="349" spans="1:10" hidden="1" x14ac:dyDescent="0.2">
      <c r="A349">
        <v>1813210750</v>
      </c>
      <c r="B349" t="s">
        <v>1633</v>
      </c>
      <c r="C349" t="s">
        <v>356</v>
      </c>
      <c r="D349">
        <v>578487</v>
      </c>
      <c r="E349">
        <v>406625</v>
      </c>
      <c r="I349">
        <v>406625</v>
      </c>
      <c r="J349">
        <f>VLOOKUP(A349,'תקציב מפורט 2025'!A:O,11,FALSE)-I349</f>
        <v>0</v>
      </c>
    </row>
    <row r="350" spans="1:10" hidden="1" x14ac:dyDescent="0.2">
      <c r="A350">
        <v>1813210871</v>
      </c>
      <c r="B350" t="s">
        <v>1386</v>
      </c>
      <c r="C350" t="s">
        <v>356</v>
      </c>
      <c r="D350">
        <v>0</v>
      </c>
      <c r="E350">
        <v>0</v>
      </c>
      <c r="I350">
        <v>0</v>
      </c>
      <c r="J350" t="e">
        <f>VLOOKUP(A350,'תקציב מפורט 2025'!A:O,11,FALSE)-I350</f>
        <v>#N/A</v>
      </c>
    </row>
    <row r="351" spans="1:10" hidden="1" x14ac:dyDescent="0.2">
      <c r="A351">
        <v>1813210931</v>
      </c>
      <c r="B351" t="s">
        <v>1387</v>
      </c>
      <c r="C351" t="s">
        <v>356</v>
      </c>
      <c r="D351">
        <v>220000</v>
      </c>
      <c r="E351">
        <v>0</v>
      </c>
      <c r="I351">
        <v>0</v>
      </c>
      <c r="J351">
        <f>VLOOKUP(A351,'תקציב מפורט 2025'!A:O,11,FALSE)-I351</f>
        <v>180000</v>
      </c>
    </row>
    <row r="352" spans="1:10" hidden="1" x14ac:dyDescent="0.2">
      <c r="A352">
        <v>1813211750</v>
      </c>
      <c r="B352" t="s">
        <v>1634</v>
      </c>
      <c r="C352" t="s">
        <v>356</v>
      </c>
      <c r="D352">
        <v>0</v>
      </c>
      <c r="E352">
        <v>74900</v>
      </c>
      <c r="I352">
        <v>74900</v>
      </c>
      <c r="J352">
        <f>VLOOKUP(A352,'תקציב מפורט 2025'!A:O,11,FALSE)-I352</f>
        <v>-74900</v>
      </c>
    </row>
    <row r="353" spans="1:10" hidden="1" x14ac:dyDescent="0.2">
      <c r="A353">
        <v>1813212110</v>
      </c>
      <c r="B353" t="s">
        <v>1635</v>
      </c>
      <c r="C353" t="s">
        <v>355</v>
      </c>
      <c r="D353">
        <v>0</v>
      </c>
      <c r="E353">
        <v>193781.1</v>
      </c>
      <c r="I353">
        <v>193781.1</v>
      </c>
      <c r="J353">
        <f>VLOOKUP(A353,'תקציב מפורט 2025'!A:O,11,FALSE)-I353</f>
        <v>0</v>
      </c>
    </row>
    <row r="354" spans="1:10" hidden="1" x14ac:dyDescent="0.2">
      <c r="A354">
        <v>1813212750</v>
      </c>
      <c r="B354" t="s">
        <v>1636</v>
      </c>
      <c r="C354" t="s">
        <v>356</v>
      </c>
      <c r="D354">
        <v>2098221</v>
      </c>
      <c r="E354">
        <v>71800</v>
      </c>
      <c r="I354">
        <v>71800</v>
      </c>
      <c r="J354">
        <f>VLOOKUP(A354,'תקציב מפורט 2025'!A:O,11,FALSE)-I354</f>
        <v>-71800</v>
      </c>
    </row>
    <row r="355" spans="1:10" hidden="1" x14ac:dyDescent="0.2">
      <c r="A355">
        <v>1813220110</v>
      </c>
      <c r="B355" t="s">
        <v>1388</v>
      </c>
      <c r="C355" t="s">
        <v>355</v>
      </c>
      <c r="D355">
        <v>625000</v>
      </c>
      <c r="E355">
        <v>676023.67</v>
      </c>
      <c r="I355">
        <v>676023.67</v>
      </c>
      <c r="J355">
        <f>VLOOKUP(A355,'תקציב מפורט 2025'!A:O,11,FALSE)-I355</f>
        <v>0</v>
      </c>
    </row>
    <row r="356" spans="1:10" hidden="1" x14ac:dyDescent="0.2">
      <c r="A356">
        <v>1813220431</v>
      </c>
      <c r="B356" t="s">
        <v>1389</v>
      </c>
      <c r="C356" t="s">
        <v>356</v>
      </c>
      <c r="D356">
        <v>80000</v>
      </c>
      <c r="E356">
        <v>145596.93</v>
      </c>
      <c r="I356">
        <v>145596.93</v>
      </c>
      <c r="J356">
        <f>VLOOKUP(A356,'תקציב מפורט 2025'!A:O,11,FALSE)-I356</f>
        <v>0</v>
      </c>
    </row>
    <row r="357" spans="1:10" hidden="1" x14ac:dyDescent="0.2">
      <c r="A357">
        <v>1813230110</v>
      </c>
      <c r="B357" t="s">
        <v>1390</v>
      </c>
      <c r="C357" t="s">
        <v>355</v>
      </c>
      <c r="D357">
        <v>880000</v>
      </c>
      <c r="E357">
        <v>895495.71</v>
      </c>
      <c r="I357">
        <v>895495.71</v>
      </c>
      <c r="J357">
        <f>VLOOKUP(A357,'תקציב מפורט 2025'!A:O,11,FALSE)-I357</f>
        <v>0</v>
      </c>
    </row>
    <row r="358" spans="1:10" hidden="1" x14ac:dyDescent="0.2">
      <c r="A358">
        <v>1813230431</v>
      </c>
      <c r="B358" t="s">
        <v>1391</v>
      </c>
      <c r="C358" t="s">
        <v>356</v>
      </c>
      <c r="D358">
        <v>50000</v>
      </c>
      <c r="E358">
        <v>93649.67</v>
      </c>
      <c r="I358">
        <v>93649.67</v>
      </c>
      <c r="J358">
        <f>VLOOKUP(A358,'תקציב מפורט 2025'!A:O,11,FALSE)-I358</f>
        <v>0</v>
      </c>
    </row>
    <row r="359" spans="1:10" hidden="1" x14ac:dyDescent="0.2">
      <c r="A359">
        <v>1813240110</v>
      </c>
      <c r="B359" t="s">
        <v>1393</v>
      </c>
      <c r="C359" t="s">
        <v>355</v>
      </c>
      <c r="D359">
        <v>540000</v>
      </c>
      <c r="E359">
        <v>659300.05000000005</v>
      </c>
      <c r="I359">
        <v>659300.05000000005</v>
      </c>
      <c r="J359">
        <f>VLOOKUP(A359,'תקציב מפורט 2025'!A:O,11,FALSE)-I359</f>
        <v>0</v>
      </c>
    </row>
    <row r="360" spans="1:10" hidden="1" x14ac:dyDescent="0.2">
      <c r="A360">
        <v>1813250110</v>
      </c>
      <c r="B360" t="s">
        <v>1514</v>
      </c>
      <c r="C360" t="s">
        <v>355</v>
      </c>
      <c r="D360">
        <v>120000</v>
      </c>
      <c r="E360">
        <v>18678.82</v>
      </c>
      <c r="I360">
        <v>18678.82</v>
      </c>
      <c r="J360">
        <f>VLOOKUP(A360,'תקציב מפורט 2025'!A:O,11,FALSE)-I360</f>
        <v>0</v>
      </c>
    </row>
    <row r="361" spans="1:10" hidden="1" x14ac:dyDescent="0.2">
      <c r="A361">
        <v>1813251110</v>
      </c>
      <c r="B361" t="s">
        <v>1394</v>
      </c>
      <c r="C361" t="s">
        <v>355</v>
      </c>
      <c r="D361">
        <v>150000</v>
      </c>
      <c r="E361">
        <v>127521.05</v>
      </c>
      <c r="I361">
        <v>127521.05</v>
      </c>
      <c r="J361">
        <f>VLOOKUP(A361,'תקציב מפורט 2025'!A:O,11,FALSE)-I361</f>
        <v>0</v>
      </c>
    </row>
    <row r="362" spans="1:10" hidden="1" x14ac:dyDescent="0.2">
      <c r="A362">
        <v>1813300110</v>
      </c>
      <c r="B362" t="s">
        <v>1395</v>
      </c>
      <c r="C362" t="s">
        <v>355</v>
      </c>
      <c r="D362">
        <v>2300000</v>
      </c>
      <c r="E362">
        <v>2367215.84</v>
      </c>
      <c r="I362">
        <v>2367215.84</v>
      </c>
      <c r="J362">
        <f>VLOOKUP(A362,'תקציב מפורט 2025'!A:O,11,FALSE)-I362</f>
        <v>0</v>
      </c>
    </row>
    <row r="363" spans="1:10" hidden="1" x14ac:dyDescent="0.2">
      <c r="A363">
        <v>1813300431</v>
      </c>
      <c r="B363" t="s">
        <v>1396</v>
      </c>
      <c r="C363" t="s">
        <v>356</v>
      </c>
      <c r="D363">
        <v>40000</v>
      </c>
      <c r="E363">
        <v>44994.69</v>
      </c>
      <c r="I363">
        <v>44994.69</v>
      </c>
      <c r="J363">
        <f>VLOOKUP(A363,'תקציב מפורט 2025'!A:O,11,FALSE)-I363</f>
        <v>0</v>
      </c>
    </row>
    <row r="364" spans="1:10" hidden="1" x14ac:dyDescent="0.2">
      <c r="A364">
        <v>1813300780</v>
      </c>
      <c r="B364" t="s">
        <v>1309</v>
      </c>
      <c r="C364" t="s">
        <v>356</v>
      </c>
      <c r="D364">
        <v>0</v>
      </c>
      <c r="E364">
        <v>0</v>
      </c>
      <c r="I364">
        <v>0</v>
      </c>
      <c r="J364" t="e">
        <f>VLOOKUP(A364,'תקציב מפורט 2025'!A:O,11,FALSE)-I364</f>
        <v>#N/A</v>
      </c>
    </row>
    <row r="365" spans="1:10" hidden="1" x14ac:dyDescent="0.2">
      <c r="A365">
        <v>1813300870</v>
      </c>
      <c r="B365" t="s">
        <v>1013</v>
      </c>
      <c r="C365">
        <v>0</v>
      </c>
      <c r="D365">
        <v>0</v>
      </c>
      <c r="E365">
        <v>0</v>
      </c>
      <c r="I365">
        <v>0</v>
      </c>
      <c r="J365">
        <f>VLOOKUP(A365,'תקציב מפורט 2025'!A:O,11,FALSE)-I365</f>
        <v>0</v>
      </c>
    </row>
    <row r="366" spans="1:10" hidden="1" x14ac:dyDescent="0.2">
      <c r="A366">
        <v>1813303760</v>
      </c>
      <c r="B366" t="s">
        <v>1953</v>
      </c>
      <c r="C366" t="s">
        <v>356</v>
      </c>
      <c r="D366">
        <v>0</v>
      </c>
      <c r="E366">
        <v>24864</v>
      </c>
      <c r="I366">
        <v>24864</v>
      </c>
      <c r="J366">
        <f>VLOOKUP(A366,'תקציב מפורט 2025'!A:O,11,FALSE)-I366</f>
        <v>-24864</v>
      </c>
    </row>
    <row r="367" spans="1:10" hidden="1" x14ac:dyDescent="0.2">
      <c r="A367">
        <v>1813403760</v>
      </c>
      <c r="B367" t="s">
        <v>1637</v>
      </c>
      <c r="C367" t="s">
        <v>356</v>
      </c>
      <c r="D367">
        <v>0</v>
      </c>
      <c r="E367">
        <v>0</v>
      </c>
      <c r="I367">
        <v>0</v>
      </c>
      <c r="J367" t="e">
        <f>VLOOKUP(A367,'תקציב מפורט 2025'!A:O,11,FALSE)-I367</f>
        <v>#N/A</v>
      </c>
    </row>
    <row r="368" spans="1:10" hidden="1" x14ac:dyDescent="0.2">
      <c r="A368">
        <v>1813800110</v>
      </c>
      <c r="B368" t="s">
        <v>1397</v>
      </c>
      <c r="C368" t="s">
        <v>355</v>
      </c>
      <c r="D368">
        <v>0</v>
      </c>
      <c r="E368">
        <v>182185.13</v>
      </c>
      <c r="I368">
        <v>182185.13</v>
      </c>
      <c r="J368">
        <f>VLOOKUP(A368,'תקציב מפורט 2025'!A:O,11,FALSE)-I368</f>
        <v>0</v>
      </c>
    </row>
    <row r="369" spans="1:10" hidden="1" x14ac:dyDescent="0.2">
      <c r="A369">
        <v>1813810110</v>
      </c>
      <c r="B369" t="s">
        <v>1398</v>
      </c>
      <c r="C369" t="s">
        <v>355</v>
      </c>
      <c r="D369">
        <v>0</v>
      </c>
      <c r="E369">
        <v>858273.65</v>
      </c>
      <c r="I369">
        <v>858273.65</v>
      </c>
      <c r="J369">
        <f>VLOOKUP(A369,'תקציב מפורט 2025'!A:O,11,FALSE)-I369</f>
        <v>0</v>
      </c>
    </row>
    <row r="370" spans="1:10" hidden="1" x14ac:dyDescent="0.2">
      <c r="A370">
        <v>1814000110</v>
      </c>
      <c r="B370" t="s">
        <v>1399</v>
      </c>
      <c r="C370" t="s">
        <v>355</v>
      </c>
      <c r="D370">
        <v>1480000</v>
      </c>
      <c r="E370">
        <v>1408206.31</v>
      </c>
      <c r="I370">
        <v>1408206.31</v>
      </c>
      <c r="J370">
        <f>VLOOKUP(A370,'תקציב מפורט 2025'!A:O,11,FALSE)-I370</f>
        <v>0</v>
      </c>
    </row>
    <row r="371" spans="1:10" hidden="1" x14ac:dyDescent="0.2">
      <c r="A371">
        <v>1814000320</v>
      </c>
      <c r="B371" t="s">
        <v>1954</v>
      </c>
      <c r="C371" t="s">
        <v>355</v>
      </c>
      <c r="D371">
        <v>0</v>
      </c>
      <c r="E371">
        <v>4226</v>
      </c>
      <c r="I371">
        <v>4226</v>
      </c>
      <c r="J371" t="e">
        <f>VLOOKUP(A371,'תקציב מפורט 2025'!A:O,11,FALSE)-I371</f>
        <v>#N/A</v>
      </c>
    </row>
    <row r="372" spans="1:10" hidden="1" x14ac:dyDescent="0.2">
      <c r="A372">
        <v>1814000431</v>
      </c>
      <c r="B372" t="s">
        <v>1400</v>
      </c>
      <c r="C372" t="s">
        <v>356</v>
      </c>
      <c r="D372">
        <v>70000</v>
      </c>
      <c r="E372">
        <v>114685.24</v>
      </c>
      <c r="I372">
        <v>114685.24</v>
      </c>
      <c r="J372">
        <f>VLOOKUP(A372,'תקציב מפורט 2025'!A:O,11,FALSE)-I372</f>
        <v>0</v>
      </c>
    </row>
    <row r="373" spans="1:10" hidden="1" x14ac:dyDescent="0.2">
      <c r="A373">
        <v>1814000750</v>
      </c>
      <c r="B373" t="s">
        <v>1401</v>
      </c>
      <c r="C373" t="s">
        <v>356</v>
      </c>
      <c r="D373">
        <v>0</v>
      </c>
      <c r="E373">
        <v>120386</v>
      </c>
      <c r="I373">
        <v>120386</v>
      </c>
      <c r="J373">
        <f>VLOOKUP(A373,'תקציב מפורט 2025'!A:O,11,FALSE)-I373</f>
        <v>0</v>
      </c>
    </row>
    <row r="374" spans="1:10" hidden="1" x14ac:dyDescent="0.2">
      <c r="A374">
        <v>1814000780</v>
      </c>
      <c r="B374" t="s">
        <v>1402</v>
      </c>
      <c r="C374" t="s">
        <v>356</v>
      </c>
      <c r="D374">
        <v>10000</v>
      </c>
      <c r="E374">
        <v>19975</v>
      </c>
      <c r="I374">
        <v>19975</v>
      </c>
      <c r="J374">
        <f>VLOOKUP(A374,'תקציב מפורט 2025'!A:O,11,FALSE)-I374</f>
        <v>0</v>
      </c>
    </row>
    <row r="375" spans="1:10" hidden="1" x14ac:dyDescent="0.2">
      <c r="A375">
        <v>1814000870</v>
      </c>
      <c r="B375" t="s">
        <v>1403</v>
      </c>
      <c r="C375" t="s">
        <v>356</v>
      </c>
      <c r="D375">
        <v>25000</v>
      </c>
      <c r="E375">
        <v>0</v>
      </c>
      <c r="I375">
        <v>0</v>
      </c>
      <c r="J375">
        <f>VLOOKUP(A375,'תקציב מפורט 2025'!A:O,11,FALSE)-I375</f>
        <v>0</v>
      </c>
    </row>
    <row r="376" spans="1:10" hidden="1" x14ac:dyDescent="0.2">
      <c r="A376">
        <v>1815200110</v>
      </c>
      <c r="B376" t="s">
        <v>1404</v>
      </c>
      <c r="C376" t="s">
        <v>355</v>
      </c>
      <c r="D376">
        <v>15250000</v>
      </c>
      <c r="E376">
        <v>16038019.67</v>
      </c>
      <c r="I376">
        <v>16038019.67</v>
      </c>
      <c r="J376">
        <f>VLOOKUP(A376,'תקציב מפורט 2025'!A:O,11,FALSE)-I376</f>
        <v>0</v>
      </c>
    </row>
    <row r="377" spans="1:10" hidden="1" x14ac:dyDescent="0.2">
      <c r="A377">
        <v>1815200320</v>
      </c>
      <c r="B377" t="s">
        <v>1313</v>
      </c>
      <c r="C377" t="s">
        <v>355</v>
      </c>
      <c r="D377">
        <v>0</v>
      </c>
      <c r="E377">
        <v>2582</v>
      </c>
      <c r="I377">
        <v>2582</v>
      </c>
      <c r="J377" t="e">
        <f>VLOOKUP(A377,'תקציב מפורט 2025'!A:O,11,FALSE)-I377</f>
        <v>#N/A</v>
      </c>
    </row>
    <row r="378" spans="1:10" hidden="1" x14ac:dyDescent="0.2">
      <c r="A378">
        <v>1815200434</v>
      </c>
      <c r="B378" t="s">
        <v>2203</v>
      </c>
      <c r="C378" t="s">
        <v>356</v>
      </c>
      <c r="D378">
        <v>2300000</v>
      </c>
      <c r="E378">
        <v>2058913.15</v>
      </c>
      <c r="G378">
        <v>156506.23000000001</v>
      </c>
      <c r="H378" t="s">
        <v>2204</v>
      </c>
      <c r="I378">
        <v>2215419.38</v>
      </c>
      <c r="J378">
        <f>VLOOKUP(A378,'תקציב מפורט 2025'!A:O,11,FALSE)-I378</f>
        <v>469404</v>
      </c>
    </row>
    <row r="379" spans="1:10" hidden="1" x14ac:dyDescent="0.2">
      <c r="A379">
        <v>1815200750</v>
      </c>
      <c r="B379" t="s">
        <v>1406</v>
      </c>
      <c r="C379" t="s">
        <v>356</v>
      </c>
      <c r="D379">
        <v>300000</v>
      </c>
      <c r="E379">
        <v>677540.15</v>
      </c>
      <c r="G379">
        <v>-208136</v>
      </c>
      <c r="H379" t="s">
        <v>2205</v>
      </c>
      <c r="I379">
        <v>469404.15</v>
      </c>
      <c r="J379">
        <f>VLOOKUP(A379,'תקציב מפורט 2025'!A:O,11,FALSE)-I379</f>
        <v>-469404.15</v>
      </c>
    </row>
    <row r="380" spans="1:10" hidden="1" x14ac:dyDescent="0.2">
      <c r="A380">
        <v>1815200751</v>
      </c>
      <c r="B380" t="s">
        <v>1955</v>
      </c>
      <c r="C380" t="s">
        <v>356</v>
      </c>
      <c r="D380">
        <v>1000000</v>
      </c>
      <c r="E380">
        <v>1120766.4099999999</v>
      </c>
      <c r="G380">
        <v>100000</v>
      </c>
      <c r="H380" t="s">
        <v>2206</v>
      </c>
      <c r="I380">
        <v>1220766.4099999999</v>
      </c>
      <c r="J380">
        <f>VLOOKUP(A380,'תקציב מפורט 2025'!A:O,11,FALSE)-I380</f>
        <v>0</v>
      </c>
    </row>
    <row r="381" spans="1:10" hidden="1" x14ac:dyDescent="0.2">
      <c r="A381">
        <v>1815200760</v>
      </c>
      <c r="B381" t="s">
        <v>1407</v>
      </c>
      <c r="C381" t="s">
        <v>356</v>
      </c>
      <c r="D381">
        <v>150000</v>
      </c>
      <c r="E381">
        <v>105350.39999999999</v>
      </c>
      <c r="I381">
        <v>105350.39999999999</v>
      </c>
      <c r="J381">
        <f>VLOOKUP(A381,'תקציב מפורט 2025'!A:O,11,FALSE)-I381</f>
        <v>0</v>
      </c>
    </row>
    <row r="382" spans="1:10" hidden="1" x14ac:dyDescent="0.2">
      <c r="A382">
        <v>1815200780</v>
      </c>
      <c r="B382" t="s">
        <v>1408</v>
      </c>
      <c r="C382" t="s">
        <v>356</v>
      </c>
      <c r="D382">
        <v>0</v>
      </c>
      <c r="E382">
        <v>53420.01</v>
      </c>
      <c r="I382">
        <v>53420.01</v>
      </c>
      <c r="J382">
        <f>VLOOKUP(A382,'תקציב מפורט 2025'!A:O,11,FALSE)-I382</f>
        <v>0</v>
      </c>
    </row>
    <row r="383" spans="1:10" hidden="1" x14ac:dyDescent="0.2">
      <c r="A383">
        <v>1815201110</v>
      </c>
      <c r="B383" t="s">
        <v>1638</v>
      </c>
      <c r="C383" t="s">
        <v>355</v>
      </c>
      <c r="D383">
        <v>200000</v>
      </c>
      <c r="E383">
        <v>0</v>
      </c>
      <c r="I383">
        <v>0</v>
      </c>
      <c r="J383">
        <f>VLOOKUP(A383,'תקציב מפורט 2025'!A:O,11,FALSE)-I383</f>
        <v>0</v>
      </c>
    </row>
    <row r="384" spans="1:10" hidden="1" x14ac:dyDescent="0.2">
      <c r="A384">
        <v>1815201750</v>
      </c>
      <c r="B384" t="s">
        <v>2207</v>
      </c>
      <c r="C384" t="s">
        <v>356</v>
      </c>
      <c r="D384">
        <v>40000</v>
      </c>
      <c r="E384">
        <v>0</v>
      </c>
      <c r="I384">
        <v>0</v>
      </c>
      <c r="J384">
        <f>VLOOKUP(A384,'תקציב מפורט 2025'!A:O,11,FALSE)-I384</f>
        <v>0</v>
      </c>
    </row>
    <row r="385" spans="1:10" hidden="1" x14ac:dyDescent="0.2">
      <c r="A385">
        <v>1815202750</v>
      </c>
      <c r="B385" t="s">
        <v>1241</v>
      </c>
      <c r="C385" t="s">
        <v>356</v>
      </c>
      <c r="D385">
        <v>0</v>
      </c>
      <c r="E385">
        <v>0</v>
      </c>
      <c r="I385">
        <v>0</v>
      </c>
      <c r="J385" t="e">
        <f>VLOOKUP(A385,'תקציב מפורט 2025'!A:O,11,FALSE)-I385</f>
        <v>#N/A</v>
      </c>
    </row>
    <row r="386" spans="1:10" hidden="1" x14ac:dyDescent="0.2">
      <c r="A386">
        <v>1815203780</v>
      </c>
      <c r="B386" t="s">
        <v>1212</v>
      </c>
      <c r="C386" t="s">
        <v>356</v>
      </c>
      <c r="D386">
        <v>0</v>
      </c>
      <c r="E386">
        <v>0</v>
      </c>
      <c r="I386">
        <v>0</v>
      </c>
      <c r="J386" t="e">
        <f>VLOOKUP(A386,'תקציב מפורט 2025'!A:O,11,FALSE)-I386</f>
        <v>#N/A</v>
      </c>
    </row>
    <row r="387" spans="1:10" hidden="1" x14ac:dyDescent="0.2">
      <c r="A387">
        <v>1815210780</v>
      </c>
      <c r="B387" t="s">
        <v>1956</v>
      </c>
      <c r="C387" t="s">
        <v>356</v>
      </c>
      <c r="D387">
        <v>0</v>
      </c>
      <c r="E387">
        <v>237342</v>
      </c>
      <c r="I387">
        <v>237342</v>
      </c>
      <c r="J387">
        <f>VLOOKUP(A387,'תקציב מפורט 2025'!A:O,11,FALSE)-I387</f>
        <v>0</v>
      </c>
    </row>
    <row r="388" spans="1:10" hidden="1" x14ac:dyDescent="0.2">
      <c r="A388">
        <v>1815220110</v>
      </c>
      <c r="B388" t="s">
        <v>1957</v>
      </c>
      <c r="C388" t="s">
        <v>355</v>
      </c>
      <c r="D388">
        <v>0</v>
      </c>
      <c r="E388">
        <v>439194.08</v>
      </c>
      <c r="I388">
        <v>439194.08</v>
      </c>
      <c r="J388">
        <f>VLOOKUP(A388,'תקציב מפורט 2025'!A:O,11,FALSE)-I388</f>
        <v>0</v>
      </c>
    </row>
    <row r="389" spans="1:10" hidden="1" x14ac:dyDescent="0.2">
      <c r="A389">
        <v>1815220420</v>
      </c>
      <c r="B389" t="s">
        <v>1602</v>
      </c>
      <c r="C389" t="s">
        <v>356</v>
      </c>
      <c r="D389">
        <v>0</v>
      </c>
      <c r="E389">
        <v>0</v>
      </c>
      <c r="I389">
        <v>0</v>
      </c>
      <c r="J389" t="e">
        <f>VLOOKUP(A389,'תקציב מפורט 2025'!A:O,11,FALSE)-I389</f>
        <v>#N/A</v>
      </c>
    </row>
    <row r="390" spans="1:10" hidden="1" x14ac:dyDescent="0.2">
      <c r="A390">
        <v>1815700760</v>
      </c>
      <c r="B390" t="s">
        <v>1409</v>
      </c>
      <c r="C390" t="s">
        <v>356</v>
      </c>
      <c r="D390">
        <v>850000</v>
      </c>
      <c r="E390">
        <v>1163974</v>
      </c>
      <c r="G390">
        <v>173330</v>
      </c>
      <c r="H390" t="s">
        <v>2202</v>
      </c>
      <c r="I390">
        <v>1337304</v>
      </c>
      <c r="J390">
        <f>VLOOKUP(A390,'תקציב מפורט 2025'!A:O,11,FALSE)-I390</f>
        <v>0</v>
      </c>
    </row>
    <row r="391" spans="1:10" hidden="1" x14ac:dyDescent="0.2">
      <c r="A391">
        <v>1817300110</v>
      </c>
      <c r="B391" t="s">
        <v>1410</v>
      </c>
      <c r="C391" t="s">
        <v>355</v>
      </c>
      <c r="D391">
        <v>110000</v>
      </c>
      <c r="E391">
        <v>1229414.24</v>
      </c>
      <c r="I391">
        <v>1229414.24</v>
      </c>
      <c r="J391">
        <f>VLOOKUP(A391,'תקציב מפורט 2025'!A:O,11,FALSE)-I391</f>
        <v>500000</v>
      </c>
    </row>
    <row r="392" spans="1:10" hidden="1" x14ac:dyDescent="0.2">
      <c r="A392">
        <v>1817301750</v>
      </c>
      <c r="B392" t="s">
        <v>1411</v>
      </c>
      <c r="C392" t="s">
        <v>356</v>
      </c>
      <c r="D392">
        <v>50000</v>
      </c>
      <c r="E392">
        <v>0</v>
      </c>
      <c r="I392">
        <v>0</v>
      </c>
      <c r="J392">
        <f>VLOOKUP(A392,'תקציב מפורט 2025'!A:O,11,FALSE)-I392</f>
        <v>0</v>
      </c>
    </row>
    <row r="393" spans="1:10" hidden="1" x14ac:dyDescent="0.2">
      <c r="A393">
        <v>1817500441</v>
      </c>
      <c r="B393" t="s">
        <v>1412</v>
      </c>
      <c r="C393" t="s">
        <v>356</v>
      </c>
      <c r="D393">
        <v>370000</v>
      </c>
      <c r="E393">
        <v>365000</v>
      </c>
      <c r="I393">
        <v>365000</v>
      </c>
      <c r="J393">
        <f>VLOOKUP(A393,'תקציב מפורט 2025'!A:O,11,FALSE)-I393</f>
        <v>0</v>
      </c>
    </row>
    <row r="394" spans="1:10" hidden="1" x14ac:dyDescent="0.2">
      <c r="A394">
        <v>1817600110</v>
      </c>
      <c r="B394" t="s">
        <v>1234</v>
      </c>
      <c r="C394" t="s">
        <v>355</v>
      </c>
      <c r="D394">
        <v>92874</v>
      </c>
      <c r="E394">
        <v>89329.3</v>
      </c>
      <c r="I394">
        <v>89329.3</v>
      </c>
      <c r="J394">
        <f>VLOOKUP(A394,'תקציב מפורט 2025'!A:O,11,FALSE)-I394</f>
        <v>0</v>
      </c>
    </row>
    <row r="395" spans="1:10" hidden="1" x14ac:dyDescent="0.2">
      <c r="A395">
        <v>1817600431</v>
      </c>
      <c r="B395" t="s">
        <v>1314</v>
      </c>
      <c r="C395" t="s">
        <v>356</v>
      </c>
      <c r="D395">
        <v>33000</v>
      </c>
      <c r="E395">
        <v>0</v>
      </c>
      <c r="I395">
        <v>0</v>
      </c>
      <c r="J395">
        <f>VLOOKUP(A395,'תקציב מפורט 2025'!A:O,11,FALSE)-I395</f>
        <v>27000</v>
      </c>
    </row>
    <row r="396" spans="1:10" hidden="1" x14ac:dyDescent="0.2">
      <c r="A396">
        <v>1817600750</v>
      </c>
      <c r="B396" t="s">
        <v>1233</v>
      </c>
      <c r="C396" t="s">
        <v>356</v>
      </c>
      <c r="D396">
        <v>95874</v>
      </c>
      <c r="E396">
        <v>55963.83</v>
      </c>
      <c r="I396">
        <v>55963.83</v>
      </c>
      <c r="J396">
        <f>VLOOKUP(A396,'תקציב מפורט 2025'!A:O,11,FALSE)-I396</f>
        <v>0</v>
      </c>
    </row>
    <row r="397" spans="1:10" hidden="1" x14ac:dyDescent="0.2">
      <c r="A397">
        <v>1817600780</v>
      </c>
      <c r="B397" t="s">
        <v>1413</v>
      </c>
      <c r="C397" t="s">
        <v>356</v>
      </c>
      <c r="D397">
        <v>9000</v>
      </c>
      <c r="E397">
        <v>5500</v>
      </c>
      <c r="I397">
        <v>5500</v>
      </c>
      <c r="J397">
        <f>VLOOKUP(A397,'תקציב מפורט 2025'!A:O,11,FALSE)-I397</f>
        <v>0</v>
      </c>
    </row>
    <row r="398" spans="1:10" hidden="1" x14ac:dyDescent="0.2">
      <c r="A398">
        <v>1817601750</v>
      </c>
      <c r="B398" t="s">
        <v>1232</v>
      </c>
      <c r="C398" t="s">
        <v>356</v>
      </c>
      <c r="D398">
        <v>255237</v>
      </c>
      <c r="E398">
        <v>93246</v>
      </c>
      <c r="I398">
        <v>93246</v>
      </c>
      <c r="J398">
        <f>VLOOKUP(A398,'תקציב מפורט 2025'!A:O,11,FALSE)-I398</f>
        <v>0</v>
      </c>
    </row>
    <row r="399" spans="1:10" hidden="1" x14ac:dyDescent="0.2">
      <c r="A399">
        <v>1817602110</v>
      </c>
      <c r="B399" t="s">
        <v>1414</v>
      </c>
      <c r="C399" t="s">
        <v>355</v>
      </c>
      <c r="D399">
        <v>50000</v>
      </c>
      <c r="E399">
        <v>75336.86</v>
      </c>
      <c r="I399">
        <v>75336.86</v>
      </c>
      <c r="J399">
        <f>VLOOKUP(A399,'תקציב מפורט 2025'!A:O,11,FALSE)-I399</f>
        <v>0</v>
      </c>
    </row>
    <row r="400" spans="1:10" hidden="1" x14ac:dyDescent="0.2">
      <c r="A400">
        <v>1817610110</v>
      </c>
      <c r="B400" t="s">
        <v>1415</v>
      </c>
      <c r="C400" t="s">
        <v>355</v>
      </c>
      <c r="D400">
        <v>100000</v>
      </c>
      <c r="E400">
        <v>192832.4</v>
      </c>
      <c r="I400">
        <v>192832.4</v>
      </c>
      <c r="J400">
        <f>VLOOKUP(A400,'תקציב מפורט 2025'!A:O,11,FALSE)-I400</f>
        <v>0</v>
      </c>
    </row>
    <row r="401" spans="1:10" hidden="1" x14ac:dyDescent="0.2">
      <c r="A401">
        <v>1817710870</v>
      </c>
      <c r="B401" t="s">
        <v>1639</v>
      </c>
      <c r="C401" t="s">
        <v>356</v>
      </c>
      <c r="D401">
        <v>200000</v>
      </c>
      <c r="E401">
        <v>0</v>
      </c>
      <c r="I401">
        <v>0</v>
      </c>
      <c r="J401">
        <f>VLOOKUP(A401,'תקציב מפורט 2025'!A:O,11,FALSE)-I401</f>
        <v>0</v>
      </c>
    </row>
    <row r="402" spans="1:10" hidden="1" x14ac:dyDescent="0.2">
      <c r="A402">
        <v>1817720110</v>
      </c>
      <c r="B402" t="s">
        <v>1515</v>
      </c>
      <c r="C402" t="s">
        <v>355</v>
      </c>
      <c r="D402">
        <v>0</v>
      </c>
      <c r="E402">
        <v>44677.36</v>
      </c>
      <c r="I402">
        <v>44677.36</v>
      </c>
      <c r="J402">
        <f>VLOOKUP(A402,'תקציב מפורט 2025'!A:O,11,FALSE)-I402</f>
        <v>0</v>
      </c>
    </row>
    <row r="403" spans="1:10" hidden="1" x14ac:dyDescent="0.2">
      <c r="A403">
        <v>1817720720</v>
      </c>
      <c r="B403" t="s">
        <v>1516</v>
      </c>
      <c r="C403" t="s">
        <v>356</v>
      </c>
      <c r="D403">
        <v>0</v>
      </c>
      <c r="E403">
        <v>0</v>
      </c>
      <c r="I403">
        <v>0</v>
      </c>
      <c r="J403">
        <f>VLOOKUP(A403,'תקציב מפורט 2025'!A:O,11,FALSE)-I403</f>
        <v>0</v>
      </c>
    </row>
    <row r="404" spans="1:10" hidden="1" x14ac:dyDescent="0.2">
      <c r="A404">
        <v>1817800110</v>
      </c>
      <c r="B404" t="s">
        <v>1416</v>
      </c>
      <c r="C404" t="s">
        <v>355</v>
      </c>
      <c r="D404">
        <v>1200000</v>
      </c>
      <c r="E404">
        <v>1431125.11</v>
      </c>
      <c r="I404">
        <v>1431125.11</v>
      </c>
      <c r="J404">
        <f>VLOOKUP(A404,'תקציב מפורט 2025'!A:O,11,FALSE)-I404</f>
        <v>-744125.1100000001</v>
      </c>
    </row>
    <row r="405" spans="1:10" hidden="1" x14ac:dyDescent="0.2">
      <c r="A405">
        <v>1817800710</v>
      </c>
      <c r="B405" t="s">
        <v>1237</v>
      </c>
      <c r="C405" t="s">
        <v>356</v>
      </c>
      <c r="D405">
        <v>2600000</v>
      </c>
      <c r="E405">
        <v>1996568.71</v>
      </c>
      <c r="G405">
        <v>400000</v>
      </c>
      <c r="H405" t="s">
        <v>2208</v>
      </c>
      <c r="I405">
        <v>2396568.71</v>
      </c>
      <c r="J405">
        <f>VLOOKUP(A405,'תקציב מפורט 2025'!A:O,11,FALSE)-I405</f>
        <v>0</v>
      </c>
    </row>
    <row r="406" spans="1:10" hidden="1" x14ac:dyDescent="0.2">
      <c r="A406">
        <v>1817801750</v>
      </c>
      <c r="B406" t="s">
        <v>1640</v>
      </c>
      <c r="C406" t="s">
        <v>356</v>
      </c>
      <c r="D406">
        <v>1400000</v>
      </c>
      <c r="E406">
        <v>1238092.55</v>
      </c>
      <c r="G406">
        <v>290000</v>
      </c>
      <c r="H406" t="s">
        <v>2209</v>
      </c>
      <c r="I406">
        <v>1528092.55</v>
      </c>
      <c r="J406">
        <f>VLOOKUP(A406,'תקציב מפורט 2025'!A:O,11,FALSE)-I406</f>
        <v>0</v>
      </c>
    </row>
    <row r="407" spans="1:10" hidden="1" x14ac:dyDescent="0.2">
      <c r="A407">
        <v>1817900110</v>
      </c>
      <c r="B407" t="s">
        <v>1417</v>
      </c>
      <c r="C407" t="s">
        <v>355</v>
      </c>
      <c r="D407">
        <v>680000</v>
      </c>
      <c r="E407">
        <v>374727.87</v>
      </c>
      <c r="I407">
        <v>374727.87</v>
      </c>
      <c r="J407">
        <f>VLOOKUP(A407,'תקציב מפורט 2025'!A:O,11,FALSE)-I407</f>
        <v>0</v>
      </c>
    </row>
    <row r="408" spans="1:10" hidden="1" x14ac:dyDescent="0.2">
      <c r="A408">
        <v>1817900320</v>
      </c>
      <c r="B408" t="s">
        <v>1418</v>
      </c>
      <c r="C408" t="s">
        <v>355</v>
      </c>
      <c r="D408">
        <v>0</v>
      </c>
      <c r="E408">
        <v>0</v>
      </c>
      <c r="I408">
        <v>0</v>
      </c>
      <c r="J408">
        <f>VLOOKUP(A408,'תקציב מפורט 2025'!A:O,11,FALSE)-I408</f>
        <v>0</v>
      </c>
    </row>
    <row r="409" spans="1:10" hidden="1" x14ac:dyDescent="0.2">
      <c r="A409">
        <v>1817905110</v>
      </c>
      <c r="B409" t="s">
        <v>1419</v>
      </c>
      <c r="C409" t="s">
        <v>355</v>
      </c>
      <c r="D409">
        <v>900000</v>
      </c>
      <c r="E409">
        <v>1043520.85</v>
      </c>
      <c r="I409">
        <v>1043520.85</v>
      </c>
      <c r="J409">
        <f>VLOOKUP(A409,'תקציב מפורט 2025'!A:O,11,FALSE)-I409</f>
        <v>0</v>
      </c>
    </row>
    <row r="410" spans="1:10" hidden="1" x14ac:dyDescent="0.2">
      <c r="A410">
        <v>1817910110</v>
      </c>
      <c r="B410" t="s">
        <v>1420</v>
      </c>
      <c r="C410" t="s">
        <v>355</v>
      </c>
      <c r="D410">
        <v>0</v>
      </c>
      <c r="E410">
        <v>211185.4</v>
      </c>
      <c r="I410">
        <v>211185.4</v>
      </c>
      <c r="J410">
        <f>VLOOKUP(A410,'תקציב מפורט 2025'!A:O,11,FALSE)-I410</f>
        <v>0</v>
      </c>
    </row>
    <row r="411" spans="1:10" hidden="1" x14ac:dyDescent="0.2">
      <c r="A411">
        <v>1817910810</v>
      </c>
      <c r="B411" t="s">
        <v>1421</v>
      </c>
      <c r="C411" t="s">
        <v>356</v>
      </c>
      <c r="D411">
        <v>1500000</v>
      </c>
      <c r="E411">
        <v>1040560.31</v>
      </c>
      <c r="I411">
        <v>1040560.31</v>
      </c>
      <c r="J411">
        <f>VLOOKUP(A411,'תקציב מפורט 2025'!A:O,11,FALSE)-I411</f>
        <v>0</v>
      </c>
    </row>
    <row r="412" spans="1:10" hidden="1" x14ac:dyDescent="0.2">
      <c r="A412">
        <v>1817911110</v>
      </c>
      <c r="B412" t="s">
        <v>1422</v>
      </c>
      <c r="C412" t="s">
        <v>355</v>
      </c>
      <c r="D412">
        <v>0</v>
      </c>
      <c r="E412">
        <v>11271.59</v>
      </c>
      <c r="I412">
        <v>11271.59</v>
      </c>
      <c r="J412">
        <f>VLOOKUP(A412,'תקציב מפורט 2025'!A:O,11,FALSE)-I412</f>
        <v>-11271.59</v>
      </c>
    </row>
    <row r="413" spans="1:10" hidden="1" x14ac:dyDescent="0.2">
      <c r="A413">
        <v>1817911750</v>
      </c>
      <c r="B413" t="s">
        <v>1423</v>
      </c>
      <c r="C413" t="s">
        <v>356</v>
      </c>
      <c r="D413">
        <v>66000</v>
      </c>
      <c r="E413">
        <v>74100</v>
      </c>
      <c r="I413">
        <v>74100</v>
      </c>
      <c r="J413">
        <f>VLOOKUP(A413,'תקציב מפורט 2025'!A:O,11,FALSE)-I413</f>
        <v>0</v>
      </c>
    </row>
    <row r="414" spans="1:10" hidden="1" x14ac:dyDescent="0.2">
      <c r="A414">
        <v>1817912750</v>
      </c>
      <c r="B414" t="s">
        <v>1958</v>
      </c>
      <c r="C414" t="s">
        <v>356</v>
      </c>
      <c r="D414">
        <v>170000</v>
      </c>
      <c r="E414">
        <v>133117</v>
      </c>
      <c r="I414">
        <v>133117</v>
      </c>
      <c r="J414">
        <f>VLOOKUP(A414,'תקציב מפורט 2025'!A:O,11,FALSE)-I414</f>
        <v>0</v>
      </c>
    </row>
    <row r="415" spans="1:10" hidden="1" x14ac:dyDescent="0.2">
      <c r="A415">
        <v>1817913110</v>
      </c>
      <c r="B415" t="s">
        <v>1424</v>
      </c>
      <c r="C415" t="s">
        <v>355</v>
      </c>
      <c r="D415">
        <v>900000</v>
      </c>
      <c r="E415">
        <v>892066.4</v>
      </c>
      <c r="I415">
        <v>892066.4</v>
      </c>
      <c r="J415">
        <f>VLOOKUP(A415,'תקציב מפורט 2025'!A:O,11,FALSE)-I415</f>
        <v>0</v>
      </c>
    </row>
    <row r="416" spans="1:10" hidden="1" x14ac:dyDescent="0.2">
      <c r="A416">
        <v>1817913750</v>
      </c>
      <c r="B416" t="s">
        <v>1425</v>
      </c>
      <c r="C416" t="s">
        <v>356</v>
      </c>
      <c r="D416">
        <v>40000</v>
      </c>
      <c r="E416">
        <v>24000</v>
      </c>
      <c r="I416">
        <v>24000</v>
      </c>
      <c r="J416">
        <f>VLOOKUP(A416,'תקציב מפורט 2025'!A:O,11,FALSE)-I416</f>
        <v>0</v>
      </c>
    </row>
    <row r="417" spans="1:10" hidden="1" x14ac:dyDescent="0.2">
      <c r="A417">
        <v>1817914750</v>
      </c>
      <c r="B417" t="s">
        <v>1426</v>
      </c>
      <c r="C417" t="s">
        <v>356</v>
      </c>
      <c r="D417">
        <v>60000</v>
      </c>
      <c r="E417">
        <v>71916</v>
      </c>
      <c r="I417">
        <v>71916</v>
      </c>
      <c r="J417">
        <f>VLOOKUP(A417,'תקציב מפורט 2025'!A:O,11,FALSE)-I417</f>
        <v>0</v>
      </c>
    </row>
    <row r="418" spans="1:10" hidden="1" x14ac:dyDescent="0.2">
      <c r="A418">
        <v>1817915750</v>
      </c>
      <c r="B418" t="s">
        <v>1959</v>
      </c>
      <c r="C418" t="s">
        <v>356</v>
      </c>
      <c r="D418">
        <v>0</v>
      </c>
      <c r="E418">
        <v>650</v>
      </c>
      <c r="I418">
        <v>650</v>
      </c>
      <c r="J418" t="e">
        <f>VLOOKUP(A418,'תקציב מפורט 2025'!A:O,11,FALSE)-I418</f>
        <v>#N/A</v>
      </c>
    </row>
    <row r="419" spans="1:10" hidden="1" x14ac:dyDescent="0.2">
      <c r="A419">
        <v>1817916110</v>
      </c>
      <c r="B419" t="s">
        <v>1427</v>
      </c>
      <c r="C419" t="s">
        <v>355</v>
      </c>
      <c r="D419">
        <v>300000</v>
      </c>
      <c r="E419">
        <v>260248.03</v>
      </c>
      <c r="I419">
        <v>260248.03</v>
      </c>
      <c r="J419">
        <f>VLOOKUP(A419,'תקציב מפורט 2025'!A:O,11,FALSE)-I419</f>
        <v>0</v>
      </c>
    </row>
    <row r="420" spans="1:10" hidden="1" x14ac:dyDescent="0.2">
      <c r="A420">
        <v>1817917110</v>
      </c>
      <c r="B420" t="s">
        <v>1428</v>
      </c>
      <c r="C420" t="s">
        <v>355</v>
      </c>
      <c r="D420">
        <v>150000</v>
      </c>
      <c r="E420">
        <v>140684.82</v>
      </c>
      <c r="I420">
        <v>140684.82</v>
      </c>
      <c r="J420">
        <f>VLOOKUP(A420,'תקציב מפורט 2025'!A:O,11,FALSE)-I420</f>
        <v>0</v>
      </c>
    </row>
    <row r="421" spans="1:10" hidden="1" x14ac:dyDescent="0.2">
      <c r="A421">
        <v>1817919110</v>
      </c>
      <c r="B421" t="s">
        <v>1242</v>
      </c>
      <c r="C421" t="s">
        <v>355</v>
      </c>
      <c r="D421">
        <v>0</v>
      </c>
      <c r="E421">
        <v>4195.4799999999996</v>
      </c>
      <c r="I421">
        <v>4195.4799999999996</v>
      </c>
      <c r="J421">
        <f>VLOOKUP(A421,'תקציב מפורט 2025'!A:O,11,FALSE)-I421</f>
        <v>-4195.4799999999996</v>
      </c>
    </row>
    <row r="422" spans="1:10" hidden="1" x14ac:dyDescent="0.2">
      <c r="A422">
        <v>1817920110</v>
      </c>
      <c r="B422" t="s">
        <v>1418</v>
      </c>
      <c r="C422" t="s">
        <v>355</v>
      </c>
      <c r="D422">
        <v>0</v>
      </c>
      <c r="E422">
        <v>11946.03</v>
      </c>
      <c r="I422">
        <v>11946.03</v>
      </c>
      <c r="J422">
        <f>VLOOKUP(A422,'תקציב מפורט 2025'!A:O,11,FALSE)-I422</f>
        <v>-11946.03</v>
      </c>
    </row>
    <row r="423" spans="1:10" hidden="1" x14ac:dyDescent="0.2">
      <c r="A423">
        <v>1823000110</v>
      </c>
      <c r="B423" t="s">
        <v>1960</v>
      </c>
      <c r="C423" t="s">
        <v>352</v>
      </c>
      <c r="D423">
        <v>145000</v>
      </c>
      <c r="E423">
        <v>144122.01</v>
      </c>
      <c r="I423">
        <v>144122.01</v>
      </c>
      <c r="J423">
        <f>VLOOKUP(A423,'תקציב מפורט 2025'!A:O,11,FALSE)-I423</f>
        <v>0</v>
      </c>
    </row>
    <row r="424" spans="1:10" hidden="1" x14ac:dyDescent="0.2">
      <c r="A424">
        <v>1824000110</v>
      </c>
      <c r="B424" t="s">
        <v>1429</v>
      </c>
      <c r="C424" t="s">
        <v>352</v>
      </c>
      <c r="D424">
        <v>150000</v>
      </c>
      <c r="E424">
        <v>0</v>
      </c>
      <c r="I424">
        <v>0</v>
      </c>
      <c r="J424">
        <f>VLOOKUP(A424,'תקציב מפורט 2025'!A:O,11,FALSE)-I424</f>
        <v>0</v>
      </c>
    </row>
    <row r="425" spans="1:10" hidden="1" x14ac:dyDescent="0.2">
      <c r="A425">
        <v>1824000431</v>
      </c>
      <c r="B425" t="s">
        <v>1430</v>
      </c>
      <c r="C425" t="s">
        <v>353</v>
      </c>
      <c r="D425">
        <v>40000</v>
      </c>
      <c r="E425">
        <v>46953.67</v>
      </c>
      <c r="I425">
        <v>46953.67</v>
      </c>
      <c r="J425">
        <f>VLOOKUP(A425,'תקציב מפורט 2025'!A:O,11,FALSE)-I425</f>
        <v>0</v>
      </c>
    </row>
    <row r="426" spans="1:10" hidden="1" x14ac:dyDescent="0.2">
      <c r="A426">
        <v>1824000432</v>
      </c>
      <c r="B426" t="s">
        <v>1431</v>
      </c>
      <c r="C426" t="s">
        <v>353</v>
      </c>
      <c r="D426">
        <v>20000</v>
      </c>
      <c r="E426">
        <v>0</v>
      </c>
      <c r="G426">
        <v>250000</v>
      </c>
      <c r="H426" t="s">
        <v>2210</v>
      </c>
      <c r="I426">
        <v>250000</v>
      </c>
      <c r="J426">
        <f>VLOOKUP(A426,'תקציב מפורט 2025'!A:O,11,FALSE)-I426</f>
        <v>-180000</v>
      </c>
    </row>
    <row r="427" spans="1:10" hidden="1" x14ac:dyDescent="0.2">
      <c r="A427">
        <v>1824000750</v>
      </c>
      <c r="B427" t="s">
        <v>1432</v>
      </c>
      <c r="C427" t="s">
        <v>353</v>
      </c>
      <c r="D427">
        <v>70000</v>
      </c>
      <c r="E427">
        <v>0</v>
      </c>
      <c r="I427">
        <v>0</v>
      </c>
      <c r="J427">
        <f>VLOOKUP(A427,'תקציב מפורט 2025'!A:O,11,FALSE)-I427</f>
        <v>68000</v>
      </c>
    </row>
    <row r="428" spans="1:10" hidden="1" x14ac:dyDescent="0.2">
      <c r="A428">
        <v>1824020870</v>
      </c>
      <c r="B428" t="s">
        <v>1433</v>
      </c>
      <c r="C428" t="s">
        <v>353</v>
      </c>
      <c r="D428">
        <v>0</v>
      </c>
      <c r="E428">
        <v>0</v>
      </c>
      <c r="I428">
        <v>0</v>
      </c>
      <c r="J428">
        <f>VLOOKUP(A428,'תקציב מפורט 2025'!A:O,11,FALSE)-I428</f>
        <v>200000</v>
      </c>
    </row>
    <row r="429" spans="1:10" hidden="1" x14ac:dyDescent="0.2">
      <c r="A429">
        <v>1824030110</v>
      </c>
      <c r="B429" t="s">
        <v>1434</v>
      </c>
      <c r="C429" t="s">
        <v>352</v>
      </c>
      <c r="D429">
        <v>220000</v>
      </c>
      <c r="E429">
        <v>228799.84</v>
      </c>
      <c r="I429">
        <v>228799.84</v>
      </c>
      <c r="J429">
        <f>VLOOKUP(A429,'תקציב מפורט 2025'!A:O,11,FALSE)-I429</f>
        <v>0</v>
      </c>
    </row>
    <row r="430" spans="1:10" hidden="1" x14ac:dyDescent="0.2">
      <c r="A430">
        <v>1824050870</v>
      </c>
      <c r="B430" t="s">
        <v>1232</v>
      </c>
      <c r="C430" t="s">
        <v>353</v>
      </c>
      <c r="D430">
        <v>80000</v>
      </c>
      <c r="E430">
        <v>56811.4</v>
      </c>
      <c r="I430">
        <v>56811.4</v>
      </c>
      <c r="J430">
        <f>VLOOKUP(A430,'תקציב מפורט 2025'!A:O,11,FALSE)-I430</f>
        <v>0</v>
      </c>
    </row>
    <row r="431" spans="1:10" hidden="1" x14ac:dyDescent="0.2">
      <c r="A431">
        <v>1828100110</v>
      </c>
      <c r="B431" t="s">
        <v>1435</v>
      </c>
      <c r="C431" t="s">
        <v>352</v>
      </c>
      <c r="D431">
        <v>600000</v>
      </c>
      <c r="E431">
        <v>607822.27</v>
      </c>
      <c r="I431">
        <v>607822.27</v>
      </c>
      <c r="J431">
        <f>VLOOKUP(A431,'תקציב מפורט 2025'!A:O,11,FALSE)-I431</f>
        <v>0</v>
      </c>
    </row>
    <row r="432" spans="1:10" hidden="1" x14ac:dyDescent="0.2">
      <c r="A432">
        <v>1828100320</v>
      </c>
      <c r="B432" t="s">
        <v>1638</v>
      </c>
      <c r="C432" t="s">
        <v>352</v>
      </c>
      <c r="D432">
        <v>0</v>
      </c>
      <c r="E432">
        <v>0</v>
      </c>
      <c r="I432">
        <v>0</v>
      </c>
      <c r="J432" t="e">
        <f>VLOOKUP(A432,'תקציב מפורט 2025'!A:O,11,FALSE)-I432</f>
        <v>#N/A</v>
      </c>
    </row>
    <row r="433" spans="1:10" hidden="1" x14ac:dyDescent="0.2">
      <c r="A433">
        <v>1828300110</v>
      </c>
      <c r="B433" t="s">
        <v>1437</v>
      </c>
      <c r="C433" t="s">
        <v>352</v>
      </c>
      <c r="D433">
        <v>60000</v>
      </c>
      <c r="E433">
        <v>45992.33</v>
      </c>
      <c r="I433">
        <v>45992.33</v>
      </c>
      <c r="J433">
        <f>VLOOKUP(A433,'תקציב מפורט 2025'!A:O,11,FALSE)-I433</f>
        <v>0</v>
      </c>
    </row>
    <row r="434" spans="1:10" hidden="1" x14ac:dyDescent="0.2">
      <c r="A434">
        <v>1828300760</v>
      </c>
      <c r="B434" t="s">
        <v>1961</v>
      </c>
      <c r="C434" t="s">
        <v>353</v>
      </c>
      <c r="D434">
        <v>0</v>
      </c>
      <c r="E434">
        <v>0</v>
      </c>
      <c r="I434">
        <v>0</v>
      </c>
      <c r="J434" t="e">
        <f>VLOOKUP(A434,'תקציב מפורט 2025'!A:O,11,FALSE)-I434</f>
        <v>#N/A</v>
      </c>
    </row>
    <row r="435" spans="1:10" hidden="1" x14ac:dyDescent="0.2">
      <c r="A435">
        <v>1828400750</v>
      </c>
      <c r="B435" t="s">
        <v>1543</v>
      </c>
      <c r="C435" t="s">
        <v>353</v>
      </c>
      <c r="D435">
        <v>0</v>
      </c>
      <c r="E435">
        <v>0</v>
      </c>
      <c r="I435">
        <v>0</v>
      </c>
      <c r="J435" t="e">
        <f>VLOOKUP(A435,'תקציב מפורט 2025'!A:O,11,FALSE)-I435</f>
        <v>#N/A</v>
      </c>
    </row>
    <row r="436" spans="1:10" hidden="1" x14ac:dyDescent="0.2">
      <c r="A436">
        <v>1828400780</v>
      </c>
      <c r="B436" t="s">
        <v>1962</v>
      </c>
      <c r="C436" t="s">
        <v>356</v>
      </c>
      <c r="D436">
        <v>0</v>
      </c>
      <c r="E436">
        <v>18630</v>
      </c>
      <c r="I436">
        <v>18630</v>
      </c>
      <c r="J436" t="e">
        <f>VLOOKUP(A436,'תקציב מפורט 2025'!A:O,11,FALSE)-I436</f>
        <v>#N/A</v>
      </c>
    </row>
    <row r="437" spans="1:10" hidden="1" x14ac:dyDescent="0.2">
      <c r="A437">
        <v>1829000431</v>
      </c>
      <c r="B437" t="s">
        <v>1438</v>
      </c>
      <c r="C437" t="s">
        <v>353</v>
      </c>
      <c r="D437">
        <v>40000</v>
      </c>
      <c r="E437">
        <v>66744.789999999994</v>
      </c>
      <c r="I437">
        <v>66744.789999999994</v>
      </c>
      <c r="J437">
        <f>VLOOKUP(A437,'תקציב מפורט 2025'!A:O,11,FALSE)-I437</f>
        <v>0</v>
      </c>
    </row>
    <row r="438" spans="1:10" hidden="1" x14ac:dyDescent="0.2">
      <c r="A438">
        <v>1829100110</v>
      </c>
      <c r="B438" t="s">
        <v>1439</v>
      </c>
      <c r="C438" t="s">
        <v>352</v>
      </c>
      <c r="D438">
        <v>400000</v>
      </c>
      <c r="E438">
        <v>347635.24</v>
      </c>
      <c r="I438">
        <v>347635.24</v>
      </c>
      <c r="J438">
        <f>VLOOKUP(A438,'תקציב מפורט 2025'!A:O,11,FALSE)-I438</f>
        <v>0</v>
      </c>
    </row>
    <row r="439" spans="1:10" hidden="1" x14ac:dyDescent="0.2">
      <c r="A439">
        <v>1829200431</v>
      </c>
      <c r="B439" t="s">
        <v>1440</v>
      </c>
      <c r="C439" t="s">
        <v>353</v>
      </c>
      <c r="D439">
        <v>35000</v>
      </c>
      <c r="E439">
        <v>36086.870000000003</v>
      </c>
      <c r="I439">
        <v>36086.870000000003</v>
      </c>
      <c r="J439">
        <f>VLOOKUP(A439,'תקציב מפורט 2025'!A:O,11,FALSE)-I439</f>
        <v>0</v>
      </c>
    </row>
    <row r="440" spans="1:10" hidden="1" x14ac:dyDescent="0.2">
      <c r="A440">
        <v>1829200432</v>
      </c>
      <c r="B440" t="s">
        <v>1441</v>
      </c>
      <c r="C440" t="s">
        <v>353</v>
      </c>
      <c r="D440">
        <v>120000</v>
      </c>
      <c r="E440">
        <v>0</v>
      </c>
      <c r="I440">
        <v>0</v>
      </c>
      <c r="J440">
        <f>VLOOKUP(A440,'תקציב מפורט 2025'!A:O,11,FALSE)-I440</f>
        <v>300000</v>
      </c>
    </row>
    <row r="441" spans="1:10" hidden="1" x14ac:dyDescent="0.2">
      <c r="A441">
        <v>1829200740</v>
      </c>
      <c r="B441" t="s">
        <v>1379</v>
      </c>
      <c r="C441" t="s">
        <v>353</v>
      </c>
      <c r="D441">
        <v>80000</v>
      </c>
      <c r="E441">
        <v>53123.82</v>
      </c>
      <c r="I441">
        <v>53123.82</v>
      </c>
      <c r="J441">
        <f>VLOOKUP(A441,'תקציב מפורט 2025'!A:O,11,FALSE)-I441</f>
        <v>0</v>
      </c>
    </row>
    <row r="442" spans="1:10" hidden="1" x14ac:dyDescent="0.2">
      <c r="A442">
        <v>1829200750</v>
      </c>
      <c r="B442" t="s">
        <v>1442</v>
      </c>
      <c r="C442" t="s">
        <v>353</v>
      </c>
      <c r="D442">
        <v>150000</v>
      </c>
      <c r="E442">
        <v>237843</v>
      </c>
      <c r="I442">
        <v>237843</v>
      </c>
      <c r="J442">
        <f>VLOOKUP(A442,'תקציב מפורט 2025'!A:O,11,FALSE)-I442</f>
        <v>0</v>
      </c>
    </row>
    <row r="443" spans="1:10" hidden="1" x14ac:dyDescent="0.2">
      <c r="A443">
        <v>1829200780</v>
      </c>
      <c r="B443" t="s">
        <v>1963</v>
      </c>
      <c r="C443" t="s">
        <v>353</v>
      </c>
      <c r="D443">
        <v>0</v>
      </c>
      <c r="E443">
        <v>7420</v>
      </c>
      <c r="I443">
        <v>7420</v>
      </c>
      <c r="J443" t="e">
        <f>VLOOKUP(A443,'תקציב מפורט 2025'!A:O,11,FALSE)-I443</f>
        <v>#N/A</v>
      </c>
    </row>
    <row r="444" spans="1:10" hidden="1" x14ac:dyDescent="0.2">
      <c r="A444">
        <v>1829200781</v>
      </c>
      <c r="B444" t="s">
        <v>1443</v>
      </c>
      <c r="C444" t="s">
        <v>353</v>
      </c>
      <c r="D444">
        <v>25000</v>
      </c>
      <c r="E444">
        <v>37008</v>
      </c>
      <c r="I444">
        <v>37008</v>
      </c>
      <c r="J444">
        <f>VLOOKUP(A444,'תקציב מפורט 2025'!A:O,11,FALSE)-I444</f>
        <v>0</v>
      </c>
    </row>
    <row r="445" spans="1:10" hidden="1" x14ac:dyDescent="0.2">
      <c r="A445">
        <v>1829201780</v>
      </c>
      <c r="B445" t="s">
        <v>1444</v>
      </c>
      <c r="C445" t="s">
        <v>353</v>
      </c>
      <c r="D445">
        <v>30000</v>
      </c>
      <c r="E445">
        <v>46985.46</v>
      </c>
      <c r="I445">
        <v>46985.46</v>
      </c>
      <c r="J445">
        <f>VLOOKUP(A445,'תקציב מפורט 2025'!A:O,11,FALSE)-I445</f>
        <v>0</v>
      </c>
    </row>
    <row r="446" spans="1:10" hidden="1" x14ac:dyDescent="0.2">
      <c r="A446">
        <v>1829201781</v>
      </c>
      <c r="B446" t="s">
        <v>1445</v>
      </c>
      <c r="C446" t="s">
        <v>353</v>
      </c>
      <c r="D446">
        <v>30000</v>
      </c>
      <c r="E446">
        <v>10765.76</v>
      </c>
      <c r="I446">
        <v>10765.76</v>
      </c>
      <c r="J446">
        <f>VLOOKUP(A446,'תקציב מפורט 2025'!A:O,11,FALSE)-I446</f>
        <v>0</v>
      </c>
    </row>
    <row r="447" spans="1:10" hidden="1" x14ac:dyDescent="0.2">
      <c r="A447">
        <v>1829202780</v>
      </c>
      <c r="B447" t="s">
        <v>1446</v>
      </c>
      <c r="C447" t="s">
        <v>353</v>
      </c>
      <c r="D447">
        <v>75000</v>
      </c>
      <c r="E447">
        <v>62577.5</v>
      </c>
      <c r="I447">
        <v>62577.5</v>
      </c>
      <c r="J447">
        <f>VLOOKUP(A447,'תקציב מפורט 2025'!A:O,11,FALSE)-I447</f>
        <v>0</v>
      </c>
    </row>
    <row r="448" spans="1:10" hidden="1" x14ac:dyDescent="0.2">
      <c r="A448">
        <v>1829210110</v>
      </c>
      <c r="B448" t="s">
        <v>1447</v>
      </c>
      <c r="C448" t="s">
        <v>352</v>
      </c>
      <c r="D448">
        <v>200000</v>
      </c>
      <c r="E448">
        <v>159328.82999999999</v>
      </c>
      <c r="I448">
        <v>159328.82999999999</v>
      </c>
      <c r="J448">
        <f>VLOOKUP(A448,'תקציב מפורט 2025'!A:O,11,FALSE)-I448</f>
        <v>0</v>
      </c>
    </row>
    <row r="449" spans="1:10" hidden="1" x14ac:dyDescent="0.2">
      <c r="A449">
        <v>1829300750</v>
      </c>
      <c r="B449" t="s">
        <v>1448</v>
      </c>
      <c r="C449" t="s">
        <v>353</v>
      </c>
      <c r="D449">
        <v>0</v>
      </c>
      <c r="E449">
        <v>77428</v>
      </c>
      <c r="I449">
        <v>77428</v>
      </c>
      <c r="J449">
        <f>VLOOKUP(A449,'תקציב מפורט 2025'!A:O,11,FALSE)-I449</f>
        <v>-20428</v>
      </c>
    </row>
    <row r="450" spans="1:10" hidden="1" x14ac:dyDescent="0.2">
      <c r="A450">
        <v>1832300110</v>
      </c>
      <c r="B450" t="s">
        <v>1964</v>
      </c>
      <c r="C450" t="s">
        <v>352</v>
      </c>
      <c r="D450">
        <v>0</v>
      </c>
      <c r="E450">
        <v>4972.03</v>
      </c>
      <c r="I450">
        <v>4972.03</v>
      </c>
      <c r="J450" t="e">
        <f>VLOOKUP(A450,'תקציב מפורט 2025'!A:O,11,FALSE)-I450</f>
        <v>#N/A</v>
      </c>
    </row>
    <row r="451" spans="1:10" hidden="1" x14ac:dyDescent="0.2">
      <c r="A451">
        <v>1832400110</v>
      </c>
      <c r="B451" t="s">
        <v>1449</v>
      </c>
      <c r="C451" t="s">
        <v>352</v>
      </c>
      <c r="D451">
        <v>300000</v>
      </c>
      <c r="E451">
        <v>144305.48000000001</v>
      </c>
      <c r="I451">
        <v>144305.48000000001</v>
      </c>
      <c r="J451">
        <f>VLOOKUP(A451,'תקציב מפורט 2025'!A:O,11,FALSE)-I451</f>
        <v>0</v>
      </c>
    </row>
    <row r="452" spans="1:10" hidden="1" x14ac:dyDescent="0.2">
      <c r="A452">
        <v>1832400431</v>
      </c>
      <c r="B452" t="s">
        <v>1450</v>
      </c>
      <c r="C452" t="s">
        <v>353</v>
      </c>
      <c r="D452">
        <v>25000</v>
      </c>
      <c r="E452">
        <v>49257.16</v>
      </c>
      <c r="I452">
        <v>49257.16</v>
      </c>
      <c r="J452">
        <f>VLOOKUP(A452,'תקציב מפורט 2025'!A:O,11,FALSE)-I452</f>
        <v>0</v>
      </c>
    </row>
    <row r="453" spans="1:10" hidden="1" x14ac:dyDescent="0.2">
      <c r="A453">
        <v>1832400432</v>
      </c>
      <c r="B453" t="s">
        <v>1451</v>
      </c>
      <c r="C453" t="s">
        <v>353</v>
      </c>
      <c r="D453">
        <v>12000</v>
      </c>
      <c r="E453">
        <v>0</v>
      </c>
      <c r="I453">
        <v>0</v>
      </c>
      <c r="J453">
        <f>VLOOKUP(A453,'תקציב מפורט 2025'!A:O,11,FALSE)-I453</f>
        <v>11000</v>
      </c>
    </row>
    <row r="454" spans="1:10" hidden="1" x14ac:dyDescent="0.2">
      <c r="A454">
        <v>1832400750</v>
      </c>
      <c r="B454" t="s">
        <v>201</v>
      </c>
      <c r="C454" t="s">
        <v>353</v>
      </c>
      <c r="D454">
        <v>18000</v>
      </c>
      <c r="E454">
        <v>0</v>
      </c>
      <c r="I454">
        <v>0</v>
      </c>
      <c r="J454">
        <f>VLOOKUP(A454,'תקציב מפורט 2025'!A:O,11,FALSE)-I454</f>
        <v>0</v>
      </c>
    </row>
    <row r="455" spans="1:10" hidden="1" x14ac:dyDescent="0.2">
      <c r="A455">
        <v>1832410750</v>
      </c>
      <c r="B455" t="s">
        <v>1965</v>
      </c>
      <c r="C455">
        <v>0</v>
      </c>
      <c r="D455">
        <v>0</v>
      </c>
      <c r="E455">
        <v>0</v>
      </c>
      <c r="I455">
        <v>0</v>
      </c>
      <c r="J455">
        <f>VLOOKUP(A455,'תקציב מפורט 2025'!A:O,11,FALSE)-I455</f>
        <v>0</v>
      </c>
    </row>
    <row r="456" spans="1:10" hidden="1" x14ac:dyDescent="0.2">
      <c r="A456">
        <v>1841000420</v>
      </c>
      <c r="B456" t="s">
        <v>2211</v>
      </c>
      <c r="C456" t="s">
        <v>359</v>
      </c>
      <c r="D456">
        <v>0</v>
      </c>
      <c r="E456">
        <v>48736.959999999999</v>
      </c>
      <c r="I456">
        <v>48736.959999999999</v>
      </c>
      <c r="J456">
        <f>VLOOKUP(A456,'תקציב מפורט 2025'!A:O,11,FALSE)-I456</f>
        <v>0</v>
      </c>
    </row>
    <row r="457" spans="1:10" hidden="1" x14ac:dyDescent="0.2">
      <c r="A457">
        <v>1841000431</v>
      </c>
      <c r="B457" t="s">
        <v>1452</v>
      </c>
      <c r="C457" t="s">
        <v>359</v>
      </c>
      <c r="D457">
        <v>0</v>
      </c>
      <c r="E457">
        <v>18039.98</v>
      </c>
      <c r="I457">
        <v>18039.98</v>
      </c>
      <c r="J457">
        <f>VLOOKUP(A457,'תקציב מפורט 2025'!A:O,11,FALSE)-I457</f>
        <v>0</v>
      </c>
    </row>
    <row r="458" spans="1:10" hidden="1" x14ac:dyDescent="0.2">
      <c r="A458">
        <v>1841000780</v>
      </c>
      <c r="B458" t="s">
        <v>1309</v>
      </c>
      <c r="C458" t="s">
        <v>359</v>
      </c>
      <c r="D458">
        <v>100000</v>
      </c>
      <c r="E458">
        <v>59931.95</v>
      </c>
      <c r="I458">
        <v>59931.95</v>
      </c>
      <c r="J458">
        <f>VLOOKUP(A458,'תקציב מפורט 2025'!A:O,11,FALSE)-I458</f>
        <v>0</v>
      </c>
    </row>
    <row r="459" spans="1:10" hidden="1" x14ac:dyDescent="0.2">
      <c r="A459">
        <v>1841001110</v>
      </c>
      <c r="B459" t="s">
        <v>1453</v>
      </c>
      <c r="C459" t="s">
        <v>358</v>
      </c>
      <c r="D459">
        <v>3600000</v>
      </c>
      <c r="E459">
        <v>3463274.6</v>
      </c>
      <c r="I459">
        <v>3463274.6</v>
      </c>
      <c r="J459">
        <f>VLOOKUP(A459,'תקציב מפורט 2025'!A:O,11,FALSE)-I459</f>
        <v>0</v>
      </c>
    </row>
    <row r="460" spans="1:10" hidden="1" x14ac:dyDescent="0.2">
      <c r="A460">
        <v>1841001320</v>
      </c>
      <c r="B460" t="s">
        <v>1313</v>
      </c>
      <c r="C460" t="s">
        <v>358</v>
      </c>
      <c r="D460">
        <v>0</v>
      </c>
      <c r="E460">
        <v>6345</v>
      </c>
      <c r="I460">
        <v>6345</v>
      </c>
      <c r="J460" t="e">
        <f>VLOOKUP(A460,'תקציב מפורט 2025'!A:O,11,FALSE)-I460</f>
        <v>#N/A</v>
      </c>
    </row>
    <row r="461" spans="1:10" hidden="1" x14ac:dyDescent="0.2">
      <c r="A461">
        <v>1841003431</v>
      </c>
      <c r="B461" t="s">
        <v>1314</v>
      </c>
      <c r="C461" t="s">
        <v>359</v>
      </c>
      <c r="D461">
        <v>50000</v>
      </c>
      <c r="E461">
        <v>16692.32</v>
      </c>
      <c r="I461">
        <v>16692.32</v>
      </c>
      <c r="J461">
        <f>VLOOKUP(A461,'תקציב מפורט 2025'!A:O,11,FALSE)-I461</f>
        <v>0</v>
      </c>
    </row>
    <row r="462" spans="1:10" hidden="1" x14ac:dyDescent="0.2">
      <c r="A462">
        <v>1841003560</v>
      </c>
      <c r="B462" t="s">
        <v>1454</v>
      </c>
      <c r="C462" t="s">
        <v>359</v>
      </c>
      <c r="D462">
        <v>20000</v>
      </c>
      <c r="E462">
        <v>4471</v>
      </c>
      <c r="I462">
        <v>4471</v>
      </c>
      <c r="J462">
        <f>VLOOKUP(A462,'תקציב מפורט 2025'!A:O,11,FALSE)-I462</f>
        <v>0</v>
      </c>
    </row>
    <row r="463" spans="1:10" hidden="1" x14ac:dyDescent="0.2">
      <c r="A463">
        <v>1841003780</v>
      </c>
      <c r="B463" t="s">
        <v>1309</v>
      </c>
      <c r="C463" t="s">
        <v>359</v>
      </c>
      <c r="D463">
        <v>30000</v>
      </c>
      <c r="E463">
        <v>0</v>
      </c>
      <c r="I463">
        <v>0</v>
      </c>
      <c r="J463">
        <f>VLOOKUP(A463,'תקציב מפורט 2025'!A:O,11,FALSE)-I463</f>
        <v>0</v>
      </c>
    </row>
    <row r="464" spans="1:10" hidden="1" x14ac:dyDescent="0.2">
      <c r="A464">
        <v>1841100110</v>
      </c>
      <c r="B464" t="s">
        <v>1291</v>
      </c>
      <c r="C464" t="s">
        <v>358</v>
      </c>
      <c r="D464">
        <v>170000</v>
      </c>
      <c r="E464">
        <v>170607.13</v>
      </c>
      <c r="I464">
        <v>170607.13</v>
      </c>
      <c r="J464">
        <f>VLOOKUP(A464,'תקציב מפורט 2025'!A:O,11,FALSE)-I464</f>
        <v>0</v>
      </c>
    </row>
    <row r="465" spans="1:10" hidden="1" x14ac:dyDescent="0.2">
      <c r="A465">
        <v>1842101840</v>
      </c>
      <c r="B465" t="s">
        <v>1257</v>
      </c>
      <c r="C465" t="s">
        <v>359</v>
      </c>
      <c r="D465">
        <v>250000</v>
      </c>
      <c r="E465">
        <v>0</v>
      </c>
      <c r="I465">
        <v>0</v>
      </c>
      <c r="J465">
        <f>VLOOKUP(A465,'תקציב מפורט 2025'!A:O,11,FALSE)-I465</f>
        <v>0</v>
      </c>
    </row>
    <row r="466" spans="1:10" hidden="1" x14ac:dyDescent="0.2">
      <c r="A466">
        <v>1842102840</v>
      </c>
      <c r="B466" t="s">
        <v>1258</v>
      </c>
      <c r="C466" t="s">
        <v>359</v>
      </c>
      <c r="D466">
        <v>190000</v>
      </c>
      <c r="E466">
        <v>50188.56</v>
      </c>
      <c r="I466">
        <v>50188.56</v>
      </c>
      <c r="J466">
        <f>VLOOKUP(A466,'תקציב מפורט 2025'!A:O,11,FALSE)-I466</f>
        <v>0</v>
      </c>
    </row>
    <row r="467" spans="1:10" hidden="1" x14ac:dyDescent="0.2">
      <c r="A467">
        <v>1842200110</v>
      </c>
      <c r="B467" t="s">
        <v>1455</v>
      </c>
      <c r="C467" t="s">
        <v>358</v>
      </c>
      <c r="D467">
        <v>155000</v>
      </c>
      <c r="E467">
        <v>154191.26999999999</v>
      </c>
      <c r="I467">
        <v>154191.26999999999</v>
      </c>
      <c r="J467">
        <f>VLOOKUP(A467,'תקציב מפורט 2025'!A:O,11,FALSE)-I467</f>
        <v>0</v>
      </c>
    </row>
    <row r="468" spans="1:10" hidden="1" x14ac:dyDescent="0.2">
      <c r="A468">
        <v>1842202750</v>
      </c>
      <c r="B468" t="s">
        <v>1456</v>
      </c>
      <c r="C468" t="s">
        <v>359</v>
      </c>
      <c r="D468">
        <v>336000</v>
      </c>
      <c r="E468">
        <v>0</v>
      </c>
      <c r="I468">
        <v>0</v>
      </c>
      <c r="J468">
        <f>VLOOKUP(A468,'תקציב מפורט 2025'!A:O,11,FALSE)-I468</f>
        <v>200000</v>
      </c>
    </row>
    <row r="469" spans="1:10" hidden="1" x14ac:dyDescent="0.2">
      <c r="A469">
        <v>1842202780</v>
      </c>
      <c r="B469" t="s">
        <v>1517</v>
      </c>
      <c r="C469" t="s">
        <v>359</v>
      </c>
      <c r="D469">
        <v>0</v>
      </c>
      <c r="E469">
        <v>15969</v>
      </c>
      <c r="I469">
        <v>15969</v>
      </c>
      <c r="J469" t="e">
        <f>VLOOKUP(A469,'תקציב מפורט 2025'!A:O,11,FALSE)-I469</f>
        <v>#N/A</v>
      </c>
    </row>
    <row r="470" spans="1:10" hidden="1" x14ac:dyDescent="0.2">
      <c r="A470">
        <v>1842202840</v>
      </c>
      <c r="B470" t="s">
        <v>1124</v>
      </c>
      <c r="C470" t="s">
        <v>359</v>
      </c>
      <c r="D470">
        <v>150000</v>
      </c>
      <c r="E470">
        <v>-991844</v>
      </c>
      <c r="H470" t="s">
        <v>2212</v>
      </c>
      <c r="I470">
        <v>-991844</v>
      </c>
      <c r="J470">
        <f>VLOOKUP(A470,'תקציב מפורט 2025'!A:O,11,FALSE)-I470</f>
        <v>1141844</v>
      </c>
    </row>
    <row r="471" spans="1:10" hidden="1" x14ac:dyDescent="0.2">
      <c r="A471">
        <v>1842206930</v>
      </c>
      <c r="B471" t="s">
        <v>1611</v>
      </c>
      <c r="C471" t="s">
        <v>359</v>
      </c>
      <c r="D471">
        <v>75000</v>
      </c>
      <c r="E471">
        <v>89966</v>
      </c>
      <c r="I471">
        <v>89966</v>
      </c>
      <c r="J471">
        <f>VLOOKUP(A471,'תקציב מפורט 2025'!A:O,11,FALSE)-I471</f>
        <v>0</v>
      </c>
    </row>
    <row r="472" spans="1:10" hidden="1" x14ac:dyDescent="0.2">
      <c r="A472">
        <v>1842208840</v>
      </c>
      <c r="B472" t="s">
        <v>1260</v>
      </c>
      <c r="C472" t="s">
        <v>359</v>
      </c>
      <c r="D472">
        <v>140000</v>
      </c>
      <c r="E472">
        <v>143415</v>
      </c>
      <c r="I472">
        <v>143415</v>
      </c>
      <c r="J472">
        <f>VLOOKUP(A472,'תקציב מפורט 2025'!A:O,11,FALSE)-I472</f>
        <v>0</v>
      </c>
    </row>
    <row r="473" spans="1:10" x14ac:dyDescent="0.2">
      <c r="A473">
        <v>1842212840</v>
      </c>
      <c r="B473" t="s">
        <v>2213</v>
      </c>
      <c r="C473" t="s">
        <v>359</v>
      </c>
      <c r="D473">
        <v>0</v>
      </c>
      <c r="E473">
        <v>283581</v>
      </c>
      <c r="I473" s="17">
        <v>283581</v>
      </c>
      <c r="J473">
        <f>VLOOKUP(A473,'תקציב מפורט 2025'!A:O,11,FALSE)-I473</f>
        <v>0</v>
      </c>
    </row>
    <row r="474" spans="1:10" x14ac:dyDescent="0.2">
      <c r="A474">
        <v>1842213840</v>
      </c>
      <c r="B474" t="s">
        <v>2214</v>
      </c>
      <c r="C474" t="s">
        <v>359</v>
      </c>
      <c r="D474">
        <v>0</v>
      </c>
      <c r="E474">
        <v>1796245</v>
      </c>
      <c r="I474" s="17">
        <v>1796245</v>
      </c>
      <c r="J474">
        <f>VLOOKUP(A474,'תקציב מפורט 2025'!A:O,11,FALSE)-I474</f>
        <v>0</v>
      </c>
    </row>
    <row r="475" spans="1:10" hidden="1" x14ac:dyDescent="0.2">
      <c r="A475">
        <v>1842401840</v>
      </c>
      <c r="B475" t="s">
        <v>1262</v>
      </c>
      <c r="C475" t="s">
        <v>359</v>
      </c>
      <c r="D475">
        <v>35000</v>
      </c>
      <c r="E475">
        <v>0</v>
      </c>
      <c r="I475">
        <v>0</v>
      </c>
      <c r="J475">
        <f>VLOOKUP(A475,'תקציב מפורט 2025'!A:O,11,FALSE)-I475</f>
        <v>0</v>
      </c>
    </row>
    <row r="476" spans="1:10" hidden="1" x14ac:dyDescent="0.2">
      <c r="A476">
        <v>1842402840</v>
      </c>
      <c r="B476" t="s">
        <v>1125</v>
      </c>
      <c r="C476" t="s">
        <v>359</v>
      </c>
      <c r="D476">
        <v>135000</v>
      </c>
      <c r="E476">
        <v>0</v>
      </c>
      <c r="I476">
        <v>0</v>
      </c>
      <c r="J476">
        <f>VLOOKUP(A476,'תקציב מפורט 2025'!A:O,11,FALSE)-I476</f>
        <v>150000</v>
      </c>
    </row>
    <row r="477" spans="1:10" hidden="1" x14ac:dyDescent="0.2">
      <c r="A477">
        <v>1842405840</v>
      </c>
      <c r="B477" t="s">
        <v>1264</v>
      </c>
      <c r="C477" t="s">
        <v>359</v>
      </c>
      <c r="D477">
        <v>95000</v>
      </c>
      <c r="E477">
        <v>0</v>
      </c>
      <c r="I477">
        <v>0</v>
      </c>
      <c r="J477">
        <f>VLOOKUP(A477,'תקציב מפורט 2025'!A:O,11,FALSE)-I477</f>
        <v>0</v>
      </c>
    </row>
    <row r="478" spans="1:10" hidden="1" x14ac:dyDescent="0.2">
      <c r="A478">
        <v>1843501840</v>
      </c>
      <c r="B478" t="s">
        <v>1457</v>
      </c>
      <c r="C478" t="s">
        <v>359</v>
      </c>
      <c r="D478">
        <v>74000</v>
      </c>
      <c r="E478">
        <v>0</v>
      </c>
      <c r="I478">
        <v>0</v>
      </c>
      <c r="J478">
        <f>VLOOKUP(A478,'תקציב מפורט 2025'!A:O,11,FALSE)-I478</f>
        <v>0</v>
      </c>
    </row>
    <row r="479" spans="1:10" hidden="1" x14ac:dyDescent="0.2">
      <c r="A479">
        <v>1843502840</v>
      </c>
      <c r="B479" t="s">
        <v>1458</v>
      </c>
      <c r="C479" t="s">
        <v>359</v>
      </c>
      <c r="D479">
        <v>577000</v>
      </c>
      <c r="E479">
        <v>632003</v>
      </c>
      <c r="I479">
        <v>632003</v>
      </c>
      <c r="J479">
        <f>VLOOKUP(A479,'תקציב מפורט 2025'!A:O,11,FALSE)-I479</f>
        <v>0</v>
      </c>
    </row>
    <row r="480" spans="1:10" hidden="1" x14ac:dyDescent="0.2">
      <c r="A480">
        <v>1843503840</v>
      </c>
      <c r="B480" t="s">
        <v>1267</v>
      </c>
      <c r="C480" t="s">
        <v>359</v>
      </c>
      <c r="D480">
        <v>600000</v>
      </c>
      <c r="E480">
        <v>1367371</v>
      </c>
      <c r="I480">
        <v>1367371</v>
      </c>
      <c r="J480">
        <f>VLOOKUP(A480,'תקציב מפורט 2025'!A:O,11,FALSE)-I480</f>
        <v>-1142371</v>
      </c>
    </row>
    <row r="481" spans="1:10" hidden="1" x14ac:dyDescent="0.2">
      <c r="A481">
        <v>1843504840</v>
      </c>
      <c r="B481" t="s">
        <v>2215</v>
      </c>
      <c r="C481" t="s">
        <v>359</v>
      </c>
      <c r="D481">
        <v>0</v>
      </c>
      <c r="E481">
        <v>-373097</v>
      </c>
      <c r="I481">
        <v>-373097</v>
      </c>
      <c r="J481">
        <f>VLOOKUP(A481,'תקציב מפורט 2025'!A:O,11,FALSE)-I481</f>
        <v>373097</v>
      </c>
    </row>
    <row r="482" spans="1:10" hidden="1" x14ac:dyDescent="0.2">
      <c r="A482">
        <v>1843505840</v>
      </c>
      <c r="B482" t="s">
        <v>1268</v>
      </c>
      <c r="C482" t="s">
        <v>359</v>
      </c>
      <c r="D482">
        <v>30000</v>
      </c>
      <c r="E482">
        <v>193125</v>
      </c>
      <c r="I482">
        <v>193125</v>
      </c>
      <c r="J482">
        <f>VLOOKUP(A482,'תקציב מפורט 2025'!A:O,11,FALSE)-I482</f>
        <v>0</v>
      </c>
    </row>
    <row r="483" spans="1:10" hidden="1" x14ac:dyDescent="0.2">
      <c r="A483">
        <v>1843801840</v>
      </c>
      <c r="B483" t="s">
        <v>1128</v>
      </c>
      <c r="C483" t="s">
        <v>359</v>
      </c>
      <c r="D483">
        <v>5500000</v>
      </c>
      <c r="E483">
        <v>6476209</v>
      </c>
      <c r="I483">
        <v>6476209</v>
      </c>
      <c r="J483">
        <f>VLOOKUP(A483,'תקציב מפורט 2025'!A:O,11,FALSE)-I483</f>
        <v>0</v>
      </c>
    </row>
    <row r="484" spans="1:10" hidden="1" x14ac:dyDescent="0.2">
      <c r="A484">
        <v>1843901840</v>
      </c>
      <c r="B484" t="s">
        <v>1129</v>
      </c>
      <c r="C484" t="s">
        <v>359</v>
      </c>
      <c r="D484">
        <v>6400000</v>
      </c>
      <c r="E484">
        <v>7055737</v>
      </c>
      <c r="I484">
        <v>7055737</v>
      </c>
      <c r="J484">
        <f>VLOOKUP(A484,'תקציב מפורט 2025'!A:O,11,FALSE)-I484</f>
        <v>0</v>
      </c>
    </row>
    <row r="485" spans="1:10" hidden="1" x14ac:dyDescent="0.2">
      <c r="A485">
        <v>1843902840</v>
      </c>
      <c r="B485" t="s">
        <v>1269</v>
      </c>
      <c r="C485" t="s">
        <v>359</v>
      </c>
      <c r="D485">
        <v>0</v>
      </c>
      <c r="E485">
        <v>0</v>
      </c>
      <c r="I485">
        <v>0</v>
      </c>
      <c r="J485" t="e">
        <f>VLOOKUP(A485,'תקציב מפורט 2025'!A:O,11,FALSE)-I485</f>
        <v>#N/A</v>
      </c>
    </row>
    <row r="486" spans="1:10" hidden="1" x14ac:dyDescent="0.2">
      <c r="A486">
        <v>1843904840</v>
      </c>
      <c r="B486" t="s">
        <v>1943</v>
      </c>
      <c r="C486" t="s">
        <v>359</v>
      </c>
      <c r="D486">
        <v>0</v>
      </c>
      <c r="E486">
        <v>7797</v>
      </c>
      <c r="I486">
        <v>7797</v>
      </c>
      <c r="J486">
        <f>VLOOKUP(A486,'תקציב מפורט 2025'!A:O,11,FALSE)-I486</f>
        <v>-7797</v>
      </c>
    </row>
    <row r="487" spans="1:10" hidden="1" x14ac:dyDescent="0.2">
      <c r="A487">
        <v>1844300840</v>
      </c>
      <c r="B487" t="s">
        <v>1270</v>
      </c>
      <c r="C487" t="s">
        <v>359</v>
      </c>
      <c r="D487">
        <v>127000</v>
      </c>
      <c r="E487">
        <v>128549</v>
      </c>
      <c r="I487">
        <v>128549</v>
      </c>
      <c r="J487">
        <f>VLOOKUP(A487,'תקציב מפורט 2025'!A:O,11,FALSE)-I487</f>
        <v>0</v>
      </c>
    </row>
    <row r="488" spans="1:10" hidden="1" x14ac:dyDescent="0.2">
      <c r="A488">
        <v>1844401110</v>
      </c>
      <c r="B488" t="s">
        <v>1459</v>
      </c>
      <c r="C488" t="s">
        <v>358</v>
      </c>
      <c r="D488">
        <v>160000</v>
      </c>
      <c r="E488">
        <v>172260.64</v>
      </c>
      <c r="I488">
        <v>172260.64</v>
      </c>
      <c r="J488">
        <f>VLOOKUP(A488,'תקציב מפורט 2025'!A:O,11,FALSE)-I488</f>
        <v>0</v>
      </c>
    </row>
    <row r="489" spans="1:10" hidden="1" x14ac:dyDescent="0.2">
      <c r="A489">
        <v>1844401431</v>
      </c>
      <c r="B489" t="s">
        <v>1460</v>
      </c>
      <c r="C489" t="s">
        <v>359</v>
      </c>
      <c r="D489">
        <v>0</v>
      </c>
      <c r="E489">
        <v>9921.85</v>
      </c>
      <c r="I489">
        <v>9921.85</v>
      </c>
      <c r="J489">
        <f>VLOOKUP(A489,'תקציב מפורט 2025'!A:O,11,FALSE)-I489</f>
        <v>0</v>
      </c>
    </row>
    <row r="490" spans="1:10" hidden="1" x14ac:dyDescent="0.2">
      <c r="A490">
        <v>1844401710</v>
      </c>
      <c r="B490" t="s">
        <v>1518</v>
      </c>
      <c r="C490" t="s">
        <v>359</v>
      </c>
      <c r="D490">
        <v>110000</v>
      </c>
      <c r="E490">
        <v>151361.5</v>
      </c>
      <c r="I490">
        <v>151361.5</v>
      </c>
      <c r="J490">
        <f>VLOOKUP(A490,'תקציב מפורט 2025'!A:O,11,FALSE)-I490</f>
        <v>0</v>
      </c>
    </row>
    <row r="491" spans="1:10" hidden="1" x14ac:dyDescent="0.2">
      <c r="A491">
        <v>1844401720</v>
      </c>
      <c r="B491" t="s">
        <v>1461</v>
      </c>
      <c r="C491" t="s">
        <v>359</v>
      </c>
      <c r="D491">
        <v>95000</v>
      </c>
      <c r="E491">
        <v>51309</v>
      </c>
      <c r="I491">
        <v>51309</v>
      </c>
      <c r="J491">
        <f>VLOOKUP(A491,'תקציב מפורט 2025'!A:O,11,FALSE)-I491</f>
        <v>8691</v>
      </c>
    </row>
    <row r="492" spans="1:10" hidden="1" x14ac:dyDescent="0.2">
      <c r="A492">
        <v>1844401750</v>
      </c>
      <c r="B492" t="s">
        <v>1462</v>
      </c>
      <c r="C492" t="s">
        <v>359</v>
      </c>
      <c r="D492">
        <v>0</v>
      </c>
      <c r="E492">
        <v>9200</v>
      </c>
      <c r="I492">
        <v>9200</v>
      </c>
      <c r="J492">
        <f>VLOOKUP(A492,'תקציב מפורט 2025'!A:O,11,FALSE)-I492</f>
        <v>-9200</v>
      </c>
    </row>
    <row r="493" spans="1:10" hidden="1" x14ac:dyDescent="0.2">
      <c r="A493">
        <v>1844402840</v>
      </c>
      <c r="B493" t="s">
        <v>1271</v>
      </c>
      <c r="C493" t="s">
        <v>359</v>
      </c>
      <c r="D493">
        <v>20000</v>
      </c>
      <c r="E493">
        <v>0</v>
      </c>
      <c r="I493">
        <v>0</v>
      </c>
      <c r="J493">
        <f>VLOOKUP(A493,'תקציב מפורט 2025'!A:O,11,FALSE)-I493</f>
        <v>0</v>
      </c>
    </row>
    <row r="494" spans="1:10" hidden="1" x14ac:dyDescent="0.2">
      <c r="A494">
        <v>1845001840</v>
      </c>
      <c r="B494" t="s">
        <v>1476</v>
      </c>
      <c r="C494" t="s">
        <v>359</v>
      </c>
      <c r="D494">
        <v>0</v>
      </c>
      <c r="E494">
        <v>2547</v>
      </c>
      <c r="I494">
        <v>2547</v>
      </c>
      <c r="J494">
        <f>VLOOKUP(A494,'תקציב מפורט 2025'!A:O,11,FALSE)-I494</f>
        <v>-2547</v>
      </c>
    </row>
    <row r="495" spans="1:10" hidden="1" x14ac:dyDescent="0.2">
      <c r="A495">
        <v>1845101840</v>
      </c>
      <c r="B495" t="s">
        <v>1273</v>
      </c>
      <c r="C495" t="s">
        <v>359</v>
      </c>
      <c r="D495">
        <v>7000000</v>
      </c>
      <c r="E495">
        <v>6919663</v>
      </c>
      <c r="I495">
        <v>6919663</v>
      </c>
      <c r="J495">
        <f>VLOOKUP(A495,'תקציב מפורט 2025'!A:O,11,FALSE)-I495</f>
        <v>0</v>
      </c>
    </row>
    <row r="496" spans="1:10" hidden="1" x14ac:dyDescent="0.2">
      <c r="A496">
        <v>1845102840</v>
      </c>
      <c r="B496" t="s">
        <v>1274</v>
      </c>
      <c r="C496" t="s">
        <v>359</v>
      </c>
      <c r="D496">
        <v>15000</v>
      </c>
      <c r="E496">
        <v>0</v>
      </c>
      <c r="I496">
        <v>0</v>
      </c>
      <c r="J496">
        <f>VLOOKUP(A496,'תקציב מפורט 2025'!A:O,11,FALSE)-I496</f>
        <v>0</v>
      </c>
    </row>
    <row r="497" spans="1:10" hidden="1" x14ac:dyDescent="0.2">
      <c r="A497">
        <v>1845200110</v>
      </c>
      <c r="B497" t="s">
        <v>1641</v>
      </c>
      <c r="C497" t="s">
        <v>358</v>
      </c>
      <c r="D497">
        <v>200000</v>
      </c>
      <c r="E497">
        <v>174740.81</v>
      </c>
      <c r="I497">
        <v>174740.81</v>
      </c>
      <c r="J497">
        <f>VLOOKUP(A497,'תקציב מפורט 2025'!A:O,11,FALSE)-I497</f>
        <v>0</v>
      </c>
    </row>
    <row r="498" spans="1:10" hidden="1" x14ac:dyDescent="0.2">
      <c r="A498">
        <v>1845200511</v>
      </c>
      <c r="B498" t="s">
        <v>1463</v>
      </c>
      <c r="C498" t="s">
        <v>359</v>
      </c>
      <c r="D498">
        <v>0</v>
      </c>
      <c r="E498">
        <v>0</v>
      </c>
      <c r="I498">
        <v>0</v>
      </c>
      <c r="J498" t="e">
        <f>VLOOKUP(A498,'תקציב מפורט 2025'!A:O,11,FALSE)-I498</f>
        <v>#N/A</v>
      </c>
    </row>
    <row r="499" spans="1:10" hidden="1" x14ac:dyDescent="0.2">
      <c r="A499">
        <v>1845200780</v>
      </c>
      <c r="B499" t="s">
        <v>1966</v>
      </c>
      <c r="C499" t="s">
        <v>359</v>
      </c>
      <c r="D499">
        <v>0</v>
      </c>
      <c r="E499">
        <v>22575</v>
      </c>
      <c r="I499">
        <v>22575</v>
      </c>
      <c r="J499">
        <f>VLOOKUP(A499,'תקציב מפורט 2025'!A:O,11,FALSE)-I499</f>
        <v>-22575</v>
      </c>
    </row>
    <row r="500" spans="1:10" hidden="1" x14ac:dyDescent="0.2">
      <c r="A500">
        <v>1845201750</v>
      </c>
      <c r="B500" t="s">
        <v>1464</v>
      </c>
      <c r="C500" t="s">
        <v>359</v>
      </c>
      <c r="D500">
        <v>80000</v>
      </c>
      <c r="E500">
        <v>182032.25</v>
      </c>
      <c r="I500">
        <v>182032.25</v>
      </c>
      <c r="J500">
        <f>VLOOKUP(A500,'תקציב מפורט 2025'!A:O,11,FALSE)-I500</f>
        <v>0</v>
      </c>
    </row>
    <row r="501" spans="1:10" hidden="1" x14ac:dyDescent="0.2">
      <c r="A501">
        <v>1845201840</v>
      </c>
      <c r="B501" t="s">
        <v>1275</v>
      </c>
      <c r="C501" t="s">
        <v>359</v>
      </c>
      <c r="D501">
        <v>5500000</v>
      </c>
      <c r="E501">
        <v>8528967</v>
      </c>
      <c r="I501">
        <v>8528967</v>
      </c>
      <c r="J501">
        <f>VLOOKUP(A501,'תקציב מפורט 2025'!A:O,11,FALSE)-I501</f>
        <v>-500000</v>
      </c>
    </row>
    <row r="502" spans="1:10" hidden="1" x14ac:dyDescent="0.2">
      <c r="A502">
        <v>1845202840</v>
      </c>
      <c r="B502" t="s">
        <v>1276</v>
      </c>
      <c r="C502" t="s">
        <v>359</v>
      </c>
      <c r="D502">
        <v>80000</v>
      </c>
      <c r="E502">
        <v>53782</v>
      </c>
      <c r="I502">
        <v>53782</v>
      </c>
      <c r="J502">
        <f>VLOOKUP(A502,'תקציב מפורט 2025'!A:O,11,FALSE)-I502</f>
        <v>0</v>
      </c>
    </row>
    <row r="503" spans="1:10" hidden="1" x14ac:dyDescent="0.2">
      <c r="A503">
        <v>1845204840</v>
      </c>
      <c r="B503" t="s">
        <v>1137</v>
      </c>
      <c r="C503" t="s">
        <v>359</v>
      </c>
      <c r="D503">
        <v>600000</v>
      </c>
      <c r="E503">
        <v>641033</v>
      </c>
      <c r="I503">
        <v>641033</v>
      </c>
      <c r="J503">
        <f>VLOOKUP(A503,'תקציב מפורט 2025'!A:O,11,FALSE)-I503</f>
        <v>0</v>
      </c>
    </row>
    <row r="504" spans="1:10" hidden="1" x14ac:dyDescent="0.2">
      <c r="A504">
        <v>1845301840</v>
      </c>
      <c r="B504" t="s">
        <v>1277</v>
      </c>
      <c r="C504" t="s">
        <v>359</v>
      </c>
      <c r="D504">
        <v>15000</v>
      </c>
      <c r="E504">
        <v>0</v>
      </c>
      <c r="I504">
        <v>0</v>
      </c>
      <c r="J504">
        <f>VLOOKUP(A504,'תקציב מפורט 2025'!A:O,11,FALSE)-I504</f>
        <v>0</v>
      </c>
    </row>
    <row r="505" spans="1:10" hidden="1" x14ac:dyDescent="0.2">
      <c r="A505">
        <v>1845302840</v>
      </c>
      <c r="B505" t="s">
        <v>1278</v>
      </c>
      <c r="C505" t="s">
        <v>359</v>
      </c>
      <c r="D505">
        <v>15000</v>
      </c>
      <c r="E505">
        <v>17782</v>
      </c>
      <c r="I505">
        <v>17782</v>
      </c>
      <c r="J505">
        <f>VLOOKUP(A505,'תקציב מפורט 2025'!A:O,11,FALSE)-I505</f>
        <v>0</v>
      </c>
    </row>
    <row r="506" spans="1:10" hidden="1" x14ac:dyDescent="0.2">
      <c r="A506">
        <v>1845304840</v>
      </c>
      <c r="B506" t="s">
        <v>1139</v>
      </c>
      <c r="C506" t="s">
        <v>359</v>
      </c>
      <c r="D506">
        <v>800000</v>
      </c>
      <c r="E506">
        <v>1146028</v>
      </c>
      <c r="I506">
        <v>1146028</v>
      </c>
      <c r="J506">
        <f>VLOOKUP(A506,'תקציב מפורט 2025'!A:O,11,FALSE)-I506</f>
        <v>0</v>
      </c>
    </row>
    <row r="507" spans="1:10" hidden="1" x14ac:dyDescent="0.2">
      <c r="A507">
        <v>1845401840</v>
      </c>
      <c r="B507" t="s">
        <v>1612</v>
      </c>
      <c r="C507" t="s">
        <v>359</v>
      </c>
      <c r="D507">
        <v>180000</v>
      </c>
      <c r="E507">
        <v>13417</v>
      </c>
      <c r="I507">
        <v>13417</v>
      </c>
      <c r="J507">
        <f>VLOOKUP(A507,'תקציב מפורט 2025'!A:O,11,FALSE)-I507</f>
        <v>386583</v>
      </c>
    </row>
    <row r="508" spans="1:10" hidden="1" x14ac:dyDescent="0.2">
      <c r="A508">
        <v>1846302840</v>
      </c>
      <c r="B508" t="s">
        <v>1466</v>
      </c>
      <c r="C508" t="s">
        <v>359</v>
      </c>
      <c r="D508">
        <v>0</v>
      </c>
      <c r="E508">
        <v>0</v>
      </c>
      <c r="I508">
        <v>0</v>
      </c>
      <c r="J508" t="e">
        <f>VLOOKUP(A508,'תקציב מפורט 2025'!A:O,11,FALSE)-I508</f>
        <v>#N/A</v>
      </c>
    </row>
    <row r="509" spans="1:10" hidden="1" x14ac:dyDescent="0.2">
      <c r="A509">
        <v>1846401840</v>
      </c>
      <c r="B509" t="s">
        <v>1467</v>
      </c>
      <c r="C509" t="s">
        <v>359</v>
      </c>
      <c r="D509">
        <v>15000</v>
      </c>
      <c r="E509">
        <v>57821</v>
      </c>
      <c r="I509">
        <v>57821</v>
      </c>
      <c r="J509">
        <f>VLOOKUP(A509,'תקציב מפורט 2025'!A:O,11,FALSE)-I509</f>
        <v>0</v>
      </c>
    </row>
    <row r="510" spans="1:10" hidden="1" x14ac:dyDescent="0.2">
      <c r="A510">
        <v>1846601840</v>
      </c>
      <c r="B510" t="s">
        <v>1140</v>
      </c>
      <c r="C510" t="s">
        <v>359</v>
      </c>
      <c r="D510">
        <v>350000</v>
      </c>
      <c r="E510">
        <v>403528</v>
      </c>
      <c r="I510">
        <v>403528</v>
      </c>
      <c r="J510">
        <f>VLOOKUP(A510,'תקציב מפורט 2025'!A:O,11,FALSE)-I510</f>
        <v>0</v>
      </c>
    </row>
    <row r="511" spans="1:10" hidden="1" x14ac:dyDescent="0.2">
      <c r="A511">
        <v>1846603840</v>
      </c>
      <c r="B511" t="s">
        <v>1281</v>
      </c>
      <c r="C511" t="s">
        <v>359</v>
      </c>
      <c r="D511">
        <v>50000</v>
      </c>
      <c r="E511">
        <v>1157</v>
      </c>
      <c r="I511">
        <v>1157</v>
      </c>
      <c r="J511">
        <f>VLOOKUP(A511,'תקציב מפורט 2025'!A:O,11,FALSE)-I511</f>
        <v>-1157</v>
      </c>
    </row>
    <row r="512" spans="1:10" hidden="1" x14ac:dyDescent="0.2">
      <c r="A512">
        <v>1846604840</v>
      </c>
      <c r="B512" t="s">
        <v>1967</v>
      </c>
      <c r="C512" t="s">
        <v>359</v>
      </c>
      <c r="D512">
        <v>0</v>
      </c>
      <c r="E512">
        <v>317644</v>
      </c>
      <c r="I512">
        <v>317644</v>
      </c>
      <c r="J512">
        <f>VLOOKUP(A512,'תקציב מפורט 2025'!A:O,11,FALSE)-I512</f>
        <v>-317644</v>
      </c>
    </row>
    <row r="513" spans="1:10" hidden="1" x14ac:dyDescent="0.2">
      <c r="A513">
        <v>1846605840</v>
      </c>
      <c r="B513" t="s">
        <v>1968</v>
      </c>
      <c r="C513" t="s">
        <v>359</v>
      </c>
      <c r="D513">
        <v>0</v>
      </c>
      <c r="E513">
        <v>290539</v>
      </c>
      <c r="I513">
        <v>290539</v>
      </c>
      <c r="J513">
        <f>VLOOKUP(A513,'תקציב מפורט 2025'!A:O,11,FALSE)-I513</f>
        <v>0</v>
      </c>
    </row>
    <row r="514" spans="1:10" hidden="1" x14ac:dyDescent="0.2">
      <c r="A514">
        <v>1846701840</v>
      </c>
      <c r="B514" t="s">
        <v>1468</v>
      </c>
      <c r="C514" t="s">
        <v>359</v>
      </c>
      <c r="D514">
        <v>1300000</v>
      </c>
      <c r="E514">
        <v>0</v>
      </c>
      <c r="I514">
        <v>0</v>
      </c>
      <c r="J514">
        <f>VLOOKUP(A514,'תקציב מפורט 2025'!A:O,11,FALSE)-I514</f>
        <v>0</v>
      </c>
    </row>
    <row r="515" spans="1:10" hidden="1" x14ac:dyDescent="0.2">
      <c r="A515">
        <v>1846702840</v>
      </c>
      <c r="B515" t="s">
        <v>1510</v>
      </c>
      <c r="C515" t="s">
        <v>359</v>
      </c>
      <c r="D515">
        <v>0</v>
      </c>
      <c r="E515">
        <v>48460</v>
      </c>
      <c r="I515">
        <v>48460</v>
      </c>
      <c r="J515">
        <f>VLOOKUP(A515,'תקציב מפורט 2025'!A:O,11,FALSE)-I515</f>
        <v>0</v>
      </c>
    </row>
    <row r="516" spans="1:10" hidden="1" x14ac:dyDescent="0.2">
      <c r="A516">
        <v>1846703840</v>
      </c>
      <c r="B516" t="s">
        <v>1142</v>
      </c>
      <c r="C516" t="s">
        <v>359</v>
      </c>
      <c r="D516">
        <v>800000</v>
      </c>
      <c r="E516">
        <v>667631</v>
      </c>
      <c r="I516">
        <v>667631</v>
      </c>
      <c r="J516">
        <f>VLOOKUP(A516,'תקציב מפורט 2025'!A:O,11,FALSE)-I516</f>
        <v>0</v>
      </c>
    </row>
    <row r="517" spans="1:10" hidden="1" x14ac:dyDescent="0.2">
      <c r="A517">
        <v>1846704840</v>
      </c>
      <c r="B517" t="s">
        <v>1143</v>
      </c>
      <c r="C517" t="s">
        <v>359</v>
      </c>
      <c r="D517">
        <v>200000</v>
      </c>
      <c r="E517">
        <v>1623576</v>
      </c>
      <c r="I517">
        <v>1623576</v>
      </c>
      <c r="J517">
        <f>VLOOKUP(A517,'תקציב מפורט 2025'!A:O,11,FALSE)-I517</f>
        <v>-650000</v>
      </c>
    </row>
    <row r="518" spans="1:10" hidden="1" x14ac:dyDescent="0.2">
      <c r="A518">
        <v>1846705840</v>
      </c>
      <c r="B518" t="s">
        <v>1144</v>
      </c>
      <c r="C518" t="s">
        <v>359</v>
      </c>
      <c r="D518">
        <v>70000</v>
      </c>
      <c r="E518">
        <v>272775</v>
      </c>
      <c r="I518">
        <v>272775</v>
      </c>
      <c r="J518">
        <f>VLOOKUP(A518,'תקציב מפורט 2025'!A:O,11,FALSE)-I518</f>
        <v>0</v>
      </c>
    </row>
    <row r="519" spans="1:10" hidden="1" x14ac:dyDescent="0.2">
      <c r="A519">
        <v>1846712840</v>
      </c>
      <c r="B519" t="s">
        <v>1941</v>
      </c>
      <c r="C519" t="s">
        <v>359</v>
      </c>
      <c r="D519">
        <v>0</v>
      </c>
      <c r="E519">
        <v>111920</v>
      </c>
      <c r="I519">
        <v>111920</v>
      </c>
      <c r="J519">
        <f>VLOOKUP(A519,'תקציב מפורט 2025'!A:O,11,FALSE)-I519</f>
        <v>0</v>
      </c>
    </row>
    <row r="520" spans="1:10" hidden="1" x14ac:dyDescent="0.2">
      <c r="A520">
        <v>1846801840</v>
      </c>
      <c r="B520" t="s">
        <v>1282</v>
      </c>
      <c r="C520" t="s">
        <v>359</v>
      </c>
      <c r="D520">
        <v>250000</v>
      </c>
      <c r="E520">
        <v>219856</v>
      </c>
      <c r="I520">
        <v>219856</v>
      </c>
      <c r="J520">
        <f>VLOOKUP(A520,'תקציב מפורט 2025'!A:O,11,FALSE)-I520</f>
        <v>0</v>
      </c>
    </row>
    <row r="521" spans="1:10" hidden="1" x14ac:dyDescent="0.2">
      <c r="A521">
        <v>1846901840</v>
      </c>
      <c r="B521" t="s">
        <v>1642</v>
      </c>
      <c r="C521" t="s">
        <v>359</v>
      </c>
      <c r="D521">
        <v>10000</v>
      </c>
      <c r="E521">
        <v>0</v>
      </c>
      <c r="I521">
        <v>0</v>
      </c>
      <c r="J521">
        <f>VLOOKUP(A521,'תקציב מפורט 2025'!A:O,11,FALSE)-I521</f>
        <v>0</v>
      </c>
    </row>
    <row r="522" spans="1:10" hidden="1" x14ac:dyDescent="0.2">
      <c r="A522">
        <v>1847101780</v>
      </c>
      <c r="B522" t="s">
        <v>1469</v>
      </c>
      <c r="C522" t="s">
        <v>359</v>
      </c>
      <c r="D522">
        <v>25000</v>
      </c>
      <c r="E522">
        <v>0</v>
      </c>
      <c r="I522">
        <v>0</v>
      </c>
      <c r="J522">
        <f>VLOOKUP(A522,'תקציב מפורט 2025'!A:O,11,FALSE)-I522</f>
        <v>0</v>
      </c>
    </row>
    <row r="523" spans="1:10" hidden="1" x14ac:dyDescent="0.2">
      <c r="A523">
        <v>1847102750</v>
      </c>
      <c r="B523" t="s">
        <v>1470</v>
      </c>
      <c r="C523" t="s">
        <v>359</v>
      </c>
      <c r="D523">
        <v>50000</v>
      </c>
      <c r="E523">
        <v>3042</v>
      </c>
      <c r="I523">
        <v>3042</v>
      </c>
      <c r="J523">
        <f>VLOOKUP(A523,'תקציב מפורט 2025'!A:O,11,FALSE)-I523</f>
        <v>-3042</v>
      </c>
    </row>
    <row r="524" spans="1:10" hidden="1" x14ac:dyDescent="0.2">
      <c r="A524">
        <v>1847103840</v>
      </c>
      <c r="B524" t="s">
        <v>1285</v>
      </c>
      <c r="C524" t="s">
        <v>359</v>
      </c>
      <c r="D524">
        <v>250000</v>
      </c>
      <c r="E524">
        <v>0</v>
      </c>
      <c r="I524">
        <v>0</v>
      </c>
      <c r="J524">
        <f>VLOOKUP(A524,'תקציב מפורט 2025'!A:O,11,FALSE)-I524</f>
        <v>0</v>
      </c>
    </row>
    <row r="525" spans="1:10" hidden="1" x14ac:dyDescent="0.2">
      <c r="A525">
        <v>1847104840</v>
      </c>
      <c r="B525" t="s">
        <v>1257</v>
      </c>
      <c r="C525" t="s">
        <v>359</v>
      </c>
      <c r="D525">
        <v>35000</v>
      </c>
      <c r="E525">
        <v>325155</v>
      </c>
      <c r="I525">
        <v>325155</v>
      </c>
      <c r="J525">
        <f>VLOOKUP(A525,'תקציב מפורט 2025'!A:O,11,FALSE)-I525</f>
        <v>0</v>
      </c>
    </row>
    <row r="526" spans="1:10" hidden="1" x14ac:dyDescent="0.2">
      <c r="A526">
        <v>1847105840</v>
      </c>
      <c r="B526" t="s">
        <v>1471</v>
      </c>
      <c r="C526" t="s">
        <v>359</v>
      </c>
      <c r="D526">
        <v>0</v>
      </c>
      <c r="E526">
        <v>270454</v>
      </c>
      <c r="I526">
        <v>270454</v>
      </c>
      <c r="J526">
        <f>VLOOKUP(A526,'תקציב מפורט 2025'!A:O,11,FALSE)-I526</f>
        <v>0</v>
      </c>
    </row>
    <row r="527" spans="1:10" hidden="1" x14ac:dyDescent="0.2">
      <c r="A527">
        <v>1847201840</v>
      </c>
      <c r="B527" t="s">
        <v>1286</v>
      </c>
      <c r="C527" t="s">
        <v>359</v>
      </c>
      <c r="D527">
        <v>200000</v>
      </c>
      <c r="E527">
        <v>0</v>
      </c>
      <c r="I527">
        <v>0</v>
      </c>
      <c r="J527">
        <f>VLOOKUP(A527,'תקציב מפורט 2025'!A:O,11,FALSE)-I527</f>
        <v>0</v>
      </c>
    </row>
    <row r="528" spans="1:10" hidden="1" x14ac:dyDescent="0.2">
      <c r="A528">
        <v>1847202840</v>
      </c>
      <c r="B528" t="s">
        <v>1472</v>
      </c>
      <c r="C528" t="s">
        <v>359</v>
      </c>
      <c r="D528">
        <v>100000</v>
      </c>
      <c r="E528">
        <v>0</v>
      </c>
      <c r="I528">
        <v>0</v>
      </c>
      <c r="J528">
        <f>VLOOKUP(A528,'תקציב מפורט 2025'!A:O,11,FALSE)-I528</f>
        <v>0</v>
      </c>
    </row>
    <row r="529" spans="1:10" hidden="1" x14ac:dyDescent="0.2">
      <c r="A529">
        <v>1847220840</v>
      </c>
      <c r="B529" t="s">
        <v>1288</v>
      </c>
      <c r="C529" t="s">
        <v>359</v>
      </c>
      <c r="D529">
        <v>580000</v>
      </c>
      <c r="E529">
        <v>606537</v>
      </c>
      <c r="I529">
        <v>606537</v>
      </c>
      <c r="J529">
        <f>VLOOKUP(A529,'תקציב מפורט 2025'!A:O,11,FALSE)-I529</f>
        <v>0</v>
      </c>
    </row>
    <row r="530" spans="1:10" hidden="1" x14ac:dyDescent="0.2">
      <c r="A530">
        <v>1847301840</v>
      </c>
      <c r="B530" t="s">
        <v>1474</v>
      </c>
      <c r="C530" t="s">
        <v>359</v>
      </c>
      <c r="D530">
        <v>95000</v>
      </c>
      <c r="E530">
        <v>117480</v>
      </c>
      <c r="I530">
        <v>117480</v>
      </c>
      <c r="J530">
        <f>VLOOKUP(A530,'תקציב מפורט 2025'!A:O,11,FALSE)-I530</f>
        <v>0</v>
      </c>
    </row>
    <row r="531" spans="1:10" hidden="1" x14ac:dyDescent="0.2">
      <c r="A531">
        <v>1847302840</v>
      </c>
      <c r="B531" t="s">
        <v>1643</v>
      </c>
      <c r="C531" t="s">
        <v>359</v>
      </c>
      <c r="D531">
        <v>0</v>
      </c>
      <c r="E531">
        <v>0</v>
      </c>
      <c r="I531">
        <v>0</v>
      </c>
      <c r="J531" t="e">
        <f>VLOOKUP(A531,'תקציב מפורט 2025'!A:O,11,FALSE)-I531</f>
        <v>#N/A</v>
      </c>
    </row>
    <row r="532" spans="1:10" hidden="1" x14ac:dyDescent="0.2">
      <c r="A532">
        <v>1847305840</v>
      </c>
      <c r="B532" t="s">
        <v>1151</v>
      </c>
      <c r="C532" t="s">
        <v>359</v>
      </c>
      <c r="D532">
        <v>1600000</v>
      </c>
      <c r="E532">
        <v>1680394</v>
      </c>
      <c r="I532">
        <v>1680394</v>
      </c>
      <c r="J532">
        <f>VLOOKUP(A532,'תקציב מפורט 2025'!A:O,11,FALSE)-I532</f>
        <v>0</v>
      </c>
    </row>
    <row r="533" spans="1:10" hidden="1" x14ac:dyDescent="0.2">
      <c r="A533">
        <v>1847400840</v>
      </c>
      <c r="B533" t="s">
        <v>1475</v>
      </c>
      <c r="C533" t="s">
        <v>359</v>
      </c>
      <c r="D533">
        <v>25000</v>
      </c>
      <c r="E533">
        <v>37723</v>
      </c>
      <c r="I533">
        <v>37723</v>
      </c>
      <c r="J533">
        <f>VLOOKUP(A533,'תקציב מפורט 2025'!A:O,11,FALSE)-I533</f>
        <v>0</v>
      </c>
    </row>
    <row r="534" spans="1:10" hidden="1" x14ac:dyDescent="0.2">
      <c r="A534">
        <v>1848000840</v>
      </c>
      <c r="B534" t="s">
        <v>1644</v>
      </c>
      <c r="C534" t="s">
        <v>359</v>
      </c>
      <c r="D534">
        <v>0</v>
      </c>
      <c r="E534">
        <v>252501</v>
      </c>
      <c r="I534">
        <v>252501</v>
      </c>
      <c r="J534">
        <f>VLOOKUP(A534,'תקציב מפורט 2025'!A:O,11,FALSE)-I534</f>
        <v>0</v>
      </c>
    </row>
    <row r="535" spans="1:10" hidden="1" x14ac:dyDescent="0.2">
      <c r="A535">
        <v>1853000431</v>
      </c>
      <c r="B535" t="s">
        <v>1477</v>
      </c>
      <c r="C535" t="s">
        <v>353</v>
      </c>
      <c r="D535">
        <v>15000</v>
      </c>
      <c r="E535">
        <v>17505.63</v>
      </c>
      <c r="I535">
        <v>17505.63</v>
      </c>
      <c r="J535">
        <f>VLOOKUP(A535,'תקציב מפורט 2025'!A:O,11,FALSE)-I535</f>
        <v>0</v>
      </c>
    </row>
    <row r="536" spans="1:10" hidden="1" x14ac:dyDescent="0.2">
      <c r="A536">
        <v>1853000432</v>
      </c>
      <c r="B536" t="s">
        <v>1478</v>
      </c>
      <c r="C536" t="s">
        <v>353</v>
      </c>
      <c r="D536">
        <v>30000</v>
      </c>
      <c r="E536">
        <v>0</v>
      </c>
      <c r="I536">
        <v>0</v>
      </c>
      <c r="J536">
        <f>VLOOKUP(A536,'תקציב מפורט 2025'!A:O,11,FALSE)-I536</f>
        <v>41000</v>
      </c>
    </row>
    <row r="537" spans="1:10" hidden="1" x14ac:dyDescent="0.2">
      <c r="A537">
        <v>1879000830</v>
      </c>
      <c r="B537" t="s">
        <v>1479</v>
      </c>
      <c r="C537" t="s">
        <v>353</v>
      </c>
      <c r="D537">
        <v>80000</v>
      </c>
      <c r="E537">
        <v>118481</v>
      </c>
      <c r="I537">
        <v>118481</v>
      </c>
      <c r="J537">
        <f>VLOOKUP(A537,'תקציב מפורט 2025'!A:O,11,FALSE)-I537</f>
        <v>0</v>
      </c>
    </row>
    <row r="538" spans="1:10" hidden="1" x14ac:dyDescent="0.2">
      <c r="A538">
        <v>1938000420</v>
      </c>
      <c r="B538" t="s">
        <v>1480</v>
      </c>
      <c r="C538" t="s">
        <v>353</v>
      </c>
      <c r="D538">
        <v>50000</v>
      </c>
      <c r="E538">
        <v>0</v>
      </c>
      <c r="I538">
        <v>0</v>
      </c>
      <c r="J538">
        <f>VLOOKUP(A538,'תקציב מפורט 2025'!A:O,11,FALSE)-I538</f>
        <v>0</v>
      </c>
    </row>
    <row r="539" spans="1:10" hidden="1" x14ac:dyDescent="0.2">
      <c r="A539">
        <v>1938000432</v>
      </c>
      <c r="B539" t="s">
        <v>1481</v>
      </c>
      <c r="C539">
        <v>0</v>
      </c>
      <c r="D539">
        <v>0</v>
      </c>
      <c r="E539">
        <v>0</v>
      </c>
      <c r="I539">
        <v>0</v>
      </c>
      <c r="J539">
        <f>VLOOKUP(A539,'תקציב מפורט 2025'!A:O,11,FALSE)-I539</f>
        <v>0</v>
      </c>
    </row>
    <row r="540" spans="1:10" hidden="1" x14ac:dyDescent="0.2">
      <c r="A540">
        <v>1938000560</v>
      </c>
      <c r="B540" t="s">
        <v>1482</v>
      </c>
      <c r="C540" t="s">
        <v>353</v>
      </c>
      <c r="D540">
        <v>0</v>
      </c>
      <c r="E540">
        <v>0</v>
      </c>
      <c r="I540">
        <v>0</v>
      </c>
      <c r="J540" t="e">
        <f>VLOOKUP(A540,'תקציב מפורט 2025'!A:O,11,FALSE)-I540</f>
        <v>#N/A</v>
      </c>
    </row>
    <row r="541" spans="1:10" hidden="1" x14ac:dyDescent="0.2">
      <c r="A541">
        <v>1938000750</v>
      </c>
      <c r="B541" t="s">
        <v>1331</v>
      </c>
      <c r="C541" t="s">
        <v>353</v>
      </c>
      <c r="D541">
        <v>80000</v>
      </c>
      <c r="E541">
        <v>84280</v>
      </c>
      <c r="I541">
        <v>84280</v>
      </c>
      <c r="J541">
        <f>VLOOKUP(A541,'תקציב מפורט 2025'!A:O,11,FALSE)-I541</f>
        <v>0</v>
      </c>
    </row>
    <row r="542" spans="1:10" hidden="1" x14ac:dyDescent="0.2">
      <c r="A542">
        <v>1938000780</v>
      </c>
      <c r="B542" t="s">
        <v>1483</v>
      </c>
      <c r="C542" t="s">
        <v>353</v>
      </c>
      <c r="D542">
        <v>400000</v>
      </c>
      <c r="E542">
        <v>397680</v>
      </c>
      <c r="I542">
        <v>397680</v>
      </c>
      <c r="J542">
        <f>VLOOKUP(A542,'תקציב מפורט 2025'!A:O,11,FALSE)-I542</f>
        <v>0</v>
      </c>
    </row>
    <row r="543" spans="1:10" hidden="1" x14ac:dyDescent="0.2">
      <c r="A543">
        <v>1938000930</v>
      </c>
      <c r="B543" t="s">
        <v>1969</v>
      </c>
      <c r="C543" t="s">
        <v>353</v>
      </c>
      <c r="D543">
        <v>165000</v>
      </c>
      <c r="E543">
        <v>34183.660000000003</v>
      </c>
      <c r="I543">
        <v>34183.660000000003</v>
      </c>
      <c r="J543">
        <f>VLOOKUP(A543,'תקציב מפורט 2025'!A:O,11,FALSE)-I543</f>
        <v>0</v>
      </c>
    </row>
    <row r="544" spans="1:10" hidden="1" x14ac:dyDescent="0.2">
      <c r="A544">
        <v>1972000691</v>
      </c>
      <c r="B544" t="s">
        <v>1484</v>
      </c>
      <c r="C544" t="s">
        <v>361</v>
      </c>
      <c r="D544">
        <v>400000</v>
      </c>
      <c r="E544">
        <v>233918.73</v>
      </c>
      <c r="I544">
        <v>233918.73</v>
      </c>
      <c r="J544">
        <f>VLOOKUP(A544,'תקציב מפורט 2025'!A:O,11,FALSE)-I544</f>
        <v>0</v>
      </c>
    </row>
    <row r="545" spans="1:10" hidden="1" x14ac:dyDescent="0.2">
      <c r="A545">
        <v>1972000692</v>
      </c>
      <c r="B545" t="s">
        <v>1485</v>
      </c>
      <c r="C545" t="s">
        <v>361</v>
      </c>
      <c r="D545">
        <v>50000</v>
      </c>
      <c r="E545">
        <v>20475.91</v>
      </c>
      <c r="I545">
        <v>20475.91</v>
      </c>
      <c r="J545">
        <f>VLOOKUP(A545,'תקציב מפורט 2025'!A:O,11,FALSE)-I545</f>
        <v>0</v>
      </c>
    </row>
    <row r="546" spans="1:10" hidden="1" x14ac:dyDescent="0.2">
      <c r="A546">
        <v>1972000693</v>
      </c>
      <c r="B546" t="s">
        <v>1486</v>
      </c>
      <c r="C546" t="s">
        <v>361</v>
      </c>
      <c r="D546">
        <v>150000</v>
      </c>
      <c r="E546">
        <v>82883.59</v>
      </c>
      <c r="I546">
        <v>82883.59</v>
      </c>
      <c r="J546">
        <f>VLOOKUP(A546,'תקציב מפורט 2025'!A:O,11,FALSE)-I546</f>
        <v>0</v>
      </c>
    </row>
    <row r="547" spans="1:10" hidden="1" x14ac:dyDescent="0.2">
      <c r="A547">
        <v>1972000750</v>
      </c>
      <c r="B547" t="s">
        <v>1487</v>
      </c>
      <c r="C547" t="s">
        <v>353</v>
      </c>
      <c r="D547">
        <v>50000</v>
      </c>
      <c r="E547">
        <v>0</v>
      </c>
      <c r="I547">
        <v>0</v>
      </c>
      <c r="J547">
        <f>VLOOKUP(A547,'תקציב מפורט 2025'!A:O,11,FALSE)-I547</f>
        <v>0</v>
      </c>
    </row>
    <row r="548" spans="1:10" hidden="1" x14ac:dyDescent="0.2">
      <c r="A548">
        <v>1972000771</v>
      </c>
      <c r="B548" t="s">
        <v>1488</v>
      </c>
      <c r="C548" t="s">
        <v>353</v>
      </c>
      <c r="D548">
        <v>0</v>
      </c>
      <c r="E548">
        <v>0</v>
      </c>
      <c r="I548">
        <v>0</v>
      </c>
      <c r="J548" t="e">
        <f>VLOOKUP(A548,'תקציב מפורט 2025'!A:O,11,FALSE)-I548</f>
        <v>#N/A</v>
      </c>
    </row>
    <row r="549" spans="1:10" hidden="1" x14ac:dyDescent="0.2">
      <c r="A549">
        <v>1993000780</v>
      </c>
      <c r="B549" t="s">
        <v>1489</v>
      </c>
      <c r="C549" t="s">
        <v>365</v>
      </c>
      <c r="D549">
        <v>0</v>
      </c>
      <c r="E549">
        <v>330690.3</v>
      </c>
      <c r="I549">
        <v>330690.3</v>
      </c>
      <c r="J549">
        <f>VLOOKUP(A549,'תקציב מפורט 2025'!A:O,11,FALSE)-I549</f>
        <v>0</v>
      </c>
    </row>
    <row r="550" spans="1:10" hidden="1" x14ac:dyDescent="0.2">
      <c r="A550">
        <v>1995000860</v>
      </c>
      <c r="B550" t="s">
        <v>1490</v>
      </c>
      <c r="C550" t="s">
        <v>346</v>
      </c>
      <c r="D550">
        <v>6500000</v>
      </c>
      <c r="E550">
        <v>6198791</v>
      </c>
      <c r="G550">
        <v>393207.66999999993</v>
      </c>
      <c r="H550" t="s">
        <v>2169</v>
      </c>
      <c r="I550">
        <v>6591998.6699999999</v>
      </c>
      <c r="J550">
        <f>VLOOKUP(A550,'תקציב מפורט 2025'!A:O,11,FALSE)-I550</f>
        <v>0</v>
      </c>
    </row>
    <row r="551" spans="1:10" hidden="1" x14ac:dyDescent="0.2">
      <c r="A551">
        <v>1999000110</v>
      </c>
      <c r="B551" t="s">
        <v>1491</v>
      </c>
      <c r="C551" t="s">
        <v>1645</v>
      </c>
      <c r="D551">
        <v>0</v>
      </c>
      <c r="E551">
        <v>19176.2</v>
      </c>
      <c r="I551">
        <v>19176.2</v>
      </c>
      <c r="J551">
        <f>VLOOKUP(A551,'תקציב מפורט 2025'!A:O,11,FALSE)-I551</f>
        <v>295823.8</v>
      </c>
    </row>
    <row r="552" spans="1:10" hidden="1" x14ac:dyDescent="0.2">
      <c r="A552">
        <v>1999000310</v>
      </c>
      <c r="B552" t="s">
        <v>1492</v>
      </c>
      <c r="C552" t="s">
        <v>1645</v>
      </c>
      <c r="D552">
        <v>300000</v>
      </c>
      <c r="E552">
        <v>288425.34000000003</v>
      </c>
      <c r="I552">
        <v>288425.34000000003</v>
      </c>
      <c r="J552" t="e">
        <f>VLOOKUP(A552,'תקציב מפורט 2025'!A:O,11,FALSE)-I552</f>
        <v>#N/A</v>
      </c>
    </row>
    <row r="553" spans="1:10" hidden="1" x14ac:dyDescent="0.2">
      <c r="A553">
        <v>1999100980</v>
      </c>
      <c r="B553" t="s">
        <v>1646</v>
      </c>
      <c r="C553" t="s">
        <v>367</v>
      </c>
      <c r="D553">
        <v>0</v>
      </c>
      <c r="E553">
        <v>0</v>
      </c>
      <c r="I553">
        <v>0</v>
      </c>
      <c r="J553" t="e">
        <f>VLOOKUP(A553,'תקציב מפורט 2025'!A:O,11,FALSE)-I553</f>
        <v>#N/A</v>
      </c>
    </row>
    <row r="554" spans="1:10" hidden="1" x14ac:dyDescent="0.2">
      <c r="A554">
        <v>1999900990</v>
      </c>
      <c r="B554" t="s">
        <v>1493</v>
      </c>
      <c r="C554" t="s">
        <v>369</v>
      </c>
      <c r="D554">
        <v>747166.25</v>
      </c>
      <c r="E554">
        <v>0</v>
      </c>
      <c r="I554">
        <v>0</v>
      </c>
      <c r="J554">
        <f>VLOOKUP(A554,'תקציב מפורט 2025'!A:O,11,FALSE)-I554</f>
        <v>0</v>
      </c>
    </row>
    <row r="555" spans="1:10" hidden="1" x14ac:dyDescent="0.2">
      <c r="C555" t="s">
        <v>1544</v>
      </c>
      <c r="D555">
        <v>135853919.25</v>
      </c>
      <c r="E555">
        <v>143812431.04999998</v>
      </c>
      <c r="F555">
        <v>0</v>
      </c>
      <c r="G555">
        <v>3102287.11</v>
      </c>
      <c r="H555">
        <v>0</v>
      </c>
      <c r="I555">
        <v>146914718.15999997</v>
      </c>
      <c r="J555">
        <v>0</v>
      </c>
    </row>
    <row r="556" spans="1:10" hidden="1" x14ac:dyDescent="0.2">
      <c r="C556" t="s">
        <v>817</v>
      </c>
      <c r="D556">
        <v>-5348000</v>
      </c>
      <c r="E556">
        <v>-10962832.199999973</v>
      </c>
      <c r="F556">
        <v>0</v>
      </c>
      <c r="G556">
        <v>5390451.4024</v>
      </c>
      <c r="H556">
        <v>0</v>
      </c>
      <c r="I556">
        <v>-5572380.7975999713</v>
      </c>
      <c r="J556">
        <v>0</v>
      </c>
    </row>
    <row r="558" spans="1:10" x14ac:dyDescent="0.2">
      <c r="G558" t="s">
        <v>2216</v>
      </c>
    </row>
    <row r="559" spans="1:10" x14ac:dyDescent="0.2">
      <c r="G559" t="s">
        <v>2217</v>
      </c>
      <c r="I559">
        <v>2210917.4299999997</v>
      </c>
    </row>
    <row r="560" spans="1:10" x14ac:dyDescent="0.2">
      <c r="G560" t="s">
        <v>2218</v>
      </c>
      <c r="I560">
        <v>2542555.0444999994</v>
      </c>
    </row>
    <row r="561" spans="7:9" x14ac:dyDescent="0.2">
      <c r="G561" t="s">
        <v>2219</v>
      </c>
      <c r="I561">
        <v>255030.39999999999</v>
      </c>
    </row>
    <row r="562" spans="7:9" x14ac:dyDescent="0.2">
      <c r="G562" t="s">
        <v>2220</v>
      </c>
      <c r="I562">
        <v>2287524.6444999995</v>
      </c>
    </row>
  </sheetData>
  <autoFilter ref="A1:J556" xr:uid="{7D056359-49FC-428A-9243-35DA14BFD91F}">
    <filterColumn colId="8">
      <filters>
        <filter val="110087"/>
        <filter val="141342337.4"/>
        <filter val="144865"/>
        <filter val="146914718.2"/>
        <filter val="1796245"/>
        <filter val="21908.86"/>
        <filter val="283581"/>
        <filter val="3249366"/>
        <filter val="338653"/>
        <filter val="37260"/>
        <filter val="49034"/>
        <filter val="-5572380.798"/>
        <filter val="6000"/>
      </filters>
    </filterColumn>
    <filterColumn colId="9">
      <filters>
        <filter val="#N/A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99CD-ACF9-41DD-8860-BE2C4A9E5906}">
  <dimension ref="A1:D676"/>
  <sheetViews>
    <sheetView rightToLeft="1" workbookViewId="0">
      <selection activeCell="G33" sqref="G33"/>
    </sheetView>
  </sheetViews>
  <sheetFormatPr defaultRowHeight="14.25" x14ac:dyDescent="0.2"/>
  <cols>
    <col min="1" max="1" width="10.875" bestFit="1" customWidth="1"/>
    <col min="3" max="3" width="30.25" bestFit="1" customWidth="1"/>
    <col min="4" max="4" width="14.125" bestFit="1" customWidth="1"/>
  </cols>
  <sheetData>
    <row r="1" spans="1:4" x14ac:dyDescent="0.2">
      <c r="A1" t="s">
        <v>0</v>
      </c>
      <c r="B1" t="s">
        <v>1690</v>
      </c>
      <c r="C1" t="s">
        <v>1</v>
      </c>
      <c r="D1" s="17" t="s">
        <v>1652</v>
      </c>
    </row>
    <row r="2" spans="1:4" x14ac:dyDescent="0.2">
      <c r="A2">
        <v>1111000100</v>
      </c>
      <c r="B2">
        <v>2</v>
      </c>
      <c r="C2" t="s">
        <v>260</v>
      </c>
      <c r="D2">
        <v>-9947000</v>
      </c>
    </row>
    <row r="3" spans="1:4" x14ac:dyDescent="0.2">
      <c r="A3">
        <v>1111200100</v>
      </c>
      <c r="B3">
        <v>2</v>
      </c>
      <c r="C3" t="s">
        <v>261</v>
      </c>
      <c r="D3">
        <v>-2625000</v>
      </c>
    </row>
    <row r="4" spans="1:4" x14ac:dyDescent="0.2">
      <c r="A4">
        <v>1111000114</v>
      </c>
      <c r="B4">
        <v>2</v>
      </c>
      <c r="C4" t="s">
        <v>748</v>
      </c>
      <c r="D4">
        <v>-20000</v>
      </c>
    </row>
    <row r="5" spans="1:4" x14ac:dyDescent="0.2">
      <c r="A5">
        <v>1116000100</v>
      </c>
      <c r="B5">
        <v>2</v>
      </c>
      <c r="C5" t="s">
        <v>262</v>
      </c>
      <c r="D5">
        <v>-6500000</v>
      </c>
    </row>
    <row r="6" spans="1:4" x14ac:dyDescent="0.2">
      <c r="A6">
        <v>1191000910</v>
      </c>
      <c r="B6">
        <v>2</v>
      </c>
      <c r="C6" t="s">
        <v>264</v>
      </c>
      <c r="D6">
        <v>-15832700</v>
      </c>
    </row>
    <row r="7" spans="1:4" x14ac:dyDescent="0.2">
      <c r="A7">
        <v>1192010910</v>
      </c>
      <c r="B7">
        <v>2</v>
      </c>
      <c r="C7" t="s">
        <v>266</v>
      </c>
      <c r="D7">
        <v>-747166</v>
      </c>
    </row>
    <row r="8" spans="1:4" x14ac:dyDescent="0.2">
      <c r="A8">
        <v>1196001910</v>
      </c>
      <c r="B8">
        <v>2</v>
      </c>
      <c r="C8" t="s">
        <v>1648</v>
      </c>
      <c r="D8">
        <v>0</v>
      </c>
    </row>
    <row r="9" spans="1:4" x14ac:dyDescent="0.2">
      <c r="A9">
        <v>1192000910</v>
      </c>
      <c r="B9">
        <v>2</v>
      </c>
      <c r="C9" t="s">
        <v>265</v>
      </c>
      <c r="D9">
        <v>-900000</v>
      </c>
    </row>
    <row r="10" spans="1:4" x14ac:dyDescent="0.2">
      <c r="A10">
        <v>1196000910</v>
      </c>
      <c r="B10">
        <v>2</v>
      </c>
      <c r="C10" t="s">
        <v>1649</v>
      </c>
      <c r="D10">
        <v>-1176323</v>
      </c>
    </row>
    <row r="11" spans="1:4" x14ac:dyDescent="0.2">
      <c r="A11">
        <v>1121000291</v>
      </c>
      <c r="B11">
        <v>2</v>
      </c>
      <c r="C11" t="s">
        <v>263</v>
      </c>
      <c r="D11">
        <v>-60000</v>
      </c>
    </row>
    <row r="12" spans="1:4" x14ac:dyDescent="0.2">
      <c r="A12">
        <v>1212300220</v>
      </c>
      <c r="B12">
        <v>2</v>
      </c>
      <c r="C12" t="s">
        <v>1182</v>
      </c>
      <c r="D12">
        <v>-3000</v>
      </c>
    </row>
    <row r="13" spans="1:4" x14ac:dyDescent="0.2">
      <c r="A13">
        <v>1233100710</v>
      </c>
      <c r="B13">
        <v>2</v>
      </c>
      <c r="C13" t="s">
        <v>268</v>
      </c>
      <c r="D13">
        <v>-800000</v>
      </c>
    </row>
    <row r="14" spans="1:4" x14ac:dyDescent="0.2">
      <c r="A14">
        <v>1233420290</v>
      </c>
      <c r="B14">
        <v>2</v>
      </c>
      <c r="C14" t="s">
        <v>1671</v>
      </c>
      <c r="D14">
        <v>-2008000</v>
      </c>
    </row>
    <row r="15" spans="1:4" x14ac:dyDescent="0.2">
      <c r="A15">
        <v>1233410290</v>
      </c>
      <c r="B15">
        <v>2</v>
      </c>
      <c r="C15" t="s">
        <v>737</v>
      </c>
      <c r="D15">
        <v>-900000</v>
      </c>
    </row>
    <row r="16" spans="1:4" x14ac:dyDescent="0.2">
      <c r="A16">
        <v>1269000690</v>
      </c>
      <c r="B16">
        <v>2</v>
      </c>
      <c r="C16" t="s">
        <v>269</v>
      </c>
      <c r="D16">
        <v>-250000</v>
      </c>
    </row>
    <row r="17" spans="1:4" x14ac:dyDescent="0.2">
      <c r="A17">
        <v>1224000970</v>
      </c>
      <c r="B17">
        <v>2</v>
      </c>
      <c r="C17" t="s">
        <v>66</v>
      </c>
      <c r="D17">
        <v>-350000</v>
      </c>
    </row>
    <row r="18" spans="1:4" x14ac:dyDescent="0.2">
      <c r="A18">
        <v>1224100970</v>
      </c>
      <c r="B18">
        <v>2</v>
      </c>
      <c r="C18" t="s">
        <v>1519</v>
      </c>
      <c r="D18">
        <v>0</v>
      </c>
    </row>
    <row r="19" spans="1:4" x14ac:dyDescent="0.2">
      <c r="A19">
        <v>1224200970</v>
      </c>
      <c r="B19">
        <v>2</v>
      </c>
      <c r="C19" t="s">
        <v>1520</v>
      </c>
      <c r="D19">
        <v>0</v>
      </c>
    </row>
    <row r="20" spans="1:4" x14ac:dyDescent="0.2">
      <c r="A20">
        <v>1224300970</v>
      </c>
      <c r="B20">
        <v>2</v>
      </c>
      <c r="C20" t="s">
        <v>1521</v>
      </c>
      <c r="D20">
        <v>-200000</v>
      </c>
    </row>
    <row r="21" spans="1:4" x14ac:dyDescent="0.2">
      <c r="A21">
        <v>1224400970</v>
      </c>
      <c r="B21">
        <v>2</v>
      </c>
      <c r="C21" t="s">
        <v>1527</v>
      </c>
      <c r="D21">
        <v>-637000</v>
      </c>
    </row>
    <row r="22" spans="1:4" x14ac:dyDescent="0.2">
      <c r="A22">
        <v>1244000990</v>
      </c>
      <c r="B22">
        <v>2</v>
      </c>
      <c r="C22" t="s">
        <v>67</v>
      </c>
      <c r="D22">
        <v>-60000</v>
      </c>
    </row>
    <row r="23" spans="1:4" x14ac:dyDescent="0.2">
      <c r="A23">
        <v>1310000920</v>
      </c>
      <c r="B23">
        <v>2</v>
      </c>
      <c r="C23" t="s">
        <v>1548</v>
      </c>
      <c r="D23">
        <v>-6192</v>
      </c>
    </row>
    <row r="24" spans="1:4" x14ac:dyDescent="0.2">
      <c r="A24">
        <v>1312201923</v>
      </c>
      <c r="B24">
        <v>2</v>
      </c>
      <c r="C24" t="s">
        <v>657</v>
      </c>
      <c r="D24">
        <v>-23057</v>
      </c>
    </row>
    <row r="25" spans="1:4" x14ac:dyDescent="0.2">
      <c r="A25">
        <v>1312201920</v>
      </c>
      <c r="B25">
        <v>2</v>
      </c>
      <c r="C25" t="s">
        <v>270</v>
      </c>
      <c r="D25">
        <v>-1919276</v>
      </c>
    </row>
    <row r="26" spans="1:4" x14ac:dyDescent="0.2">
      <c r="A26">
        <v>1312300920</v>
      </c>
      <c r="B26">
        <v>2</v>
      </c>
      <c r="C26" t="s">
        <v>271</v>
      </c>
      <c r="D26">
        <v>-7148054</v>
      </c>
    </row>
    <row r="27" spans="1:4" x14ac:dyDescent="0.2">
      <c r="A27">
        <v>1312301920</v>
      </c>
      <c r="B27">
        <v>2</v>
      </c>
      <c r="C27" t="s">
        <v>706</v>
      </c>
      <c r="D27">
        <v>-7161</v>
      </c>
    </row>
    <row r="28" spans="1:4" x14ac:dyDescent="0.2">
      <c r="A28">
        <v>1312302920</v>
      </c>
      <c r="B28">
        <v>2</v>
      </c>
      <c r="C28" t="s">
        <v>705</v>
      </c>
      <c r="D28">
        <v>-5584</v>
      </c>
    </row>
    <row r="29" spans="1:4" x14ac:dyDescent="0.2">
      <c r="A29">
        <v>1312213940</v>
      </c>
      <c r="B29">
        <v>2</v>
      </c>
      <c r="C29" t="s">
        <v>1651</v>
      </c>
      <c r="D29">
        <v>-200000</v>
      </c>
    </row>
    <row r="30" spans="1:4" x14ac:dyDescent="0.2">
      <c r="A30">
        <v>1312311920</v>
      </c>
      <c r="B30">
        <v>2</v>
      </c>
      <c r="C30" t="s">
        <v>704</v>
      </c>
      <c r="D30">
        <v>-2903666</v>
      </c>
    </row>
    <row r="31" spans="1:4" x14ac:dyDescent="0.2">
      <c r="A31">
        <v>1313200920</v>
      </c>
      <c r="B31">
        <v>2</v>
      </c>
      <c r="C31" t="s">
        <v>273</v>
      </c>
      <c r="D31">
        <v>-550000</v>
      </c>
    </row>
    <row r="32" spans="1:4" x14ac:dyDescent="0.2">
      <c r="A32">
        <v>1313200921</v>
      </c>
      <c r="B32">
        <v>2</v>
      </c>
      <c r="C32" t="s">
        <v>274</v>
      </c>
      <c r="D32">
        <v>-1934106</v>
      </c>
    </row>
    <row r="33" spans="1:4" x14ac:dyDescent="0.2">
      <c r="A33">
        <v>1313200923</v>
      </c>
      <c r="B33">
        <v>2</v>
      </c>
      <c r="C33" t="s">
        <v>799</v>
      </c>
      <c r="D33">
        <v>-49340</v>
      </c>
    </row>
    <row r="34" spans="1:4" x14ac:dyDescent="0.2">
      <c r="A34">
        <v>1313200925</v>
      </c>
      <c r="B34">
        <v>2</v>
      </c>
      <c r="C34" t="s">
        <v>275</v>
      </c>
      <c r="D34">
        <v>-241281</v>
      </c>
    </row>
    <row r="35" spans="1:4" x14ac:dyDescent="0.2">
      <c r="A35">
        <v>1313202920</v>
      </c>
      <c r="B35">
        <v>2</v>
      </c>
      <c r="C35" t="s">
        <v>749</v>
      </c>
      <c r="D35">
        <v>-419187</v>
      </c>
    </row>
    <row r="36" spans="1:4" x14ac:dyDescent="0.2">
      <c r="A36">
        <v>1313204920</v>
      </c>
      <c r="B36">
        <v>2</v>
      </c>
      <c r="C36" t="s">
        <v>751</v>
      </c>
      <c r="D36">
        <v>-220000</v>
      </c>
    </row>
    <row r="37" spans="1:4" x14ac:dyDescent="0.2">
      <c r="A37">
        <v>1313210921</v>
      </c>
      <c r="B37">
        <v>2</v>
      </c>
      <c r="C37" t="s">
        <v>276</v>
      </c>
      <c r="D37">
        <v>-408288</v>
      </c>
    </row>
    <row r="38" spans="1:4" x14ac:dyDescent="0.2">
      <c r="A38">
        <v>1313210922</v>
      </c>
      <c r="B38">
        <v>2</v>
      </c>
      <c r="C38" t="s">
        <v>277</v>
      </c>
      <c r="D38">
        <v>-135065</v>
      </c>
    </row>
    <row r="39" spans="1:4" x14ac:dyDescent="0.2">
      <c r="A39">
        <v>1313210924</v>
      </c>
      <c r="B39">
        <v>2</v>
      </c>
      <c r="C39" t="s">
        <v>1011</v>
      </c>
      <c r="D39">
        <v>-5355</v>
      </c>
    </row>
    <row r="40" spans="1:4" x14ac:dyDescent="0.2">
      <c r="A40">
        <v>1313210925</v>
      </c>
      <c r="B40">
        <v>2</v>
      </c>
      <c r="C40" t="s">
        <v>279</v>
      </c>
      <c r="D40">
        <v>0</v>
      </c>
    </row>
    <row r="41" spans="1:4" x14ac:dyDescent="0.2">
      <c r="A41">
        <v>1313210929</v>
      </c>
      <c r="B41">
        <v>2</v>
      </c>
      <c r="C41" t="s">
        <v>1009</v>
      </c>
      <c r="D41">
        <v>-54715</v>
      </c>
    </row>
    <row r="42" spans="1:4" x14ac:dyDescent="0.2">
      <c r="A42">
        <v>1313230922</v>
      </c>
      <c r="B42">
        <v>2</v>
      </c>
      <c r="C42" t="s">
        <v>1010</v>
      </c>
      <c r="D42">
        <v>-1404579</v>
      </c>
    </row>
    <row r="43" spans="1:4" x14ac:dyDescent="0.2">
      <c r="A43">
        <v>1313230925</v>
      </c>
      <c r="B43">
        <v>2</v>
      </c>
      <c r="C43" t="s">
        <v>1650</v>
      </c>
      <c r="D43">
        <v>-3964376</v>
      </c>
    </row>
    <row r="44" spans="1:4" x14ac:dyDescent="0.2">
      <c r="A44">
        <v>1313301920</v>
      </c>
      <c r="B44">
        <v>2</v>
      </c>
      <c r="C44" t="s">
        <v>1500</v>
      </c>
      <c r="D44">
        <v>0</v>
      </c>
    </row>
    <row r="45" spans="1:4" x14ac:dyDescent="0.2">
      <c r="A45">
        <v>1313303920</v>
      </c>
      <c r="B45">
        <v>2</v>
      </c>
      <c r="C45" t="s">
        <v>1502</v>
      </c>
      <c r="D45">
        <v>-398472</v>
      </c>
    </row>
    <row r="46" spans="1:4" x14ac:dyDescent="0.2">
      <c r="A46">
        <v>1313306920</v>
      </c>
      <c r="B46">
        <v>2</v>
      </c>
      <c r="C46" t="s">
        <v>1504</v>
      </c>
      <c r="D46">
        <v>-175000</v>
      </c>
    </row>
    <row r="47" spans="1:4" x14ac:dyDescent="0.2">
      <c r="A47">
        <v>1313307920</v>
      </c>
      <c r="B47">
        <v>2</v>
      </c>
      <c r="C47" t="s">
        <v>1505</v>
      </c>
      <c r="D47">
        <v>-45717</v>
      </c>
    </row>
    <row r="48" spans="1:4" x14ac:dyDescent="0.2">
      <c r="A48">
        <v>1313309920</v>
      </c>
      <c r="B48">
        <v>2</v>
      </c>
      <c r="C48" t="s">
        <v>1506</v>
      </c>
      <c r="D48">
        <v>-58076</v>
      </c>
    </row>
    <row r="49" spans="1:4" x14ac:dyDescent="0.2">
      <c r="A49">
        <v>1311001920</v>
      </c>
      <c r="B49">
        <v>2</v>
      </c>
      <c r="C49" t="s">
        <v>1597</v>
      </c>
      <c r="D49">
        <v>-38946</v>
      </c>
    </row>
    <row r="50" spans="1:4" x14ac:dyDescent="0.2">
      <c r="A50">
        <v>1313225920</v>
      </c>
      <c r="B50">
        <v>2</v>
      </c>
      <c r="C50" t="s">
        <v>1600</v>
      </c>
      <c r="D50">
        <v>-4178</v>
      </c>
    </row>
    <row r="51" spans="1:4" x14ac:dyDescent="0.2">
      <c r="A51">
        <v>1313429920</v>
      </c>
      <c r="B51">
        <v>2</v>
      </c>
      <c r="C51" t="s">
        <v>1602</v>
      </c>
      <c r="D51">
        <v>0</v>
      </c>
    </row>
    <row r="52" spans="1:4" x14ac:dyDescent="0.2">
      <c r="A52">
        <v>1313901920</v>
      </c>
      <c r="B52">
        <v>2</v>
      </c>
      <c r="C52" t="s">
        <v>1603</v>
      </c>
      <c r="D52">
        <v>-67248</v>
      </c>
    </row>
    <row r="53" spans="1:4" x14ac:dyDescent="0.2">
      <c r="A53">
        <v>1315200927</v>
      </c>
      <c r="B53">
        <v>2</v>
      </c>
      <c r="C53" t="s">
        <v>1197</v>
      </c>
      <c r="D53">
        <v>-9000</v>
      </c>
    </row>
    <row r="54" spans="1:4" x14ac:dyDescent="0.2">
      <c r="A54">
        <v>1315426920</v>
      </c>
      <c r="B54">
        <v>2</v>
      </c>
      <c r="C54" t="s">
        <v>1606</v>
      </c>
      <c r="D54">
        <v>-51939</v>
      </c>
    </row>
    <row r="55" spans="1:4" x14ac:dyDescent="0.2">
      <c r="A55">
        <v>1315526920</v>
      </c>
      <c r="B55">
        <v>2</v>
      </c>
      <c r="C55" t="s">
        <v>1607</v>
      </c>
      <c r="D55">
        <v>-111581</v>
      </c>
    </row>
    <row r="56" spans="1:4" x14ac:dyDescent="0.2">
      <c r="A56">
        <v>1317730920</v>
      </c>
      <c r="B56">
        <v>2</v>
      </c>
      <c r="C56" t="s">
        <v>1609</v>
      </c>
      <c r="D56">
        <v>-42341</v>
      </c>
    </row>
    <row r="57" spans="1:4" x14ac:dyDescent="0.2">
      <c r="A57">
        <v>1313339920</v>
      </c>
      <c r="B57">
        <v>2</v>
      </c>
      <c r="C57" t="s">
        <v>1538</v>
      </c>
      <c r="D57">
        <v>-2676708</v>
      </c>
    </row>
    <row r="58" spans="1:4" x14ac:dyDescent="0.2">
      <c r="A58">
        <v>1313800920</v>
      </c>
      <c r="B58">
        <v>2</v>
      </c>
      <c r="C58" t="s">
        <v>638</v>
      </c>
      <c r="D58">
        <v>-1200000</v>
      </c>
    </row>
    <row r="59" spans="1:4" x14ac:dyDescent="0.2">
      <c r="A59">
        <v>1317700920</v>
      </c>
      <c r="B59">
        <v>2</v>
      </c>
      <c r="C59" t="s">
        <v>1508</v>
      </c>
      <c r="D59">
        <v>-100000</v>
      </c>
    </row>
    <row r="60" spans="1:4" x14ac:dyDescent="0.2">
      <c r="A60">
        <v>1313600420</v>
      </c>
      <c r="B60">
        <v>2</v>
      </c>
      <c r="C60" t="s">
        <v>738</v>
      </c>
      <c r="D60">
        <v>-120000</v>
      </c>
    </row>
    <row r="61" spans="1:4" x14ac:dyDescent="0.2">
      <c r="A61">
        <v>1314000920</v>
      </c>
      <c r="B61">
        <v>2</v>
      </c>
      <c r="C61" t="s">
        <v>283</v>
      </c>
      <c r="D61">
        <v>-2525991</v>
      </c>
    </row>
    <row r="62" spans="1:4" x14ac:dyDescent="0.2">
      <c r="A62">
        <v>1315201920</v>
      </c>
      <c r="B62">
        <v>2</v>
      </c>
      <c r="C62" t="s">
        <v>289</v>
      </c>
      <c r="D62">
        <v>-8724015</v>
      </c>
    </row>
    <row r="63" spans="1:4" x14ac:dyDescent="0.2">
      <c r="A63">
        <v>1315202920</v>
      </c>
      <c r="B63">
        <v>2</v>
      </c>
      <c r="C63" t="s">
        <v>290</v>
      </c>
      <c r="D63">
        <v>-492452</v>
      </c>
    </row>
    <row r="64" spans="1:4" x14ac:dyDescent="0.2">
      <c r="A64">
        <v>1315203920</v>
      </c>
      <c r="B64">
        <v>2</v>
      </c>
      <c r="C64" t="s">
        <v>291</v>
      </c>
      <c r="D64">
        <v>-49498</v>
      </c>
    </row>
    <row r="65" spans="1:4" x14ac:dyDescent="0.2">
      <c r="A65">
        <v>1315204920</v>
      </c>
      <c r="B65">
        <v>2</v>
      </c>
      <c r="C65" t="s">
        <v>1004</v>
      </c>
      <c r="D65">
        <v>-3378</v>
      </c>
    </row>
    <row r="66" spans="1:4" x14ac:dyDescent="0.2">
      <c r="A66">
        <v>1315206920</v>
      </c>
      <c r="B66">
        <v>2</v>
      </c>
      <c r="C66" t="s">
        <v>1003</v>
      </c>
      <c r="D66">
        <v>-37343</v>
      </c>
    </row>
    <row r="67" spans="1:4" x14ac:dyDescent="0.2">
      <c r="A67">
        <v>1315209920</v>
      </c>
      <c r="B67">
        <v>2</v>
      </c>
      <c r="C67" t="s">
        <v>708</v>
      </c>
      <c r="D67">
        <v>-668854</v>
      </c>
    </row>
    <row r="68" spans="1:4" x14ac:dyDescent="0.2">
      <c r="A68">
        <v>1315210920</v>
      </c>
      <c r="B68">
        <v>2</v>
      </c>
      <c r="C68" t="s">
        <v>285</v>
      </c>
      <c r="D68">
        <v>-7398</v>
      </c>
    </row>
    <row r="69" spans="1:4" x14ac:dyDescent="0.2">
      <c r="A69">
        <v>1312203940</v>
      </c>
      <c r="B69">
        <v>2</v>
      </c>
      <c r="C69" t="s">
        <v>1023</v>
      </c>
      <c r="D69">
        <v>-350000</v>
      </c>
    </row>
    <row r="70" spans="1:4" x14ac:dyDescent="0.2">
      <c r="A70">
        <v>1313202926</v>
      </c>
      <c r="B70">
        <v>2</v>
      </c>
      <c r="C70" t="s">
        <v>1024</v>
      </c>
      <c r="D70">
        <v>-1065031</v>
      </c>
    </row>
    <row r="71" spans="1:4" x14ac:dyDescent="0.2">
      <c r="A71">
        <v>1313202927</v>
      </c>
      <c r="B71">
        <v>2</v>
      </c>
      <c r="C71" t="s">
        <v>1668</v>
      </c>
      <c r="D71">
        <v>-393246</v>
      </c>
    </row>
    <row r="72" spans="1:4" x14ac:dyDescent="0.2">
      <c r="A72">
        <v>1315211920</v>
      </c>
      <c r="B72">
        <v>2</v>
      </c>
      <c r="C72" t="s">
        <v>1000</v>
      </c>
      <c r="D72">
        <v>-16557</v>
      </c>
    </row>
    <row r="73" spans="1:4" x14ac:dyDescent="0.2">
      <c r="A73">
        <v>1315213920</v>
      </c>
      <c r="B73">
        <v>2</v>
      </c>
      <c r="C73" t="s">
        <v>286</v>
      </c>
      <c r="D73">
        <v>-182394</v>
      </c>
    </row>
    <row r="74" spans="1:4" x14ac:dyDescent="0.2">
      <c r="A74">
        <v>1315214920</v>
      </c>
      <c r="B74">
        <v>2</v>
      </c>
      <c r="C74" t="s">
        <v>1001</v>
      </c>
      <c r="D74">
        <v>-269615</v>
      </c>
    </row>
    <row r="75" spans="1:4" x14ac:dyDescent="0.2">
      <c r="A75">
        <v>1315216920</v>
      </c>
      <c r="B75">
        <v>2</v>
      </c>
      <c r="C75" t="s">
        <v>1669</v>
      </c>
      <c r="D75">
        <v>-9857</v>
      </c>
    </row>
    <row r="76" spans="1:4" x14ac:dyDescent="0.2">
      <c r="A76">
        <v>1315218920</v>
      </c>
      <c r="B76">
        <v>2</v>
      </c>
      <c r="C76" t="s">
        <v>707</v>
      </c>
      <c r="D76">
        <v>-282053</v>
      </c>
    </row>
    <row r="77" spans="1:4" x14ac:dyDescent="0.2">
      <c r="A77">
        <v>1315219920</v>
      </c>
      <c r="B77">
        <v>2</v>
      </c>
      <c r="C77" t="s">
        <v>712</v>
      </c>
      <c r="D77">
        <v>-12643</v>
      </c>
    </row>
    <row r="78" spans="1:4" x14ac:dyDescent="0.2">
      <c r="A78">
        <v>1315220920</v>
      </c>
      <c r="B78">
        <v>2</v>
      </c>
      <c r="C78" t="s">
        <v>793</v>
      </c>
      <c r="D78">
        <v>-1547440</v>
      </c>
    </row>
    <row r="79" spans="1:4" x14ac:dyDescent="0.2">
      <c r="A79">
        <v>1315221920</v>
      </c>
      <c r="B79">
        <v>2</v>
      </c>
      <c r="C79" t="s">
        <v>1005</v>
      </c>
      <c r="D79">
        <v>-7793</v>
      </c>
    </row>
    <row r="80" spans="1:4" x14ac:dyDescent="0.2">
      <c r="A80">
        <v>1315222920</v>
      </c>
      <c r="B80">
        <v>2</v>
      </c>
      <c r="C80" t="s">
        <v>1002</v>
      </c>
      <c r="D80">
        <v>-169211</v>
      </c>
    </row>
    <row r="81" spans="1:4" x14ac:dyDescent="0.2">
      <c r="A81">
        <v>1315223920</v>
      </c>
      <c r="B81">
        <v>2</v>
      </c>
      <c r="C81" t="s">
        <v>713</v>
      </c>
      <c r="D81">
        <v>-636853</v>
      </c>
    </row>
    <row r="82" spans="1:4" x14ac:dyDescent="0.2">
      <c r="A82">
        <v>1315224920</v>
      </c>
      <c r="B82">
        <v>2</v>
      </c>
      <c r="C82" t="s">
        <v>1006</v>
      </c>
      <c r="D82">
        <v>-108743</v>
      </c>
    </row>
    <row r="83" spans="1:4" x14ac:dyDescent="0.2">
      <c r="A83">
        <v>1315225920</v>
      </c>
      <c r="B83">
        <v>2</v>
      </c>
      <c r="C83" t="s">
        <v>714</v>
      </c>
      <c r="D83">
        <v>-44823</v>
      </c>
    </row>
    <row r="84" spans="1:4" x14ac:dyDescent="0.2">
      <c r="A84">
        <v>1315226920</v>
      </c>
      <c r="B84">
        <v>2</v>
      </c>
      <c r="C84" t="s">
        <v>1670</v>
      </c>
      <c r="D84">
        <v>-117171</v>
      </c>
    </row>
    <row r="85" spans="1:4" x14ac:dyDescent="0.2">
      <c r="A85">
        <v>1315228920</v>
      </c>
      <c r="B85">
        <v>2</v>
      </c>
      <c r="C85" t="s">
        <v>710</v>
      </c>
      <c r="D85">
        <v>-342603</v>
      </c>
    </row>
    <row r="86" spans="1:4" x14ac:dyDescent="0.2">
      <c r="A86">
        <v>1315229920</v>
      </c>
      <c r="B86">
        <v>2</v>
      </c>
      <c r="C86" t="s">
        <v>760</v>
      </c>
      <c r="D86">
        <v>-302867</v>
      </c>
    </row>
    <row r="87" spans="1:4" x14ac:dyDescent="0.2">
      <c r="A87">
        <v>1315230920</v>
      </c>
      <c r="B87">
        <v>2</v>
      </c>
      <c r="C87" t="s">
        <v>761</v>
      </c>
      <c r="D87">
        <v>-52351</v>
      </c>
    </row>
    <row r="88" spans="1:4" x14ac:dyDescent="0.2">
      <c r="A88">
        <v>1315230921</v>
      </c>
      <c r="B88">
        <v>2</v>
      </c>
      <c r="C88" t="s">
        <v>1532</v>
      </c>
      <c r="D88">
        <v>-100000</v>
      </c>
    </row>
    <row r="89" spans="1:4" x14ac:dyDescent="0.2">
      <c r="A89">
        <v>1315233920</v>
      </c>
      <c r="B89">
        <v>2</v>
      </c>
      <c r="C89" t="s">
        <v>762</v>
      </c>
      <c r="D89">
        <v>-2579066</v>
      </c>
    </row>
    <row r="90" spans="1:4" x14ac:dyDescent="0.2">
      <c r="A90">
        <v>1317100990</v>
      </c>
      <c r="B90">
        <v>2</v>
      </c>
      <c r="C90" t="s">
        <v>294</v>
      </c>
      <c r="D90">
        <v>-700000</v>
      </c>
    </row>
    <row r="91" spans="1:4" x14ac:dyDescent="0.2">
      <c r="A91">
        <v>1317301920</v>
      </c>
      <c r="B91">
        <v>2</v>
      </c>
      <c r="C91" t="s">
        <v>295</v>
      </c>
      <c r="D91">
        <v>-640205</v>
      </c>
    </row>
    <row r="92" spans="1:4" x14ac:dyDescent="0.2">
      <c r="A92">
        <v>1317302920</v>
      </c>
      <c r="B92">
        <v>2</v>
      </c>
      <c r="C92" t="s">
        <v>296</v>
      </c>
      <c r="D92">
        <v>-42277</v>
      </c>
    </row>
    <row r="93" spans="1:4" x14ac:dyDescent="0.2">
      <c r="A93">
        <v>1317610920</v>
      </c>
      <c r="B93">
        <v>2</v>
      </c>
      <c r="C93" t="s">
        <v>297</v>
      </c>
      <c r="D93">
        <v>-95874</v>
      </c>
    </row>
    <row r="94" spans="1:4" x14ac:dyDescent="0.2">
      <c r="A94">
        <v>1317620920</v>
      </c>
      <c r="B94">
        <v>2</v>
      </c>
      <c r="C94" t="s">
        <v>735</v>
      </c>
      <c r="D94">
        <v>-185828</v>
      </c>
    </row>
    <row r="95" spans="1:4" x14ac:dyDescent="0.2">
      <c r="A95">
        <v>1317603920</v>
      </c>
      <c r="B95">
        <v>2</v>
      </c>
      <c r="C95" t="s">
        <v>183</v>
      </c>
      <c r="D95">
        <v>-255237</v>
      </c>
    </row>
    <row r="96" spans="1:4" x14ac:dyDescent="0.2">
      <c r="A96">
        <v>1317710920</v>
      </c>
      <c r="B96">
        <v>2</v>
      </c>
      <c r="C96" t="s">
        <v>300</v>
      </c>
      <c r="D96">
        <v>-322152</v>
      </c>
    </row>
    <row r="97" spans="1:4" x14ac:dyDescent="0.2">
      <c r="A97">
        <v>1317721920</v>
      </c>
      <c r="B97">
        <v>2</v>
      </c>
      <c r="C97" t="s">
        <v>711</v>
      </c>
      <c r="D97">
        <v>-55824</v>
      </c>
    </row>
    <row r="98" spans="1:4" x14ac:dyDescent="0.2">
      <c r="A98">
        <v>1317800920</v>
      </c>
      <c r="B98">
        <v>2</v>
      </c>
      <c r="C98" t="s">
        <v>999</v>
      </c>
      <c r="D98">
        <v>-158185</v>
      </c>
    </row>
    <row r="99" spans="1:4" x14ac:dyDescent="0.2">
      <c r="A99">
        <v>1317810920</v>
      </c>
      <c r="B99">
        <v>2</v>
      </c>
      <c r="C99" t="s">
        <v>301</v>
      </c>
      <c r="D99">
        <v>-1494822</v>
      </c>
    </row>
    <row r="100" spans="1:4" x14ac:dyDescent="0.2">
      <c r="A100">
        <v>1317820690</v>
      </c>
      <c r="B100">
        <v>2</v>
      </c>
      <c r="C100" t="s">
        <v>302</v>
      </c>
      <c r="D100">
        <v>-2500000</v>
      </c>
    </row>
    <row r="101" spans="1:4" x14ac:dyDescent="0.2">
      <c r="A101">
        <v>1317820920</v>
      </c>
      <c r="B101">
        <v>2</v>
      </c>
      <c r="C101" t="s">
        <v>303</v>
      </c>
      <c r="D101">
        <v>-1142592</v>
      </c>
    </row>
    <row r="102" spans="1:4" x14ac:dyDescent="0.2">
      <c r="A102">
        <v>1319101920</v>
      </c>
      <c r="B102">
        <v>2</v>
      </c>
      <c r="C102" t="s">
        <v>715</v>
      </c>
      <c r="D102">
        <v>-100000</v>
      </c>
    </row>
    <row r="103" spans="1:4" x14ac:dyDescent="0.2">
      <c r="A103">
        <v>1319102920</v>
      </c>
      <c r="B103">
        <v>2</v>
      </c>
      <c r="C103" t="s">
        <v>716</v>
      </c>
      <c r="D103">
        <v>-400000</v>
      </c>
    </row>
    <row r="104" spans="1:4" x14ac:dyDescent="0.2">
      <c r="A104">
        <v>1319000920</v>
      </c>
      <c r="B104">
        <v>2</v>
      </c>
      <c r="C104" t="s">
        <v>798</v>
      </c>
      <c r="D104">
        <v>-100000</v>
      </c>
    </row>
    <row r="105" spans="1:4" x14ac:dyDescent="0.2">
      <c r="A105">
        <v>1319103920</v>
      </c>
      <c r="B105">
        <v>2</v>
      </c>
      <c r="C105" t="s">
        <v>1007</v>
      </c>
      <c r="D105">
        <v>-200000</v>
      </c>
    </row>
    <row r="106" spans="1:4" x14ac:dyDescent="0.2">
      <c r="A106">
        <v>1322300410</v>
      </c>
      <c r="B106">
        <v>2</v>
      </c>
      <c r="C106" t="s">
        <v>1610</v>
      </c>
      <c r="D106">
        <v>-117000</v>
      </c>
    </row>
    <row r="107" spans="1:4" x14ac:dyDescent="0.2">
      <c r="A107">
        <v>1328300920</v>
      </c>
      <c r="B107">
        <v>2</v>
      </c>
      <c r="C107" t="s">
        <v>660</v>
      </c>
      <c r="D107">
        <v>-120000</v>
      </c>
    </row>
    <row r="108" spans="1:4" x14ac:dyDescent="0.2">
      <c r="A108">
        <v>1324000920</v>
      </c>
      <c r="B108">
        <v>2</v>
      </c>
      <c r="C108" t="s">
        <v>973</v>
      </c>
      <c r="D108">
        <v>-350000</v>
      </c>
    </row>
    <row r="109" spans="1:4" x14ac:dyDescent="0.2">
      <c r="A109">
        <v>1329200420</v>
      </c>
      <c r="B109">
        <v>2</v>
      </c>
      <c r="C109" t="s">
        <v>304</v>
      </c>
      <c r="D109">
        <v>-70000</v>
      </c>
    </row>
    <row r="110" spans="1:4" x14ac:dyDescent="0.2">
      <c r="A110">
        <v>1329200650</v>
      </c>
      <c r="B110">
        <v>2</v>
      </c>
      <c r="C110" t="s">
        <v>661</v>
      </c>
      <c r="D110">
        <v>-66000</v>
      </c>
    </row>
    <row r="111" spans="1:4" x14ac:dyDescent="0.2">
      <c r="A111">
        <v>1329200990</v>
      </c>
      <c r="B111">
        <v>2</v>
      </c>
      <c r="C111" t="s">
        <v>1522</v>
      </c>
      <c r="D111">
        <v>-200000</v>
      </c>
    </row>
    <row r="112" spans="1:4" x14ac:dyDescent="0.2">
      <c r="A112">
        <v>1329300990</v>
      </c>
      <c r="B112">
        <v>2</v>
      </c>
      <c r="C112" t="s">
        <v>1523</v>
      </c>
      <c r="D112">
        <v>-100000</v>
      </c>
    </row>
    <row r="113" spans="1:4" x14ac:dyDescent="0.2">
      <c r="A113">
        <v>1341000420</v>
      </c>
      <c r="B113">
        <v>2</v>
      </c>
      <c r="C113" t="s">
        <v>306</v>
      </c>
      <c r="D113">
        <v>0</v>
      </c>
    </row>
    <row r="114" spans="1:4" x14ac:dyDescent="0.2">
      <c r="A114">
        <v>1341001930</v>
      </c>
      <c r="B114">
        <v>2</v>
      </c>
      <c r="C114" t="s">
        <v>307</v>
      </c>
      <c r="D114">
        <v>-2400000</v>
      </c>
    </row>
    <row r="115" spans="1:4" x14ac:dyDescent="0.2">
      <c r="A115">
        <v>1341100930</v>
      </c>
      <c r="B115">
        <v>2</v>
      </c>
      <c r="C115" t="s">
        <v>1118</v>
      </c>
      <c r="D115">
        <v>-336000</v>
      </c>
    </row>
    <row r="116" spans="1:4" x14ac:dyDescent="0.2">
      <c r="A116">
        <v>1341002930</v>
      </c>
      <c r="B116">
        <v>2</v>
      </c>
      <c r="C116" t="s">
        <v>308</v>
      </c>
      <c r="D116">
        <v>-60000</v>
      </c>
    </row>
    <row r="117" spans="1:4" x14ac:dyDescent="0.2">
      <c r="A117">
        <v>1341004930</v>
      </c>
      <c r="B117">
        <v>2</v>
      </c>
      <c r="C117" t="s">
        <v>662</v>
      </c>
      <c r="D117">
        <v>-5000</v>
      </c>
    </row>
    <row r="118" spans="1:4" x14ac:dyDescent="0.2">
      <c r="A118">
        <v>1341105930</v>
      </c>
      <c r="B118">
        <v>2</v>
      </c>
      <c r="C118" t="s">
        <v>1119</v>
      </c>
      <c r="D118">
        <v>-10000</v>
      </c>
    </row>
    <row r="119" spans="1:4" x14ac:dyDescent="0.2">
      <c r="A119">
        <v>1341200930</v>
      </c>
      <c r="B119">
        <v>2</v>
      </c>
      <c r="C119" t="s">
        <v>1120</v>
      </c>
      <c r="D119">
        <v>-100000</v>
      </c>
    </row>
    <row r="120" spans="1:4" x14ac:dyDescent="0.2">
      <c r="A120">
        <v>1342101930</v>
      </c>
      <c r="B120">
        <v>2</v>
      </c>
      <c r="C120" t="s">
        <v>241</v>
      </c>
      <c r="D120">
        <v>-188000</v>
      </c>
    </row>
    <row r="121" spans="1:4" x14ac:dyDescent="0.2">
      <c r="A121">
        <v>1342102930</v>
      </c>
      <c r="B121">
        <v>2</v>
      </c>
      <c r="C121" t="s">
        <v>1123</v>
      </c>
      <c r="D121">
        <v>-190000</v>
      </c>
    </row>
    <row r="122" spans="1:4" x14ac:dyDescent="0.2">
      <c r="A122">
        <v>1342202930</v>
      </c>
      <c r="B122">
        <v>2</v>
      </c>
      <c r="C122" t="s">
        <v>1124</v>
      </c>
      <c r="D122">
        <v>-110000</v>
      </c>
    </row>
    <row r="123" spans="1:4" x14ac:dyDescent="0.2">
      <c r="A123">
        <v>1342208930</v>
      </c>
      <c r="B123">
        <v>2</v>
      </c>
      <c r="C123" t="s">
        <v>1260</v>
      </c>
      <c r="D123">
        <v>-100000</v>
      </c>
    </row>
    <row r="124" spans="1:4" x14ac:dyDescent="0.2">
      <c r="A124">
        <v>1342401930</v>
      </c>
      <c r="B124">
        <v>2</v>
      </c>
      <c r="C124" t="s">
        <v>210</v>
      </c>
      <c r="D124">
        <v>-26000</v>
      </c>
    </row>
    <row r="125" spans="1:4" x14ac:dyDescent="0.2">
      <c r="A125">
        <v>1342402930</v>
      </c>
      <c r="B125">
        <v>2</v>
      </c>
      <c r="C125" t="s">
        <v>1125</v>
      </c>
      <c r="D125">
        <v>-100000</v>
      </c>
    </row>
    <row r="126" spans="1:4" x14ac:dyDescent="0.2">
      <c r="A126">
        <v>1342405930</v>
      </c>
      <c r="B126">
        <v>2</v>
      </c>
      <c r="C126" t="s">
        <v>992</v>
      </c>
      <c r="D126">
        <v>-18000</v>
      </c>
    </row>
    <row r="127" spans="1:4" x14ac:dyDescent="0.2">
      <c r="A127">
        <v>1343501930</v>
      </c>
      <c r="B127">
        <v>2</v>
      </c>
      <c r="C127" t="s">
        <v>1121</v>
      </c>
      <c r="D127">
        <v>-74000</v>
      </c>
    </row>
    <row r="128" spans="1:4" x14ac:dyDescent="0.2">
      <c r="A128">
        <v>1343502930</v>
      </c>
      <c r="B128">
        <v>2</v>
      </c>
      <c r="C128" t="s">
        <v>311</v>
      </c>
      <c r="D128">
        <v>-433000</v>
      </c>
    </row>
    <row r="129" spans="1:4" x14ac:dyDescent="0.2">
      <c r="A129">
        <v>1343503930</v>
      </c>
      <c r="B129">
        <v>2</v>
      </c>
      <c r="C129" t="s">
        <v>214</v>
      </c>
      <c r="D129">
        <v>-450000</v>
      </c>
    </row>
    <row r="130" spans="1:4" x14ac:dyDescent="0.2">
      <c r="A130">
        <v>1343505930</v>
      </c>
      <c r="B130">
        <v>2</v>
      </c>
      <c r="C130" t="s">
        <v>991</v>
      </c>
      <c r="D130">
        <v>-70000</v>
      </c>
    </row>
    <row r="131" spans="1:4" x14ac:dyDescent="0.2">
      <c r="A131">
        <v>1343801930</v>
      </c>
      <c r="B131">
        <v>2</v>
      </c>
      <c r="C131" t="s">
        <v>1128</v>
      </c>
      <c r="D131">
        <v>-4200000</v>
      </c>
    </row>
    <row r="132" spans="1:4" x14ac:dyDescent="0.2">
      <c r="A132">
        <v>1343901930</v>
      </c>
      <c r="B132">
        <v>2</v>
      </c>
      <c r="C132" t="s">
        <v>1129</v>
      </c>
      <c r="D132">
        <v>-4800000</v>
      </c>
    </row>
    <row r="133" spans="1:4" x14ac:dyDescent="0.2">
      <c r="A133">
        <v>1344300930</v>
      </c>
      <c r="B133">
        <v>2</v>
      </c>
      <c r="C133" t="s">
        <v>980</v>
      </c>
      <c r="D133">
        <v>-95000</v>
      </c>
    </row>
    <row r="134" spans="1:4" x14ac:dyDescent="0.2">
      <c r="A134">
        <v>1344402930</v>
      </c>
      <c r="B134">
        <v>2</v>
      </c>
      <c r="C134" t="s">
        <v>1131</v>
      </c>
      <c r="D134">
        <v>-190000</v>
      </c>
    </row>
    <row r="135" spans="1:4" x14ac:dyDescent="0.2">
      <c r="A135">
        <v>1344403930</v>
      </c>
      <c r="B135">
        <v>2</v>
      </c>
      <c r="C135" t="s">
        <v>1132</v>
      </c>
      <c r="D135">
        <v>-17000</v>
      </c>
    </row>
    <row r="136" spans="1:4" x14ac:dyDescent="0.2">
      <c r="A136">
        <v>1345101930</v>
      </c>
      <c r="B136">
        <v>2</v>
      </c>
      <c r="C136" t="s">
        <v>1133</v>
      </c>
      <c r="D136">
        <v>-5250000</v>
      </c>
    </row>
    <row r="137" spans="1:4" x14ac:dyDescent="0.2">
      <c r="A137">
        <v>1345102930</v>
      </c>
      <c r="B137">
        <v>2</v>
      </c>
      <c r="C137" t="s">
        <v>1134</v>
      </c>
      <c r="D137">
        <v>-10000</v>
      </c>
    </row>
    <row r="138" spans="1:4" x14ac:dyDescent="0.2">
      <c r="A138">
        <v>1345201930</v>
      </c>
      <c r="B138">
        <v>2</v>
      </c>
      <c r="C138" t="s">
        <v>1135</v>
      </c>
      <c r="D138">
        <v>-4150000</v>
      </c>
    </row>
    <row r="139" spans="1:4" x14ac:dyDescent="0.2">
      <c r="A139">
        <v>1345202930</v>
      </c>
      <c r="B139">
        <v>2</v>
      </c>
      <c r="C139" t="s">
        <v>1136</v>
      </c>
      <c r="D139">
        <v>-60000</v>
      </c>
    </row>
    <row r="140" spans="1:4" x14ac:dyDescent="0.2">
      <c r="A140">
        <v>1345203930</v>
      </c>
      <c r="B140">
        <v>2</v>
      </c>
      <c r="C140" t="s">
        <v>1137</v>
      </c>
      <c r="D140">
        <v>-450000</v>
      </c>
    </row>
    <row r="141" spans="1:4" x14ac:dyDescent="0.2">
      <c r="A141">
        <v>1345301930</v>
      </c>
      <c r="B141">
        <v>2</v>
      </c>
      <c r="C141" t="s">
        <v>981</v>
      </c>
      <c r="D141">
        <v>-10000</v>
      </c>
    </row>
    <row r="142" spans="1:4" x14ac:dyDescent="0.2">
      <c r="A142">
        <v>1345302930</v>
      </c>
      <c r="B142">
        <v>2</v>
      </c>
      <c r="C142" t="s">
        <v>988</v>
      </c>
      <c r="D142">
        <v>-10000</v>
      </c>
    </row>
    <row r="143" spans="1:4" x14ac:dyDescent="0.2">
      <c r="A143">
        <v>1345303930</v>
      </c>
      <c r="B143">
        <v>2</v>
      </c>
      <c r="C143" t="s">
        <v>984</v>
      </c>
      <c r="D143">
        <v>0</v>
      </c>
    </row>
    <row r="144" spans="1:4" x14ac:dyDescent="0.2">
      <c r="A144">
        <v>1346500930</v>
      </c>
      <c r="B144">
        <v>2</v>
      </c>
      <c r="C144" t="s">
        <v>1139</v>
      </c>
      <c r="D144">
        <v>-600000</v>
      </c>
    </row>
    <row r="145" spans="1:4" x14ac:dyDescent="0.2">
      <c r="A145">
        <v>1346601930</v>
      </c>
      <c r="B145">
        <v>2</v>
      </c>
      <c r="C145" t="s">
        <v>1140</v>
      </c>
      <c r="D145">
        <v>-260000</v>
      </c>
    </row>
    <row r="146" spans="1:4" x14ac:dyDescent="0.2">
      <c r="A146">
        <v>1346603930</v>
      </c>
      <c r="B146">
        <v>2</v>
      </c>
      <c r="C146" t="s">
        <v>989</v>
      </c>
      <c r="D146">
        <v>-40000</v>
      </c>
    </row>
    <row r="147" spans="1:4" x14ac:dyDescent="0.2">
      <c r="A147">
        <v>1346401930</v>
      </c>
      <c r="B147">
        <v>2</v>
      </c>
      <c r="C147" t="s">
        <v>1280</v>
      </c>
      <c r="D147">
        <v>-10000</v>
      </c>
    </row>
    <row r="148" spans="1:4" x14ac:dyDescent="0.2">
      <c r="A148">
        <v>1346701930</v>
      </c>
      <c r="B148">
        <v>2</v>
      </c>
      <c r="C148" t="s">
        <v>1141</v>
      </c>
      <c r="D148">
        <v>-1000000</v>
      </c>
    </row>
    <row r="149" spans="1:4" x14ac:dyDescent="0.2">
      <c r="A149">
        <v>1346703930</v>
      </c>
      <c r="B149">
        <v>2</v>
      </c>
      <c r="C149" t="s">
        <v>1142</v>
      </c>
      <c r="D149">
        <v>-600000</v>
      </c>
    </row>
    <row r="150" spans="1:4" x14ac:dyDescent="0.2">
      <c r="A150">
        <v>1346704930</v>
      </c>
      <c r="B150">
        <v>2</v>
      </c>
      <c r="C150" t="s">
        <v>1143</v>
      </c>
      <c r="D150">
        <v>-150000</v>
      </c>
    </row>
    <row r="151" spans="1:4" x14ac:dyDescent="0.2">
      <c r="A151">
        <v>1346705930</v>
      </c>
      <c r="B151">
        <v>2</v>
      </c>
      <c r="C151" t="s">
        <v>1144</v>
      </c>
      <c r="D151">
        <v>-50000</v>
      </c>
    </row>
    <row r="152" spans="1:4" x14ac:dyDescent="0.2">
      <c r="A152">
        <v>1346801930</v>
      </c>
      <c r="B152">
        <v>2</v>
      </c>
      <c r="C152" t="s">
        <v>1145</v>
      </c>
      <c r="D152">
        <v>-200000</v>
      </c>
    </row>
    <row r="153" spans="1:4" x14ac:dyDescent="0.2">
      <c r="A153">
        <v>1346802930</v>
      </c>
      <c r="B153">
        <v>2</v>
      </c>
      <c r="C153" t="s">
        <v>1146</v>
      </c>
      <c r="D153">
        <v>0</v>
      </c>
    </row>
    <row r="154" spans="1:4" x14ac:dyDescent="0.2">
      <c r="A154">
        <v>1347101930</v>
      </c>
      <c r="B154">
        <v>2</v>
      </c>
      <c r="C154" t="s">
        <v>318</v>
      </c>
      <c r="D154">
        <v>-20000</v>
      </c>
    </row>
    <row r="155" spans="1:4" x14ac:dyDescent="0.2">
      <c r="A155">
        <v>1347102930</v>
      </c>
      <c r="B155">
        <v>2</v>
      </c>
      <c r="C155" t="s">
        <v>1147</v>
      </c>
      <c r="D155">
        <v>-38000</v>
      </c>
    </row>
    <row r="156" spans="1:4" x14ac:dyDescent="0.2">
      <c r="A156">
        <v>1347103930</v>
      </c>
      <c r="B156">
        <v>2</v>
      </c>
      <c r="C156" t="s">
        <v>982</v>
      </c>
      <c r="D156">
        <v>-180000</v>
      </c>
    </row>
    <row r="157" spans="1:4" x14ac:dyDescent="0.2">
      <c r="A157">
        <v>1347104930</v>
      </c>
      <c r="B157">
        <v>2</v>
      </c>
      <c r="C157" t="s">
        <v>766</v>
      </c>
      <c r="D157">
        <v>-25000</v>
      </c>
    </row>
    <row r="158" spans="1:4" x14ac:dyDescent="0.2">
      <c r="A158">
        <v>1341206930</v>
      </c>
      <c r="B158">
        <v>2</v>
      </c>
      <c r="C158" t="s">
        <v>1611</v>
      </c>
      <c r="D158">
        <v>-60000</v>
      </c>
    </row>
    <row r="159" spans="1:4" x14ac:dyDescent="0.2">
      <c r="A159">
        <v>1345401840</v>
      </c>
      <c r="B159">
        <v>2</v>
      </c>
      <c r="C159" t="s">
        <v>1612</v>
      </c>
      <c r="D159">
        <v>-240000</v>
      </c>
    </row>
    <row r="160" spans="1:4" x14ac:dyDescent="0.2">
      <c r="A160">
        <v>1345902930</v>
      </c>
      <c r="B160">
        <v>2</v>
      </c>
      <c r="C160" t="s">
        <v>1613</v>
      </c>
      <c r="D160">
        <v>-6000</v>
      </c>
    </row>
    <row r="161" spans="1:4" x14ac:dyDescent="0.2">
      <c r="A161">
        <v>1347202930</v>
      </c>
      <c r="B161">
        <v>2</v>
      </c>
      <c r="C161" t="s">
        <v>1287</v>
      </c>
      <c r="D161">
        <v>-75000</v>
      </c>
    </row>
    <row r="162" spans="1:4" x14ac:dyDescent="0.2">
      <c r="A162">
        <v>1347201930</v>
      </c>
      <c r="B162">
        <v>2</v>
      </c>
      <c r="C162" t="s">
        <v>242</v>
      </c>
      <c r="D162">
        <v>-150000</v>
      </c>
    </row>
    <row r="163" spans="1:4" x14ac:dyDescent="0.2">
      <c r="A163">
        <v>1347220930</v>
      </c>
      <c r="B163">
        <v>2</v>
      </c>
      <c r="C163" t="s">
        <v>1288</v>
      </c>
      <c r="D163">
        <v>-430000</v>
      </c>
    </row>
    <row r="164" spans="1:4" x14ac:dyDescent="0.2">
      <c r="A164">
        <v>1347301930</v>
      </c>
      <c r="B164">
        <v>2</v>
      </c>
      <c r="C164" t="s">
        <v>1150</v>
      </c>
      <c r="D164">
        <v>-70000</v>
      </c>
    </row>
    <row r="165" spans="1:4" x14ac:dyDescent="0.2">
      <c r="A165">
        <v>1347305930</v>
      </c>
      <c r="B165">
        <v>2</v>
      </c>
      <c r="C165" t="s">
        <v>1151</v>
      </c>
      <c r="D165">
        <v>-1250000</v>
      </c>
    </row>
    <row r="166" spans="1:4" x14ac:dyDescent="0.2">
      <c r="A166">
        <v>1347400930</v>
      </c>
      <c r="B166">
        <v>2</v>
      </c>
      <c r="C166" t="s">
        <v>1152</v>
      </c>
      <c r="D166">
        <v>-20000</v>
      </c>
    </row>
    <row r="167" spans="1:4" x14ac:dyDescent="0.2">
      <c r="A167">
        <v>1413110210</v>
      </c>
      <c r="B167">
        <v>2</v>
      </c>
      <c r="C167" t="s">
        <v>323</v>
      </c>
      <c r="D167">
        <v>-750000</v>
      </c>
    </row>
    <row r="168" spans="1:4" x14ac:dyDescent="0.2">
      <c r="A168">
        <v>1433000290</v>
      </c>
      <c r="B168">
        <v>2</v>
      </c>
      <c r="C168" t="s">
        <v>324</v>
      </c>
      <c r="D168">
        <v>0</v>
      </c>
    </row>
    <row r="169" spans="1:4" x14ac:dyDescent="0.2">
      <c r="A169">
        <v>1472100210</v>
      </c>
      <c r="B169">
        <v>2</v>
      </c>
      <c r="C169" t="s">
        <v>325</v>
      </c>
      <c r="D169">
        <v>-40000</v>
      </c>
    </row>
    <row r="170" spans="1:4" x14ac:dyDescent="0.2">
      <c r="A170">
        <v>1511000661</v>
      </c>
      <c r="B170">
        <v>2</v>
      </c>
      <c r="C170" t="s">
        <v>1300</v>
      </c>
      <c r="D170">
        <v>-100000</v>
      </c>
    </row>
    <row r="171" spans="1:4" x14ac:dyDescent="0.2">
      <c r="A171">
        <v>1599100910</v>
      </c>
      <c r="B171">
        <v>2</v>
      </c>
      <c r="C171" t="s">
        <v>1614</v>
      </c>
      <c r="D171">
        <v>0</v>
      </c>
    </row>
    <row r="172" spans="1:4" x14ac:dyDescent="0.2">
      <c r="A172">
        <v>1599200910</v>
      </c>
      <c r="B172">
        <v>2</v>
      </c>
      <c r="C172" t="s">
        <v>665</v>
      </c>
      <c r="D172">
        <v>0</v>
      </c>
    </row>
    <row r="173" spans="1:4" x14ac:dyDescent="0.2">
      <c r="A173">
        <v>1611100110</v>
      </c>
      <c r="B173" t="s">
        <v>1690</v>
      </c>
      <c r="C173" t="s">
        <v>2</v>
      </c>
      <c r="D173">
        <v>1600000</v>
      </c>
    </row>
    <row r="174" spans="1:4" x14ac:dyDescent="0.2">
      <c r="A174">
        <v>1611100511</v>
      </c>
      <c r="B174">
        <v>2</v>
      </c>
      <c r="C174" t="s">
        <v>3</v>
      </c>
      <c r="D174">
        <v>50000</v>
      </c>
    </row>
    <row r="175" spans="1:4" x14ac:dyDescent="0.2">
      <c r="A175">
        <v>1611100514</v>
      </c>
      <c r="B175">
        <v>2</v>
      </c>
      <c r="C175" t="s">
        <v>4</v>
      </c>
      <c r="D175">
        <v>0</v>
      </c>
    </row>
    <row r="176" spans="1:4" x14ac:dyDescent="0.2">
      <c r="A176">
        <v>1611100521</v>
      </c>
      <c r="B176">
        <v>2</v>
      </c>
      <c r="C176" t="s">
        <v>5</v>
      </c>
      <c r="D176">
        <v>0</v>
      </c>
    </row>
    <row r="177" spans="1:4" x14ac:dyDescent="0.2">
      <c r="A177">
        <v>1611100522</v>
      </c>
      <c r="B177">
        <v>2</v>
      </c>
      <c r="C177" t="s">
        <v>6</v>
      </c>
      <c r="D177">
        <v>0</v>
      </c>
    </row>
    <row r="178" spans="1:4" x14ac:dyDescent="0.2">
      <c r="A178">
        <v>1611100523</v>
      </c>
      <c r="B178">
        <v>2</v>
      </c>
      <c r="C178" t="s">
        <v>7</v>
      </c>
      <c r="D178">
        <v>0</v>
      </c>
    </row>
    <row r="179" spans="1:4" x14ac:dyDescent="0.2">
      <c r="A179">
        <v>1611100530</v>
      </c>
      <c r="B179">
        <v>2</v>
      </c>
      <c r="C179" t="s">
        <v>8</v>
      </c>
      <c r="D179">
        <v>0</v>
      </c>
    </row>
    <row r="180" spans="1:4" x14ac:dyDescent="0.2">
      <c r="A180">
        <v>1611100531</v>
      </c>
      <c r="B180">
        <v>2</v>
      </c>
      <c r="C180" t="s">
        <v>9</v>
      </c>
      <c r="D180">
        <v>0</v>
      </c>
    </row>
    <row r="181" spans="1:4" x14ac:dyDescent="0.2">
      <c r="A181">
        <v>1611100532</v>
      </c>
      <c r="B181">
        <v>2</v>
      </c>
      <c r="C181" t="s">
        <v>1534</v>
      </c>
      <c r="D181">
        <v>0</v>
      </c>
    </row>
    <row r="182" spans="1:4" x14ac:dyDescent="0.2">
      <c r="A182">
        <v>1611100560</v>
      </c>
      <c r="B182">
        <v>2</v>
      </c>
      <c r="C182" t="s">
        <v>10</v>
      </c>
      <c r="D182">
        <v>85000</v>
      </c>
    </row>
    <row r="183" spans="1:4" x14ac:dyDescent="0.2">
      <c r="A183">
        <v>1611100750</v>
      </c>
      <c r="B183">
        <v>2</v>
      </c>
      <c r="C183" t="s">
        <v>11</v>
      </c>
      <c r="D183">
        <v>150000</v>
      </c>
    </row>
    <row r="184" spans="1:4" x14ac:dyDescent="0.2">
      <c r="A184">
        <v>1611100780</v>
      </c>
      <c r="B184">
        <v>2</v>
      </c>
      <c r="C184" t="s">
        <v>13</v>
      </c>
      <c r="D184">
        <v>75000</v>
      </c>
    </row>
    <row r="185" spans="1:4" x14ac:dyDescent="0.2">
      <c r="A185">
        <v>1611110110</v>
      </c>
      <c r="B185">
        <v>2</v>
      </c>
      <c r="C185" t="s">
        <v>15</v>
      </c>
      <c r="D185">
        <v>330000</v>
      </c>
    </row>
    <row r="186" spans="1:4" x14ac:dyDescent="0.2">
      <c r="A186">
        <v>1612000523</v>
      </c>
      <c r="B186">
        <v>2</v>
      </c>
      <c r="C186" t="s">
        <v>16</v>
      </c>
      <c r="D186">
        <v>2000</v>
      </c>
    </row>
    <row r="187" spans="1:4" x14ac:dyDescent="0.2">
      <c r="A187">
        <v>1612000550</v>
      </c>
      <c r="B187">
        <v>2</v>
      </c>
      <c r="C187" t="s">
        <v>17</v>
      </c>
      <c r="D187">
        <v>0</v>
      </c>
    </row>
    <row r="188" spans="1:4" x14ac:dyDescent="0.2">
      <c r="A188">
        <v>1612000930</v>
      </c>
      <c r="B188">
        <v>2</v>
      </c>
      <c r="C188" t="s">
        <v>18</v>
      </c>
      <c r="D188">
        <v>5000</v>
      </c>
    </row>
    <row r="189" spans="1:4" x14ac:dyDescent="0.2">
      <c r="A189">
        <v>1613000110</v>
      </c>
      <c r="B189">
        <v>2</v>
      </c>
      <c r="C189" t="s">
        <v>1526</v>
      </c>
      <c r="D189">
        <v>450000</v>
      </c>
    </row>
    <row r="190" spans="1:4" x14ac:dyDescent="0.2">
      <c r="A190">
        <v>1613100110</v>
      </c>
      <c r="B190">
        <v>2</v>
      </c>
      <c r="C190" t="s">
        <v>807</v>
      </c>
      <c r="D190">
        <v>0</v>
      </c>
    </row>
    <row r="191" spans="1:4" x14ac:dyDescent="0.2">
      <c r="A191">
        <v>1613000320</v>
      </c>
      <c r="B191">
        <v>2</v>
      </c>
      <c r="C191" t="s">
        <v>19</v>
      </c>
      <c r="D191">
        <v>0</v>
      </c>
    </row>
    <row r="192" spans="1:4" x14ac:dyDescent="0.2">
      <c r="A192">
        <v>1613000431</v>
      </c>
      <c r="B192">
        <v>2</v>
      </c>
      <c r="C192" t="s">
        <v>20</v>
      </c>
      <c r="D192">
        <v>30000</v>
      </c>
    </row>
    <row r="193" spans="1:4" x14ac:dyDescent="0.2">
      <c r="A193">
        <v>1613000511</v>
      </c>
      <c r="B193">
        <v>2</v>
      </c>
      <c r="C193" t="s">
        <v>21</v>
      </c>
      <c r="D193">
        <v>0</v>
      </c>
    </row>
    <row r="194" spans="1:4" x14ac:dyDescent="0.2">
      <c r="A194">
        <v>1613000523</v>
      </c>
      <c r="B194">
        <v>2</v>
      </c>
      <c r="C194" t="s">
        <v>1164</v>
      </c>
      <c r="D194">
        <v>33000</v>
      </c>
    </row>
    <row r="195" spans="1:4" x14ac:dyDescent="0.2">
      <c r="A195">
        <v>1613000830</v>
      </c>
      <c r="B195">
        <v>2</v>
      </c>
      <c r="C195" t="s">
        <v>28</v>
      </c>
      <c r="D195">
        <v>0</v>
      </c>
    </row>
    <row r="196" spans="1:4" x14ac:dyDescent="0.2">
      <c r="A196">
        <v>1613000540</v>
      </c>
      <c r="B196">
        <v>2</v>
      </c>
      <c r="C196" t="s">
        <v>23</v>
      </c>
      <c r="D196">
        <v>0</v>
      </c>
    </row>
    <row r="197" spans="1:4" x14ac:dyDescent="0.2">
      <c r="A197">
        <v>1613000550</v>
      </c>
      <c r="B197">
        <v>2</v>
      </c>
      <c r="C197" t="s">
        <v>24</v>
      </c>
      <c r="D197">
        <v>40000</v>
      </c>
    </row>
    <row r="198" spans="1:4" x14ac:dyDescent="0.2">
      <c r="A198">
        <v>1613000560</v>
      </c>
      <c r="B198">
        <v>2</v>
      </c>
      <c r="C198" t="s">
        <v>10</v>
      </c>
      <c r="D198">
        <v>0</v>
      </c>
    </row>
    <row r="199" spans="1:4" x14ac:dyDescent="0.2">
      <c r="A199">
        <v>1613000710</v>
      </c>
      <c r="B199">
        <v>2</v>
      </c>
      <c r="C199" t="s">
        <v>1159</v>
      </c>
      <c r="D199">
        <v>0</v>
      </c>
    </row>
    <row r="200" spans="1:4" x14ac:dyDescent="0.2">
      <c r="A200">
        <v>1613000720</v>
      </c>
      <c r="B200">
        <v>2</v>
      </c>
      <c r="C200" t="s">
        <v>25</v>
      </c>
      <c r="D200">
        <v>0</v>
      </c>
    </row>
    <row r="201" spans="1:4" x14ac:dyDescent="0.2">
      <c r="A201">
        <v>1613000740</v>
      </c>
      <c r="B201">
        <v>2</v>
      </c>
      <c r="C201" t="s">
        <v>26</v>
      </c>
      <c r="D201">
        <v>0</v>
      </c>
    </row>
    <row r="202" spans="1:4" x14ac:dyDescent="0.2">
      <c r="A202">
        <v>1613000750</v>
      </c>
      <c r="B202">
        <v>2</v>
      </c>
      <c r="C202" t="s">
        <v>27</v>
      </c>
      <c r="D202">
        <v>85000</v>
      </c>
    </row>
    <row r="203" spans="1:4" x14ac:dyDescent="0.2">
      <c r="A203">
        <v>1613000780</v>
      </c>
      <c r="B203">
        <v>2</v>
      </c>
      <c r="C203" t="s">
        <v>13</v>
      </c>
      <c r="D203">
        <v>50000</v>
      </c>
    </row>
    <row r="204" spans="1:4" x14ac:dyDescent="0.2">
      <c r="A204">
        <v>1615000110</v>
      </c>
      <c r="B204">
        <v>2</v>
      </c>
      <c r="C204" t="s">
        <v>29</v>
      </c>
      <c r="D204">
        <v>560000</v>
      </c>
    </row>
    <row r="205" spans="1:4" x14ac:dyDescent="0.2">
      <c r="A205">
        <v>1615101110</v>
      </c>
      <c r="B205">
        <v>2</v>
      </c>
      <c r="C205" t="s">
        <v>1665</v>
      </c>
      <c r="D205">
        <v>300000</v>
      </c>
    </row>
    <row r="206" spans="1:4" x14ac:dyDescent="0.2">
      <c r="A206">
        <v>1615200110</v>
      </c>
      <c r="B206">
        <v>2</v>
      </c>
      <c r="C206" t="s">
        <v>1672</v>
      </c>
      <c r="D206">
        <v>60000</v>
      </c>
    </row>
    <row r="207" spans="1:4" x14ac:dyDescent="0.2">
      <c r="A207">
        <v>1615000760</v>
      </c>
      <c r="B207">
        <v>2</v>
      </c>
      <c r="C207" t="s">
        <v>30</v>
      </c>
      <c r="D207">
        <v>0</v>
      </c>
    </row>
    <row r="208" spans="1:4" x14ac:dyDescent="0.2">
      <c r="A208">
        <v>1616000521</v>
      </c>
      <c r="B208">
        <v>2</v>
      </c>
      <c r="C208" t="s">
        <v>31</v>
      </c>
      <c r="D208">
        <v>220000</v>
      </c>
    </row>
    <row r="209" spans="1:4" x14ac:dyDescent="0.2">
      <c r="A209">
        <v>1617000581</v>
      </c>
      <c r="B209">
        <v>2</v>
      </c>
      <c r="C209" t="s">
        <v>32</v>
      </c>
      <c r="D209">
        <v>0</v>
      </c>
    </row>
    <row r="210" spans="1:4" x14ac:dyDescent="0.2">
      <c r="A210">
        <v>1617000582</v>
      </c>
      <c r="B210">
        <v>2</v>
      </c>
      <c r="C210" t="s">
        <v>33</v>
      </c>
      <c r="D210">
        <v>0</v>
      </c>
    </row>
    <row r="211" spans="1:4" x14ac:dyDescent="0.2">
      <c r="A211">
        <v>1617000750</v>
      </c>
      <c r="B211">
        <v>2</v>
      </c>
      <c r="C211" t="s">
        <v>34</v>
      </c>
      <c r="D211">
        <v>403656</v>
      </c>
    </row>
    <row r="212" spans="1:4" x14ac:dyDescent="0.2">
      <c r="A212">
        <v>1617000751</v>
      </c>
      <c r="B212">
        <v>2</v>
      </c>
      <c r="C212" t="s">
        <v>35</v>
      </c>
      <c r="D212">
        <v>0</v>
      </c>
    </row>
    <row r="213" spans="1:4" x14ac:dyDescent="0.2">
      <c r="A213">
        <v>1619000780</v>
      </c>
      <c r="B213">
        <v>2</v>
      </c>
      <c r="C213" t="s">
        <v>36</v>
      </c>
      <c r="D213">
        <v>0</v>
      </c>
    </row>
    <row r="214" spans="1:4" x14ac:dyDescent="0.2">
      <c r="A214">
        <v>1618000780</v>
      </c>
      <c r="B214">
        <v>2</v>
      </c>
      <c r="C214" t="s">
        <v>1617</v>
      </c>
      <c r="D214">
        <v>0</v>
      </c>
    </row>
    <row r="215" spans="1:4" x14ac:dyDescent="0.2">
      <c r="A215">
        <v>1621200110</v>
      </c>
      <c r="B215">
        <v>2</v>
      </c>
      <c r="C215" t="s">
        <v>38</v>
      </c>
      <c r="D215">
        <v>165000</v>
      </c>
    </row>
    <row r="216" spans="1:4" x14ac:dyDescent="0.2">
      <c r="A216">
        <v>1621300110</v>
      </c>
      <c r="B216">
        <v>2</v>
      </c>
      <c r="C216" t="s">
        <v>39</v>
      </c>
      <c r="D216">
        <v>870000</v>
      </c>
    </row>
    <row r="217" spans="1:4" x14ac:dyDescent="0.2">
      <c r="A217">
        <v>1621300521</v>
      </c>
      <c r="B217">
        <v>2</v>
      </c>
      <c r="C217" t="s">
        <v>5</v>
      </c>
      <c r="D217">
        <v>0</v>
      </c>
    </row>
    <row r="218" spans="1:4" x14ac:dyDescent="0.2">
      <c r="A218">
        <v>1621300523</v>
      </c>
      <c r="B218">
        <v>2</v>
      </c>
      <c r="C218" t="s">
        <v>22</v>
      </c>
      <c r="D218">
        <v>0</v>
      </c>
    </row>
    <row r="219" spans="1:4" x14ac:dyDescent="0.2">
      <c r="A219">
        <v>1621300540</v>
      </c>
      <c r="B219">
        <v>2</v>
      </c>
      <c r="C219" t="s">
        <v>40</v>
      </c>
      <c r="D219">
        <v>0</v>
      </c>
    </row>
    <row r="220" spans="1:4" x14ac:dyDescent="0.2">
      <c r="A220">
        <v>1621300560</v>
      </c>
      <c r="B220">
        <v>2</v>
      </c>
      <c r="C220" t="s">
        <v>41</v>
      </c>
      <c r="D220">
        <v>0</v>
      </c>
    </row>
    <row r="221" spans="1:4" x14ac:dyDescent="0.2">
      <c r="A221">
        <v>1621300570</v>
      </c>
      <c r="B221">
        <v>2</v>
      </c>
      <c r="C221" t="s">
        <v>42</v>
      </c>
      <c r="D221">
        <v>360000</v>
      </c>
    </row>
    <row r="222" spans="1:4" x14ac:dyDescent="0.2">
      <c r="A222">
        <v>1621300571</v>
      </c>
      <c r="B222">
        <v>2</v>
      </c>
      <c r="C222" t="s">
        <v>43</v>
      </c>
      <c r="D222">
        <v>0</v>
      </c>
    </row>
    <row r="223" spans="1:4" x14ac:dyDescent="0.2">
      <c r="A223">
        <v>1621300750</v>
      </c>
      <c r="B223">
        <v>2</v>
      </c>
      <c r="C223" t="s">
        <v>44</v>
      </c>
      <c r="D223">
        <v>0</v>
      </c>
    </row>
    <row r="224" spans="1:4" x14ac:dyDescent="0.2">
      <c r="A224">
        <v>1621300751</v>
      </c>
      <c r="B224">
        <v>2</v>
      </c>
      <c r="C224" t="s">
        <v>45</v>
      </c>
      <c r="D224">
        <v>550000</v>
      </c>
    </row>
    <row r="225" spans="1:4" x14ac:dyDescent="0.2">
      <c r="A225">
        <v>1621300780</v>
      </c>
      <c r="B225">
        <v>2</v>
      </c>
      <c r="C225" t="s">
        <v>46</v>
      </c>
      <c r="D225">
        <v>30000</v>
      </c>
    </row>
    <row r="226" spans="1:4" x14ac:dyDescent="0.2">
      <c r="A226">
        <v>1621300930</v>
      </c>
      <c r="B226">
        <v>2</v>
      </c>
      <c r="C226" t="s">
        <v>14</v>
      </c>
      <c r="D226">
        <v>15000</v>
      </c>
    </row>
    <row r="227" spans="1:4" x14ac:dyDescent="0.2">
      <c r="A227">
        <v>1623000110</v>
      </c>
      <c r="B227">
        <v>2</v>
      </c>
      <c r="C227" t="s">
        <v>47</v>
      </c>
      <c r="D227">
        <v>400000</v>
      </c>
    </row>
    <row r="228" spans="1:4" x14ac:dyDescent="0.2">
      <c r="A228">
        <v>1623000320</v>
      </c>
      <c r="B228">
        <v>2</v>
      </c>
      <c r="C228" t="s">
        <v>19</v>
      </c>
      <c r="D228">
        <v>0</v>
      </c>
    </row>
    <row r="229" spans="1:4" x14ac:dyDescent="0.2">
      <c r="A229">
        <v>1623000560</v>
      </c>
      <c r="B229">
        <v>2</v>
      </c>
      <c r="C229" t="s">
        <v>10</v>
      </c>
      <c r="D229">
        <v>0</v>
      </c>
    </row>
    <row r="230" spans="1:4" x14ac:dyDescent="0.2">
      <c r="A230">
        <v>1623000582</v>
      </c>
      <c r="B230">
        <v>2</v>
      </c>
      <c r="C230" t="s">
        <v>48</v>
      </c>
      <c r="D230">
        <v>60000</v>
      </c>
    </row>
    <row r="231" spans="1:4" x14ac:dyDescent="0.2">
      <c r="A231">
        <v>1623000750</v>
      </c>
      <c r="B231">
        <v>2</v>
      </c>
      <c r="C231" t="s">
        <v>49</v>
      </c>
      <c r="D231">
        <v>250000</v>
      </c>
    </row>
    <row r="232" spans="1:4" x14ac:dyDescent="0.2">
      <c r="A232">
        <v>1623000751</v>
      </c>
      <c r="B232">
        <v>2</v>
      </c>
      <c r="C232" t="s">
        <v>50</v>
      </c>
      <c r="D232">
        <v>0</v>
      </c>
    </row>
    <row r="233" spans="1:4" x14ac:dyDescent="0.2">
      <c r="A233">
        <v>1623000930</v>
      </c>
      <c r="B233">
        <v>2</v>
      </c>
      <c r="C233" t="s">
        <v>14</v>
      </c>
      <c r="D233">
        <v>0</v>
      </c>
    </row>
    <row r="234" spans="1:4" x14ac:dyDescent="0.2">
      <c r="A234">
        <v>1629999399</v>
      </c>
      <c r="B234">
        <v>2</v>
      </c>
      <c r="C234" t="s">
        <v>37</v>
      </c>
      <c r="D234">
        <v>0</v>
      </c>
    </row>
    <row r="235" spans="1:4" x14ac:dyDescent="0.2">
      <c r="A235">
        <v>1631000610</v>
      </c>
      <c r="B235">
        <v>2</v>
      </c>
      <c r="C235" t="s">
        <v>51</v>
      </c>
      <c r="D235">
        <v>200000</v>
      </c>
    </row>
    <row r="236" spans="1:4" x14ac:dyDescent="0.2">
      <c r="A236">
        <v>1632000620</v>
      </c>
      <c r="B236">
        <v>2</v>
      </c>
      <c r="C236" t="s">
        <v>52</v>
      </c>
      <c r="D236">
        <v>0</v>
      </c>
    </row>
    <row r="237" spans="1:4" x14ac:dyDescent="0.2">
      <c r="A237">
        <v>1648000691</v>
      </c>
      <c r="B237">
        <v>2</v>
      </c>
      <c r="C237" t="s">
        <v>53</v>
      </c>
      <c r="D237">
        <v>1500000</v>
      </c>
    </row>
    <row r="238" spans="1:4" x14ac:dyDescent="0.2">
      <c r="A238">
        <v>1648000692</v>
      </c>
      <c r="B238">
        <v>2</v>
      </c>
      <c r="C238" t="s">
        <v>54</v>
      </c>
      <c r="D238">
        <v>500000</v>
      </c>
    </row>
    <row r="239" spans="1:4" x14ac:dyDescent="0.2">
      <c r="A239">
        <v>1648000693</v>
      </c>
      <c r="B239">
        <v>2</v>
      </c>
      <c r="C239" t="s">
        <v>55</v>
      </c>
      <c r="D239">
        <v>170000</v>
      </c>
    </row>
    <row r="240" spans="1:4" x14ac:dyDescent="0.2">
      <c r="A240">
        <v>1711000523</v>
      </c>
      <c r="B240">
        <v>2</v>
      </c>
      <c r="C240" t="s">
        <v>668</v>
      </c>
      <c r="D240">
        <v>1527</v>
      </c>
    </row>
    <row r="241" spans="1:4" x14ac:dyDescent="0.2">
      <c r="A241">
        <v>1711000110</v>
      </c>
      <c r="B241">
        <v>2</v>
      </c>
      <c r="C241" t="s">
        <v>1666</v>
      </c>
      <c r="D241">
        <v>130000</v>
      </c>
    </row>
    <row r="242" spans="1:4" x14ac:dyDescent="0.2">
      <c r="A242">
        <v>1712200740</v>
      </c>
      <c r="B242">
        <v>2</v>
      </c>
      <c r="C242" t="s">
        <v>26</v>
      </c>
      <c r="D242">
        <v>20000</v>
      </c>
    </row>
    <row r="243" spans="1:4" x14ac:dyDescent="0.2">
      <c r="A243">
        <v>1712200750</v>
      </c>
      <c r="B243">
        <v>2</v>
      </c>
      <c r="C243" t="s">
        <v>49</v>
      </c>
      <c r="D243">
        <v>530000</v>
      </c>
    </row>
    <row r="244" spans="1:4" x14ac:dyDescent="0.2">
      <c r="A244">
        <v>1712200751</v>
      </c>
      <c r="B244">
        <v>2</v>
      </c>
      <c r="C244" t="s">
        <v>56</v>
      </c>
      <c r="D244">
        <v>0</v>
      </c>
    </row>
    <row r="245" spans="1:4" x14ac:dyDescent="0.2">
      <c r="A245">
        <v>1712200780</v>
      </c>
      <c r="B245">
        <v>2</v>
      </c>
      <c r="C245" t="s">
        <v>13</v>
      </c>
      <c r="D245">
        <v>20000</v>
      </c>
    </row>
    <row r="246" spans="1:4" x14ac:dyDescent="0.2">
      <c r="A246">
        <v>1712300751</v>
      </c>
      <c r="B246">
        <v>2</v>
      </c>
      <c r="C246" t="s">
        <v>57</v>
      </c>
      <c r="D246">
        <v>5000000</v>
      </c>
    </row>
    <row r="247" spans="1:4" x14ac:dyDescent="0.2">
      <c r="A247">
        <v>1712300752</v>
      </c>
      <c r="B247">
        <v>2</v>
      </c>
      <c r="C247" t="s">
        <v>974</v>
      </c>
      <c r="D247">
        <v>250000</v>
      </c>
    </row>
    <row r="248" spans="1:4" x14ac:dyDescent="0.2">
      <c r="A248">
        <v>1713000110</v>
      </c>
      <c r="B248">
        <v>2</v>
      </c>
      <c r="C248" t="s">
        <v>58</v>
      </c>
      <c r="D248">
        <v>0</v>
      </c>
    </row>
    <row r="249" spans="1:4" x14ac:dyDescent="0.2">
      <c r="A249">
        <v>1713000320</v>
      </c>
      <c r="B249">
        <v>2</v>
      </c>
      <c r="C249" t="s">
        <v>669</v>
      </c>
      <c r="D249">
        <v>0</v>
      </c>
    </row>
    <row r="250" spans="1:4" x14ac:dyDescent="0.2">
      <c r="A250">
        <v>1714100830</v>
      </c>
      <c r="B250">
        <v>2</v>
      </c>
      <c r="C250" t="s">
        <v>59</v>
      </c>
      <c r="D250">
        <v>121000</v>
      </c>
    </row>
    <row r="251" spans="1:4" x14ac:dyDescent="0.2">
      <c r="A251">
        <v>1715300720</v>
      </c>
      <c r="B251">
        <v>2</v>
      </c>
      <c r="C251" t="s">
        <v>60</v>
      </c>
      <c r="D251">
        <v>0</v>
      </c>
    </row>
    <row r="252" spans="1:4" x14ac:dyDescent="0.2">
      <c r="A252">
        <v>1715300750</v>
      </c>
      <c r="B252">
        <v>2</v>
      </c>
      <c r="C252" t="s">
        <v>61</v>
      </c>
      <c r="D252">
        <v>60000</v>
      </c>
    </row>
    <row r="253" spans="1:4" x14ac:dyDescent="0.2">
      <c r="A253">
        <v>1715300930</v>
      </c>
      <c r="B253">
        <v>2</v>
      </c>
      <c r="C253" t="s">
        <v>14</v>
      </c>
      <c r="D253">
        <v>0</v>
      </c>
    </row>
    <row r="254" spans="1:4" x14ac:dyDescent="0.2">
      <c r="A254">
        <v>1722000110</v>
      </c>
      <c r="B254">
        <v>2</v>
      </c>
      <c r="C254" t="s">
        <v>670</v>
      </c>
      <c r="D254">
        <v>280000</v>
      </c>
    </row>
    <row r="255" spans="1:4" x14ac:dyDescent="0.2">
      <c r="A255">
        <v>1722002110</v>
      </c>
      <c r="B255">
        <v>2</v>
      </c>
      <c r="C255" t="s">
        <v>797</v>
      </c>
      <c r="D255">
        <v>910000</v>
      </c>
    </row>
    <row r="256" spans="1:4" x14ac:dyDescent="0.2">
      <c r="A256">
        <v>1722000730</v>
      </c>
      <c r="B256">
        <v>2</v>
      </c>
      <c r="C256" t="s">
        <v>796</v>
      </c>
      <c r="D256">
        <v>0</v>
      </c>
    </row>
    <row r="257" spans="1:4" x14ac:dyDescent="0.2">
      <c r="A257">
        <v>1722000731</v>
      </c>
      <c r="B257">
        <v>2</v>
      </c>
      <c r="C257" t="s">
        <v>62</v>
      </c>
      <c r="D257">
        <v>25000</v>
      </c>
    </row>
    <row r="258" spans="1:4" x14ac:dyDescent="0.2">
      <c r="A258">
        <v>1722000732</v>
      </c>
      <c r="B258">
        <v>2</v>
      </c>
      <c r="C258" t="s">
        <v>63</v>
      </c>
      <c r="D258">
        <v>10000</v>
      </c>
    </row>
    <row r="259" spans="1:4" x14ac:dyDescent="0.2">
      <c r="A259">
        <v>1722000733</v>
      </c>
      <c r="B259">
        <v>2</v>
      </c>
      <c r="C259" t="s">
        <v>64</v>
      </c>
      <c r="D259">
        <v>13000</v>
      </c>
    </row>
    <row r="260" spans="1:4" x14ac:dyDescent="0.2">
      <c r="A260">
        <v>1722000780</v>
      </c>
      <c r="B260">
        <v>2</v>
      </c>
      <c r="C260" t="s">
        <v>328</v>
      </c>
      <c r="D260">
        <v>0</v>
      </c>
    </row>
    <row r="261" spans="1:4" x14ac:dyDescent="0.2">
      <c r="A261">
        <v>1723000810</v>
      </c>
      <c r="B261">
        <v>2</v>
      </c>
      <c r="C261" t="s">
        <v>65</v>
      </c>
      <c r="D261">
        <v>93574</v>
      </c>
    </row>
    <row r="262" spans="1:4" x14ac:dyDescent="0.2">
      <c r="A262">
        <v>1723100110</v>
      </c>
      <c r="B262">
        <v>2</v>
      </c>
      <c r="C262" t="s">
        <v>1165</v>
      </c>
      <c r="D262">
        <v>130000</v>
      </c>
    </row>
    <row r="263" spans="1:4" x14ac:dyDescent="0.2">
      <c r="A263">
        <v>1723420750</v>
      </c>
      <c r="B263">
        <v>2</v>
      </c>
      <c r="C263" t="s">
        <v>1160</v>
      </c>
      <c r="D263">
        <v>47000</v>
      </c>
    </row>
    <row r="264" spans="1:4" x14ac:dyDescent="0.2">
      <c r="A264">
        <v>1723421750</v>
      </c>
      <c r="B264">
        <v>2</v>
      </c>
      <c r="C264" t="s">
        <v>1162</v>
      </c>
      <c r="D264">
        <v>45000</v>
      </c>
    </row>
    <row r="265" spans="1:4" x14ac:dyDescent="0.2">
      <c r="A265">
        <v>1723422750</v>
      </c>
      <c r="B265">
        <v>2</v>
      </c>
      <c r="C265" t="s">
        <v>1161</v>
      </c>
      <c r="D265">
        <v>69000</v>
      </c>
    </row>
    <row r="266" spans="1:4" x14ac:dyDescent="0.2">
      <c r="A266">
        <v>1723423750</v>
      </c>
      <c r="B266">
        <v>2</v>
      </c>
      <c r="C266" t="s">
        <v>1163</v>
      </c>
      <c r="D266">
        <v>51700</v>
      </c>
    </row>
    <row r="267" spans="1:4" x14ac:dyDescent="0.2">
      <c r="A267">
        <v>1725000750</v>
      </c>
      <c r="B267">
        <v>2</v>
      </c>
      <c r="C267" t="s">
        <v>1524</v>
      </c>
      <c r="D267">
        <v>74848</v>
      </c>
    </row>
    <row r="268" spans="1:4" x14ac:dyDescent="0.2">
      <c r="A268">
        <v>1725000110</v>
      </c>
      <c r="B268">
        <v>2</v>
      </c>
      <c r="C268" t="s">
        <v>66</v>
      </c>
      <c r="D268">
        <v>350000</v>
      </c>
    </row>
    <row r="269" spans="1:4" x14ac:dyDescent="0.2">
      <c r="A269">
        <v>1725001750</v>
      </c>
      <c r="B269">
        <v>2</v>
      </c>
      <c r="C269" t="s">
        <v>1519</v>
      </c>
      <c r="D269">
        <v>0</v>
      </c>
    </row>
    <row r="270" spans="1:4" x14ac:dyDescent="0.2">
      <c r="A270">
        <v>1725002750</v>
      </c>
      <c r="B270">
        <v>2</v>
      </c>
      <c r="C270" t="s">
        <v>1520</v>
      </c>
      <c r="D270">
        <v>0</v>
      </c>
    </row>
    <row r="271" spans="1:4" x14ac:dyDescent="0.2">
      <c r="A271">
        <v>1725003110</v>
      </c>
      <c r="B271">
        <v>2</v>
      </c>
      <c r="C271" t="s">
        <v>1520</v>
      </c>
      <c r="D271">
        <v>0</v>
      </c>
    </row>
    <row r="272" spans="1:4" x14ac:dyDescent="0.2">
      <c r="A272">
        <v>1725004110</v>
      </c>
      <c r="B272">
        <v>2</v>
      </c>
      <c r="C272" t="s">
        <v>1525</v>
      </c>
      <c r="D272">
        <v>200000</v>
      </c>
    </row>
    <row r="273" spans="1:4" x14ac:dyDescent="0.2">
      <c r="A273">
        <v>1722100750</v>
      </c>
      <c r="B273">
        <v>2</v>
      </c>
      <c r="C273" t="s">
        <v>1622</v>
      </c>
      <c r="D273">
        <v>70000</v>
      </c>
    </row>
    <row r="274" spans="1:4" x14ac:dyDescent="0.2">
      <c r="A274">
        <v>1725100750</v>
      </c>
      <c r="B274">
        <v>2</v>
      </c>
      <c r="C274" t="s">
        <v>801</v>
      </c>
      <c r="D274">
        <v>0</v>
      </c>
    </row>
    <row r="275" spans="1:4" x14ac:dyDescent="0.2">
      <c r="A275">
        <v>1729997750</v>
      </c>
      <c r="B275">
        <v>2</v>
      </c>
      <c r="C275" t="s">
        <v>810</v>
      </c>
      <c r="D275">
        <v>0</v>
      </c>
    </row>
    <row r="276" spans="1:4" x14ac:dyDescent="0.2">
      <c r="A276">
        <v>1729998750</v>
      </c>
      <c r="B276">
        <v>2</v>
      </c>
      <c r="C276" t="s">
        <v>811</v>
      </c>
      <c r="D276">
        <v>0</v>
      </c>
    </row>
    <row r="277" spans="1:4" x14ac:dyDescent="0.2">
      <c r="A277">
        <v>1729999932</v>
      </c>
      <c r="B277">
        <v>2</v>
      </c>
      <c r="C277" t="s">
        <v>812</v>
      </c>
      <c r="D277">
        <v>0</v>
      </c>
    </row>
    <row r="278" spans="1:4" x14ac:dyDescent="0.2">
      <c r="A278">
        <v>1731000110</v>
      </c>
      <c r="B278">
        <v>2</v>
      </c>
      <c r="C278" t="s">
        <v>731</v>
      </c>
      <c r="D278">
        <v>800000</v>
      </c>
    </row>
    <row r="279" spans="1:4" x14ac:dyDescent="0.2">
      <c r="A279">
        <v>1731001110</v>
      </c>
      <c r="B279">
        <v>2</v>
      </c>
      <c r="C279" t="s">
        <v>994</v>
      </c>
      <c r="D279">
        <v>0</v>
      </c>
    </row>
    <row r="280" spans="1:4" x14ac:dyDescent="0.2">
      <c r="A280">
        <v>1731000320</v>
      </c>
      <c r="B280">
        <v>2</v>
      </c>
      <c r="C280" t="s">
        <v>787</v>
      </c>
      <c r="D280">
        <v>0</v>
      </c>
    </row>
    <row r="281" spans="1:4" x14ac:dyDescent="0.2">
      <c r="A281">
        <v>1731000440</v>
      </c>
      <c r="B281">
        <v>2</v>
      </c>
      <c r="C281" t="s">
        <v>69</v>
      </c>
      <c r="D281">
        <v>0</v>
      </c>
    </row>
    <row r="282" spans="1:4" x14ac:dyDescent="0.2">
      <c r="A282">
        <v>1731000523</v>
      </c>
      <c r="B282">
        <v>2</v>
      </c>
      <c r="C282" t="s">
        <v>22</v>
      </c>
      <c r="D282">
        <v>0</v>
      </c>
    </row>
    <row r="283" spans="1:4" x14ac:dyDescent="0.2">
      <c r="A283">
        <v>1731000780</v>
      </c>
      <c r="B283">
        <v>2</v>
      </c>
      <c r="C283" t="s">
        <v>13</v>
      </c>
      <c r="D283">
        <v>100000</v>
      </c>
    </row>
    <row r="284" spans="1:4" x14ac:dyDescent="0.2">
      <c r="A284">
        <v>1731000930</v>
      </c>
      <c r="B284">
        <v>2</v>
      </c>
      <c r="C284" t="s">
        <v>14</v>
      </c>
      <c r="D284">
        <v>0</v>
      </c>
    </row>
    <row r="285" spans="1:4" x14ac:dyDescent="0.2">
      <c r="A285">
        <v>1732100750</v>
      </c>
      <c r="B285">
        <v>2</v>
      </c>
      <c r="C285" t="s">
        <v>70</v>
      </c>
      <c r="D285">
        <v>100000</v>
      </c>
    </row>
    <row r="286" spans="1:4" x14ac:dyDescent="0.2">
      <c r="A286">
        <v>1733400750</v>
      </c>
      <c r="B286">
        <v>2</v>
      </c>
      <c r="C286" t="s">
        <v>71</v>
      </c>
      <c r="D286">
        <v>1300000</v>
      </c>
    </row>
    <row r="287" spans="1:4" x14ac:dyDescent="0.2">
      <c r="A287">
        <v>1741000110</v>
      </c>
      <c r="B287">
        <v>2</v>
      </c>
      <c r="C287" t="s">
        <v>72</v>
      </c>
      <c r="D287">
        <v>350000</v>
      </c>
    </row>
    <row r="288" spans="1:4" x14ac:dyDescent="0.2">
      <c r="A288">
        <v>1741000540</v>
      </c>
      <c r="B288">
        <v>2</v>
      </c>
      <c r="C288" t="s">
        <v>73</v>
      </c>
      <c r="D288">
        <v>0</v>
      </c>
    </row>
    <row r="289" spans="1:4" x14ac:dyDescent="0.2">
      <c r="A289">
        <v>1741000720</v>
      </c>
      <c r="B289">
        <v>2</v>
      </c>
      <c r="C289" t="s">
        <v>74</v>
      </c>
      <c r="D289">
        <v>0</v>
      </c>
    </row>
    <row r="290" spans="1:4" x14ac:dyDescent="0.2">
      <c r="A290">
        <v>1741000731</v>
      </c>
      <c r="B290">
        <v>2</v>
      </c>
      <c r="C290" t="s">
        <v>75</v>
      </c>
      <c r="D290">
        <v>0</v>
      </c>
    </row>
    <row r="291" spans="1:4" x14ac:dyDescent="0.2">
      <c r="A291">
        <v>1741000732</v>
      </c>
      <c r="B291">
        <v>2</v>
      </c>
      <c r="C291" t="s">
        <v>76</v>
      </c>
      <c r="D291">
        <v>0</v>
      </c>
    </row>
    <row r="292" spans="1:4" x14ac:dyDescent="0.2">
      <c r="A292">
        <v>1741000733</v>
      </c>
      <c r="B292">
        <v>2</v>
      </c>
      <c r="C292" t="s">
        <v>77</v>
      </c>
      <c r="D292">
        <v>0</v>
      </c>
    </row>
    <row r="293" spans="1:4" x14ac:dyDescent="0.2">
      <c r="A293">
        <v>1741000750</v>
      </c>
      <c r="B293">
        <v>2</v>
      </c>
      <c r="C293" t="s">
        <v>49</v>
      </c>
      <c r="D293">
        <v>50000</v>
      </c>
    </row>
    <row r="294" spans="1:4" x14ac:dyDescent="0.2">
      <c r="A294">
        <v>1741000751</v>
      </c>
      <c r="B294">
        <v>2</v>
      </c>
      <c r="C294" t="s">
        <v>771</v>
      </c>
      <c r="D294">
        <v>200000</v>
      </c>
    </row>
    <row r="295" spans="1:4" x14ac:dyDescent="0.2">
      <c r="A295">
        <v>1741100110</v>
      </c>
      <c r="B295">
        <v>2</v>
      </c>
      <c r="C295" t="s">
        <v>785</v>
      </c>
      <c r="D295">
        <v>0</v>
      </c>
    </row>
    <row r="296" spans="1:4" x14ac:dyDescent="0.2">
      <c r="A296">
        <v>1742200110</v>
      </c>
      <c r="B296">
        <v>2</v>
      </c>
      <c r="C296" t="s">
        <v>1624</v>
      </c>
      <c r="D296">
        <v>0</v>
      </c>
    </row>
    <row r="297" spans="1:4" x14ac:dyDescent="0.2">
      <c r="A297">
        <v>1743000720</v>
      </c>
      <c r="B297">
        <v>2</v>
      </c>
      <c r="C297" t="s">
        <v>674</v>
      </c>
      <c r="D297">
        <v>0</v>
      </c>
    </row>
    <row r="298" spans="1:4" x14ac:dyDescent="0.2">
      <c r="A298">
        <v>1743000750</v>
      </c>
      <c r="B298">
        <v>2</v>
      </c>
      <c r="C298" t="s">
        <v>78</v>
      </c>
      <c r="D298">
        <v>100000</v>
      </c>
    </row>
    <row r="299" spans="1:4" x14ac:dyDescent="0.2">
      <c r="A299">
        <v>1743000771</v>
      </c>
      <c r="B299">
        <v>2</v>
      </c>
      <c r="C299" t="s">
        <v>79</v>
      </c>
      <c r="D299">
        <v>250000</v>
      </c>
    </row>
    <row r="300" spans="1:4" x14ac:dyDescent="0.2">
      <c r="A300">
        <v>1744000780</v>
      </c>
      <c r="B300">
        <v>2</v>
      </c>
      <c r="C300" t="s">
        <v>80</v>
      </c>
      <c r="D300">
        <v>0</v>
      </c>
    </row>
    <row r="301" spans="1:4" x14ac:dyDescent="0.2">
      <c r="A301">
        <v>1744000750</v>
      </c>
      <c r="B301">
        <v>2</v>
      </c>
      <c r="C301" t="s">
        <v>1166</v>
      </c>
      <c r="D301">
        <v>0</v>
      </c>
    </row>
    <row r="302" spans="1:4" x14ac:dyDescent="0.2">
      <c r="A302">
        <v>1745000830</v>
      </c>
      <c r="B302">
        <v>2</v>
      </c>
      <c r="C302" t="s">
        <v>81</v>
      </c>
      <c r="D302">
        <v>130000</v>
      </c>
    </row>
    <row r="303" spans="1:4" x14ac:dyDescent="0.2">
      <c r="A303">
        <v>1747200110</v>
      </c>
      <c r="B303">
        <v>2</v>
      </c>
      <c r="C303" t="s">
        <v>82</v>
      </c>
      <c r="D303">
        <v>450000</v>
      </c>
    </row>
    <row r="304" spans="1:4" x14ac:dyDescent="0.2">
      <c r="A304">
        <v>1747200431</v>
      </c>
      <c r="B304">
        <v>2</v>
      </c>
      <c r="C304" t="s">
        <v>83</v>
      </c>
      <c r="D304">
        <v>40000</v>
      </c>
    </row>
    <row r="305" spans="1:4" x14ac:dyDescent="0.2">
      <c r="A305">
        <v>1747200432</v>
      </c>
      <c r="B305">
        <v>2</v>
      </c>
      <c r="C305" t="s">
        <v>84</v>
      </c>
      <c r="D305">
        <v>60000</v>
      </c>
    </row>
    <row r="306" spans="1:4" x14ac:dyDescent="0.2">
      <c r="A306">
        <v>1747200433</v>
      </c>
      <c r="B306">
        <v>2</v>
      </c>
      <c r="C306" t="s">
        <v>99</v>
      </c>
      <c r="D306">
        <v>10000</v>
      </c>
    </row>
    <row r="307" spans="1:4" x14ac:dyDescent="0.2">
      <c r="A307">
        <v>1747200440</v>
      </c>
      <c r="B307">
        <v>2</v>
      </c>
      <c r="C307" t="s">
        <v>85</v>
      </c>
      <c r="D307">
        <v>0</v>
      </c>
    </row>
    <row r="308" spans="1:4" x14ac:dyDescent="0.2">
      <c r="A308">
        <v>1747200540</v>
      </c>
      <c r="B308">
        <v>2</v>
      </c>
      <c r="C308" t="s">
        <v>73</v>
      </c>
      <c r="D308">
        <v>0</v>
      </c>
    </row>
    <row r="309" spans="1:4" x14ac:dyDescent="0.2">
      <c r="A309">
        <v>1747200720</v>
      </c>
      <c r="B309">
        <v>2</v>
      </c>
      <c r="C309" t="s">
        <v>25</v>
      </c>
      <c r="D309">
        <v>0</v>
      </c>
    </row>
    <row r="310" spans="1:4" x14ac:dyDescent="0.2">
      <c r="A310">
        <v>1747200750</v>
      </c>
      <c r="B310">
        <v>2</v>
      </c>
      <c r="C310" t="s">
        <v>49</v>
      </c>
      <c r="D310">
        <v>150000</v>
      </c>
    </row>
    <row r="311" spans="1:4" x14ac:dyDescent="0.2">
      <c r="A311">
        <v>1748000432</v>
      </c>
      <c r="B311">
        <v>2</v>
      </c>
      <c r="C311" t="s">
        <v>86</v>
      </c>
      <c r="D311">
        <v>0</v>
      </c>
    </row>
    <row r="312" spans="1:4" x14ac:dyDescent="0.2">
      <c r="A312">
        <v>1752000780</v>
      </c>
      <c r="B312">
        <v>2</v>
      </c>
      <c r="C312" t="s">
        <v>87</v>
      </c>
      <c r="D312">
        <v>0</v>
      </c>
    </row>
    <row r="313" spans="1:4" x14ac:dyDescent="0.2">
      <c r="A313">
        <v>1767000441</v>
      </c>
      <c r="B313">
        <v>2</v>
      </c>
      <c r="C313" t="s">
        <v>89</v>
      </c>
      <c r="D313">
        <v>1050000</v>
      </c>
    </row>
    <row r="314" spans="1:4" x14ac:dyDescent="0.2">
      <c r="A314">
        <v>1769500540</v>
      </c>
      <c r="B314">
        <v>2</v>
      </c>
      <c r="C314" t="s">
        <v>90</v>
      </c>
      <c r="D314">
        <v>0</v>
      </c>
    </row>
    <row r="315" spans="1:4" x14ac:dyDescent="0.2">
      <c r="A315">
        <v>1769500720</v>
      </c>
      <c r="B315">
        <v>2</v>
      </c>
      <c r="C315" t="s">
        <v>91</v>
      </c>
      <c r="D315">
        <v>0</v>
      </c>
    </row>
    <row r="316" spans="1:4" x14ac:dyDescent="0.2">
      <c r="A316">
        <v>1769500780</v>
      </c>
      <c r="B316">
        <v>2</v>
      </c>
      <c r="C316" t="s">
        <v>46</v>
      </c>
      <c r="D316">
        <v>0</v>
      </c>
    </row>
    <row r="317" spans="1:4" x14ac:dyDescent="0.2">
      <c r="A317">
        <v>1811000110</v>
      </c>
      <c r="B317">
        <v>2</v>
      </c>
      <c r="C317" t="s">
        <v>92</v>
      </c>
      <c r="D317">
        <v>970000</v>
      </c>
    </row>
    <row r="318" spans="1:4" x14ac:dyDescent="0.2">
      <c r="A318">
        <v>1811000320</v>
      </c>
      <c r="B318">
        <v>2</v>
      </c>
      <c r="C318" t="s">
        <v>19</v>
      </c>
      <c r="D318">
        <v>0</v>
      </c>
    </row>
    <row r="319" spans="1:4" x14ac:dyDescent="0.2">
      <c r="A319">
        <v>1811000523</v>
      </c>
      <c r="B319">
        <v>2</v>
      </c>
      <c r="C319" t="s">
        <v>22</v>
      </c>
      <c r="D319">
        <v>0</v>
      </c>
    </row>
    <row r="320" spans="1:4" x14ac:dyDescent="0.2">
      <c r="A320">
        <v>1811000540</v>
      </c>
      <c r="B320">
        <v>2</v>
      </c>
      <c r="C320" t="s">
        <v>93</v>
      </c>
      <c r="D320">
        <v>100000</v>
      </c>
    </row>
    <row r="321" spans="1:4" x14ac:dyDescent="0.2">
      <c r="A321">
        <v>1811000560</v>
      </c>
      <c r="B321">
        <v>2</v>
      </c>
      <c r="C321" t="s">
        <v>10</v>
      </c>
      <c r="D321">
        <v>0</v>
      </c>
    </row>
    <row r="322" spans="1:4" x14ac:dyDescent="0.2">
      <c r="A322">
        <v>1811000750</v>
      </c>
      <c r="B322">
        <v>2</v>
      </c>
      <c r="C322" t="s">
        <v>49</v>
      </c>
      <c r="D322">
        <v>0</v>
      </c>
    </row>
    <row r="323" spans="1:4" x14ac:dyDescent="0.2">
      <c r="A323">
        <v>1811010930</v>
      </c>
      <c r="B323">
        <v>2</v>
      </c>
      <c r="C323" t="s">
        <v>94</v>
      </c>
      <c r="D323">
        <v>100000</v>
      </c>
    </row>
    <row r="324" spans="1:4" x14ac:dyDescent="0.2">
      <c r="A324">
        <v>1811020750</v>
      </c>
      <c r="B324">
        <v>2</v>
      </c>
      <c r="C324" t="s">
        <v>95</v>
      </c>
      <c r="D324">
        <v>0</v>
      </c>
    </row>
    <row r="325" spans="1:4" x14ac:dyDescent="0.2">
      <c r="A325">
        <v>1812200110</v>
      </c>
      <c r="B325">
        <v>2</v>
      </c>
      <c r="C325" t="s">
        <v>96</v>
      </c>
      <c r="D325">
        <v>3000000</v>
      </c>
    </row>
    <row r="326" spans="1:4" x14ac:dyDescent="0.2">
      <c r="A326">
        <v>1812200420</v>
      </c>
      <c r="B326">
        <v>2</v>
      </c>
      <c r="C326" t="s">
        <v>97</v>
      </c>
      <c r="D326">
        <v>0</v>
      </c>
    </row>
    <row r="327" spans="1:4" x14ac:dyDescent="0.2">
      <c r="A327">
        <v>1812200431</v>
      </c>
      <c r="B327">
        <v>2</v>
      </c>
      <c r="C327" t="s">
        <v>997</v>
      </c>
      <c r="D327">
        <v>30000</v>
      </c>
    </row>
    <row r="328" spans="1:4" x14ac:dyDescent="0.2">
      <c r="A328">
        <v>1812200432</v>
      </c>
      <c r="B328">
        <v>2</v>
      </c>
      <c r="C328" t="s">
        <v>98</v>
      </c>
      <c r="D328">
        <v>50000</v>
      </c>
    </row>
    <row r="329" spans="1:4" x14ac:dyDescent="0.2">
      <c r="A329">
        <v>1812200433</v>
      </c>
      <c r="B329">
        <v>2</v>
      </c>
      <c r="C329" t="s">
        <v>99</v>
      </c>
      <c r="D329">
        <v>40000</v>
      </c>
    </row>
    <row r="330" spans="1:4" x14ac:dyDescent="0.2">
      <c r="A330">
        <v>1812200720</v>
      </c>
      <c r="B330">
        <v>2</v>
      </c>
      <c r="C330" t="s">
        <v>100</v>
      </c>
      <c r="D330">
        <v>0</v>
      </c>
    </row>
    <row r="331" spans="1:4" x14ac:dyDescent="0.2">
      <c r="A331">
        <v>1812200740</v>
      </c>
      <c r="B331">
        <v>2</v>
      </c>
      <c r="C331" t="s">
        <v>26</v>
      </c>
      <c r="D331">
        <v>40000</v>
      </c>
    </row>
    <row r="332" spans="1:4" x14ac:dyDescent="0.2">
      <c r="A332">
        <v>1812200750</v>
      </c>
      <c r="B332">
        <v>2</v>
      </c>
      <c r="C332" t="s">
        <v>27</v>
      </c>
      <c r="D332">
        <v>100000</v>
      </c>
    </row>
    <row r="333" spans="1:4" x14ac:dyDescent="0.2">
      <c r="A333">
        <v>1812200751</v>
      </c>
      <c r="B333">
        <v>2</v>
      </c>
      <c r="C333" t="s">
        <v>791</v>
      </c>
      <c r="D333">
        <v>0</v>
      </c>
    </row>
    <row r="334" spans="1:4" x14ac:dyDescent="0.2">
      <c r="A334">
        <v>1812200760</v>
      </c>
      <c r="B334">
        <v>2</v>
      </c>
      <c r="C334" t="s">
        <v>677</v>
      </c>
      <c r="D334">
        <v>0</v>
      </c>
    </row>
    <row r="335" spans="1:4" x14ac:dyDescent="0.2">
      <c r="A335">
        <v>1812410780</v>
      </c>
      <c r="B335">
        <v>2</v>
      </c>
      <c r="C335" t="s">
        <v>1512</v>
      </c>
      <c r="D335">
        <v>60000</v>
      </c>
    </row>
    <row r="336" spans="1:4" x14ac:dyDescent="0.2">
      <c r="A336">
        <v>1812200780</v>
      </c>
      <c r="B336">
        <v>2</v>
      </c>
      <c r="C336" t="s">
        <v>734</v>
      </c>
      <c r="D336">
        <v>0</v>
      </c>
    </row>
    <row r="337" spans="1:4" x14ac:dyDescent="0.2">
      <c r="A337">
        <v>1812200810</v>
      </c>
      <c r="B337">
        <v>2</v>
      </c>
      <c r="C337" t="s">
        <v>650</v>
      </c>
      <c r="D337">
        <v>0</v>
      </c>
    </row>
    <row r="338" spans="1:4" x14ac:dyDescent="0.2">
      <c r="A338">
        <v>1812200840</v>
      </c>
      <c r="B338">
        <v>2</v>
      </c>
      <c r="C338" t="s">
        <v>649</v>
      </c>
      <c r="D338">
        <v>0</v>
      </c>
    </row>
    <row r="339" spans="1:4" x14ac:dyDescent="0.2">
      <c r="A339">
        <v>1812300110</v>
      </c>
      <c r="B339">
        <v>2</v>
      </c>
      <c r="C339" t="s">
        <v>101</v>
      </c>
      <c r="D339">
        <v>7100000</v>
      </c>
    </row>
    <row r="340" spans="1:4" x14ac:dyDescent="0.2">
      <c r="A340">
        <v>1812300410</v>
      </c>
      <c r="B340">
        <v>2</v>
      </c>
      <c r="C340" t="s">
        <v>103</v>
      </c>
      <c r="D340">
        <v>220000</v>
      </c>
    </row>
    <row r="341" spans="1:4" x14ac:dyDescent="0.2">
      <c r="A341">
        <v>1812300411</v>
      </c>
      <c r="B341">
        <v>2</v>
      </c>
      <c r="C341" t="s">
        <v>104</v>
      </c>
      <c r="D341">
        <v>0</v>
      </c>
    </row>
    <row r="342" spans="1:4" x14ac:dyDescent="0.2">
      <c r="A342">
        <v>1812300431</v>
      </c>
      <c r="B342">
        <v>2</v>
      </c>
      <c r="C342" t="s">
        <v>20</v>
      </c>
      <c r="D342">
        <v>126000</v>
      </c>
    </row>
    <row r="343" spans="1:4" x14ac:dyDescent="0.2">
      <c r="A343">
        <v>1812300432</v>
      </c>
      <c r="B343">
        <v>2</v>
      </c>
      <c r="C343" t="s">
        <v>106</v>
      </c>
      <c r="D343">
        <v>0</v>
      </c>
    </row>
    <row r="344" spans="1:4" x14ac:dyDescent="0.2">
      <c r="A344">
        <v>1812300433</v>
      </c>
      <c r="B344">
        <v>2</v>
      </c>
      <c r="C344" t="s">
        <v>1012</v>
      </c>
      <c r="D344">
        <v>0</v>
      </c>
    </row>
    <row r="345" spans="1:4" x14ac:dyDescent="0.2">
      <c r="A345">
        <v>1812300521</v>
      </c>
      <c r="B345">
        <v>2</v>
      </c>
      <c r="C345" t="s">
        <v>647</v>
      </c>
      <c r="D345">
        <v>0</v>
      </c>
    </row>
    <row r="346" spans="1:4" x14ac:dyDescent="0.2">
      <c r="A346">
        <v>1812300320</v>
      </c>
      <c r="B346">
        <v>2</v>
      </c>
      <c r="C346" t="s">
        <v>102</v>
      </c>
      <c r="D346">
        <v>0</v>
      </c>
    </row>
    <row r="347" spans="1:4" x14ac:dyDescent="0.2">
      <c r="A347">
        <v>1812300540</v>
      </c>
      <c r="B347">
        <v>2</v>
      </c>
      <c r="C347" t="s">
        <v>107</v>
      </c>
      <c r="D347">
        <v>0</v>
      </c>
    </row>
    <row r="348" spans="1:4" x14ac:dyDescent="0.2">
      <c r="A348">
        <v>1812300560</v>
      </c>
      <c r="B348">
        <v>2</v>
      </c>
      <c r="C348" t="s">
        <v>108</v>
      </c>
      <c r="D348">
        <v>0</v>
      </c>
    </row>
    <row r="349" spans="1:4" x14ac:dyDescent="0.2">
      <c r="A349">
        <v>1812300720</v>
      </c>
      <c r="B349">
        <v>2</v>
      </c>
      <c r="C349" t="s">
        <v>109</v>
      </c>
      <c r="D349">
        <v>0</v>
      </c>
    </row>
    <row r="350" spans="1:4" x14ac:dyDescent="0.2">
      <c r="A350">
        <v>1812300740</v>
      </c>
      <c r="B350">
        <v>2</v>
      </c>
      <c r="C350" t="s">
        <v>110</v>
      </c>
      <c r="D350">
        <v>0</v>
      </c>
    </row>
    <row r="351" spans="1:4" x14ac:dyDescent="0.2">
      <c r="A351">
        <v>1812300750</v>
      </c>
      <c r="B351">
        <v>2</v>
      </c>
      <c r="C351" t="s">
        <v>1014</v>
      </c>
      <c r="D351">
        <v>0</v>
      </c>
    </row>
    <row r="352" spans="1:4" x14ac:dyDescent="0.2">
      <c r="A352">
        <v>1812300760</v>
      </c>
      <c r="B352">
        <v>2</v>
      </c>
      <c r="C352" t="s">
        <v>111</v>
      </c>
      <c r="D352">
        <v>4802065</v>
      </c>
    </row>
    <row r="353" spans="1:4" x14ac:dyDescent="0.2">
      <c r="A353">
        <v>1812300780</v>
      </c>
      <c r="B353">
        <v>2</v>
      </c>
      <c r="C353" t="s">
        <v>792</v>
      </c>
      <c r="D353">
        <v>500000</v>
      </c>
    </row>
    <row r="354" spans="1:4" x14ac:dyDescent="0.2">
      <c r="A354">
        <v>1812300930</v>
      </c>
      <c r="B354">
        <v>2</v>
      </c>
      <c r="C354" t="s">
        <v>14</v>
      </c>
      <c r="D354">
        <v>0</v>
      </c>
    </row>
    <row r="355" spans="1:4" x14ac:dyDescent="0.2">
      <c r="A355">
        <v>1812310780</v>
      </c>
      <c r="B355">
        <v>2</v>
      </c>
      <c r="C355" t="s">
        <v>723</v>
      </c>
      <c r="D355">
        <v>0</v>
      </c>
    </row>
    <row r="356" spans="1:4" x14ac:dyDescent="0.2">
      <c r="A356">
        <v>1812312110</v>
      </c>
      <c r="B356">
        <v>2</v>
      </c>
      <c r="C356" t="s">
        <v>719</v>
      </c>
      <c r="D356">
        <v>0</v>
      </c>
    </row>
    <row r="357" spans="1:4" x14ac:dyDescent="0.2">
      <c r="A357">
        <v>1812400110</v>
      </c>
      <c r="B357">
        <v>2</v>
      </c>
      <c r="C357" t="s">
        <v>722</v>
      </c>
      <c r="D357">
        <v>100000</v>
      </c>
    </row>
    <row r="358" spans="1:4" x14ac:dyDescent="0.2">
      <c r="A358">
        <v>1812500110</v>
      </c>
      <c r="B358">
        <v>2</v>
      </c>
      <c r="C358" t="s">
        <v>113</v>
      </c>
      <c r="D358">
        <v>165000</v>
      </c>
    </row>
    <row r="359" spans="1:4" x14ac:dyDescent="0.2">
      <c r="A359">
        <v>1812500410</v>
      </c>
      <c r="B359">
        <v>2</v>
      </c>
      <c r="C359" t="s">
        <v>114</v>
      </c>
      <c r="D359">
        <v>0</v>
      </c>
    </row>
    <row r="360" spans="1:4" x14ac:dyDescent="0.2">
      <c r="A360">
        <v>1812500431</v>
      </c>
      <c r="B360">
        <v>2</v>
      </c>
      <c r="C360" t="s">
        <v>20</v>
      </c>
      <c r="D360">
        <v>40000</v>
      </c>
    </row>
    <row r="361" spans="1:4" x14ac:dyDescent="0.2">
      <c r="A361">
        <v>1812500432</v>
      </c>
      <c r="B361">
        <v>2</v>
      </c>
      <c r="C361" t="s">
        <v>115</v>
      </c>
      <c r="D361">
        <v>0</v>
      </c>
    </row>
    <row r="362" spans="1:4" x14ac:dyDescent="0.2">
      <c r="A362">
        <v>1811000705</v>
      </c>
      <c r="B362">
        <v>2</v>
      </c>
      <c r="C362" t="s">
        <v>1625</v>
      </c>
      <c r="D362">
        <v>0</v>
      </c>
    </row>
    <row r="363" spans="1:4" x14ac:dyDescent="0.2">
      <c r="A363">
        <v>1811000780</v>
      </c>
      <c r="B363">
        <v>2</v>
      </c>
      <c r="C363" t="s">
        <v>1309</v>
      </c>
      <c r="D363">
        <v>0</v>
      </c>
    </row>
    <row r="364" spans="1:4" x14ac:dyDescent="0.2">
      <c r="A364">
        <v>1811000781</v>
      </c>
      <c r="B364">
        <v>2</v>
      </c>
      <c r="C364" t="s">
        <v>1626</v>
      </c>
      <c r="D364">
        <v>15000</v>
      </c>
    </row>
    <row r="365" spans="1:4" x14ac:dyDescent="0.2">
      <c r="A365">
        <v>1811000930</v>
      </c>
      <c r="B365">
        <v>2</v>
      </c>
      <c r="C365" t="s">
        <v>1329</v>
      </c>
      <c r="D365">
        <v>100000</v>
      </c>
    </row>
    <row r="366" spans="1:4" x14ac:dyDescent="0.2">
      <c r="A366">
        <v>1811000980</v>
      </c>
      <c r="B366">
        <v>2</v>
      </c>
      <c r="C366" t="s">
        <v>1628</v>
      </c>
      <c r="D366">
        <v>0</v>
      </c>
    </row>
    <row r="367" spans="1:4" x14ac:dyDescent="0.2">
      <c r="A367">
        <v>1812000320</v>
      </c>
      <c r="B367">
        <v>2</v>
      </c>
      <c r="C367" t="s">
        <v>1598</v>
      </c>
      <c r="D367">
        <v>0</v>
      </c>
    </row>
    <row r="368" spans="1:4" x14ac:dyDescent="0.2">
      <c r="A368">
        <v>1812310631</v>
      </c>
      <c r="B368">
        <v>2</v>
      </c>
      <c r="C368" t="s">
        <v>1630</v>
      </c>
      <c r="D368">
        <v>0</v>
      </c>
    </row>
    <row r="369" spans="1:4" x14ac:dyDescent="0.2">
      <c r="A369">
        <v>1812312980</v>
      </c>
      <c r="B369">
        <v>2</v>
      </c>
      <c r="C369" t="s">
        <v>1631</v>
      </c>
      <c r="D369">
        <v>860690</v>
      </c>
    </row>
    <row r="370" spans="1:4" x14ac:dyDescent="0.2">
      <c r="A370">
        <v>1813200923</v>
      </c>
      <c r="B370">
        <v>2</v>
      </c>
      <c r="C370" t="s">
        <v>1632</v>
      </c>
      <c r="D370">
        <v>0</v>
      </c>
    </row>
    <row r="371" spans="1:4" x14ac:dyDescent="0.2">
      <c r="A371">
        <v>1813212110</v>
      </c>
      <c r="B371">
        <v>2</v>
      </c>
      <c r="C371" t="s">
        <v>1635</v>
      </c>
      <c r="D371">
        <v>0</v>
      </c>
    </row>
    <row r="372" spans="1:4" x14ac:dyDescent="0.2">
      <c r="A372">
        <v>1813403760</v>
      </c>
      <c r="B372">
        <v>2</v>
      </c>
      <c r="C372" t="s">
        <v>1637</v>
      </c>
      <c r="D372">
        <v>0</v>
      </c>
    </row>
    <row r="373" spans="1:4" x14ac:dyDescent="0.2">
      <c r="A373">
        <v>1815201110</v>
      </c>
      <c r="B373">
        <v>2</v>
      </c>
      <c r="C373" t="s">
        <v>1638</v>
      </c>
      <c r="D373">
        <v>200000</v>
      </c>
    </row>
    <row r="374" spans="1:4" x14ac:dyDescent="0.2">
      <c r="A374">
        <v>1815203780</v>
      </c>
      <c r="B374">
        <v>2</v>
      </c>
      <c r="C374" t="s">
        <v>1212</v>
      </c>
      <c r="D374">
        <v>0</v>
      </c>
    </row>
    <row r="375" spans="1:4" x14ac:dyDescent="0.2">
      <c r="A375">
        <v>1815220420</v>
      </c>
      <c r="B375">
        <v>2</v>
      </c>
      <c r="C375" t="s">
        <v>1602</v>
      </c>
      <c r="D375">
        <v>0</v>
      </c>
    </row>
    <row r="376" spans="1:4" x14ac:dyDescent="0.2">
      <c r="A376">
        <v>1817710870</v>
      </c>
      <c r="B376">
        <v>2</v>
      </c>
      <c r="C376" t="s">
        <v>1639</v>
      </c>
      <c r="D376">
        <v>200000</v>
      </c>
    </row>
    <row r="377" spans="1:4" x14ac:dyDescent="0.2">
      <c r="A377">
        <v>1817720110</v>
      </c>
      <c r="B377">
        <v>2</v>
      </c>
      <c r="C377" t="s">
        <v>1515</v>
      </c>
      <c r="D377">
        <v>0</v>
      </c>
    </row>
    <row r="378" spans="1:4" x14ac:dyDescent="0.2">
      <c r="A378">
        <v>1813200110</v>
      </c>
      <c r="B378">
        <v>2</v>
      </c>
      <c r="C378" t="s">
        <v>298</v>
      </c>
      <c r="D378">
        <v>0</v>
      </c>
    </row>
    <row r="379" spans="1:4" x14ac:dyDescent="0.2">
      <c r="A379">
        <v>1813200750</v>
      </c>
      <c r="B379">
        <v>2</v>
      </c>
      <c r="C379" t="s">
        <v>651</v>
      </c>
      <c r="D379">
        <v>0</v>
      </c>
    </row>
    <row r="380" spans="1:4" x14ac:dyDescent="0.2">
      <c r="A380">
        <v>1813200760</v>
      </c>
      <c r="B380">
        <v>2</v>
      </c>
      <c r="C380" t="s">
        <v>116</v>
      </c>
      <c r="D380">
        <v>1000000</v>
      </c>
    </row>
    <row r="381" spans="1:4" x14ac:dyDescent="0.2">
      <c r="A381">
        <v>1813200780</v>
      </c>
      <c r="B381">
        <v>2</v>
      </c>
      <c r="C381" t="s">
        <v>117</v>
      </c>
      <c r="D381">
        <v>0</v>
      </c>
    </row>
    <row r="382" spans="1:4" x14ac:dyDescent="0.2">
      <c r="A382">
        <v>1813200931</v>
      </c>
      <c r="B382">
        <v>2</v>
      </c>
      <c r="C382" t="s">
        <v>1013</v>
      </c>
      <c r="D382">
        <v>0</v>
      </c>
    </row>
    <row r="383" spans="1:4" x14ac:dyDescent="0.2">
      <c r="A383">
        <v>1813251110</v>
      </c>
      <c r="B383">
        <v>2</v>
      </c>
      <c r="C383" t="s">
        <v>813</v>
      </c>
      <c r="D383">
        <v>150000</v>
      </c>
    </row>
    <row r="384" spans="1:4" x14ac:dyDescent="0.2">
      <c r="A384">
        <v>1813201750</v>
      </c>
      <c r="B384">
        <v>2</v>
      </c>
      <c r="C384" t="s">
        <v>745</v>
      </c>
      <c r="D384">
        <v>0</v>
      </c>
    </row>
    <row r="385" spans="1:4" x14ac:dyDescent="0.2">
      <c r="A385">
        <v>1813210110</v>
      </c>
      <c r="B385">
        <v>2</v>
      </c>
      <c r="C385" t="s">
        <v>118</v>
      </c>
      <c r="D385">
        <v>700000</v>
      </c>
    </row>
    <row r="386" spans="1:4" x14ac:dyDescent="0.2">
      <c r="A386">
        <v>1813210420</v>
      </c>
      <c r="B386">
        <v>2</v>
      </c>
      <c r="C386" t="s">
        <v>119</v>
      </c>
      <c r="D386">
        <v>0</v>
      </c>
    </row>
    <row r="387" spans="1:4" x14ac:dyDescent="0.2">
      <c r="A387">
        <v>1813210431</v>
      </c>
      <c r="B387">
        <v>2</v>
      </c>
      <c r="C387" t="s">
        <v>120</v>
      </c>
      <c r="D387">
        <v>50000</v>
      </c>
    </row>
    <row r="388" spans="1:4" x14ac:dyDescent="0.2">
      <c r="A388">
        <v>1813210432</v>
      </c>
      <c r="B388">
        <v>2</v>
      </c>
      <c r="C388" t="s">
        <v>121</v>
      </c>
      <c r="D388">
        <v>0</v>
      </c>
    </row>
    <row r="389" spans="1:4" x14ac:dyDescent="0.2">
      <c r="A389">
        <v>1813210540</v>
      </c>
      <c r="B389">
        <v>2</v>
      </c>
      <c r="C389" t="s">
        <v>122</v>
      </c>
      <c r="D389">
        <v>0</v>
      </c>
    </row>
    <row r="390" spans="1:4" x14ac:dyDescent="0.2">
      <c r="A390">
        <v>1813251750</v>
      </c>
      <c r="B390">
        <v>2</v>
      </c>
      <c r="C390" t="s">
        <v>814</v>
      </c>
      <c r="D390">
        <v>0</v>
      </c>
    </row>
    <row r="391" spans="1:4" x14ac:dyDescent="0.2">
      <c r="A391">
        <v>1813310870</v>
      </c>
      <c r="B391">
        <v>2</v>
      </c>
      <c r="C391" t="s">
        <v>815</v>
      </c>
      <c r="D391">
        <v>0</v>
      </c>
    </row>
    <row r="392" spans="1:4" x14ac:dyDescent="0.2">
      <c r="A392">
        <v>1813210720</v>
      </c>
      <c r="B392">
        <v>2</v>
      </c>
      <c r="C392" t="s">
        <v>739</v>
      </c>
      <c r="D392">
        <v>0</v>
      </c>
    </row>
    <row r="393" spans="1:4" x14ac:dyDescent="0.2">
      <c r="A393">
        <v>1813210750</v>
      </c>
      <c r="B393">
        <v>2</v>
      </c>
      <c r="C393" t="s">
        <v>1535</v>
      </c>
      <c r="D393">
        <v>578487</v>
      </c>
    </row>
    <row r="394" spans="1:4" x14ac:dyDescent="0.2">
      <c r="A394">
        <v>1813211750</v>
      </c>
      <c r="B394">
        <v>2</v>
      </c>
      <c r="C394" t="s">
        <v>1536</v>
      </c>
      <c r="D394">
        <v>0</v>
      </c>
    </row>
    <row r="395" spans="1:4" x14ac:dyDescent="0.2">
      <c r="A395">
        <v>1813212750</v>
      </c>
      <c r="B395">
        <v>2</v>
      </c>
      <c r="C395" t="s">
        <v>1537</v>
      </c>
      <c r="D395">
        <v>2098221</v>
      </c>
    </row>
    <row r="396" spans="1:4" x14ac:dyDescent="0.2">
      <c r="A396">
        <v>1813210871</v>
      </c>
      <c r="B396">
        <v>2</v>
      </c>
      <c r="C396" t="s">
        <v>123</v>
      </c>
      <c r="D396">
        <v>0</v>
      </c>
    </row>
    <row r="397" spans="1:4" x14ac:dyDescent="0.2">
      <c r="A397">
        <v>1813210930</v>
      </c>
      <c r="B397">
        <v>2</v>
      </c>
      <c r="C397" t="s">
        <v>124</v>
      </c>
      <c r="D397">
        <v>0</v>
      </c>
    </row>
    <row r="398" spans="1:4" x14ac:dyDescent="0.2">
      <c r="A398">
        <v>1813220110</v>
      </c>
      <c r="B398">
        <v>2</v>
      </c>
      <c r="C398" t="s">
        <v>125</v>
      </c>
      <c r="D398">
        <v>625000</v>
      </c>
    </row>
    <row r="399" spans="1:4" x14ac:dyDescent="0.2">
      <c r="A399">
        <v>1813220431</v>
      </c>
      <c r="B399">
        <v>2</v>
      </c>
      <c r="C399" t="s">
        <v>126</v>
      </c>
      <c r="D399">
        <v>80000</v>
      </c>
    </row>
    <row r="400" spans="1:4" x14ac:dyDescent="0.2">
      <c r="A400">
        <v>1813220432</v>
      </c>
      <c r="B400">
        <v>2</v>
      </c>
      <c r="C400" t="s">
        <v>127</v>
      </c>
      <c r="D400">
        <v>0</v>
      </c>
    </row>
    <row r="401" spans="1:4" x14ac:dyDescent="0.2">
      <c r="A401">
        <v>1813220540</v>
      </c>
      <c r="B401">
        <v>2</v>
      </c>
      <c r="C401" t="s">
        <v>128</v>
      </c>
      <c r="D401">
        <v>0</v>
      </c>
    </row>
    <row r="402" spans="1:4" x14ac:dyDescent="0.2">
      <c r="A402">
        <v>1813220720</v>
      </c>
      <c r="B402">
        <v>2</v>
      </c>
      <c r="C402" t="s">
        <v>740</v>
      </c>
      <c r="D402">
        <v>0</v>
      </c>
    </row>
    <row r="403" spans="1:4" x14ac:dyDescent="0.2">
      <c r="A403">
        <v>1813220750</v>
      </c>
      <c r="B403">
        <v>2</v>
      </c>
      <c r="C403" t="s">
        <v>129</v>
      </c>
      <c r="D403">
        <v>0</v>
      </c>
    </row>
    <row r="404" spans="1:4" x14ac:dyDescent="0.2">
      <c r="A404">
        <v>1813220871</v>
      </c>
      <c r="B404">
        <v>2</v>
      </c>
      <c r="C404" t="s">
        <v>130</v>
      </c>
      <c r="D404">
        <v>0</v>
      </c>
    </row>
    <row r="405" spans="1:4" x14ac:dyDescent="0.2">
      <c r="A405">
        <v>1813220930</v>
      </c>
      <c r="B405">
        <v>2</v>
      </c>
      <c r="C405" t="s">
        <v>131</v>
      </c>
      <c r="D405">
        <v>0</v>
      </c>
    </row>
    <row r="406" spans="1:4" x14ac:dyDescent="0.2">
      <c r="A406">
        <v>1813230110</v>
      </c>
      <c r="B406">
        <v>2</v>
      </c>
      <c r="C406" t="s">
        <v>132</v>
      </c>
      <c r="D406">
        <v>880000</v>
      </c>
    </row>
    <row r="407" spans="1:4" x14ac:dyDescent="0.2">
      <c r="A407">
        <v>1813230431</v>
      </c>
      <c r="B407">
        <v>2</v>
      </c>
      <c r="C407" t="s">
        <v>133</v>
      </c>
      <c r="D407">
        <v>50000</v>
      </c>
    </row>
    <row r="408" spans="1:4" x14ac:dyDescent="0.2">
      <c r="A408">
        <v>1813230540</v>
      </c>
      <c r="B408">
        <v>2</v>
      </c>
      <c r="C408" t="s">
        <v>134</v>
      </c>
      <c r="D408">
        <v>0</v>
      </c>
    </row>
    <row r="409" spans="1:4" x14ac:dyDescent="0.2">
      <c r="A409">
        <v>1813230720</v>
      </c>
      <c r="B409">
        <v>2</v>
      </c>
      <c r="C409" t="s">
        <v>741</v>
      </c>
      <c r="D409">
        <v>0</v>
      </c>
    </row>
    <row r="410" spans="1:4" x14ac:dyDescent="0.2">
      <c r="A410">
        <v>1813230750</v>
      </c>
      <c r="B410">
        <v>2</v>
      </c>
      <c r="C410" t="s">
        <v>135</v>
      </c>
      <c r="D410">
        <v>0</v>
      </c>
    </row>
    <row r="411" spans="1:4" x14ac:dyDescent="0.2">
      <c r="A411">
        <v>1813230780</v>
      </c>
      <c r="B411">
        <v>2</v>
      </c>
      <c r="C411" t="s">
        <v>13</v>
      </c>
      <c r="D411">
        <v>0</v>
      </c>
    </row>
    <row r="412" spans="1:4" x14ac:dyDescent="0.2">
      <c r="A412">
        <v>1813230870</v>
      </c>
      <c r="B412">
        <v>2</v>
      </c>
      <c r="C412" t="s">
        <v>136</v>
      </c>
      <c r="D412">
        <v>0</v>
      </c>
    </row>
    <row r="413" spans="1:4" x14ac:dyDescent="0.2">
      <c r="A413">
        <v>1813230871</v>
      </c>
      <c r="B413">
        <v>2</v>
      </c>
      <c r="C413" t="s">
        <v>137</v>
      </c>
      <c r="D413">
        <v>0</v>
      </c>
    </row>
    <row r="414" spans="1:4" x14ac:dyDescent="0.2">
      <c r="A414">
        <v>1813230930</v>
      </c>
      <c r="B414">
        <v>2</v>
      </c>
      <c r="C414" t="s">
        <v>138</v>
      </c>
      <c r="D414">
        <v>0</v>
      </c>
    </row>
    <row r="415" spans="1:4" x14ac:dyDescent="0.2">
      <c r="A415">
        <v>1813240110</v>
      </c>
      <c r="B415">
        <v>2</v>
      </c>
      <c r="C415" t="s">
        <v>139</v>
      </c>
      <c r="D415">
        <v>540000</v>
      </c>
    </row>
    <row r="416" spans="1:4" x14ac:dyDescent="0.2">
      <c r="A416">
        <v>1813240431</v>
      </c>
      <c r="B416">
        <v>2</v>
      </c>
      <c r="C416" t="s">
        <v>140</v>
      </c>
      <c r="D416">
        <v>0</v>
      </c>
    </row>
    <row r="417" spans="1:4" x14ac:dyDescent="0.2">
      <c r="A417">
        <v>1813240432</v>
      </c>
      <c r="B417">
        <v>2</v>
      </c>
      <c r="C417" t="s">
        <v>141</v>
      </c>
      <c r="D417">
        <v>0</v>
      </c>
    </row>
    <row r="418" spans="1:4" x14ac:dyDescent="0.2">
      <c r="A418">
        <v>1813240540</v>
      </c>
      <c r="B418">
        <v>2</v>
      </c>
      <c r="C418" t="s">
        <v>142</v>
      </c>
      <c r="D418">
        <v>0</v>
      </c>
    </row>
    <row r="419" spans="1:4" x14ac:dyDescent="0.2">
      <c r="A419">
        <v>1813240750</v>
      </c>
      <c r="B419">
        <v>2</v>
      </c>
      <c r="C419" t="s">
        <v>143</v>
      </c>
      <c r="D419">
        <v>0</v>
      </c>
    </row>
    <row r="420" spans="1:4" x14ac:dyDescent="0.2">
      <c r="A420">
        <v>1813240870</v>
      </c>
      <c r="B420">
        <v>2</v>
      </c>
      <c r="C420" t="s">
        <v>144</v>
      </c>
      <c r="D420">
        <v>0</v>
      </c>
    </row>
    <row r="421" spans="1:4" x14ac:dyDescent="0.2">
      <c r="A421">
        <v>1813250110</v>
      </c>
      <c r="B421">
        <v>2</v>
      </c>
      <c r="C421" t="s">
        <v>326</v>
      </c>
      <c r="D421">
        <v>120000</v>
      </c>
    </row>
    <row r="422" spans="1:4" x14ac:dyDescent="0.2">
      <c r="A422">
        <v>1813300110</v>
      </c>
      <c r="B422">
        <v>2</v>
      </c>
      <c r="C422" t="s">
        <v>786</v>
      </c>
      <c r="D422">
        <v>2300000</v>
      </c>
    </row>
    <row r="423" spans="1:4" x14ac:dyDescent="0.2">
      <c r="A423">
        <v>1813300431</v>
      </c>
      <c r="B423">
        <v>2</v>
      </c>
      <c r="C423" t="s">
        <v>679</v>
      </c>
      <c r="D423">
        <v>40000</v>
      </c>
    </row>
    <row r="424" spans="1:4" x14ac:dyDescent="0.2">
      <c r="A424">
        <v>1813210931</v>
      </c>
      <c r="B424">
        <v>2</v>
      </c>
      <c r="C424" t="s">
        <v>1387</v>
      </c>
      <c r="D424">
        <v>220000</v>
      </c>
    </row>
    <row r="425" spans="1:4" x14ac:dyDescent="0.2">
      <c r="A425">
        <v>1813230931</v>
      </c>
      <c r="B425">
        <v>2</v>
      </c>
      <c r="C425" t="s">
        <v>1392</v>
      </c>
      <c r="D425">
        <v>0</v>
      </c>
    </row>
    <row r="426" spans="1:4" x14ac:dyDescent="0.2">
      <c r="A426">
        <v>1813300540</v>
      </c>
      <c r="B426">
        <v>2</v>
      </c>
      <c r="C426" t="s">
        <v>146</v>
      </c>
      <c r="D426">
        <v>0</v>
      </c>
    </row>
    <row r="427" spans="1:4" x14ac:dyDescent="0.2">
      <c r="A427">
        <v>1813300560</v>
      </c>
      <c r="B427">
        <v>2</v>
      </c>
      <c r="C427" t="s">
        <v>41</v>
      </c>
      <c r="D427">
        <v>0</v>
      </c>
    </row>
    <row r="428" spans="1:4" x14ac:dyDescent="0.2">
      <c r="A428">
        <v>1813300720</v>
      </c>
      <c r="B428">
        <v>2</v>
      </c>
      <c r="C428" t="s">
        <v>25</v>
      </c>
      <c r="D428">
        <v>0</v>
      </c>
    </row>
    <row r="429" spans="1:4" x14ac:dyDescent="0.2">
      <c r="A429">
        <v>1813300721</v>
      </c>
      <c r="B429">
        <v>2</v>
      </c>
      <c r="C429" t="s">
        <v>147</v>
      </c>
      <c r="D429">
        <v>0</v>
      </c>
    </row>
    <row r="430" spans="1:4" x14ac:dyDescent="0.2">
      <c r="A430">
        <v>1813300750</v>
      </c>
      <c r="B430">
        <v>2</v>
      </c>
      <c r="C430" t="s">
        <v>27</v>
      </c>
      <c r="D430">
        <v>0</v>
      </c>
    </row>
    <row r="431" spans="1:4" x14ac:dyDescent="0.2">
      <c r="A431">
        <v>1813300780</v>
      </c>
      <c r="B431">
        <v>2</v>
      </c>
      <c r="C431" t="s">
        <v>998</v>
      </c>
      <c r="D431">
        <v>0</v>
      </c>
    </row>
    <row r="432" spans="1:4" x14ac:dyDescent="0.2">
      <c r="A432">
        <v>1813303760</v>
      </c>
      <c r="B432">
        <v>2</v>
      </c>
      <c r="C432" t="s">
        <v>149</v>
      </c>
      <c r="D432">
        <v>0</v>
      </c>
    </row>
    <row r="433" spans="1:4" x14ac:dyDescent="0.2">
      <c r="A433">
        <v>1813300870</v>
      </c>
      <c r="B433">
        <v>2</v>
      </c>
      <c r="C433" t="s">
        <v>148</v>
      </c>
      <c r="D433">
        <v>0</v>
      </c>
    </row>
    <row r="434" spans="1:4" x14ac:dyDescent="0.2">
      <c r="A434">
        <v>1813800110</v>
      </c>
      <c r="B434">
        <v>2</v>
      </c>
      <c r="C434" t="s">
        <v>774</v>
      </c>
      <c r="D434">
        <v>0</v>
      </c>
    </row>
    <row r="435" spans="1:4" x14ac:dyDescent="0.2">
      <c r="A435">
        <v>1813810110</v>
      </c>
      <c r="B435">
        <v>2</v>
      </c>
      <c r="C435" t="s">
        <v>775</v>
      </c>
      <c r="D435">
        <v>0</v>
      </c>
    </row>
    <row r="436" spans="1:4" x14ac:dyDescent="0.2">
      <c r="A436">
        <v>1814000110</v>
      </c>
      <c r="B436">
        <v>2</v>
      </c>
      <c r="C436" t="s">
        <v>150</v>
      </c>
      <c r="D436">
        <v>1480000</v>
      </c>
    </row>
    <row r="437" spans="1:4" x14ac:dyDescent="0.2">
      <c r="A437">
        <v>1814000320</v>
      </c>
      <c r="B437">
        <v>2</v>
      </c>
      <c r="C437" t="s">
        <v>805</v>
      </c>
      <c r="D437">
        <v>0</v>
      </c>
    </row>
    <row r="438" spans="1:4" x14ac:dyDescent="0.2">
      <c r="A438">
        <v>1814000431</v>
      </c>
      <c r="B438">
        <v>2</v>
      </c>
      <c r="C438" t="s">
        <v>151</v>
      </c>
      <c r="D438">
        <v>70000</v>
      </c>
    </row>
    <row r="439" spans="1:4" x14ac:dyDescent="0.2">
      <c r="A439">
        <v>1814000432</v>
      </c>
      <c r="B439">
        <v>2</v>
      </c>
      <c r="C439" t="s">
        <v>152</v>
      </c>
      <c r="D439">
        <v>0</v>
      </c>
    </row>
    <row r="440" spans="1:4" x14ac:dyDescent="0.2">
      <c r="A440">
        <v>1814000540</v>
      </c>
      <c r="B440">
        <v>2</v>
      </c>
      <c r="C440" t="s">
        <v>153</v>
      </c>
      <c r="D440">
        <v>0</v>
      </c>
    </row>
    <row r="441" spans="1:4" x14ac:dyDescent="0.2">
      <c r="A441">
        <v>1814000560</v>
      </c>
      <c r="B441">
        <v>2</v>
      </c>
      <c r="C441" t="s">
        <v>154</v>
      </c>
      <c r="D441">
        <v>0</v>
      </c>
    </row>
    <row r="442" spans="1:4" x14ac:dyDescent="0.2">
      <c r="A442">
        <v>1814000750</v>
      </c>
      <c r="B442">
        <v>2</v>
      </c>
      <c r="C442" t="s">
        <v>155</v>
      </c>
      <c r="D442">
        <v>0</v>
      </c>
    </row>
    <row r="443" spans="1:4" x14ac:dyDescent="0.2">
      <c r="A443">
        <v>1814000780</v>
      </c>
      <c r="B443">
        <v>2</v>
      </c>
      <c r="C443" t="s">
        <v>46</v>
      </c>
      <c r="D443">
        <v>10000</v>
      </c>
    </row>
    <row r="444" spans="1:4" x14ac:dyDescent="0.2">
      <c r="A444">
        <v>1814000870</v>
      </c>
      <c r="B444">
        <v>2</v>
      </c>
      <c r="C444" t="s">
        <v>156</v>
      </c>
      <c r="D444">
        <v>25000</v>
      </c>
    </row>
    <row r="445" spans="1:4" x14ac:dyDescent="0.2">
      <c r="A445">
        <v>1814001780</v>
      </c>
      <c r="B445">
        <v>2</v>
      </c>
      <c r="C445" t="s">
        <v>750</v>
      </c>
      <c r="D445">
        <v>0</v>
      </c>
    </row>
    <row r="446" spans="1:4" x14ac:dyDescent="0.2">
      <c r="A446">
        <v>1814002780</v>
      </c>
      <c r="B446">
        <v>2</v>
      </c>
      <c r="C446" t="s">
        <v>1008</v>
      </c>
      <c r="D446">
        <v>0</v>
      </c>
    </row>
    <row r="447" spans="1:4" x14ac:dyDescent="0.2">
      <c r="A447">
        <v>1815200110</v>
      </c>
      <c r="B447">
        <v>2</v>
      </c>
      <c r="C447" t="s">
        <v>157</v>
      </c>
      <c r="D447">
        <v>15250000</v>
      </c>
    </row>
    <row r="448" spans="1:4" x14ac:dyDescent="0.2">
      <c r="A448">
        <v>1815200320</v>
      </c>
      <c r="B448">
        <v>2</v>
      </c>
      <c r="C448" t="s">
        <v>19</v>
      </c>
      <c r="D448">
        <v>0</v>
      </c>
    </row>
    <row r="449" spans="1:4" x14ac:dyDescent="0.2">
      <c r="A449">
        <v>1815200420</v>
      </c>
      <c r="B449">
        <v>2</v>
      </c>
      <c r="C449" t="s">
        <v>158</v>
      </c>
      <c r="D449">
        <v>0</v>
      </c>
    </row>
    <row r="450" spans="1:4" x14ac:dyDescent="0.2">
      <c r="A450">
        <v>1815200431</v>
      </c>
      <c r="B450">
        <v>2</v>
      </c>
      <c r="C450" t="s">
        <v>159</v>
      </c>
      <c r="D450">
        <v>0</v>
      </c>
    </row>
    <row r="451" spans="1:4" x14ac:dyDescent="0.2">
      <c r="A451">
        <v>1815200432</v>
      </c>
      <c r="B451">
        <v>2</v>
      </c>
      <c r="C451" t="s">
        <v>160</v>
      </c>
      <c r="D451">
        <v>0</v>
      </c>
    </row>
    <row r="452" spans="1:4" x14ac:dyDescent="0.2">
      <c r="A452">
        <v>1815200434</v>
      </c>
      <c r="B452">
        <v>2</v>
      </c>
      <c r="C452" t="s">
        <v>789</v>
      </c>
      <c r="D452">
        <v>2300000</v>
      </c>
    </row>
    <row r="453" spans="1:4" x14ac:dyDescent="0.2">
      <c r="A453">
        <v>1815200540</v>
      </c>
      <c r="B453">
        <v>2</v>
      </c>
      <c r="C453" t="s">
        <v>161</v>
      </c>
      <c r="D453">
        <v>0</v>
      </c>
    </row>
    <row r="454" spans="1:4" x14ac:dyDescent="0.2">
      <c r="A454">
        <v>1815200560</v>
      </c>
      <c r="B454">
        <v>2</v>
      </c>
      <c r="C454" t="s">
        <v>162</v>
      </c>
      <c r="D454">
        <v>0</v>
      </c>
    </row>
    <row r="455" spans="1:4" x14ac:dyDescent="0.2">
      <c r="A455">
        <v>1815200720</v>
      </c>
      <c r="B455">
        <v>2</v>
      </c>
      <c r="C455" t="s">
        <v>742</v>
      </c>
      <c r="D455">
        <v>0</v>
      </c>
    </row>
    <row r="456" spans="1:4" x14ac:dyDescent="0.2">
      <c r="A456">
        <v>1815200750</v>
      </c>
      <c r="B456">
        <v>2</v>
      </c>
      <c r="C456" t="s">
        <v>788</v>
      </c>
      <c r="D456">
        <v>1300000</v>
      </c>
    </row>
    <row r="457" spans="1:4" x14ac:dyDescent="0.2">
      <c r="A457">
        <v>1815200760</v>
      </c>
      <c r="B457">
        <v>2</v>
      </c>
      <c r="C457" t="s">
        <v>164</v>
      </c>
      <c r="D457">
        <v>150000</v>
      </c>
    </row>
    <row r="458" spans="1:4" x14ac:dyDescent="0.2">
      <c r="A458">
        <v>1815201750</v>
      </c>
      <c r="B458">
        <v>2</v>
      </c>
      <c r="C458" t="s">
        <v>1501</v>
      </c>
      <c r="D458">
        <v>40000</v>
      </c>
    </row>
    <row r="459" spans="1:4" x14ac:dyDescent="0.2">
      <c r="A459">
        <v>1815202750</v>
      </c>
      <c r="B459">
        <v>2</v>
      </c>
      <c r="C459" t="s">
        <v>1241</v>
      </c>
      <c r="D459">
        <v>0</v>
      </c>
    </row>
    <row r="460" spans="1:4" x14ac:dyDescent="0.2">
      <c r="A460">
        <v>1815203750</v>
      </c>
      <c r="B460">
        <v>2</v>
      </c>
      <c r="C460" t="s">
        <v>1503</v>
      </c>
      <c r="D460">
        <v>0</v>
      </c>
    </row>
    <row r="461" spans="1:4" x14ac:dyDescent="0.2">
      <c r="A461">
        <v>1815200780</v>
      </c>
      <c r="B461">
        <v>2</v>
      </c>
      <c r="C461" t="s">
        <v>165</v>
      </c>
      <c r="D461">
        <v>0</v>
      </c>
    </row>
    <row r="462" spans="1:4" x14ac:dyDescent="0.2">
      <c r="A462">
        <v>1815200870</v>
      </c>
      <c r="B462">
        <v>2</v>
      </c>
      <c r="C462" t="s">
        <v>166</v>
      </c>
      <c r="D462">
        <v>0</v>
      </c>
    </row>
    <row r="463" spans="1:4" x14ac:dyDescent="0.2">
      <c r="A463">
        <v>1815300760</v>
      </c>
      <c r="B463">
        <v>2</v>
      </c>
      <c r="C463" t="s">
        <v>778</v>
      </c>
      <c r="D463">
        <v>0</v>
      </c>
    </row>
    <row r="464" spans="1:4" x14ac:dyDescent="0.2">
      <c r="A464">
        <v>1815700760</v>
      </c>
      <c r="B464">
        <v>2</v>
      </c>
      <c r="C464" t="s">
        <v>682</v>
      </c>
      <c r="D464">
        <v>850000</v>
      </c>
    </row>
    <row r="465" spans="1:4" x14ac:dyDescent="0.2">
      <c r="A465">
        <v>1817300110</v>
      </c>
      <c r="B465">
        <v>2</v>
      </c>
      <c r="C465" t="s">
        <v>167</v>
      </c>
      <c r="D465">
        <v>110000</v>
      </c>
    </row>
    <row r="466" spans="1:4" x14ac:dyDescent="0.2">
      <c r="A466">
        <v>1817300320</v>
      </c>
      <c r="B466">
        <v>2</v>
      </c>
      <c r="C466" t="s">
        <v>168</v>
      </c>
      <c r="D466">
        <v>0</v>
      </c>
    </row>
    <row r="467" spans="1:4" x14ac:dyDescent="0.2">
      <c r="A467">
        <v>1817300521</v>
      </c>
      <c r="B467">
        <v>2</v>
      </c>
      <c r="C467" t="s">
        <v>169</v>
      </c>
      <c r="D467">
        <v>0</v>
      </c>
    </row>
    <row r="468" spans="1:4" x14ac:dyDescent="0.2">
      <c r="A468">
        <v>1817300930</v>
      </c>
      <c r="B468">
        <v>2</v>
      </c>
      <c r="C468" t="s">
        <v>170</v>
      </c>
      <c r="D468">
        <v>0</v>
      </c>
    </row>
    <row r="469" spans="1:4" x14ac:dyDescent="0.2">
      <c r="A469">
        <v>1817301750</v>
      </c>
      <c r="B469">
        <v>2</v>
      </c>
      <c r="C469" t="s">
        <v>743</v>
      </c>
      <c r="D469">
        <v>50000</v>
      </c>
    </row>
    <row r="470" spans="1:4" x14ac:dyDescent="0.2">
      <c r="A470">
        <v>1817500441</v>
      </c>
      <c r="B470">
        <v>2</v>
      </c>
      <c r="C470" t="s">
        <v>172</v>
      </c>
      <c r="D470">
        <v>370000</v>
      </c>
    </row>
    <row r="471" spans="1:4" x14ac:dyDescent="0.2">
      <c r="A471">
        <v>1817600110</v>
      </c>
      <c r="B471">
        <v>2</v>
      </c>
      <c r="C471" t="s">
        <v>780</v>
      </c>
      <c r="D471">
        <v>92874</v>
      </c>
    </row>
    <row r="472" spans="1:4" x14ac:dyDescent="0.2">
      <c r="A472">
        <v>1817600431</v>
      </c>
      <c r="B472">
        <v>2</v>
      </c>
      <c r="C472" t="s">
        <v>20</v>
      </c>
      <c r="D472">
        <v>33000</v>
      </c>
    </row>
    <row r="473" spans="1:4" x14ac:dyDescent="0.2">
      <c r="A473">
        <v>1817600750</v>
      </c>
      <c r="B473">
        <v>2</v>
      </c>
      <c r="C473" t="s">
        <v>1530</v>
      </c>
      <c r="D473">
        <v>95874</v>
      </c>
    </row>
    <row r="474" spans="1:4" x14ac:dyDescent="0.2">
      <c r="A474">
        <v>1817600780</v>
      </c>
      <c r="B474">
        <v>2</v>
      </c>
      <c r="C474" t="s">
        <v>781</v>
      </c>
      <c r="D474">
        <v>9000</v>
      </c>
    </row>
    <row r="475" spans="1:4" x14ac:dyDescent="0.2">
      <c r="A475">
        <v>1817600930</v>
      </c>
      <c r="B475">
        <v>2</v>
      </c>
      <c r="C475" t="s">
        <v>14</v>
      </c>
      <c r="D475">
        <v>0</v>
      </c>
    </row>
    <row r="476" spans="1:4" x14ac:dyDescent="0.2">
      <c r="A476">
        <v>1817601750</v>
      </c>
      <c r="B476">
        <v>2</v>
      </c>
      <c r="C476" t="s">
        <v>183</v>
      </c>
      <c r="D476">
        <v>255237</v>
      </c>
    </row>
    <row r="477" spans="1:4" x14ac:dyDescent="0.2">
      <c r="A477">
        <v>1817601110</v>
      </c>
      <c r="B477">
        <v>2</v>
      </c>
      <c r="C477" t="s">
        <v>1529</v>
      </c>
      <c r="D477">
        <v>0</v>
      </c>
    </row>
    <row r="478" spans="1:4" x14ac:dyDescent="0.2">
      <c r="A478">
        <v>1817602110</v>
      </c>
      <c r="B478">
        <v>2</v>
      </c>
      <c r="C478" t="s">
        <v>1017</v>
      </c>
      <c r="D478">
        <v>50000</v>
      </c>
    </row>
    <row r="479" spans="1:4" x14ac:dyDescent="0.2">
      <c r="A479">
        <v>1817610110</v>
      </c>
      <c r="B479">
        <v>2</v>
      </c>
      <c r="C479" t="s">
        <v>783</v>
      </c>
      <c r="D479">
        <v>100000</v>
      </c>
    </row>
    <row r="480" spans="1:4" x14ac:dyDescent="0.2">
      <c r="A480">
        <v>1817630110</v>
      </c>
      <c r="B480">
        <v>2</v>
      </c>
      <c r="C480" t="s">
        <v>784</v>
      </c>
      <c r="D480">
        <v>0</v>
      </c>
    </row>
    <row r="481" spans="1:4" x14ac:dyDescent="0.2">
      <c r="A481">
        <v>1817700110</v>
      </c>
      <c r="B481">
        <v>2</v>
      </c>
      <c r="C481" t="s">
        <v>175</v>
      </c>
      <c r="D481">
        <v>0</v>
      </c>
    </row>
    <row r="482" spans="1:4" x14ac:dyDescent="0.2">
      <c r="A482">
        <v>1817710720</v>
      </c>
      <c r="B482">
        <v>2</v>
      </c>
      <c r="C482" t="s">
        <v>176</v>
      </c>
      <c r="D482">
        <v>0</v>
      </c>
    </row>
    <row r="483" spans="1:4" x14ac:dyDescent="0.2">
      <c r="A483">
        <v>1817710780</v>
      </c>
      <c r="B483">
        <v>2</v>
      </c>
      <c r="C483" t="s">
        <v>177</v>
      </c>
      <c r="D483">
        <v>0</v>
      </c>
    </row>
    <row r="484" spans="1:4" x14ac:dyDescent="0.2">
      <c r="A484">
        <v>1817720720</v>
      </c>
      <c r="B484">
        <v>2</v>
      </c>
      <c r="C484" t="s">
        <v>744</v>
      </c>
      <c r="D484">
        <v>0</v>
      </c>
    </row>
    <row r="485" spans="1:4" x14ac:dyDescent="0.2">
      <c r="A485">
        <v>1817800110</v>
      </c>
      <c r="B485">
        <v>2</v>
      </c>
      <c r="C485" t="s">
        <v>178</v>
      </c>
      <c r="D485">
        <v>1200000</v>
      </c>
    </row>
    <row r="486" spans="1:4" x14ac:dyDescent="0.2">
      <c r="A486">
        <v>1817801750</v>
      </c>
      <c r="B486">
        <v>2</v>
      </c>
      <c r="C486" t="s">
        <v>1640</v>
      </c>
      <c r="D486">
        <v>1400000</v>
      </c>
    </row>
    <row r="487" spans="1:4" x14ac:dyDescent="0.2">
      <c r="A487">
        <v>1817800710</v>
      </c>
      <c r="B487">
        <v>2</v>
      </c>
      <c r="C487" t="s">
        <v>179</v>
      </c>
      <c r="D487">
        <v>2600000</v>
      </c>
    </row>
    <row r="488" spans="1:4" x14ac:dyDescent="0.2">
      <c r="A488">
        <v>1817900110</v>
      </c>
      <c r="B488">
        <v>2</v>
      </c>
      <c r="C488" t="s">
        <v>779</v>
      </c>
      <c r="D488">
        <v>680000</v>
      </c>
    </row>
    <row r="489" spans="1:4" x14ac:dyDescent="0.2">
      <c r="A489">
        <v>1817901780</v>
      </c>
      <c r="B489">
        <v>2</v>
      </c>
      <c r="C489" t="s">
        <v>802</v>
      </c>
      <c r="D489">
        <v>0</v>
      </c>
    </row>
    <row r="490" spans="1:4" x14ac:dyDescent="0.2">
      <c r="A490">
        <v>1817910110</v>
      </c>
      <c r="B490">
        <v>2</v>
      </c>
      <c r="C490" t="s">
        <v>327</v>
      </c>
      <c r="D490">
        <v>0</v>
      </c>
    </row>
    <row r="491" spans="1:4" x14ac:dyDescent="0.2">
      <c r="A491">
        <v>1817910710</v>
      </c>
      <c r="B491">
        <v>2</v>
      </c>
      <c r="C491" t="s">
        <v>180</v>
      </c>
      <c r="D491">
        <v>0</v>
      </c>
    </row>
    <row r="492" spans="1:4" x14ac:dyDescent="0.2">
      <c r="A492">
        <v>1817910780</v>
      </c>
      <c r="B492">
        <v>2</v>
      </c>
      <c r="C492" t="s">
        <v>733</v>
      </c>
      <c r="D492">
        <v>0</v>
      </c>
    </row>
    <row r="493" spans="1:4" x14ac:dyDescent="0.2">
      <c r="A493">
        <v>1817910810</v>
      </c>
      <c r="B493">
        <v>2</v>
      </c>
      <c r="C493" t="s">
        <v>181</v>
      </c>
      <c r="D493">
        <v>1500000</v>
      </c>
    </row>
    <row r="494" spans="1:4" x14ac:dyDescent="0.2">
      <c r="A494">
        <v>1817911750</v>
      </c>
      <c r="B494">
        <v>2</v>
      </c>
      <c r="C494" t="s">
        <v>652</v>
      </c>
      <c r="D494">
        <v>66000</v>
      </c>
    </row>
    <row r="495" spans="1:4" x14ac:dyDescent="0.2">
      <c r="A495">
        <v>1817912110</v>
      </c>
      <c r="B495">
        <v>2</v>
      </c>
      <c r="C495" t="s">
        <v>688</v>
      </c>
      <c r="D495">
        <v>0</v>
      </c>
    </row>
    <row r="496" spans="1:4" x14ac:dyDescent="0.2">
      <c r="A496">
        <v>1817905110</v>
      </c>
      <c r="B496">
        <v>2</v>
      </c>
      <c r="C496" t="s">
        <v>816</v>
      </c>
      <c r="D496">
        <v>900000</v>
      </c>
    </row>
    <row r="497" spans="1:4" x14ac:dyDescent="0.2">
      <c r="A497">
        <v>1817912750</v>
      </c>
      <c r="B497">
        <v>2</v>
      </c>
      <c r="C497" t="s">
        <v>795</v>
      </c>
      <c r="D497">
        <v>170000</v>
      </c>
    </row>
    <row r="498" spans="1:4" x14ac:dyDescent="0.2">
      <c r="A498">
        <v>1817914750</v>
      </c>
      <c r="B498">
        <v>2</v>
      </c>
      <c r="C498" t="s">
        <v>996</v>
      </c>
      <c r="D498">
        <v>60000</v>
      </c>
    </row>
    <row r="499" spans="1:4" x14ac:dyDescent="0.2">
      <c r="A499">
        <v>1817915750</v>
      </c>
      <c r="B499">
        <v>2</v>
      </c>
      <c r="C499" t="s">
        <v>718</v>
      </c>
      <c r="D499">
        <v>0</v>
      </c>
    </row>
    <row r="500" spans="1:4" x14ac:dyDescent="0.2">
      <c r="A500">
        <v>1817916110</v>
      </c>
      <c r="B500">
        <v>2</v>
      </c>
      <c r="C500" t="s">
        <v>721</v>
      </c>
      <c r="D500">
        <v>300000</v>
      </c>
    </row>
    <row r="501" spans="1:4" x14ac:dyDescent="0.2">
      <c r="A501">
        <v>1817917110</v>
      </c>
      <c r="B501">
        <v>2</v>
      </c>
      <c r="C501" t="s">
        <v>720</v>
      </c>
      <c r="D501">
        <v>150000</v>
      </c>
    </row>
    <row r="502" spans="1:4" x14ac:dyDescent="0.2">
      <c r="A502">
        <v>1817918110</v>
      </c>
      <c r="B502">
        <v>2</v>
      </c>
      <c r="C502" t="s">
        <v>717</v>
      </c>
      <c r="D502">
        <v>0</v>
      </c>
    </row>
    <row r="503" spans="1:4" x14ac:dyDescent="0.2">
      <c r="A503">
        <v>1817919110</v>
      </c>
      <c r="B503">
        <v>2</v>
      </c>
      <c r="C503" t="s">
        <v>782</v>
      </c>
      <c r="D503">
        <v>0</v>
      </c>
    </row>
    <row r="504" spans="1:4" x14ac:dyDescent="0.2">
      <c r="A504">
        <v>1817900320</v>
      </c>
      <c r="B504">
        <v>2</v>
      </c>
      <c r="C504" t="s">
        <v>1418</v>
      </c>
      <c r="D504">
        <v>0</v>
      </c>
    </row>
    <row r="505" spans="1:4" x14ac:dyDescent="0.2">
      <c r="A505">
        <v>1817400930</v>
      </c>
      <c r="B505">
        <v>2</v>
      </c>
      <c r="C505" t="s">
        <v>683</v>
      </c>
      <c r="D505">
        <v>0</v>
      </c>
    </row>
    <row r="506" spans="1:4" x14ac:dyDescent="0.2">
      <c r="A506">
        <v>1817800320</v>
      </c>
      <c r="B506">
        <v>2</v>
      </c>
      <c r="C506" t="s">
        <v>112</v>
      </c>
      <c r="D506">
        <v>0</v>
      </c>
    </row>
    <row r="507" spans="1:4" x14ac:dyDescent="0.2">
      <c r="A507">
        <v>1817910320</v>
      </c>
      <c r="B507">
        <v>2</v>
      </c>
      <c r="C507" t="s">
        <v>685</v>
      </c>
      <c r="D507">
        <v>0</v>
      </c>
    </row>
    <row r="508" spans="1:4" x14ac:dyDescent="0.2">
      <c r="A508">
        <v>1817911110</v>
      </c>
      <c r="B508">
        <v>2</v>
      </c>
      <c r="C508" t="s">
        <v>686</v>
      </c>
      <c r="D508">
        <v>0</v>
      </c>
    </row>
    <row r="509" spans="1:4" x14ac:dyDescent="0.2">
      <c r="A509">
        <v>1817913110</v>
      </c>
      <c r="B509">
        <v>2</v>
      </c>
      <c r="C509" t="s">
        <v>995</v>
      </c>
      <c r="D509">
        <v>900000</v>
      </c>
    </row>
    <row r="510" spans="1:4" x14ac:dyDescent="0.2">
      <c r="A510">
        <v>1817913750</v>
      </c>
      <c r="B510">
        <v>2</v>
      </c>
      <c r="C510" t="s">
        <v>1016</v>
      </c>
      <c r="D510">
        <v>40000</v>
      </c>
    </row>
    <row r="511" spans="1:4" x14ac:dyDescent="0.2">
      <c r="A511">
        <v>1823000110</v>
      </c>
      <c r="B511">
        <v>2</v>
      </c>
      <c r="C511" t="s">
        <v>993</v>
      </c>
      <c r="D511">
        <v>145000</v>
      </c>
    </row>
    <row r="512" spans="1:4" x14ac:dyDescent="0.2">
      <c r="A512">
        <v>1824000431</v>
      </c>
      <c r="B512">
        <v>2</v>
      </c>
      <c r="C512" t="s">
        <v>746</v>
      </c>
      <c r="D512">
        <v>40000</v>
      </c>
    </row>
    <row r="513" spans="1:4" x14ac:dyDescent="0.2">
      <c r="A513">
        <v>1824000432</v>
      </c>
      <c r="B513">
        <v>2</v>
      </c>
      <c r="C513" t="s">
        <v>975</v>
      </c>
      <c r="D513">
        <v>20000</v>
      </c>
    </row>
    <row r="514" spans="1:4" x14ac:dyDescent="0.2">
      <c r="A514">
        <v>1824020870</v>
      </c>
      <c r="B514">
        <v>2</v>
      </c>
      <c r="C514" t="s">
        <v>692</v>
      </c>
      <c r="D514">
        <v>0</v>
      </c>
    </row>
    <row r="515" spans="1:4" x14ac:dyDescent="0.2">
      <c r="A515">
        <v>1824021870</v>
      </c>
      <c r="B515">
        <v>2</v>
      </c>
      <c r="C515" t="s">
        <v>777</v>
      </c>
      <c r="D515">
        <v>0</v>
      </c>
    </row>
    <row r="516" spans="1:4" x14ac:dyDescent="0.2">
      <c r="A516">
        <v>1824030110</v>
      </c>
      <c r="B516">
        <v>2</v>
      </c>
      <c r="C516" t="s">
        <v>1531</v>
      </c>
      <c r="D516">
        <v>220000</v>
      </c>
    </row>
    <row r="517" spans="1:4" x14ac:dyDescent="0.2">
      <c r="A517">
        <v>1824050870</v>
      </c>
      <c r="B517">
        <v>2</v>
      </c>
      <c r="C517" t="s">
        <v>183</v>
      </c>
      <c r="D517">
        <v>80000</v>
      </c>
    </row>
    <row r="518" spans="1:4" x14ac:dyDescent="0.2">
      <c r="A518">
        <v>1824000320</v>
      </c>
      <c r="B518">
        <v>2</v>
      </c>
      <c r="C518" t="s">
        <v>690</v>
      </c>
      <c r="D518">
        <v>0</v>
      </c>
    </row>
    <row r="519" spans="1:4" x14ac:dyDescent="0.2">
      <c r="A519">
        <v>1828100110</v>
      </c>
      <c r="B519">
        <v>2</v>
      </c>
      <c r="C519" t="s">
        <v>639</v>
      </c>
      <c r="D519">
        <v>600000</v>
      </c>
    </row>
    <row r="520" spans="1:4" x14ac:dyDescent="0.2">
      <c r="A520">
        <v>1828200750</v>
      </c>
      <c r="B520">
        <v>2</v>
      </c>
      <c r="C520" t="s">
        <v>747</v>
      </c>
      <c r="D520">
        <v>0</v>
      </c>
    </row>
    <row r="521" spans="1:4" x14ac:dyDescent="0.2">
      <c r="A521">
        <v>1828300110</v>
      </c>
      <c r="B521">
        <v>2</v>
      </c>
      <c r="C521" t="s">
        <v>184</v>
      </c>
      <c r="D521">
        <v>60000</v>
      </c>
    </row>
    <row r="522" spans="1:4" x14ac:dyDescent="0.2">
      <c r="A522">
        <v>1828400110</v>
      </c>
      <c r="B522">
        <v>2</v>
      </c>
      <c r="C522" t="s">
        <v>654</v>
      </c>
      <c r="D522">
        <v>0</v>
      </c>
    </row>
    <row r="523" spans="1:4" x14ac:dyDescent="0.2">
      <c r="A523">
        <v>1828100320</v>
      </c>
      <c r="B523">
        <v>2</v>
      </c>
      <c r="C523" t="s">
        <v>1638</v>
      </c>
      <c r="D523">
        <v>0</v>
      </c>
    </row>
    <row r="524" spans="1:4" x14ac:dyDescent="0.2">
      <c r="A524">
        <v>1828400780</v>
      </c>
      <c r="B524">
        <v>2</v>
      </c>
      <c r="C524" t="s">
        <v>185</v>
      </c>
      <c r="D524">
        <v>0</v>
      </c>
    </row>
    <row r="525" spans="1:4" x14ac:dyDescent="0.2">
      <c r="A525">
        <v>1828410750</v>
      </c>
      <c r="B525">
        <v>2</v>
      </c>
      <c r="C525" t="s">
        <v>1169</v>
      </c>
      <c r="D525">
        <v>0</v>
      </c>
    </row>
    <row r="526" spans="1:4" x14ac:dyDescent="0.2">
      <c r="A526">
        <v>1828510750</v>
      </c>
      <c r="B526">
        <v>2</v>
      </c>
      <c r="C526" t="s">
        <v>804</v>
      </c>
      <c r="D526">
        <v>0</v>
      </c>
    </row>
    <row r="527" spans="1:4" x14ac:dyDescent="0.2">
      <c r="A527">
        <v>1828300760</v>
      </c>
      <c r="B527">
        <v>2</v>
      </c>
      <c r="C527" t="s">
        <v>653</v>
      </c>
      <c r="D527">
        <v>0</v>
      </c>
    </row>
    <row r="528" spans="1:4" x14ac:dyDescent="0.2">
      <c r="A528">
        <v>1828400750</v>
      </c>
      <c r="B528">
        <v>2</v>
      </c>
      <c r="C528" t="s">
        <v>655</v>
      </c>
      <c r="D528">
        <v>0</v>
      </c>
    </row>
    <row r="529" spans="1:4" x14ac:dyDescent="0.2">
      <c r="A529">
        <v>1829000431</v>
      </c>
      <c r="B529">
        <v>2</v>
      </c>
      <c r="C529" t="s">
        <v>186</v>
      </c>
      <c r="D529">
        <v>40000</v>
      </c>
    </row>
    <row r="530" spans="1:4" x14ac:dyDescent="0.2">
      <c r="A530">
        <v>1829100110</v>
      </c>
      <c r="B530">
        <v>2</v>
      </c>
      <c r="C530" t="s">
        <v>187</v>
      </c>
      <c r="D530">
        <v>400000</v>
      </c>
    </row>
    <row r="531" spans="1:4" x14ac:dyDescent="0.2">
      <c r="A531">
        <v>1829100320</v>
      </c>
      <c r="B531">
        <v>2</v>
      </c>
      <c r="C531" t="s">
        <v>736</v>
      </c>
      <c r="D531">
        <v>0</v>
      </c>
    </row>
    <row r="532" spans="1:4" x14ac:dyDescent="0.2">
      <c r="A532">
        <v>1829200110</v>
      </c>
      <c r="B532">
        <v>2</v>
      </c>
      <c r="C532" t="s">
        <v>188</v>
      </c>
      <c r="D532">
        <v>0</v>
      </c>
    </row>
    <row r="533" spans="1:4" x14ac:dyDescent="0.2">
      <c r="A533">
        <v>1829200431</v>
      </c>
      <c r="B533">
        <v>2</v>
      </c>
      <c r="C533" t="s">
        <v>189</v>
      </c>
      <c r="D533">
        <v>35000</v>
      </c>
    </row>
    <row r="534" spans="1:4" x14ac:dyDescent="0.2">
      <c r="A534">
        <v>1829200432</v>
      </c>
      <c r="B534">
        <v>2</v>
      </c>
      <c r="C534" t="s">
        <v>190</v>
      </c>
      <c r="D534">
        <v>120000</v>
      </c>
    </row>
    <row r="535" spans="1:4" x14ac:dyDescent="0.2">
      <c r="A535">
        <v>1829200540</v>
      </c>
      <c r="B535">
        <v>2</v>
      </c>
      <c r="C535" t="s">
        <v>191</v>
      </c>
      <c r="D535">
        <v>0</v>
      </c>
    </row>
    <row r="536" spans="1:4" x14ac:dyDescent="0.2">
      <c r="A536">
        <v>1829200720</v>
      </c>
      <c r="B536">
        <v>2</v>
      </c>
      <c r="C536" t="s">
        <v>192</v>
      </c>
      <c r="D536">
        <v>0</v>
      </c>
    </row>
    <row r="537" spans="1:4" x14ac:dyDescent="0.2">
      <c r="A537">
        <v>1829200740</v>
      </c>
      <c r="B537">
        <v>2</v>
      </c>
      <c r="C537" t="s">
        <v>110</v>
      </c>
      <c r="D537">
        <v>80000</v>
      </c>
    </row>
    <row r="538" spans="1:4" x14ac:dyDescent="0.2">
      <c r="A538">
        <v>1829200750</v>
      </c>
      <c r="B538">
        <v>2</v>
      </c>
      <c r="C538" t="s">
        <v>193</v>
      </c>
      <c r="D538">
        <v>150000</v>
      </c>
    </row>
    <row r="539" spans="1:4" x14ac:dyDescent="0.2">
      <c r="A539">
        <v>1829200780</v>
      </c>
      <c r="B539">
        <v>2</v>
      </c>
      <c r="C539" t="s">
        <v>194</v>
      </c>
      <c r="D539">
        <v>0</v>
      </c>
    </row>
    <row r="540" spans="1:4" x14ac:dyDescent="0.2">
      <c r="A540">
        <v>1829201780</v>
      </c>
      <c r="B540">
        <v>2</v>
      </c>
      <c r="C540" t="s">
        <v>641</v>
      </c>
      <c r="D540">
        <v>30000</v>
      </c>
    </row>
    <row r="541" spans="1:4" x14ac:dyDescent="0.2">
      <c r="A541">
        <v>1829202780</v>
      </c>
      <c r="B541">
        <v>2</v>
      </c>
      <c r="C541" t="s">
        <v>642</v>
      </c>
      <c r="D541">
        <v>75000</v>
      </c>
    </row>
    <row r="542" spans="1:4" x14ac:dyDescent="0.2">
      <c r="A542">
        <v>1829200781</v>
      </c>
      <c r="B542">
        <v>2</v>
      </c>
      <c r="C542" t="s">
        <v>645</v>
      </c>
      <c r="D542">
        <v>25000</v>
      </c>
    </row>
    <row r="543" spans="1:4" x14ac:dyDescent="0.2">
      <c r="A543">
        <v>1829201781</v>
      </c>
      <c r="B543">
        <v>2</v>
      </c>
      <c r="C543" t="s">
        <v>646</v>
      </c>
      <c r="D543">
        <v>30000</v>
      </c>
    </row>
    <row r="544" spans="1:4" x14ac:dyDescent="0.2">
      <c r="A544">
        <v>1829210110</v>
      </c>
      <c r="B544">
        <v>2</v>
      </c>
      <c r="C544" t="s">
        <v>195</v>
      </c>
      <c r="D544">
        <v>200000</v>
      </c>
    </row>
    <row r="545" spans="1:4" x14ac:dyDescent="0.2">
      <c r="A545">
        <v>1829210320</v>
      </c>
      <c r="B545">
        <v>2</v>
      </c>
      <c r="C545" t="s">
        <v>19</v>
      </c>
      <c r="D545">
        <v>0</v>
      </c>
    </row>
    <row r="546" spans="1:4" x14ac:dyDescent="0.2">
      <c r="A546">
        <v>1829300750</v>
      </c>
      <c r="B546">
        <v>2</v>
      </c>
      <c r="C546" t="s">
        <v>196</v>
      </c>
      <c r="D546">
        <v>0</v>
      </c>
    </row>
    <row r="547" spans="1:4" x14ac:dyDescent="0.2">
      <c r="A547">
        <v>1824000110</v>
      </c>
      <c r="B547">
        <v>2</v>
      </c>
      <c r="C547" t="s">
        <v>1167</v>
      </c>
      <c r="D547">
        <v>150000</v>
      </c>
    </row>
    <row r="548" spans="1:4" x14ac:dyDescent="0.2">
      <c r="A548">
        <v>1824100110</v>
      </c>
      <c r="B548">
        <v>2</v>
      </c>
      <c r="C548" t="s">
        <v>1533</v>
      </c>
      <c r="D548">
        <v>0</v>
      </c>
    </row>
    <row r="549" spans="1:4" x14ac:dyDescent="0.2">
      <c r="A549">
        <v>1824000750</v>
      </c>
      <c r="B549">
        <v>2</v>
      </c>
      <c r="C549" t="s">
        <v>1168</v>
      </c>
      <c r="D549">
        <v>70000</v>
      </c>
    </row>
    <row r="550" spans="1:4" x14ac:dyDescent="0.2">
      <c r="A550">
        <v>1828300320</v>
      </c>
      <c r="B550">
        <v>2</v>
      </c>
      <c r="C550" t="s">
        <v>19</v>
      </c>
      <c r="D550">
        <v>0</v>
      </c>
    </row>
    <row r="551" spans="1:4" x14ac:dyDescent="0.2">
      <c r="A551">
        <v>1832300540</v>
      </c>
      <c r="B551">
        <v>2</v>
      </c>
      <c r="C551" t="s">
        <v>197</v>
      </c>
      <c r="D551">
        <v>0</v>
      </c>
    </row>
    <row r="552" spans="1:4" x14ac:dyDescent="0.2">
      <c r="A552">
        <v>1832300780</v>
      </c>
      <c r="B552">
        <v>2</v>
      </c>
      <c r="C552" t="s">
        <v>13</v>
      </c>
      <c r="D552">
        <v>0</v>
      </c>
    </row>
    <row r="553" spans="1:4" x14ac:dyDescent="0.2">
      <c r="A553">
        <v>1832400110</v>
      </c>
      <c r="B553">
        <v>2</v>
      </c>
      <c r="C553" t="s">
        <v>198</v>
      </c>
      <c r="D553">
        <v>300000</v>
      </c>
    </row>
    <row r="554" spans="1:4" x14ac:dyDescent="0.2">
      <c r="A554">
        <v>1832400431</v>
      </c>
      <c r="B554">
        <v>2</v>
      </c>
      <c r="C554" t="s">
        <v>199</v>
      </c>
      <c r="D554">
        <v>25000</v>
      </c>
    </row>
    <row r="555" spans="1:4" x14ac:dyDescent="0.2">
      <c r="A555">
        <v>1832400432</v>
      </c>
      <c r="B555">
        <v>2</v>
      </c>
      <c r="C555" t="s">
        <v>200</v>
      </c>
      <c r="D555">
        <v>12000</v>
      </c>
    </row>
    <row r="556" spans="1:4" x14ac:dyDescent="0.2">
      <c r="A556">
        <v>1832400750</v>
      </c>
      <c r="B556">
        <v>2</v>
      </c>
      <c r="C556" t="s">
        <v>201</v>
      </c>
      <c r="D556">
        <v>18000</v>
      </c>
    </row>
    <row r="557" spans="1:4" x14ac:dyDescent="0.2">
      <c r="A557">
        <v>1832400780</v>
      </c>
      <c r="B557">
        <v>2</v>
      </c>
      <c r="C557" t="s">
        <v>202</v>
      </c>
      <c r="D557">
        <v>0</v>
      </c>
    </row>
    <row r="558" spans="1:4" x14ac:dyDescent="0.2">
      <c r="A558">
        <v>1836100830</v>
      </c>
      <c r="B558">
        <v>2</v>
      </c>
      <c r="C558" t="s">
        <v>203</v>
      </c>
      <c r="D558">
        <v>0</v>
      </c>
    </row>
    <row r="559" spans="1:4" x14ac:dyDescent="0.2">
      <c r="A559">
        <v>1842206930</v>
      </c>
      <c r="B559">
        <v>2</v>
      </c>
      <c r="C559" t="s">
        <v>1611</v>
      </c>
      <c r="D559">
        <v>75000</v>
      </c>
    </row>
    <row r="560" spans="1:4" x14ac:dyDescent="0.2">
      <c r="A560">
        <v>1843902840</v>
      </c>
      <c r="B560">
        <v>2</v>
      </c>
      <c r="C560" t="s">
        <v>1269</v>
      </c>
      <c r="D560">
        <v>0</v>
      </c>
    </row>
    <row r="561" spans="1:4" x14ac:dyDescent="0.2">
      <c r="A561">
        <v>1845200110</v>
      </c>
      <c r="B561">
        <v>2</v>
      </c>
      <c r="C561" t="s">
        <v>1664</v>
      </c>
      <c r="D561">
        <v>200000</v>
      </c>
    </row>
    <row r="562" spans="1:4" x14ac:dyDescent="0.2">
      <c r="A562">
        <v>1845200780</v>
      </c>
      <c r="B562">
        <v>2</v>
      </c>
      <c r="C562" t="s">
        <v>976</v>
      </c>
      <c r="D562">
        <v>0</v>
      </c>
    </row>
    <row r="563" spans="1:4" x14ac:dyDescent="0.2">
      <c r="A563">
        <v>1845401840</v>
      </c>
      <c r="B563">
        <v>2</v>
      </c>
      <c r="C563" t="s">
        <v>1612</v>
      </c>
      <c r="D563">
        <v>180000</v>
      </c>
    </row>
    <row r="564" spans="1:4" x14ac:dyDescent="0.2">
      <c r="A564">
        <v>1846901840</v>
      </c>
      <c r="B564">
        <v>2</v>
      </c>
      <c r="C564" t="s">
        <v>1642</v>
      </c>
      <c r="D564">
        <v>10000</v>
      </c>
    </row>
    <row r="565" spans="1:4" x14ac:dyDescent="0.2">
      <c r="A565">
        <v>1847302840</v>
      </c>
      <c r="B565">
        <v>2</v>
      </c>
      <c r="C565" t="s">
        <v>1643</v>
      </c>
      <c r="D565">
        <v>0</v>
      </c>
    </row>
    <row r="566" spans="1:4" x14ac:dyDescent="0.2">
      <c r="A566">
        <v>1841000420</v>
      </c>
      <c r="B566">
        <v>2</v>
      </c>
      <c r="C566" t="s">
        <v>204</v>
      </c>
      <c r="D566">
        <v>0</v>
      </c>
    </row>
    <row r="567" spans="1:4" x14ac:dyDescent="0.2">
      <c r="A567">
        <v>1841000780</v>
      </c>
      <c r="B567">
        <v>2</v>
      </c>
      <c r="C567" t="s">
        <v>13</v>
      </c>
      <c r="D567">
        <v>100000</v>
      </c>
    </row>
    <row r="568" spans="1:4" x14ac:dyDescent="0.2">
      <c r="A568">
        <v>1841001110</v>
      </c>
      <c r="B568">
        <v>2</v>
      </c>
      <c r="C568" t="s">
        <v>206</v>
      </c>
      <c r="D568">
        <v>3600000</v>
      </c>
    </row>
    <row r="569" spans="1:4" x14ac:dyDescent="0.2">
      <c r="A569">
        <v>1841003410</v>
      </c>
      <c r="B569">
        <v>2</v>
      </c>
      <c r="C569" t="s">
        <v>207</v>
      </c>
      <c r="D569">
        <v>0</v>
      </c>
    </row>
    <row r="570" spans="1:4" x14ac:dyDescent="0.2">
      <c r="A570">
        <v>1841000431</v>
      </c>
      <c r="B570">
        <v>2</v>
      </c>
      <c r="C570" t="s">
        <v>1452</v>
      </c>
      <c r="D570">
        <v>0</v>
      </c>
    </row>
    <row r="571" spans="1:4" x14ac:dyDescent="0.2">
      <c r="A571">
        <v>1841001320</v>
      </c>
      <c r="B571">
        <v>2</v>
      </c>
      <c r="C571" t="s">
        <v>1313</v>
      </c>
      <c r="D571">
        <v>0</v>
      </c>
    </row>
    <row r="572" spans="1:4" x14ac:dyDescent="0.2">
      <c r="A572">
        <v>1841003431</v>
      </c>
      <c r="B572">
        <v>2</v>
      </c>
      <c r="C572" t="s">
        <v>20</v>
      </c>
      <c r="D572">
        <v>50000</v>
      </c>
    </row>
    <row r="573" spans="1:4" x14ac:dyDescent="0.2">
      <c r="A573">
        <v>1841003540</v>
      </c>
      <c r="B573">
        <v>2</v>
      </c>
      <c r="C573" t="s">
        <v>73</v>
      </c>
      <c r="D573">
        <v>0</v>
      </c>
    </row>
    <row r="574" spans="1:4" x14ac:dyDescent="0.2">
      <c r="A574">
        <v>1841003560</v>
      </c>
      <c r="B574">
        <v>2</v>
      </c>
      <c r="C574" t="s">
        <v>208</v>
      </c>
      <c r="D574">
        <v>20000</v>
      </c>
    </row>
    <row r="575" spans="1:4" x14ac:dyDescent="0.2">
      <c r="A575">
        <v>1841003780</v>
      </c>
      <c r="B575">
        <v>2</v>
      </c>
      <c r="C575" t="s">
        <v>1119</v>
      </c>
      <c r="D575">
        <v>30000</v>
      </c>
    </row>
    <row r="576" spans="1:4" x14ac:dyDescent="0.2">
      <c r="A576">
        <v>1841100110</v>
      </c>
      <c r="B576">
        <v>2</v>
      </c>
      <c r="C576" t="s">
        <v>978</v>
      </c>
      <c r="D576">
        <v>170000</v>
      </c>
    </row>
    <row r="577" spans="1:4" x14ac:dyDescent="0.2">
      <c r="A577">
        <v>1841200110</v>
      </c>
      <c r="B577">
        <v>2</v>
      </c>
      <c r="C577" t="s">
        <v>979</v>
      </c>
      <c r="D577">
        <v>0</v>
      </c>
    </row>
    <row r="578" spans="1:4" x14ac:dyDescent="0.2">
      <c r="A578">
        <v>1842100110</v>
      </c>
      <c r="B578">
        <v>2</v>
      </c>
      <c r="C578" t="s">
        <v>1122</v>
      </c>
      <c r="D578">
        <v>0</v>
      </c>
    </row>
    <row r="579" spans="1:4" x14ac:dyDescent="0.2">
      <c r="A579">
        <v>1842101840</v>
      </c>
      <c r="B579">
        <v>2</v>
      </c>
      <c r="C579" t="s">
        <v>241</v>
      </c>
      <c r="D579">
        <v>250000</v>
      </c>
    </row>
    <row r="580" spans="1:4" x14ac:dyDescent="0.2">
      <c r="A580">
        <v>1842102840</v>
      </c>
      <c r="B580">
        <v>2</v>
      </c>
      <c r="C580" t="s">
        <v>1123</v>
      </c>
      <c r="D580">
        <v>190000</v>
      </c>
    </row>
    <row r="581" spans="1:4" x14ac:dyDescent="0.2">
      <c r="A581">
        <v>1842202750</v>
      </c>
      <c r="B581">
        <v>2</v>
      </c>
      <c r="C581" t="s">
        <v>1663</v>
      </c>
      <c r="D581">
        <v>336000</v>
      </c>
    </row>
    <row r="582" spans="1:4" x14ac:dyDescent="0.2">
      <c r="A582">
        <v>1842202840</v>
      </c>
      <c r="B582">
        <v>2</v>
      </c>
      <c r="C582" t="s">
        <v>209</v>
      </c>
      <c r="D582">
        <v>150000</v>
      </c>
    </row>
    <row r="583" spans="1:4" x14ac:dyDescent="0.2">
      <c r="A583">
        <v>1842401840</v>
      </c>
      <c r="B583">
        <v>2</v>
      </c>
      <c r="C583" t="s">
        <v>210</v>
      </c>
      <c r="D583">
        <v>35000</v>
      </c>
    </row>
    <row r="584" spans="1:4" x14ac:dyDescent="0.2">
      <c r="A584">
        <v>1842200110</v>
      </c>
      <c r="B584">
        <v>2</v>
      </c>
      <c r="C584" t="s">
        <v>1455</v>
      </c>
      <c r="D584">
        <v>155000</v>
      </c>
    </row>
    <row r="585" spans="1:4" x14ac:dyDescent="0.2">
      <c r="A585">
        <v>1842402840</v>
      </c>
      <c r="B585">
        <v>2</v>
      </c>
      <c r="C585" t="s">
        <v>1125</v>
      </c>
      <c r="D585">
        <v>135000</v>
      </c>
    </row>
    <row r="586" spans="1:4" x14ac:dyDescent="0.2">
      <c r="A586">
        <v>1842403840</v>
      </c>
      <c r="B586">
        <v>2</v>
      </c>
      <c r="C586" t="s">
        <v>1126</v>
      </c>
      <c r="D586">
        <v>0</v>
      </c>
    </row>
    <row r="587" spans="1:4" x14ac:dyDescent="0.2">
      <c r="A587">
        <v>1842208840</v>
      </c>
      <c r="B587">
        <v>2</v>
      </c>
      <c r="C587" t="s">
        <v>1260</v>
      </c>
      <c r="D587">
        <v>140000</v>
      </c>
    </row>
    <row r="588" spans="1:4" x14ac:dyDescent="0.2">
      <c r="A588">
        <v>1842202780</v>
      </c>
      <c r="B588">
        <v>2</v>
      </c>
      <c r="C588" t="s">
        <v>1517</v>
      </c>
      <c r="D588">
        <v>0</v>
      </c>
    </row>
    <row r="589" spans="1:4" x14ac:dyDescent="0.2">
      <c r="A589">
        <v>1842404840</v>
      </c>
      <c r="B589">
        <v>2</v>
      </c>
      <c r="C589" t="s">
        <v>1127</v>
      </c>
      <c r="D589">
        <v>0</v>
      </c>
    </row>
    <row r="590" spans="1:4" x14ac:dyDescent="0.2">
      <c r="A590">
        <v>1842405840</v>
      </c>
      <c r="B590">
        <v>2</v>
      </c>
      <c r="C590" t="s">
        <v>992</v>
      </c>
      <c r="D590">
        <v>95000</v>
      </c>
    </row>
    <row r="591" spans="1:4" x14ac:dyDescent="0.2">
      <c r="A591">
        <v>1843501840</v>
      </c>
      <c r="B591">
        <v>2</v>
      </c>
      <c r="C591" t="s">
        <v>1154</v>
      </c>
      <c r="D591">
        <v>74000</v>
      </c>
    </row>
    <row r="592" spans="1:4" x14ac:dyDescent="0.2">
      <c r="A592">
        <v>1843502840</v>
      </c>
      <c r="B592">
        <v>2</v>
      </c>
      <c r="C592" t="s">
        <v>213</v>
      </c>
      <c r="D592">
        <v>577000</v>
      </c>
    </row>
    <row r="593" spans="1:4" x14ac:dyDescent="0.2">
      <c r="A593">
        <v>1843503840</v>
      </c>
      <c r="B593">
        <v>2</v>
      </c>
      <c r="C593" t="s">
        <v>214</v>
      </c>
      <c r="D593">
        <v>600000</v>
      </c>
    </row>
    <row r="594" spans="1:4" x14ac:dyDescent="0.2">
      <c r="A594">
        <v>1843504721</v>
      </c>
      <c r="B594">
        <v>2</v>
      </c>
      <c r="C594" t="s">
        <v>215</v>
      </c>
      <c r="D594">
        <v>0</v>
      </c>
    </row>
    <row r="595" spans="1:4" x14ac:dyDescent="0.2">
      <c r="A595">
        <v>1843505840</v>
      </c>
      <c r="B595">
        <v>2</v>
      </c>
      <c r="C595" t="s">
        <v>991</v>
      </c>
      <c r="D595">
        <v>30000</v>
      </c>
    </row>
    <row r="596" spans="1:4" x14ac:dyDescent="0.2">
      <c r="A596">
        <v>1843801840</v>
      </c>
      <c r="B596">
        <v>2</v>
      </c>
      <c r="C596" t="s">
        <v>217</v>
      </c>
      <c r="D596">
        <v>5500000</v>
      </c>
    </row>
    <row r="597" spans="1:4" x14ac:dyDescent="0.2">
      <c r="A597">
        <v>1843901840</v>
      </c>
      <c r="B597">
        <v>2</v>
      </c>
      <c r="C597" t="s">
        <v>218</v>
      </c>
      <c r="D597">
        <v>6400000</v>
      </c>
    </row>
    <row r="598" spans="1:4" x14ac:dyDescent="0.2">
      <c r="A598">
        <v>1844300840</v>
      </c>
      <c r="B598">
        <v>2</v>
      </c>
      <c r="C598" t="s">
        <v>980</v>
      </c>
      <c r="D598">
        <v>127000</v>
      </c>
    </row>
    <row r="599" spans="1:4" x14ac:dyDescent="0.2">
      <c r="A599">
        <v>1844401110</v>
      </c>
      <c r="B599">
        <v>2</v>
      </c>
      <c r="C599" t="s">
        <v>220</v>
      </c>
      <c r="D599">
        <v>160000</v>
      </c>
    </row>
    <row r="600" spans="1:4" x14ac:dyDescent="0.2">
      <c r="A600">
        <v>1844401431</v>
      </c>
      <c r="B600">
        <v>2</v>
      </c>
      <c r="C600" t="s">
        <v>221</v>
      </c>
      <c r="D600">
        <v>0</v>
      </c>
    </row>
    <row r="601" spans="1:4" x14ac:dyDescent="0.2">
      <c r="A601">
        <v>1844401720</v>
      </c>
      <c r="B601">
        <v>2</v>
      </c>
      <c r="C601" t="s">
        <v>1155</v>
      </c>
      <c r="D601">
        <v>95000</v>
      </c>
    </row>
    <row r="602" spans="1:4" x14ac:dyDescent="0.2">
      <c r="A602">
        <v>1844401750</v>
      </c>
      <c r="B602">
        <v>2</v>
      </c>
      <c r="C602" t="s">
        <v>1462</v>
      </c>
      <c r="D602">
        <v>0</v>
      </c>
    </row>
    <row r="603" spans="1:4" x14ac:dyDescent="0.2">
      <c r="A603">
        <v>1844401840</v>
      </c>
      <c r="B603">
        <v>2</v>
      </c>
      <c r="C603" t="s">
        <v>1130</v>
      </c>
      <c r="D603">
        <v>0</v>
      </c>
    </row>
    <row r="604" spans="1:4" x14ac:dyDescent="0.2">
      <c r="A604">
        <v>1844401540</v>
      </c>
      <c r="B604">
        <v>2</v>
      </c>
      <c r="C604" t="s">
        <v>1131</v>
      </c>
      <c r="D604">
        <v>0</v>
      </c>
    </row>
    <row r="605" spans="1:4" x14ac:dyDescent="0.2">
      <c r="A605">
        <v>1844401710</v>
      </c>
      <c r="B605">
        <v>2</v>
      </c>
      <c r="C605" t="s">
        <v>1518</v>
      </c>
      <c r="D605">
        <v>110000</v>
      </c>
    </row>
    <row r="606" spans="1:4" x14ac:dyDescent="0.2">
      <c r="A606">
        <v>1844402840</v>
      </c>
      <c r="B606">
        <v>2</v>
      </c>
      <c r="C606" t="s">
        <v>1132</v>
      </c>
      <c r="D606">
        <v>20000</v>
      </c>
    </row>
    <row r="607" spans="1:4" x14ac:dyDescent="0.2">
      <c r="A607">
        <v>1845101840</v>
      </c>
      <c r="B607">
        <v>2</v>
      </c>
      <c r="C607" t="s">
        <v>223</v>
      </c>
      <c r="D607">
        <v>7000000</v>
      </c>
    </row>
    <row r="608" spans="1:4" x14ac:dyDescent="0.2">
      <c r="A608">
        <v>1845102840</v>
      </c>
      <c r="B608">
        <v>2</v>
      </c>
      <c r="C608" t="s">
        <v>224</v>
      </c>
      <c r="D608">
        <v>15000</v>
      </c>
    </row>
    <row r="609" spans="1:4" x14ac:dyDescent="0.2">
      <c r="A609">
        <v>1845201110</v>
      </c>
      <c r="B609">
        <v>2</v>
      </c>
      <c r="C609" t="s">
        <v>1528</v>
      </c>
      <c r="D609">
        <v>0</v>
      </c>
    </row>
    <row r="610" spans="1:4" x14ac:dyDescent="0.2">
      <c r="A610">
        <v>1845201840</v>
      </c>
      <c r="B610">
        <v>2</v>
      </c>
      <c r="C610" t="s">
        <v>987</v>
      </c>
      <c r="D610">
        <v>5500000</v>
      </c>
    </row>
    <row r="611" spans="1:4" x14ac:dyDescent="0.2">
      <c r="A611">
        <v>1845200511</v>
      </c>
      <c r="B611">
        <v>2</v>
      </c>
      <c r="C611" t="s">
        <v>1463</v>
      </c>
      <c r="D611">
        <v>0</v>
      </c>
    </row>
    <row r="612" spans="1:4" x14ac:dyDescent="0.2">
      <c r="A612">
        <v>1845201750</v>
      </c>
      <c r="B612">
        <v>2</v>
      </c>
      <c r="C612" t="s">
        <v>1464</v>
      </c>
      <c r="D612">
        <v>80000</v>
      </c>
    </row>
    <row r="613" spans="1:4" x14ac:dyDescent="0.2">
      <c r="A613">
        <v>1845204840</v>
      </c>
      <c r="B613">
        <v>2</v>
      </c>
      <c r="C613" t="s">
        <v>1465</v>
      </c>
      <c r="D613">
        <v>600000</v>
      </c>
    </row>
    <row r="614" spans="1:4" x14ac:dyDescent="0.2">
      <c r="A614">
        <v>1845304840</v>
      </c>
      <c r="B614">
        <v>2</v>
      </c>
      <c r="C614" t="s">
        <v>1139</v>
      </c>
      <c r="D614">
        <v>800000</v>
      </c>
    </row>
    <row r="615" spans="1:4" x14ac:dyDescent="0.2">
      <c r="A615">
        <v>1845202840</v>
      </c>
      <c r="B615">
        <v>2</v>
      </c>
      <c r="C615" t="s">
        <v>986</v>
      </c>
      <c r="D615">
        <v>80000</v>
      </c>
    </row>
    <row r="616" spans="1:4" x14ac:dyDescent="0.2">
      <c r="A616">
        <v>1845203840</v>
      </c>
      <c r="B616">
        <v>2</v>
      </c>
      <c r="C616" t="s">
        <v>227</v>
      </c>
      <c r="D616">
        <v>0</v>
      </c>
    </row>
    <row r="617" spans="1:4" x14ac:dyDescent="0.2">
      <c r="A617">
        <v>1845301840</v>
      </c>
      <c r="B617">
        <v>2</v>
      </c>
      <c r="C617" t="s">
        <v>981</v>
      </c>
      <c r="D617">
        <v>15000</v>
      </c>
    </row>
    <row r="618" spans="1:4" x14ac:dyDescent="0.2">
      <c r="A618">
        <v>1845302840</v>
      </c>
      <c r="B618">
        <v>2</v>
      </c>
      <c r="C618" t="s">
        <v>988</v>
      </c>
      <c r="D618">
        <v>15000</v>
      </c>
    </row>
    <row r="619" spans="1:4" x14ac:dyDescent="0.2">
      <c r="A619">
        <v>1845303840</v>
      </c>
      <c r="B619">
        <v>2</v>
      </c>
      <c r="C619" t="s">
        <v>984</v>
      </c>
      <c r="D619">
        <v>0</v>
      </c>
    </row>
    <row r="620" spans="1:4" x14ac:dyDescent="0.2">
      <c r="A620">
        <v>1846302840</v>
      </c>
      <c r="B620">
        <v>2</v>
      </c>
      <c r="C620" t="s">
        <v>231</v>
      </c>
      <c r="D620">
        <v>0</v>
      </c>
    </row>
    <row r="621" spans="1:4" x14ac:dyDescent="0.2">
      <c r="A621">
        <v>1846500840</v>
      </c>
      <c r="B621">
        <v>2</v>
      </c>
      <c r="C621" t="s">
        <v>230</v>
      </c>
      <c r="D621">
        <v>0</v>
      </c>
    </row>
    <row r="622" spans="1:4" x14ac:dyDescent="0.2">
      <c r="A622">
        <v>1846601840</v>
      </c>
      <c r="B622">
        <v>2</v>
      </c>
      <c r="C622" t="s">
        <v>233</v>
      </c>
      <c r="D622">
        <v>350000</v>
      </c>
    </row>
    <row r="623" spans="1:4" x14ac:dyDescent="0.2">
      <c r="A623">
        <v>1846603840</v>
      </c>
      <c r="B623">
        <v>2</v>
      </c>
      <c r="C623" t="s">
        <v>989</v>
      </c>
      <c r="D623">
        <v>50000</v>
      </c>
    </row>
    <row r="624" spans="1:4" x14ac:dyDescent="0.2">
      <c r="A624">
        <v>1846701840</v>
      </c>
      <c r="B624">
        <v>2</v>
      </c>
      <c r="C624" t="s">
        <v>234</v>
      </c>
      <c r="D624">
        <v>1300000</v>
      </c>
    </row>
    <row r="625" spans="1:4" x14ac:dyDescent="0.2">
      <c r="A625">
        <v>1846401840</v>
      </c>
      <c r="B625">
        <v>2</v>
      </c>
      <c r="C625" t="s">
        <v>1467</v>
      </c>
      <c r="D625">
        <v>15000</v>
      </c>
    </row>
    <row r="626" spans="1:4" x14ac:dyDescent="0.2">
      <c r="A626">
        <v>1846703840</v>
      </c>
      <c r="B626">
        <v>2</v>
      </c>
      <c r="C626" t="s">
        <v>236</v>
      </c>
      <c r="D626">
        <v>800000</v>
      </c>
    </row>
    <row r="627" spans="1:4" x14ac:dyDescent="0.2">
      <c r="A627">
        <v>1846704840</v>
      </c>
      <c r="B627">
        <v>2</v>
      </c>
      <c r="C627" t="s">
        <v>237</v>
      </c>
      <c r="D627">
        <v>200000</v>
      </c>
    </row>
    <row r="628" spans="1:4" x14ac:dyDescent="0.2">
      <c r="A628">
        <v>1846605840</v>
      </c>
      <c r="B628">
        <v>2</v>
      </c>
      <c r="C628" t="s">
        <v>1660</v>
      </c>
      <c r="D628">
        <v>0</v>
      </c>
    </row>
    <row r="629" spans="1:4" x14ac:dyDescent="0.2">
      <c r="A629">
        <v>1846705840</v>
      </c>
      <c r="B629">
        <v>2</v>
      </c>
      <c r="C629" t="s">
        <v>768</v>
      </c>
      <c r="D629">
        <v>70000</v>
      </c>
    </row>
    <row r="630" spans="1:4" x14ac:dyDescent="0.2">
      <c r="A630">
        <v>1846801840</v>
      </c>
      <c r="B630">
        <v>2</v>
      </c>
      <c r="C630" t="s">
        <v>985</v>
      </c>
      <c r="D630">
        <v>250000</v>
      </c>
    </row>
    <row r="631" spans="1:4" x14ac:dyDescent="0.2">
      <c r="A631">
        <v>1846802840</v>
      </c>
      <c r="B631">
        <v>2</v>
      </c>
      <c r="C631" t="s">
        <v>1146</v>
      </c>
      <c r="D631">
        <v>0</v>
      </c>
    </row>
    <row r="632" spans="1:4" x14ac:dyDescent="0.2">
      <c r="A632">
        <v>1847101780</v>
      </c>
      <c r="B632">
        <v>2</v>
      </c>
      <c r="C632" t="s">
        <v>1156</v>
      </c>
      <c r="D632">
        <v>25000</v>
      </c>
    </row>
    <row r="633" spans="1:4" x14ac:dyDescent="0.2">
      <c r="A633">
        <v>1847102750</v>
      </c>
      <c r="B633">
        <v>2</v>
      </c>
      <c r="C633" t="s">
        <v>1157</v>
      </c>
      <c r="D633">
        <v>50000</v>
      </c>
    </row>
    <row r="634" spans="1:4" x14ac:dyDescent="0.2">
      <c r="A634">
        <v>1847103840</v>
      </c>
      <c r="B634">
        <v>2</v>
      </c>
      <c r="C634" t="s">
        <v>982</v>
      </c>
      <c r="D634">
        <v>250000</v>
      </c>
    </row>
    <row r="635" spans="1:4" x14ac:dyDescent="0.2">
      <c r="A635">
        <v>1847104840</v>
      </c>
      <c r="B635">
        <v>2</v>
      </c>
      <c r="C635" t="s">
        <v>766</v>
      </c>
      <c r="D635">
        <v>35000</v>
      </c>
    </row>
    <row r="636" spans="1:4" x14ac:dyDescent="0.2">
      <c r="A636">
        <v>1847105840</v>
      </c>
      <c r="B636">
        <v>2</v>
      </c>
      <c r="C636" t="s">
        <v>1148</v>
      </c>
      <c r="D636">
        <v>0</v>
      </c>
    </row>
    <row r="637" spans="1:4" x14ac:dyDescent="0.2">
      <c r="A637">
        <v>1847202840</v>
      </c>
      <c r="B637">
        <v>2</v>
      </c>
      <c r="C637" t="s">
        <v>1472</v>
      </c>
      <c r="D637">
        <v>100000</v>
      </c>
    </row>
    <row r="638" spans="1:4" x14ac:dyDescent="0.2">
      <c r="A638">
        <v>1847220840</v>
      </c>
      <c r="B638">
        <v>2</v>
      </c>
      <c r="C638" t="s">
        <v>1288</v>
      </c>
      <c r="D638">
        <v>580000</v>
      </c>
    </row>
    <row r="639" spans="1:4" x14ac:dyDescent="0.2">
      <c r="A639">
        <v>1847301110</v>
      </c>
      <c r="B639">
        <v>2</v>
      </c>
      <c r="C639" t="s">
        <v>1473</v>
      </c>
      <c r="D639">
        <v>0</v>
      </c>
    </row>
    <row r="640" spans="1:4" x14ac:dyDescent="0.2">
      <c r="A640">
        <v>1847106840</v>
      </c>
      <c r="B640">
        <v>2</v>
      </c>
      <c r="C640" t="s">
        <v>1149</v>
      </c>
      <c r="D640">
        <v>0</v>
      </c>
    </row>
    <row r="641" spans="1:4" x14ac:dyDescent="0.2">
      <c r="A641">
        <v>1847201840</v>
      </c>
      <c r="B641">
        <v>2</v>
      </c>
      <c r="C641" t="s">
        <v>242</v>
      </c>
      <c r="D641">
        <v>200000</v>
      </c>
    </row>
    <row r="642" spans="1:4" x14ac:dyDescent="0.2">
      <c r="A642">
        <v>1847301840</v>
      </c>
      <c r="B642">
        <v>2</v>
      </c>
      <c r="C642" t="s">
        <v>990</v>
      </c>
      <c r="D642">
        <v>95000</v>
      </c>
    </row>
    <row r="643" spans="1:4" x14ac:dyDescent="0.2">
      <c r="A643">
        <v>1847305840</v>
      </c>
      <c r="B643">
        <v>2</v>
      </c>
      <c r="C643" t="s">
        <v>643</v>
      </c>
      <c r="D643">
        <v>1600000</v>
      </c>
    </row>
    <row r="644" spans="1:4" x14ac:dyDescent="0.2">
      <c r="A644">
        <v>1847400840</v>
      </c>
      <c r="B644">
        <v>2</v>
      </c>
      <c r="C644" t="s">
        <v>1152</v>
      </c>
      <c r="D644">
        <v>25000</v>
      </c>
    </row>
    <row r="645" spans="1:4" x14ac:dyDescent="0.2">
      <c r="A645">
        <v>1848300840</v>
      </c>
      <c r="B645">
        <v>2</v>
      </c>
      <c r="C645" t="s">
        <v>1158</v>
      </c>
      <c r="D645">
        <v>0</v>
      </c>
    </row>
    <row r="646" spans="1:4" x14ac:dyDescent="0.2">
      <c r="A646">
        <v>1848500840</v>
      </c>
      <c r="B646">
        <v>2</v>
      </c>
      <c r="C646" t="s">
        <v>1151</v>
      </c>
      <c r="D646">
        <v>0</v>
      </c>
    </row>
    <row r="647" spans="1:4" x14ac:dyDescent="0.2">
      <c r="A647">
        <v>1848000840</v>
      </c>
      <c r="B647">
        <v>2</v>
      </c>
      <c r="C647" t="s">
        <v>806</v>
      </c>
      <c r="D647">
        <v>0</v>
      </c>
    </row>
    <row r="648" spans="1:4" x14ac:dyDescent="0.2">
      <c r="A648">
        <v>1853000110</v>
      </c>
      <c r="B648">
        <v>2</v>
      </c>
      <c r="C648" t="s">
        <v>1015</v>
      </c>
      <c r="D648">
        <v>0</v>
      </c>
    </row>
    <row r="649" spans="1:4" x14ac:dyDescent="0.2">
      <c r="A649">
        <v>1853000431</v>
      </c>
      <c r="B649">
        <v>2</v>
      </c>
      <c r="C649" t="s">
        <v>701</v>
      </c>
      <c r="D649">
        <v>15000</v>
      </c>
    </row>
    <row r="650" spans="1:4" x14ac:dyDescent="0.2">
      <c r="A650">
        <v>1853000432</v>
      </c>
      <c r="B650">
        <v>2</v>
      </c>
      <c r="C650" t="s">
        <v>246</v>
      </c>
      <c r="D650">
        <v>30000</v>
      </c>
    </row>
    <row r="651" spans="1:4" x14ac:dyDescent="0.2">
      <c r="A651">
        <v>1853000750</v>
      </c>
      <c r="B651">
        <v>2</v>
      </c>
      <c r="C651" t="s">
        <v>49</v>
      </c>
      <c r="D651">
        <v>0</v>
      </c>
    </row>
    <row r="652" spans="1:4" x14ac:dyDescent="0.2">
      <c r="A652">
        <v>1853000780</v>
      </c>
      <c r="B652">
        <v>2</v>
      </c>
      <c r="C652" t="s">
        <v>976</v>
      </c>
      <c r="D652">
        <v>0</v>
      </c>
    </row>
    <row r="653" spans="1:4" x14ac:dyDescent="0.2">
      <c r="A653">
        <v>1871000110</v>
      </c>
      <c r="B653">
        <v>2</v>
      </c>
      <c r="C653" t="s">
        <v>794</v>
      </c>
      <c r="D653">
        <v>0</v>
      </c>
    </row>
    <row r="654" spans="1:4" x14ac:dyDescent="0.2">
      <c r="A654">
        <v>1879000830</v>
      </c>
      <c r="B654">
        <v>2</v>
      </c>
      <c r="C654" t="s">
        <v>247</v>
      </c>
      <c r="D654">
        <v>80000</v>
      </c>
    </row>
    <row r="655" spans="1:4" x14ac:dyDescent="0.2">
      <c r="A655">
        <v>1913000750</v>
      </c>
      <c r="B655">
        <v>2</v>
      </c>
      <c r="C655" t="s">
        <v>1331</v>
      </c>
      <c r="D655">
        <v>0</v>
      </c>
    </row>
    <row r="656" spans="1:4" x14ac:dyDescent="0.2">
      <c r="A656">
        <v>1911000110</v>
      </c>
      <c r="B656">
        <v>2</v>
      </c>
      <c r="C656" t="s">
        <v>248</v>
      </c>
      <c r="D656">
        <v>0</v>
      </c>
    </row>
    <row r="657" spans="1:4" x14ac:dyDescent="0.2">
      <c r="A657">
        <v>1911000320</v>
      </c>
      <c r="B657">
        <v>2</v>
      </c>
      <c r="C657" t="s">
        <v>702</v>
      </c>
      <c r="D657">
        <v>0</v>
      </c>
    </row>
    <row r="658" spans="1:4" x14ac:dyDescent="0.2">
      <c r="A658">
        <v>1938000420</v>
      </c>
      <c r="B658">
        <v>2</v>
      </c>
      <c r="C658" t="s">
        <v>105</v>
      </c>
      <c r="D658">
        <v>50000</v>
      </c>
    </row>
    <row r="659" spans="1:4" x14ac:dyDescent="0.2">
      <c r="A659">
        <v>1938000511</v>
      </c>
      <c r="B659">
        <v>2</v>
      </c>
      <c r="C659" t="s">
        <v>249</v>
      </c>
      <c r="D659">
        <v>0</v>
      </c>
    </row>
    <row r="660" spans="1:4" x14ac:dyDescent="0.2">
      <c r="A660">
        <v>1938000560</v>
      </c>
      <c r="B660">
        <v>2</v>
      </c>
      <c r="C660" t="s">
        <v>10</v>
      </c>
      <c r="D660">
        <v>0</v>
      </c>
    </row>
    <row r="661" spans="1:4" x14ac:dyDescent="0.2">
      <c r="A661">
        <v>1938000750</v>
      </c>
      <c r="B661">
        <v>2</v>
      </c>
      <c r="C661" t="s">
        <v>49</v>
      </c>
      <c r="D661">
        <v>80000</v>
      </c>
    </row>
    <row r="662" spans="1:4" x14ac:dyDescent="0.2">
      <c r="A662">
        <v>1938000780</v>
      </c>
      <c r="B662">
        <v>2</v>
      </c>
      <c r="C662" t="s">
        <v>1667</v>
      </c>
      <c r="D662">
        <v>400000</v>
      </c>
    </row>
    <row r="663" spans="1:4" x14ac:dyDescent="0.2">
      <c r="A663">
        <v>1938000930</v>
      </c>
      <c r="B663">
        <v>2</v>
      </c>
      <c r="C663" t="s">
        <v>14</v>
      </c>
      <c r="D663">
        <v>165000</v>
      </c>
    </row>
    <row r="664" spans="1:4" x14ac:dyDescent="0.2">
      <c r="A664">
        <v>1972000691</v>
      </c>
      <c r="B664">
        <v>2</v>
      </c>
      <c r="C664" t="s">
        <v>250</v>
      </c>
      <c r="D664">
        <v>400000</v>
      </c>
    </row>
    <row r="665" spans="1:4" x14ac:dyDescent="0.2">
      <c r="A665">
        <v>1972000692</v>
      </c>
      <c r="B665">
        <v>2</v>
      </c>
      <c r="C665" t="s">
        <v>251</v>
      </c>
      <c r="D665">
        <v>50000</v>
      </c>
    </row>
    <row r="666" spans="1:4" x14ac:dyDescent="0.2">
      <c r="A666">
        <v>1972000693</v>
      </c>
      <c r="B666">
        <v>2</v>
      </c>
      <c r="C666" t="s">
        <v>252</v>
      </c>
      <c r="D666">
        <v>150000</v>
      </c>
    </row>
    <row r="667" spans="1:4" x14ac:dyDescent="0.2">
      <c r="A667">
        <v>1972000771</v>
      </c>
      <c r="B667">
        <v>2</v>
      </c>
      <c r="C667" t="s">
        <v>1488</v>
      </c>
      <c r="D667">
        <v>0</v>
      </c>
    </row>
    <row r="668" spans="1:4" x14ac:dyDescent="0.2">
      <c r="A668">
        <v>1972000750</v>
      </c>
      <c r="B668">
        <v>2</v>
      </c>
      <c r="C668" t="s">
        <v>972</v>
      </c>
      <c r="D668">
        <v>50000</v>
      </c>
    </row>
    <row r="669" spans="1:4" x14ac:dyDescent="0.2">
      <c r="A669">
        <v>1993000780</v>
      </c>
      <c r="B669">
        <v>2</v>
      </c>
      <c r="C669" t="s">
        <v>254</v>
      </c>
      <c r="D669">
        <v>0</v>
      </c>
    </row>
    <row r="670" spans="1:4" x14ac:dyDescent="0.2">
      <c r="A670">
        <v>1995000860</v>
      </c>
      <c r="B670">
        <v>2</v>
      </c>
      <c r="C670" t="s">
        <v>255</v>
      </c>
      <c r="D670">
        <v>6500000</v>
      </c>
    </row>
    <row r="671" spans="1:4" x14ac:dyDescent="0.2">
      <c r="A671">
        <v>1999000910</v>
      </c>
      <c r="B671">
        <v>2</v>
      </c>
      <c r="C671" t="s">
        <v>1494</v>
      </c>
      <c r="D671">
        <v>0</v>
      </c>
    </row>
    <row r="672" spans="1:4" x14ac:dyDescent="0.2">
      <c r="A672">
        <v>1999000310</v>
      </c>
      <c r="B672">
        <v>2</v>
      </c>
      <c r="C672" t="s">
        <v>257</v>
      </c>
      <c r="D672">
        <v>300000</v>
      </c>
    </row>
    <row r="673" spans="1:4" x14ac:dyDescent="0.2">
      <c r="A673">
        <v>1999000110</v>
      </c>
      <c r="B673">
        <v>2</v>
      </c>
      <c r="C673" t="s">
        <v>1491</v>
      </c>
      <c r="D673">
        <v>0</v>
      </c>
    </row>
    <row r="674" spans="1:4" x14ac:dyDescent="0.2">
      <c r="A674">
        <v>1999000980</v>
      </c>
      <c r="B674">
        <v>2</v>
      </c>
      <c r="C674" t="s">
        <v>258</v>
      </c>
      <c r="D674">
        <v>0</v>
      </c>
    </row>
    <row r="675" spans="1:4" x14ac:dyDescent="0.2">
      <c r="A675">
        <v>1999100980</v>
      </c>
      <c r="B675">
        <v>2</v>
      </c>
      <c r="C675" t="s">
        <v>665</v>
      </c>
      <c r="D675">
        <v>0</v>
      </c>
    </row>
    <row r="676" spans="1:4" x14ac:dyDescent="0.2">
      <c r="A676">
        <v>1999900990</v>
      </c>
      <c r="B676">
        <v>2</v>
      </c>
      <c r="C676" t="s">
        <v>431</v>
      </c>
      <c r="D676">
        <v>747166</v>
      </c>
    </row>
  </sheetData>
  <autoFilter ref="A1:D676" xr:uid="{2F2599CD-ACF9-41DD-8860-BE2C4A9E5906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1115-C8F0-43D0-BCAD-1FCF2BF5A1FF}">
  <dimension ref="A1:G62"/>
  <sheetViews>
    <sheetView showGridLines="0" rightToLeft="1" topLeftCell="A43" workbookViewId="0">
      <selection activeCell="A74" sqref="A74"/>
    </sheetView>
  </sheetViews>
  <sheetFormatPr defaultRowHeight="14.25" x14ac:dyDescent="0.2"/>
  <cols>
    <col min="1" max="1" width="36.125" bestFit="1" customWidth="1"/>
    <col min="2" max="2" width="4.375" customWidth="1"/>
    <col min="4" max="4" width="2.5" customWidth="1"/>
    <col min="6" max="6" width="2.875" customWidth="1"/>
  </cols>
  <sheetData>
    <row r="1" spans="1:7" ht="27.75" x14ac:dyDescent="0.4">
      <c r="A1" s="173" t="s">
        <v>1674</v>
      </c>
      <c r="B1" s="173"/>
      <c r="C1" s="173"/>
      <c r="D1" s="173"/>
      <c r="E1" s="173"/>
      <c r="F1" s="173"/>
      <c r="G1" s="173"/>
    </row>
    <row r="3" spans="1:7" ht="37.5" x14ac:dyDescent="0.2">
      <c r="A3" s="30" t="s">
        <v>330</v>
      </c>
      <c r="B3" s="32"/>
      <c r="C3" s="30" t="s">
        <v>1495</v>
      </c>
      <c r="D3" s="31"/>
      <c r="E3" s="30" t="s">
        <v>1673</v>
      </c>
      <c r="F3" s="31"/>
      <c r="G3" s="30" t="s">
        <v>1652</v>
      </c>
    </row>
    <row r="4" spans="1:7" ht="15.75" x14ac:dyDescent="0.25">
      <c r="A4" s="4" t="s">
        <v>372</v>
      </c>
    </row>
    <row r="5" spans="1:7" ht="18.75" x14ac:dyDescent="0.25">
      <c r="A5" s="5" t="s">
        <v>373</v>
      </c>
      <c r="C5" s="6"/>
      <c r="E5" s="6"/>
      <c r="G5" s="6"/>
    </row>
    <row r="6" spans="1:7" ht="18.75" x14ac:dyDescent="0.25">
      <c r="A6" s="5" t="s">
        <v>374</v>
      </c>
      <c r="C6" s="6"/>
      <c r="E6" s="6"/>
      <c r="G6" s="6"/>
    </row>
    <row r="7" spans="1:7" ht="18.75" x14ac:dyDescent="0.25">
      <c r="A7" s="5" t="s">
        <v>375</v>
      </c>
      <c r="C7" s="6"/>
      <c r="E7" s="6"/>
      <c r="G7" s="6"/>
    </row>
    <row r="8" spans="1:7" ht="18.75" x14ac:dyDescent="0.25">
      <c r="A8" s="7" t="s">
        <v>376</v>
      </c>
      <c r="C8" s="8"/>
      <c r="E8" s="8"/>
      <c r="G8" s="8"/>
    </row>
    <row r="9" spans="1:7" ht="15.75" x14ac:dyDescent="0.25">
      <c r="A9" s="4" t="s">
        <v>377</v>
      </c>
      <c r="C9" s="2"/>
      <c r="E9" s="2"/>
      <c r="G9" s="2"/>
    </row>
    <row r="10" spans="1:7" ht="18.75" x14ac:dyDescent="0.25">
      <c r="A10" s="5" t="s">
        <v>425</v>
      </c>
      <c r="C10" s="6"/>
      <c r="E10" s="6"/>
      <c r="G10" s="6"/>
    </row>
    <row r="11" spans="1:7" ht="18.75" x14ac:dyDescent="0.25">
      <c r="A11" s="5" t="s">
        <v>378</v>
      </c>
      <c r="C11" s="6"/>
      <c r="E11" s="6"/>
      <c r="G11" s="6"/>
    </row>
    <row r="12" spans="1:7" ht="18.75" x14ac:dyDescent="0.25">
      <c r="A12" s="5" t="s">
        <v>379</v>
      </c>
      <c r="C12" s="6"/>
      <c r="E12" s="6"/>
      <c r="G12" s="6"/>
    </row>
    <row r="13" spans="1:7" ht="18.75" x14ac:dyDescent="0.25">
      <c r="A13" s="5" t="s">
        <v>380</v>
      </c>
      <c r="C13" s="6"/>
      <c r="E13" s="6"/>
      <c r="G13" s="6"/>
    </row>
    <row r="14" spans="1:7" ht="18.75" x14ac:dyDescent="0.25">
      <c r="A14" s="5" t="s">
        <v>381</v>
      </c>
      <c r="C14" s="6"/>
      <c r="E14" s="6"/>
      <c r="G14" s="6"/>
    </row>
    <row r="15" spans="1:7" ht="18.75" x14ac:dyDescent="0.25">
      <c r="A15" s="7" t="s">
        <v>382</v>
      </c>
      <c r="C15" s="8"/>
      <c r="E15" s="8"/>
      <c r="G15" s="8"/>
    </row>
    <row r="16" spans="1:7" ht="15.75" x14ac:dyDescent="0.25">
      <c r="A16" s="4" t="s">
        <v>383</v>
      </c>
      <c r="C16" s="2"/>
      <c r="E16" s="2"/>
      <c r="G16" s="2"/>
    </row>
    <row r="17" spans="1:7" ht="18.75" x14ac:dyDescent="0.25">
      <c r="A17" s="5" t="s">
        <v>384</v>
      </c>
      <c r="C17" s="6"/>
      <c r="E17" s="6"/>
      <c r="G17" s="6"/>
    </row>
    <row r="18" spans="1:7" ht="18.75" x14ac:dyDescent="0.25">
      <c r="A18" s="5" t="s">
        <v>385</v>
      </c>
      <c r="C18" s="6"/>
      <c r="E18" s="6"/>
      <c r="G18" s="6"/>
    </row>
    <row r="19" spans="1:7" ht="18.75" x14ac:dyDescent="0.25">
      <c r="A19" s="5" t="s">
        <v>386</v>
      </c>
      <c r="C19" s="6"/>
      <c r="E19" s="6"/>
      <c r="G19" s="6"/>
    </row>
    <row r="20" spans="1:7" ht="18.75" x14ac:dyDescent="0.25">
      <c r="A20" s="5" t="s">
        <v>387</v>
      </c>
      <c r="C20" s="6"/>
      <c r="E20" s="6"/>
      <c r="G20" s="6"/>
    </row>
    <row r="21" spans="1:7" ht="18.75" x14ac:dyDescent="0.25">
      <c r="A21" s="5" t="s">
        <v>388</v>
      </c>
      <c r="C21" s="6"/>
      <c r="E21" s="6"/>
      <c r="G21" s="6"/>
    </row>
    <row r="22" spans="1:7" ht="18.75" x14ac:dyDescent="0.25">
      <c r="A22" s="7" t="s">
        <v>389</v>
      </c>
      <c r="C22" s="8"/>
      <c r="E22" s="8"/>
      <c r="G22" s="8"/>
    </row>
    <row r="23" spans="1:7" ht="15.75" x14ac:dyDescent="0.25">
      <c r="A23" s="4" t="s">
        <v>390</v>
      </c>
      <c r="C23" s="2"/>
      <c r="E23" s="2"/>
      <c r="G23" s="2"/>
    </row>
    <row r="24" spans="1:7" ht="18.75" x14ac:dyDescent="0.25">
      <c r="A24" s="5" t="s">
        <v>391</v>
      </c>
      <c r="C24" s="6"/>
      <c r="E24" s="6"/>
      <c r="G24" s="6"/>
    </row>
    <row r="25" spans="1:7" ht="18.75" x14ac:dyDescent="0.25">
      <c r="A25" s="5" t="s">
        <v>392</v>
      </c>
      <c r="C25" s="6"/>
      <c r="E25" s="6"/>
      <c r="G25" s="6"/>
    </row>
    <row r="26" spans="1:7" ht="18.75" x14ac:dyDescent="0.25">
      <c r="A26" s="7" t="s">
        <v>393</v>
      </c>
      <c r="C26" s="8"/>
      <c r="E26" s="8"/>
      <c r="G26" s="8"/>
    </row>
    <row r="27" spans="1:7" ht="15.75" x14ac:dyDescent="0.25">
      <c r="A27" s="4" t="s">
        <v>394</v>
      </c>
      <c r="C27" s="2"/>
      <c r="E27" s="2"/>
      <c r="G27" s="2"/>
    </row>
    <row r="28" spans="1:7" ht="18.75" x14ac:dyDescent="0.25">
      <c r="A28" s="5" t="s">
        <v>395</v>
      </c>
      <c r="C28" s="6"/>
      <c r="E28" s="6"/>
      <c r="G28" s="6"/>
    </row>
    <row r="29" spans="1:7" ht="18.75" x14ac:dyDescent="0.25">
      <c r="A29" s="5" t="s">
        <v>396</v>
      </c>
      <c r="C29" s="6"/>
      <c r="E29" s="6"/>
      <c r="G29" s="6"/>
    </row>
    <row r="30" spans="1:7" ht="18.75" x14ac:dyDescent="0.25">
      <c r="A30" s="7" t="s">
        <v>397</v>
      </c>
      <c r="C30" s="8"/>
      <c r="E30" s="8"/>
      <c r="G30" s="8"/>
    </row>
    <row r="31" spans="1:7" ht="18.75" x14ac:dyDescent="0.25">
      <c r="A31" s="7" t="s">
        <v>398</v>
      </c>
      <c r="C31" s="9"/>
      <c r="E31" s="9"/>
      <c r="G31" s="9"/>
    </row>
    <row r="33" spans="1:7" ht="27.75" x14ac:dyDescent="0.4">
      <c r="A33" s="173" t="s">
        <v>399</v>
      </c>
      <c r="B33" s="173"/>
      <c r="C33" s="173"/>
      <c r="D33" s="173"/>
      <c r="E33" s="173"/>
      <c r="F33" s="173"/>
      <c r="G33" s="173"/>
    </row>
    <row r="34" spans="1:7" ht="15.75" x14ac:dyDescent="0.25">
      <c r="A34" s="3"/>
      <c r="C34" s="10"/>
      <c r="D34" s="10"/>
      <c r="E34" s="10"/>
      <c r="F34" s="10"/>
      <c r="G34" s="10"/>
    </row>
    <row r="35" spans="1:7" ht="37.5" x14ac:dyDescent="0.3">
      <c r="A35" s="11" t="s">
        <v>330</v>
      </c>
      <c r="C35" s="30" t="s">
        <v>1495</v>
      </c>
      <c r="D35" s="31"/>
      <c r="E35" s="30" t="s">
        <v>1673</v>
      </c>
      <c r="F35" s="31"/>
      <c r="G35" s="30" t="s">
        <v>1652</v>
      </c>
    </row>
    <row r="36" spans="1:7" ht="15.75" x14ac:dyDescent="0.25">
      <c r="A36" s="4" t="s">
        <v>400</v>
      </c>
      <c r="C36" s="10"/>
      <c r="E36" s="10"/>
      <c r="G36" s="10"/>
    </row>
    <row r="37" spans="1:7" ht="18.75" x14ac:dyDescent="0.25">
      <c r="A37" s="5" t="s">
        <v>401</v>
      </c>
      <c r="C37" s="6"/>
      <c r="E37" s="6"/>
      <c r="G37" s="6"/>
    </row>
    <row r="38" spans="1:7" ht="18.75" x14ac:dyDescent="0.25">
      <c r="A38" s="5" t="s">
        <v>402</v>
      </c>
      <c r="C38" s="6"/>
      <c r="E38" s="6"/>
      <c r="G38" s="6"/>
    </row>
    <row r="39" spans="1:7" ht="18.75" x14ac:dyDescent="0.25">
      <c r="A39" s="5" t="s">
        <v>403</v>
      </c>
      <c r="C39" s="6"/>
      <c r="E39" s="6"/>
      <c r="G39" s="6"/>
    </row>
    <row r="40" spans="1:7" ht="18.75" x14ac:dyDescent="0.25">
      <c r="A40" s="5" t="s">
        <v>404</v>
      </c>
      <c r="C40" s="6"/>
      <c r="E40" s="6"/>
      <c r="G40" s="6"/>
    </row>
    <row r="41" spans="1:7" ht="18.75" x14ac:dyDescent="0.25">
      <c r="A41" s="7" t="s">
        <v>405</v>
      </c>
      <c r="C41" s="12"/>
      <c r="E41" s="12"/>
      <c r="G41" s="12"/>
    </row>
    <row r="42" spans="1:7" ht="18.75" x14ac:dyDescent="0.25">
      <c r="A42" s="4" t="s">
        <v>377</v>
      </c>
      <c r="C42" s="13"/>
      <c r="E42" s="13"/>
      <c r="G42" s="13"/>
    </row>
    <row r="43" spans="1:7" ht="18.75" x14ac:dyDescent="0.25">
      <c r="A43" s="5" t="s">
        <v>406</v>
      </c>
      <c r="C43" s="6"/>
      <c r="E43" s="6"/>
      <c r="G43" s="6"/>
    </row>
    <row r="44" spans="1:7" ht="18.75" x14ac:dyDescent="0.25">
      <c r="A44" s="5" t="s">
        <v>407</v>
      </c>
      <c r="C44" s="6"/>
      <c r="E44" s="6"/>
      <c r="G44" s="6"/>
    </row>
    <row r="45" spans="1:7" ht="18.75" x14ac:dyDescent="0.25">
      <c r="A45" s="5" t="s">
        <v>408</v>
      </c>
      <c r="C45" s="6"/>
      <c r="E45" s="6"/>
      <c r="G45" s="6"/>
    </row>
    <row r="46" spans="1:7" ht="18.75" x14ac:dyDescent="0.25">
      <c r="A46" s="5" t="s">
        <v>409</v>
      </c>
      <c r="C46" s="6"/>
      <c r="E46" s="6"/>
      <c r="G46" s="6"/>
    </row>
    <row r="47" spans="1:7" ht="18.75" x14ac:dyDescent="0.25">
      <c r="A47" s="5" t="s">
        <v>410</v>
      </c>
      <c r="C47" s="6"/>
      <c r="E47" s="6"/>
      <c r="G47" s="6"/>
    </row>
    <row r="48" spans="1:7" ht="18.75" x14ac:dyDescent="0.25">
      <c r="A48" s="5" t="s">
        <v>411</v>
      </c>
      <c r="C48" s="6"/>
      <c r="E48" s="6"/>
      <c r="G48" s="6"/>
    </row>
    <row r="49" spans="1:7" ht="18.75" x14ac:dyDescent="0.25">
      <c r="A49" s="7" t="s">
        <v>412</v>
      </c>
      <c r="C49" s="12"/>
      <c r="E49" s="12"/>
      <c r="G49" s="12"/>
    </row>
    <row r="50" spans="1:7" ht="18.75" x14ac:dyDescent="0.25">
      <c r="A50" s="4" t="s">
        <v>383</v>
      </c>
      <c r="C50" s="13"/>
      <c r="E50" s="13"/>
      <c r="G50" s="13"/>
    </row>
    <row r="51" spans="1:7" ht="18.75" x14ac:dyDescent="0.25">
      <c r="A51" s="5" t="s">
        <v>413</v>
      </c>
      <c r="C51" s="6"/>
      <c r="E51" s="6"/>
      <c r="G51" s="6"/>
    </row>
    <row r="52" spans="1:7" ht="18.75" x14ac:dyDescent="0.25">
      <c r="A52" s="5" t="s">
        <v>414</v>
      </c>
      <c r="C52" s="6"/>
      <c r="E52" s="6"/>
      <c r="G52" s="6"/>
    </row>
    <row r="53" spans="1:7" ht="18.75" x14ac:dyDescent="0.25">
      <c r="A53" s="5" t="s">
        <v>415</v>
      </c>
      <c r="C53" s="6"/>
      <c r="E53" s="6"/>
      <c r="G53" s="6"/>
    </row>
    <row r="54" spans="1:7" ht="18.75" x14ac:dyDescent="0.25">
      <c r="A54" s="5" t="s">
        <v>416</v>
      </c>
      <c r="C54" s="6"/>
      <c r="E54" s="6"/>
      <c r="G54" s="6"/>
    </row>
    <row r="55" spans="1:7" ht="18.75" x14ac:dyDescent="0.25">
      <c r="A55" s="5" t="s">
        <v>417</v>
      </c>
      <c r="C55" s="6"/>
      <c r="E55" s="6"/>
      <c r="G55" s="6"/>
    </row>
    <row r="56" spans="1:7" ht="18.75" x14ac:dyDescent="0.25">
      <c r="A56" s="7" t="s">
        <v>418</v>
      </c>
      <c r="C56" s="12"/>
      <c r="E56" s="12"/>
      <c r="G56" s="12"/>
    </row>
    <row r="57" spans="1:7" ht="18.75" x14ac:dyDescent="0.25">
      <c r="A57" s="4" t="s">
        <v>419</v>
      </c>
      <c r="C57" s="13"/>
      <c r="E57" s="13"/>
      <c r="G57" s="13"/>
    </row>
    <row r="58" spans="1:7" ht="18.75" x14ac:dyDescent="0.25">
      <c r="A58" s="5" t="s">
        <v>420</v>
      </c>
      <c r="C58" s="6"/>
      <c r="E58" s="6"/>
      <c r="G58" s="6"/>
    </row>
    <row r="59" spans="1:7" ht="18.75" x14ac:dyDescent="0.25">
      <c r="A59" s="5" t="s">
        <v>421</v>
      </c>
      <c r="C59" s="6"/>
      <c r="E59" s="6"/>
      <c r="G59" s="6"/>
    </row>
    <row r="60" spans="1:7" ht="18.75" x14ac:dyDescent="0.25">
      <c r="A60" s="7" t="s">
        <v>422</v>
      </c>
      <c r="C60" s="12"/>
      <c r="E60" s="12"/>
      <c r="G60" s="12"/>
    </row>
    <row r="61" spans="1:7" ht="18.75" x14ac:dyDescent="0.25">
      <c r="A61" s="7" t="s">
        <v>423</v>
      </c>
      <c r="C61" s="9"/>
      <c r="E61" s="9"/>
      <c r="G61" s="9"/>
    </row>
    <row r="62" spans="1:7" ht="18.75" x14ac:dyDescent="0.2">
      <c r="A62" s="14" t="s">
        <v>424</v>
      </c>
      <c r="C62" s="15">
        <f>+C31-C61</f>
        <v>0</v>
      </c>
      <c r="E62" s="15">
        <f>+E31-E61</f>
        <v>0</v>
      </c>
      <c r="G62" s="15">
        <f>+G31-G61</f>
        <v>0</v>
      </c>
    </row>
  </sheetData>
  <mergeCells count="2">
    <mergeCell ref="A1:G1"/>
    <mergeCell ref="A33:G33"/>
  </mergeCells>
  <conditionalFormatting sqref="A3 C3 E3 G3 A35 E35 G35">
    <cfRule type="expression" dxfId="1" priority="2">
      <formula>#REF!="110"</formula>
    </cfRule>
  </conditionalFormatting>
  <conditionalFormatting sqref="C35">
    <cfRule type="expression" dxfId="0" priority="1">
      <formula>#REF!="110"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2B51-EAB6-4B36-BB92-FC15EE22A28E}">
  <dimension ref="A1:D51"/>
  <sheetViews>
    <sheetView rightToLeft="1" workbookViewId="0">
      <selection activeCell="G33" sqref="G33"/>
    </sheetView>
  </sheetViews>
  <sheetFormatPr defaultRowHeight="14.25" x14ac:dyDescent="0.2"/>
  <cols>
    <col min="1" max="1" width="37.5" bestFit="1" customWidth="1"/>
    <col min="2" max="2" width="21.375" bestFit="1" customWidth="1"/>
    <col min="3" max="3" width="18.25" bestFit="1" customWidth="1"/>
    <col min="4" max="4" width="16.25" bestFit="1" customWidth="1"/>
  </cols>
  <sheetData>
    <row r="1" spans="1:4" x14ac:dyDescent="0.2">
      <c r="A1" t="s">
        <v>331</v>
      </c>
      <c r="B1" t="s">
        <v>1495</v>
      </c>
      <c r="C1" t="s">
        <v>1647</v>
      </c>
      <c r="D1" t="s">
        <v>1652</v>
      </c>
    </row>
    <row r="2" spans="1:4" x14ac:dyDescent="0.2">
      <c r="A2" t="s">
        <v>337</v>
      </c>
      <c r="B2" s="17">
        <v>14909000</v>
      </c>
      <c r="C2" s="17">
        <v>14605651.82</v>
      </c>
      <c r="D2" s="17">
        <v>18459000</v>
      </c>
    </row>
    <row r="3" spans="1:4" x14ac:dyDescent="0.2">
      <c r="A3" t="s">
        <v>342</v>
      </c>
      <c r="B3" s="17">
        <v>95188000</v>
      </c>
      <c r="C3" s="17">
        <v>102609836.16000003</v>
      </c>
      <c r="D3" s="17">
        <v>102999753</v>
      </c>
    </row>
    <row r="4" spans="1:4" x14ac:dyDescent="0.2">
      <c r="A4" t="s">
        <v>1676</v>
      </c>
      <c r="B4" s="17">
        <f>B5-B3-B2</f>
        <v>9794000</v>
      </c>
      <c r="C4" s="17">
        <f t="shared" ref="C4:D4" si="0">C5-C3-C2</f>
        <v>10948673.119999997</v>
      </c>
      <c r="D4" s="17">
        <f t="shared" si="0"/>
        <v>9847166.25</v>
      </c>
    </row>
    <row r="5" spans="1:4" x14ac:dyDescent="0.2">
      <c r="A5" t="s">
        <v>350</v>
      </c>
      <c r="B5">
        <v>119891000</v>
      </c>
      <c r="C5">
        <v>128164161.10000002</v>
      </c>
      <c r="D5">
        <v>131305919.25</v>
      </c>
    </row>
    <row r="8" spans="1:4" x14ac:dyDescent="0.2">
      <c r="A8" t="s">
        <v>352</v>
      </c>
      <c r="B8">
        <v>10710000</v>
      </c>
    </row>
    <row r="9" spans="1:4" x14ac:dyDescent="0.2">
      <c r="A9" t="s">
        <v>353</v>
      </c>
      <c r="B9">
        <v>14555305</v>
      </c>
    </row>
    <row r="10" spans="1:4" x14ac:dyDescent="0.2">
      <c r="A10" t="s">
        <v>333</v>
      </c>
      <c r="B10">
        <v>0</v>
      </c>
    </row>
    <row r="11" spans="1:4" x14ac:dyDescent="0.2">
      <c r="A11" t="s">
        <v>354</v>
      </c>
      <c r="B11">
        <v>25265305</v>
      </c>
    </row>
    <row r="12" spans="1:4" x14ac:dyDescent="0.2">
      <c r="A12" t="s">
        <v>355</v>
      </c>
      <c r="B12">
        <v>38062874</v>
      </c>
    </row>
    <row r="13" spans="1:4" x14ac:dyDescent="0.2">
      <c r="A13" t="s">
        <v>356</v>
      </c>
      <c r="B13">
        <v>23294574</v>
      </c>
    </row>
    <row r="14" spans="1:4" x14ac:dyDescent="0.2">
      <c r="A14" t="s">
        <v>357</v>
      </c>
      <c r="B14">
        <v>61357448</v>
      </c>
    </row>
    <row r="15" spans="1:4" x14ac:dyDescent="0.2">
      <c r="A15" t="s">
        <v>358</v>
      </c>
      <c r="B15">
        <v>4285000</v>
      </c>
    </row>
    <row r="16" spans="1:4" x14ac:dyDescent="0.2">
      <c r="A16" t="s">
        <v>359</v>
      </c>
      <c r="B16">
        <v>35429000</v>
      </c>
    </row>
    <row r="17" spans="1:2" x14ac:dyDescent="0.2">
      <c r="A17" t="s">
        <v>360</v>
      </c>
      <c r="B17">
        <v>39714000</v>
      </c>
    </row>
    <row r="18" spans="1:2" x14ac:dyDescent="0.2">
      <c r="A18" t="s">
        <v>361</v>
      </c>
      <c r="B18">
        <v>600000</v>
      </c>
    </row>
    <row r="19" spans="1:2" x14ac:dyDescent="0.2">
      <c r="A19" t="s">
        <v>362</v>
      </c>
      <c r="B19">
        <v>2270000</v>
      </c>
    </row>
    <row r="20" spans="1:2" x14ac:dyDescent="0.2">
      <c r="A20" t="s">
        <v>363</v>
      </c>
      <c r="B20">
        <v>2870000</v>
      </c>
    </row>
    <row r="21" spans="1:2" x14ac:dyDescent="0.2">
      <c r="A21" t="s">
        <v>364</v>
      </c>
      <c r="B21">
        <v>200000</v>
      </c>
    </row>
    <row r="22" spans="1:2" x14ac:dyDescent="0.2">
      <c r="A22" t="s">
        <v>365</v>
      </c>
      <c r="B22">
        <v>0</v>
      </c>
    </row>
    <row r="23" spans="1:2" x14ac:dyDescent="0.2">
      <c r="A23" t="s">
        <v>366</v>
      </c>
      <c r="B23">
        <v>129406753</v>
      </c>
    </row>
    <row r="24" spans="1:2" x14ac:dyDescent="0.2">
      <c r="A24" t="s">
        <v>346</v>
      </c>
      <c r="B24">
        <v>6500000</v>
      </c>
    </row>
    <row r="25" spans="1:2" x14ac:dyDescent="0.2">
      <c r="A25" t="s">
        <v>367</v>
      </c>
      <c r="B25">
        <v>0</v>
      </c>
    </row>
    <row r="26" spans="1:2" x14ac:dyDescent="0.2">
      <c r="A26" t="s">
        <v>368</v>
      </c>
      <c r="B26">
        <v>135906753</v>
      </c>
    </row>
    <row r="27" spans="1:2" x14ac:dyDescent="0.2">
      <c r="A27" t="s">
        <v>369</v>
      </c>
      <c r="B27">
        <v>747166.25</v>
      </c>
    </row>
    <row r="28" spans="1:2" x14ac:dyDescent="0.2">
      <c r="A28" t="s">
        <v>370</v>
      </c>
      <c r="B28">
        <v>136653919.25</v>
      </c>
    </row>
    <row r="29" spans="1:2" x14ac:dyDescent="0.2">
      <c r="A29" t="s">
        <v>371</v>
      </c>
      <c r="B29">
        <v>-5348000</v>
      </c>
    </row>
    <row r="31" spans="1:2" x14ac:dyDescent="0.2">
      <c r="A31" t="s">
        <v>1678</v>
      </c>
      <c r="B31">
        <f>B8+B12+B15</f>
        <v>53057874</v>
      </c>
    </row>
    <row r="32" spans="1:2" x14ac:dyDescent="0.2">
      <c r="A32" t="s">
        <v>1679</v>
      </c>
      <c r="B32">
        <f>B9+B13+B16</f>
        <v>73278879</v>
      </c>
    </row>
    <row r="33" spans="1:4" x14ac:dyDescent="0.2">
      <c r="A33" t="s">
        <v>346</v>
      </c>
      <c r="B33">
        <f>B24</f>
        <v>6500000</v>
      </c>
    </row>
    <row r="34" spans="1:4" x14ac:dyDescent="0.2">
      <c r="A34" t="s">
        <v>1680</v>
      </c>
      <c r="B34">
        <f>B20+B21+B27</f>
        <v>3817166.25</v>
      </c>
    </row>
    <row r="37" spans="1:4" x14ac:dyDescent="0.2">
      <c r="A37" t="s">
        <v>331</v>
      </c>
      <c r="B37" t="s">
        <v>1495</v>
      </c>
      <c r="C37" t="s">
        <v>1662</v>
      </c>
      <c r="D37" t="s">
        <v>1652</v>
      </c>
    </row>
    <row r="38" spans="1:4" x14ac:dyDescent="0.2">
      <c r="A38" t="s">
        <v>339</v>
      </c>
      <c r="B38" s="17">
        <v>26607000</v>
      </c>
      <c r="C38" s="17">
        <v>27276870.609999999</v>
      </c>
      <c r="D38" s="17">
        <v>29386000</v>
      </c>
    </row>
    <row r="39" spans="1:4" x14ac:dyDescent="0.2">
      <c r="A39" t="s">
        <v>358</v>
      </c>
      <c r="B39" s="17">
        <v>3750000</v>
      </c>
      <c r="C39" s="17">
        <v>4118375.76</v>
      </c>
      <c r="D39" s="17">
        <v>4285000</v>
      </c>
    </row>
    <row r="40" spans="1:4" x14ac:dyDescent="0.2">
      <c r="A40" t="s">
        <v>359</v>
      </c>
      <c r="B40" s="17">
        <v>31182000</v>
      </c>
      <c r="C40" s="17">
        <v>33028157.049999997</v>
      </c>
      <c r="D40" s="17">
        <v>35429000</v>
      </c>
    </row>
    <row r="43" spans="1:4" ht="15" x14ac:dyDescent="0.25">
      <c r="A43" s="1" t="s">
        <v>331</v>
      </c>
      <c r="B43" s="18" t="s">
        <v>1495</v>
      </c>
      <c r="C43" s="18" t="s">
        <v>1662</v>
      </c>
      <c r="D43" s="18" t="s">
        <v>1652</v>
      </c>
    </row>
    <row r="44" spans="1:4" ht="15" x14ac:dyDescent="0.25">
      <c r="A44" s="28" t="s">
        <v>334</v>
      </c>
      <c r="B44" s="29">
        <v>100000</v>
      </c>
      <c r="C44" s="29">
        <v>80000</v>
      </c>
      <c r="D44" s="29">
        <v>120000</v>
      </c>
    </row>
    <row r="45" spans="1:4" ht="15" x14ac:dyDescent="0.25">
      <c r="A45" s="28" t="s">
        <v>338</v>
      </c>
      <c r="B45" s="29">
        <v>47479000</v>
      </c>
      <c r="C45" s="29">
        <v>51856917.380000025</v>
      </c>
      <c r="D45" s="29">
        <v>52987730</v>
      </c>
    </row>
    <row r="46" spans="1:4" ht="15" x14ac:dyDescent="0.25">
      <c r="A46" s="28" t="s">
        <v>355</v>
      </c>
      <c r="B46" s="29">
        <v>33416000</v>
      </c>
      <c r="C46" s="29">
        <v>37940073.780000016</v>
      </c>
      <c r="D46" s="29">
        <v>38062874</v>
      </c>
    </row>
    <row r="47" spans="1:4" ht="15" x14ac:dyDescent="0.25">
      <c r="A47" s="28" t="s">
        <v>356</v>
      </c>
      <c r="B47" s="29">
        <v>19285000</v>
      </c>
      <c r="C47" s="29">
        <v>22637485.530000001</v>
      </c>
      <c r="D47" s="29">
        <v>23294574</v>
      </c>
    </row>
    <row r="49" spans="1:4" x14ac:dyDescent="0.2">
      <c r="B49" t="s">
        <v>1686</v>
      </c>
      <c r="C49" t="s">
        <v>1684</v>
      </c>
      <c r="D49" t="s">
        <v>1685</v>
      </c>
    </row>
    <row r="50" spans="1:4" ht="15" x14ac:dyDescent="0.25">
      <c r="A50" s="39" t="s">
        <v>1682</v>
      </c>
      <c r="B50" s="40" t="e">
        <f>'ריכוז תקציב'!#REF!/'ריכוז תקציב'!#REF!</f>
        <v>#REF!</v>
      </c>
      <c r="C50" s="40">
        <f>18507/132436</f>
        <v>0.13974297018937448</v>
      </c>
      <c r="D50" s="40">
        <f>13676/102297</f>
        <v>0.13368915999491676</v>
      </c>
    </row>
    <row r="51" spans="1:4" ht="15" x14ac:dyDescent="0.25">
      <c r="A51" s="39" t="s">
        <v>1683</v>
      </c>
      <c r="B51" s="40" t="e">
        <f>'ריכוז תקציב'!#REF!/'ריכוז תקציב'!#REF!</f>
        <v>#REF!</v>
      </c>
      <c r="C51" s="40">
        <f>59702/132436</f>
        <v>0.45079887643843064</v>
      </c>
      <c r="D51" s="40">
        <f>55705/102297</f>
        <v>0.54454187317321134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A90A-5874-404B-AAFC-4E2EF5CC8DBB}">
  <sheetPr filterMode="1"/>
  <dimension ref="A1:V86"/>
  <sheetViews>
    <sheetView rightToLeft="1" workbookViewId="0">
      <selection activeCell="G99" sqref="G99"/>
    </sheetView>
  </sheetViews>
  <sheetFormatPr defaultColWidth="9" defaultRowHeight="23.25" x14ac:dyDescent="0.35"/>
  <cols>
    <col min="1" max="6" width="9" style="41"/>
    <col min="7" max="7" width="27.5" style="41" bestFit="1" customWidth="1"/>
    <col min="8" max="8" width="15.75" style="41" bestFit="1" customWidth="1"/>
    <col min="9" max="9" width="16" style="41" bestFit="1" customWidth="1"/>
    <col min="10" max="12" width="9" style="41"/>
    <col min="13" max="13" width="17.625" style="27" bestFit="1" customWidth="1"/>
    <col min="14" max="14" width="15" style="46" bestFit="1" customWidth="1"/>
    <col min="15" max="16384" width="9" style="41"/>
  </cols>
  <sheetData>
    <row r="1" spans="1:22" x14ac:dyDescent="0.35">
      <c r="A1" s="41" t="s">
        <v>1033</v>
      </c>
    </row>
    <row r="2" spans="1:22" hidden="1" x14ac:dyDescent="0.35">
      <c r="A2" s="41" t="s">
        <v>1034</v>
      </c>
      <c r="M2" s="58"/>
      <c r="N2" s="41"/>
    </row>
    <row r="3" spans="1:22" hidden="1" x14ac:dyDescent="0.35">
      <c r="A3" s="41" t="s">
        <v>1035</v>
      </c>
      <c r="M3" s="58"/>
      <c r="N3" s="41"/>
    </row>
    <row r="4" spans="1:22" hidden="1" x14ac:dyDescent="0.35">
      <c r="A4" s="41" t="s">
        <v>1036</v>
      </c>
      <c r="M4" s="58"/>
      <c r="N4" s="41"/>
    </row>
    <row r="5" spans="1:22" hidden="1" x14ac:dyDescent="0.35">
      <c r="A5" s="41" t="s">
        <v>1037</v>
      </c>
      <c r="M5" s="58"/>
      <c r="N5" s="41"/>
    </row>
    <row r="6" spans="1:22" hidden="1" x14ac:dyDescent="0.35">
      <c r="A6" s="41" t="s">
        <v>1038</v>
      </c>
      <c r="M6" s="58"/>
      <c r="N6" s="41"/>
    </row>
    <row r="7" spans="1:22" hidden="1" x14ac:dyDescent="0.35">
      <c r="A7" s="41" t="s">
        <v>1039</v>
      </c>
      <c r="M7" s="58"/>
      <c r="N7" s="41"/>
    </row>
    <row r="8" spans="1:22" hidden="1" x14ac:dyDescent="0.35">
      <c r="A8" s="41" t="s">
        <v>1040</v>
      </c>
      <c r="M8" s="58"/>
      <c r="N8" s="41"/>
    </row>
    <row r="9" spans="1:22" hidden="1" x14ac:dyDescent="0.35">
      <c r="A9" s="41" t="s">
        <v>2089</v>
      </c>
      <c r="M9" s="58"/>
      <c r="N9" s="41"/>
    </row>
    <row r="10" spans="1:22" hidden="1" x14ac:dyDescent="0.35">
      <c r="A10" s="41" t="s">
        <v>2090</v>
      </c>
      <c r="M10" s="58"/>
      <c r="N10" s="41"/>
    </row>
    <row r="11" spans="1:22" hidden="1" x14ac:dyDescent="0.35">
      <c r="A11" s="41" t="s">
        <v>1041</v>
      </c>
      <c r="M11" s="58"/>
      <c r="N11" s="41"/>
    </row>
    <row r="12" spans="1:22" hidden="1" x14ac:dyDescent="0.35">
      <c r="A12" s="41" t="s">
        <v>1042</v>
      </c>
      <c r="M12" s="58"/>
      <c r="N12" s="41"/>
    </row>
    <row r="13" spans="1:22" hidden="1" x14ac:dyDescent="0.35">
      <c r="A13" s="41" t="s">
        <v>1043</v>
      </c>
      <c r="B13" s="41" t="s">
        <v>1044</v>
      </c>
      <c r="C13" s="41" t="s">
        <v>1045</v>
      </c>
      <c r="D13" s="41" t="s">
        <v>1046</v>
      </c>
      <c r="E13" s="41" t="s">
        <v>1047</v>
      </c>
      <c r="F13" s="41" t="s">
        <v>1048</v>
      </c>
      <c r="G13" s="41" t="s">
        <v>1049</v>
      </c>
      <c r="H13" s="41" t="s">
        <v>1051</v>
      </c>
      <c r="I13" s="41" t="s">
        <v>1052</v>
      </c>
      <c r="J13" s="41" t="s">
        <v>1053</v>
      </c>
      <c r="K13" s="41" t="s">
        <v>1032</v>
      </c>
      <c r="L13" s="41" t="s">
        <v>1054</v>
      </c>
      <c r="M13" s="58" t="s">
        <v>1031</v>
      </c>
      <c r="N13" s="41" t="s">
        <v>1055</v>
      </c>
      <c r="O13" s="41" t="s">
        <v>1056</v>
      </c>
      <c r="P13" s="41" t="s">
        <v>1057</v>
      </c>
      <c r="Q13" s="41" t="s">
        <v>54</v>
      </c>
      <c r="R13" s="41" t="s">
        <v>55</v>
      </c>
      <c r="S13" s="41" t="s">
        <v>1058</v>
      </c>
      <c r="T13" s="41" t="s">
        <v>1059</v>
      </c>
      <c r="U13" s="41" t="s">
        <v>1060</v>
      </c>
      <c r="V13" s="41" t="s">
        <v>1061</v>
      </c>
    </row>
    <row r="14" spans="1:22" hidden="1" x14ac:dyDescent="0.35">
      <c r="A14" s="41">
        <v>905410</v>
      </c>
      <c r="B14" s="41">
        <v>942</v>
      </c>
      <c r="C14" s="41">
        <v>3</v>
      </c>
      <c r="D14" s="41" t="s">
        <v>1062</v>
      </c>
      <c r="E14" s="41">
        <v>2</v>
      </c>
      <c r="F14" s="41">
        <v>2020</v>
      </c>
      <c r="G14" s="41" t="s">
        <v>1093</v>
      </c>
      <c r="H14" s="41">
        <v>2142911.5</v>
      </c>
      <c r="I14" s="41">
        <v>-22835.9</v>
      </c>
      <c r="J14" s="41">
        <v>0</v>
      </c>
      <c r="K14" s="41">
        <v>-13480.4</v>
      </c>
      <c r="L14" s="41">
        <v>2106595.2000000002</v>
      </c>
      <c r="M14" s="58">
        <v>393.28</v>
      </c>
      <c r="N14" s="41">
        <v>880.87</v>
      </c>
      <c r="O14" s="41">
        <v>0</v>
      </c>
      <c r="P14" s="41">
        <v>393.28</v>
      </c>
      <c r="Q14" s="41">
        <v>96991.45</v>
      </c>
      <c r="R14" s="41">
        <v>72806.929999999993</v>
      </c>
      <c r="S14" s="41">
        <v>2106201.92</v>
      </c>
      <c r="T14" s="41">
        <v>2276000.2999999998</v>
      </c>
      <c r="U14" s="41">
        <v>0.02</v>
      </c>
      <c r="V14" s="41">
        <v>0.06</v>
      </c>
    </row>
    <row r="15" spans="1:22" hidden="1" x14ac:dyDescent="0.35">
      <c r="A15" s="41">
        <v>905410</v>
      </c>
      <c r="B15" s="41">
        <v>942</v>
      </c>
      <c r="C15" s="41">
        <v>3</v>
      </c>
      <c r="D15" s="41" t="s">
        <v>1062</v>
      </c>
      <c r="E15" s="41">
        <v>2</v>
      </c>
      <c r="F15" s="41">
        <v>2022</v>
      </c>
      <c r="G15" s="41" t="s">
        <v>2091</v>
      </c>
      <c r="H15" s="41">
        <v>2619.4</v>
      </c>
      <c r="I15" s="41">
        <v>0</v>
      </c>
      <c r="J15" s="41">
        <v>0</v>
      </c>
      <c r="K15" s="41">
        <v>-2730.7</v>
      </c>
      <c r="L15" s="41">
        <v>-111.3</v>
      </c>
      <c r="M15" s="58">
        <v>0</v>
      </c>
      <c r="N15" s="41">
        <v>0</v>
      </c>
      <c r="O15" s="41">
        <v>0</v>
      </c>
      <c r="P15" s="41">
        <v>0</v>
      </c>
      <c r="Q15" s="41">
        <v>72.930000000000007</v>
      </c>
      <c r="R15" s="41">
        <v>38.369999999999997</v>
      </c>
      <c r="S15" s="41">
        <v>-111.3</v>
      </c>
      <c r="T15" s="41">
        <v>0</v>
      </c>
      <c r="U15" s="41">
        <v>0</v>
      </c>
      <c r="V15" s="41">
        <v>0</v>
      </c>
    </row>
    <row r="16" spans="1:22" x14ac:dyDescent="0.35">
      <c r="A16" s="41">
        <v>905410</v>
      </c>
      <c r="B16" s="41">
        <v>942</v>
      </c>
      <c r="C16" s="41">
        <v>3</v>
      </c>
      <c r="D16" s="41" t="s">
        <v>1062</v>
      </c>
      <c r="E16" s="41">
        <v>3</v>
      </c>
      <c r="F16" s="41">
        <v>2005</v>
      </c>
      <c r="G16" s="41" t="s">
        <v>1080</v>
      </c>
      <c r="H16" s="41">
        <v>7919529.2999999998</v>
      </c>
      <c r="I16" s="41">
        <v>-104588.6</v>
      </c>
      <c r="J16" s="41">
        <v>0</v>
      </c>
      <c r="K16" s="41">
        <v>0</v>
      </c>
      <c r="L16" s="41">
        <v>7814940.7000000002</v>
      </c>
      <c r="M16" s="27">
        <v>2215.61</v>
      </c>
      <c r="N16" s="41">
        <v>9897.7800000000007</v>
      </c>
      <c r="O16" s="41">
        <v>0</v>
      </c>
      <c r="P16" s="41">
        <v>2215.61</v>
      </c>
      <c r="Q16" s="41">
        <v>359279.12</v>
      </c>
      <c r="R16" s="41">
        <v>269922.49</v>
      </c>
      <c r="S16" s="41">
        <v>7812725.0899999999</v>
      </c>
      <c r="T16" s="41">
        <v>8441926.6999999993</v>
      </c>
      <c r="U16" s="41">
        <v>0.03</v>
      </c>
      <c r="V16" s="41">
        <v>0.16</v>
      </c>
    </row>
    <row r="17" spans="1:22" x14ac:dyDescent="0.35">
      <c r="A17" s="41">
        <v>905410</v>
      </c>
      <c r="B17" s="41">
        <v>942</v>
      </c>
      <c r="C17" s="41">
        <v>3</v>
      </c>
      <c r="D17" s="41" t="s">
        <v>1062</v>
      </c>
      <c r="E17" s="41">
        <v>3</v>
      </c>
      <c r="F17" s="41">
        <v>2012</v>
      </c>
      <c r="G17" s="41" t="s">
        <v>1081</v>
      </c>
      <c r="H17" s="41">
        <v>1034828.4</v>
      </c>
      <c r="I17" s="41">
        <v>-11114.4</v>
      </c>
      <c r="J17" s="41">
        <v>0</v>
      </c>
      <c r="K17" s="41">
        <v>0</v>
      </c>
      <c r="L17" s="41">
        <v>1023714</v>
      </c>
      <c r="M17" s="27">
        <v>2889.88</v>
      </c>
      <c r="N17" s="41">
        <v>4214.1499999999996</v>
      </c>
      <c r="O17" s="41">
        <v>0</v>
      </c>
      <c r="P17" s="41">
        <v>2889.88</v>
      </c>
      <c r="Q17" s="41">
        <v>46734.69</v>
      </c>
      <c r="R17" s="41">
        <v>35047.589999999997</v>
      </c>
      <c r="S17" s="41">
        <v>1020824.12</v>
      </c>
      <c r="T17" s="41">
        <v>1102606.3999999999</v>
      </c>
      <c r="U17" s="41">
        <v>0.28000000000000003</v>
      </c>
      <c r="V17" s="41">
        <v>0.69</v>
      </c>
    </row>
    <row r="18" spans="1:22" x14ac:dyDescent="0.35">
      <c r="A18" s="41">
        <v>905410</v>
      </c>
      <c r="B18" s="41">
        <v>942</v>
      </c>
      <c r="C18" s="41">
        <v>3</v>
      </c>
      <c r="D18" s="41" t="s">
        <v>1062</v>
      </c>
      <c r="E18" s="41">
        <v>3</v>
      </c>
      <c r="F18" s="41">
        <v>2013</v>
      </c>
      <c r="G18" s="41" t="s">
        <v>1082</v>
      </c>
      <c r="H18" s="41">
        <v>1830246.2</v>
      </c>
      <c r="I18" s="41">
        <v>-42727.3</v>
      </c>
      <c r="J18" s="41">
        <v>0</v>
      </c>
      <c r="K18" s="41">
        <v>0</v>
      </c>
      <c r="L18" s="41">
        <v>1787518.9</v>
      </c>
      <c r="M18" s="27">
        <v>8966.3799999999992</v>
      </c>
      <c r="N18" s="41">
        <v>11193.77</v>
      </c>
      <c r="O18" s="41">
        <v>0</v>
      </c>
      <c r="P18" s="41">
        <v>8966.3799999999992</v>
      </c>
      <c r="Q18" s="41">
        <v>81829.259999999995</v>
      </c>
      <c r="R18" s="41">
        <v>61198.52</v>
      </c>
      <c r="S18" s="41">
        <v>1778552.52</v>
      </c>
      <c r="T18" s="41">
        <v>1921580.3</v>
      </c>
      <c r="U18" s="41">
        <v>0.5</v>
      </c>
      <c r="V18" s="41">
        <v>1.1299999999999999</v>
      </c>
    </row>
    <row r="19" spans="1:22" x14ac:dyDescent="0.35">
      <c r="A19" s="41">
        <v>905410</v>
      </c>
      <c r="B19" s="41">
        <v>942</v>
      </c>
      <c r="C19" s="41">
        <v>3</v>
      </c>
      <c r="D19" s="41" t="s">
        <v>1062</v>
      </c>
      <c r="E19" s="41">
        <v>3</v>
      </c>
      <c r="F19" s="41">
        <v>2014</v>
      </c>
      <c r="G19" s="41" t="s">
        <v>1083</v>
      </c>
      <c r="H19" s="41">
        <v>1574584.2</v>
      </c>
      <c r="I19" s="41">
        <v>-35458</v>
      </c>
      <c r="J19" s="41">
        <v>-184.7</v>
      </c>
      <c r="K19" s="41">
        <v>0</v>
      </c>
      <c r="L19" s="41">
        <v>1538941.5</v>
      </c>
      <c r="M19" s="27">
        <v>11873.68</v>
      </c>
      <c r="N19" s="41">
        <v>17587.64</v>
      </c>
      <c r="O19" s="41">
        <v>0</v>
      </c>
      <c r="P19" s="41">
        <v>11873.68</v>
      </c>
      <c r="Q19" s="41">
        <v>70006.12</v>
      </c>
      <c r="R19" s="41">
        <v>52237.96</v>
      </c>
      <c r="S19" s="41">
        <v>1527067.82</v>
      </c>
      <c r="T19" s="41">
        <v>1649311.9</v>
      </c>
      <c r="U19" s="41">
        <v>0.77</v>
      </c>
      <c r="V19" s="41">
        <v>1.91</v>
      </c>
    </row>
    <row r="20" spans="1:22" x14ac:dyDescent="0.35">
      <c r="A20" s="41">
        <v>905410</v>
      </c>
      <c r="B20" s="41">
        <v>942</v>
      </c>
      <c r="C20" s="41">
        <v>3</v>
      </c>
      <c r="D20" s="41" t="s">
        <v>1062</v>
      </c>
      <c r="E20" s="41">
        <v>3</v>
      </c>
      <c r="F20" s="41">
        <v>2015</v>
      </c>
      <c r="G20" s="41" t="s">
        <v>1084</v>
      </c>
      <c r="H20" s="41">
        <v>1614348.5</v>
      </c>
      <c r="I20" s="41">
        <v>-38260</v>
      </c>
      <c r="J20" s="41">
        <v>-41.23</v>
      </c>
      <c r="K20" s="41">
        <v>-662</v>
      </c>
      <c r="L20" s="41">
        <v>1575385.27</v>
      </c>
      <c r="M20" s="27">
        <v>24596.92</v>
      </c>
      <c r="N20" s="41">
        <v>20537.77</v>
      </c>
      <c r="O20" s="41">
        <v>0</v>
      </c>
      <c r="P20" s="41">
        <v>24596.92</v>
      </c>
      <c r="Q20" s="41">
        <v>71236.95</v>
      </c>
      <c r="R20" s="41">
        <v>52552</v>
      </c>
      <c r="S20" s="41">
        <v>1550788.35</v>
      </c>
      <c r="T20" s="41">
        <v>1674577.3</v>
      </c>
      <c r="U20" s="41">
        <v>1.56</v>
      </c>
      <c r="V20" s="41">
        <v>2.86</v>
      </c>
    </row>
    <row r="21" spans="1:22" x14ac:dyDescent="0.35">
      <c r="A21" s="41">
        <v>905410</v>
      </c>
      <c r="B21" s="41">
        <v>942</v>
      </c>
      <c r="C21" s="41">
        <v>3</v>
      </c>
      <c r="D21" s="41" t="s">
        <v>1062</v>
      </c>
      <c r="E21" s="41">
        <v>3</v>
      </c>
      <c r="F21" s="41">
        <v>2016</v>
      </c>
      <c r="G21" s="41" t="s">
        <v>1085</v>
      </c>
      <c r="H21" s="41">
        <v>494136.8</v>
      </c>
      <c r="I21" s="41">
        <v>-11483.5</v>
      </c>
      <c r="J21" s="41">
        <v>-16.39</v>
      </c>
      <c r="K21" s="41">
        <v>-370</v>
      </c>
      <c r="L21" s="41">
        <v>482266.91</v>
      </c>
      <c r="M21" s="27">
        <v>13242.18</v>
      </c>
      <c r="N21" s="41">
        <v>15955.04</v>
      </c>
      <c r="O21" s="41">
        <v>0</v>
      </c>
      <c r="P21" s="41">
        <v>13242.18</v>
      </c>
      <c r="Q21" s="41">
        <v>21092.95</v>
      </c>
      <c r="R21" s="41">
        <v>15710.82</v>
      </c>
      <c r="S21" s="41">
        <v>469024.73</v>
      </c>
      <c r="T21" s="41">
        <v>505828.5</v>
      </c>
      <c r="U21" s="41">
        <v>2.75</v>
      </c>
      <c r="V21" s="41">
        <v>6.05</v>
      </c>
    </row>
    <row r="22" spans="1:22" x14ac:dyDescent="0.35">
      <c r="A22" s="41">
        <v>905410</v>
      </c>
      <c r="B22" s="41">
        <v>942</v>
      </c>
      <c r="C22" s="41">
        <v>3</v>
      </c>
      <c r="D22" s="41" t="s">
        <v>1062</v>
      </c>
      <c r="E22" s="41">
        <v>3</v>
      </c>
      <c r="F22" s="41">
        <v>2018</v>
      </c>
      <c r="G22" s="41" t="s">
        <v>1086</v>
      </c>
      <c r="H22" s="41">
        <v>794.4</v>
      </c>
      <c r="I22" s="41">
        <v>0</v>
      </c>
      <c r="J22" s="41">
        <v>0</v>
      </c>
      <c r="K22" s="41">
        <v>0</v>
      </c>
      <c r="L22" s="41">
        <v>794.4</v>
      </c>
      <c r="M22" s="27">
        <v>135.76</v>
      </c>
      <c r="N22" s="41">
        <v>538.15</v>
      </c>
      <c r="O22" s="41">
        <v>0</v>
      </c>
      <c r="P22" s="41">
        <v>135.76</v>
      </c>
      <c r="Q22" s="41">
        <v>7.6</v>
      </c>
      <c r="R22" s="41">
        <v>12.26</v>
      </c>
      <c r="S22" s="41">
        <v>658.64</v>
      </c>
      <c r="T22" s="41">
        <v>678.5</v>
      </c>
      <c r="U22" s="41">
        <v>17.09</v>
      </c>
      <c r="V22" s="41">
        <v>84.83</v>
      </c>
    </row>
    <row r="23" spans="1:22" hidden="1" x14ac:dyDescent="0.35">
      <c r="A23" s="41">
        <v>905410</v>
      </c>
      <c r="B23" s="41">
        <v>942</v>
      </c>
      <c r="C23" s="41">
        <v>3</v>
      </c>
      <c r="D23" s="41" t="s">
        <v>1062</v>
      </c>
      <c r="E23" s="41">
        <v>4</v>
      </c>
      <c r="F23" s="41">
        <v>2002</v>
      </c>
      <c r="G23" s="41" t="s">
        <v>1094</v>
      </c>
      <c r="H23" s="41">
        <v>66831365.600000001</v>
      </c>
      <c r="I23" s="41">
        <v>-1210863</v>
      </c>
      <c r="J23" s="41">
        <v>-514.4</v>
      </c>
      <c r="K23" s="41">
        <v>-147.6</v>
      </c>
      <c r="L23" s="41">
        <v>65619840.600000001</v>
      </c>
      <c r="M23" s="27">
        <v>25061.4</v>
      </c>
      <c r="N23" s="41">
        <v>56191.18</v>
      </c>
      <c r="O23" s="41">
        <v>0</v>
      </c>
      <c r="P23" s="41">
        <v>25061.4</v>
      </c>
      <c r="Q23" s="41">
        <v>3029978.93</v>
      </c>
      <c r="R23" s="41">
        <v>2274986.5699999998</v>
      </c>
      <c r="S23" s="41">
        <v>65594779.200000003</v>
      </c>
      <c r="T23" s="41">
        <v>70899744.700000003</v>
      </c>
      <c r="U23" s="41">
        <v>0.04</v>
      </c>
      <c r="V23" s="41">
        <v>0.12</v>
      </c>
    </row>
    <row r="24" spans="1:22" hidden="1" x14ac:dyDescent="0.35">
      <c r="A24" s="41">
        <v>905410</v>
      </c>
      <c r="B24" s="41">
        <v>942</v>
      </c>
      <c r="C24" s="41">
        <v>3</v>
      </c>
      <c r="D24" s="41" t="s">
        <v>1062</v>
      </c>
      <c r="E24" s="41">
        <v>4</v>
      </c>
      <c r="F24" s="41">
        <v>2009</v>
      </c>
      <c r="G24" s="41" t="s">
        <v>1095</v>
      </c>
      <c r="H24" s="41">
        <v>-74.599999999999994</v>
      </c>
      <c r="I24" s="41">
        <v>0</v>
      </c>
      <c r="J24" s="41">
        <v>0</v>
      </c>
      <c r="K24" s="41">
        <v>0</v>
      </c>
      <c r="L24" s="41">
        <v>-74.599999999999994</v>
      </c>
      <c r="M24" s="27">
        <v>-54.13</v>
      </c>
      <c r="N24" s="41">
        <v>-15.78</v>
      </c>
      <c r="O24" s="41">
        <v>0</v>
      </c>
      <c r="P24" s="41">
        <v>-54.13</v>
      </c>
      <c r="Q24" s="41">
        <v>0.03</v>
      </c>
      <c r="R24" s="41">
        <v>-1.76</v>
      </c>
      <c r="S24" s="41">
        <v>-20.47</v>
      </c>
      <c r="T24" s="41">
        <v>-22.2</v>
      </c>
      <c r="U24" s="41">
        <v>72.56</v>
      </c>
      <c r="V24" s="41">
        <v>93.71</v>
      </c>
    </row>
    <row r="25" spans="1:22" hidden="1" x14ac:dyDescent="0.35">
      <c r="A25" s="41">
        <v>905410</v>
      </c>
      <c r="B25" s="41">
        <v>942</v>
      </c>
      <c r="C25" s="41">
        <v>3</v>
      </c>
      <c r="D25" s="41" t="s">
        <v>1062</v>
      </c>
      <c r="E25" s="41">
        <v>4</v>
      </c>
      <c r="F25" s="41">
        <v>2010</v>
      </c>
      <c r="G25" s="41" t="s">
        <v>1096</v>
      </c>
      <c r="H25" s="41">
        <v>274.39999999999998</v>
      </c>
      <c r="I25" s="41">
        <v>0</v>
      </c>
      <c r="J25" s="41">
        <v>0</v>
      </c>
      <c r="K25" s="41">
        <v>0</v>
      </c>
      <c r="L25" s="41">
        <v>274.39999999999998</v>
      </c>
      <c r="M25" s="27">
        <v>214.66</v>
      </c>
      <c r="N25" s="41">
        <v>-11.14</v>
      </c>
      <c r="O25" s="41">
        <v>0</v>
      </c>
      <c r="P25" s="41">
        <v>214.66</v>
      </c>
      <c r="Q25" s="41">
        <v>13.19</v>
      </c>
      <c r="R25" s="41">
        <v>6.27</v>
      </c>
      <c r="S25" s="41">
        <v>59.74</v>
      </c>
      <c r="T25" s="41">
        <v>79.2</v>
      </c>
      <c r="U25" s="41">
        <v>78.23</v>
      </c>
      <c r="V25" s="41">
        <v>74.17</v>
      </c>
    </row>
    <row r="26" spans="1:22" hidden="1" x14ac:dyDescent="0.35">
      <c r="A26" s="41">
        <v>905410</v>
      </c>
      <c r="B26" s="41">
        <v>942</v>
      </c>
      <c r="C26" s="41">
        <v>3</v>
      </c>
      <c r="D26" s="41" t="s">
        <v>1062</v>
      </c>
      <c r="E26" s="41">
        <v>4</v>
      </c>
      <c r="F26" s="41">
        <v>2011</v>
      </c>
      <c r="G26" s="41" t="s">
        <v>2092</v>
      </c>
      <c r="H26" s="41">
        <v>-459.6</v>
      </c>
      <c r="I26" s="41">
        <v>0</v>
      </c>
      <c r="J26" s="41">
        <v>0</v>
      </c>
      <c r="K26" s="41">
        <v>0</v>
      </c>
      <c r="L26" s="41">
        <v>-459.6</v>
      </c>
      <c r="M26" s="27">
        <v>-497.08</v>
      </c>
      <c r="N26" s="41">
        <v>-31.25</v>
      </c>
      <c r="O26" s="41">
        <v>0</v>
      </c>
      <c r="P26" s="41">
        <v>-497.08</v>
      </c>
      <c r="Q26" s="41">
        <v>9.1</v>
      </c>
      <c r="R26" s="41">
        <v>-16.38</v>
      </c>
      <c r="S26" s="41">
        <v>37.479999999999997</v>
      </c>
      <c r="T26" s="41">
        <v>30.2</v>
      </c>
      <c r="U26" s="41">
        <v>108.15</v>
      </c>
      <c r="V26" s="41">
        <v>114.95</v>
      </c>
    </row>
    <row r="27" spans="1:22" hidden="1" x14ac:dyDescent="0.35">
      <c r="A27" s="41">
        <v>905410</v>
      </c>
      <c r="B27" s="41">
        <v>942</v>
      </c>
      <c r="C27" s="41">
        <v>3</v>
      </c>
      <c r="D27" s="41" t="s">
        <v>1062</v>
      </c>
      <c r="E27" s="41">
        <v>4</v>
      </c>
      <c r="F27" s="41">
        <v>2012</v>
      </c>
      <c r="G27" s="41" t="s">
        <v>1097</v>
      </c>
      <c r="H27" s="41">
        <v>3755024.4</v>
      </c>
      <c r="I27" s="41">
        <v>-43533.3</v>
      </c>
      <c r="J27" s="41">
        <v>0</v>
      </c>
      <c r="K27" s="41">
        <v>0</v>
      </c>
      <c r="L27" s="41">
        <v>3711491.1</v>
      </c>
      <c r="M27" s="27">
        <v>8879.2000000000007</v>
      </c>
      <c r="N27" s="41">
        <v>16988.240000000002</v>
      </c>
      <c r="O27" s="41">
        <v>0</v>
      </c>
      <c r="P27" s="41">
        <v>8879.2000000000007</v>
      </c>
      <c r="Q27" s="41">
        <v>169813.69</v>
      </c>
      <c r="R27" s="41">
        <v>127708.41</v>
      </c>
      <c r="S27" s="41">
        <v>3702611.9</v>
      </c>
      <c r="T27" s="41">
        <v>4000134</v>
      </c>
      <c r="U27" s="41">
        <v>0.24</v>
      </c>
      <c r="V27" s="41">
        <v>0.7</v>
      </c>
    </row>
    <row r="28" spans="1:22" hidden="1" x14ac:dyDescent="0.35">
      <c r="A28" s="41">
        <v>905410</v>
      </c>
      <c r="B28" s="41">
        <v>942</v>
      </c>
      <c r="C28" s="41">
        <v>3</v>
      </c>
      <c r="D28" s="41" t="s">
        <v>1062</v>
      </c>
      <c r="E28" s="41">
        <v>4</v>
      </c>
      <c r="F28" s="41">
        <v>2013</v>
      </c>
      <c r="G28" s="41" t="s">
        <v>1098</v>
      </c>
      <c r="H28" s="41">
        <v>4342298.0999999996</v>
      </c>
      <c r="I28" s="41">
        <v>-107084.7</v>
      </c>
      <c r="J28" s="41">
        <v>0</v>
      </c>
      <c r="K28" s="41">
        <v>0</v>
      </c>
      <c r="L28" s="41">
        <v>4235213.4000000004</v>
      </c>
      <c r="M28" s="27">
        <v>11507.56</v>
      </c>
      <c r="N28" s="41">
        <v>27674.97</v>
      </c>
      <c r="O28" s="41">
        <v>0</v>
      </c>
      <c r="P28" s="41">
        <v>11507.56</v>
      </c>
      <c r="Q28" s="41">
        <v>194473.11</v>
      </c>
      <c r="R28" s="41">
        <v>146590.45000000001</v>
      </c>
      <c r="S28" s="41">
        <v>4223705.84</v>
      </c>
      <c r="T28" s="41">
        <v>4564769.4000000004</v>
      </c>
      <c r="U28" s="41">
        <v>0.27</v>
      </c>
      <c r="V28" s="41">
        <v>0.93</v>
      </c>
    </row>
    <row r="29" spans="1:22" hidden="1" x14ac:dyDescent="0.35">
      <c r="A29" s="41">
        <v>905410</v>
      </c>
      <c r="B29" s="41">
        <v>942</v>
      </c>
      <c r="C29" s="41">
        <v>3</v>
      </c>
      <c r="D29" s="41" t="s">
        <v>1062</v>
      </c>
      <c r="E29" s="41">
        <v>4</v>
      </c>
      <c r="F29" s="41">
        <v>2014</v>
      </c>
      <c r="G29" s="41" t="s">
        <v>1099</v>
      </c>
      <c r="H29" s="41">
        <v>3710835.1</v>
      </c>
      <c r="I29" s="41">
        <v>-88884.7</v>
      </c>
      <c r="J29" s="41">
        <v>1316.4</v>
      </c>
      <c r="K29" s="41">
        <v>0</v>
      </c>
      <c r="L29" s="41">
        <v>3623266.8</v>
      </c>
      <c r="M29" s="27">
        <v>29397.55</v>
      </c>
      <c r="N29" s="41">
        <v>27173.99</v>
      </c>
      <c r="O29" s="41">
        <v>0</v>
      </c>
      <c r="P29" s="41">
        <v>29397.55</v>
      </c>
      <c r="Q29" s="41">
        <v>165732.99</v>
      </c>
      <c r="R29" s="41">
        <v>123856.66</v>
      </c>
      <c r="S29" s="41">
        <v>3593869.25</v>
      </c>
      <c r="T29" s="41">
        <v>3883458.9</v>
      </c>
      <c r="U29" s="41">
        <v>0.81</v>
      </c>
      <c r="V29" s="41">
        <v>1.56</v>
      </c>
    </row>
    <row r="30" spans="1:22" hidden="1" x14ac:dyDescent="0.35">
      <c r="A30" s="41">
        <v>905410</v>
      </c>
      <c r="B30" s="41">
        <v>942</v>
      </c>
      <c r="C30" s="41">
        <v>3</v>
      </c>
      <c r="D30" s="41" t="s">
        <v>1062</v>
      </c>
      <c r="E30" s="41">
        <v>4</v>
      </c>
      <c r="F30" s="41">
        <v>2015</v>
      </c>
      <c r="G30" s="41" t="s">
        <v>1100</v>
      </c>
      <c r="H30" s="41">
        <v>4265327.9000000004</v>
      </c>
      <c r="I30" s="41">
        <v>-93597.5</v>
      </c>
      <c r="J30" s="41">
        <v>-80.78</v>
      </c>
      <c r="K30" s="41">
        <v>-2542.5</v>
      </c>
      <c r="L30" s="41">
        <v>4169107.12</v>
      </c>
      <c r="M30" s="27">
        <v>87550.91</v>
      </c>
      <c r="N30" s="41">
        <v>68777.460000000006</v>
      </c>
      <c r="O30" s="41">
        <v>0</v>
      </c>
      <c r="P30" s="41">
        <v>87550.91</v>
      </c>
      <c r="Q30" s="41">
        <v>186931.52</v>
      </c>
      <c r="R30" s="41">
        <v>138729.87</v>
      </c>
      <c r="S30" s="41">
        <v>4081556.21</v>
      </c>
      <c r="T30" s="41">
        <v>4407217.5999999996</v>
      </c>
      <c r="U30" s="41">
        <v>2.1</v>
      </c>
      <c r="V30" s="41">
        <v>3.75</v>
      </c>
    </row>
    <row r="31" spans="1:22" hidden="1" x14ac:dyDescent="0.35">
      <c r="A31" s="41">
        <v>905410</v>
      </c>
      <c r="B31" s="41">
        <v>942</v>
      </c>
      <c r="C31" s="41">
        <v>3</v>
      </c>
      <c r="D31" s="41" t="s">
        <v>1062</v>
      </c>
      <c r="E31" s="41">
        <v>4</v>
      </c>
      <c r="F31" s="41">
        <v>2016</v>
      </c>
      <c r="G31" s="41" t="s">
        <v>1101</v>
      </c>
      <c r="H31" s="41">
        <v>2741422.1</v>
      </c>
      <c r="I31" s="41">
        <v>-52821.5</v>
      </c>
      <c r="J31" s="41">
        <v>-52.98</v>
      </c>
      <c r="K31" s="41">
        <v>-1333.5</v>
      </c>
      <c r="L31" s="41">
        <v>2687214.12</v>
      </c>
      <c r="M31" s="27">
        <v>77152.91</v>
      </c>
      <c r="N31" s="41">
        <v>112639.16</v>
      </c>
      <c r="O31" s="41">
        <v>0</v>
      </c>
      <c r="P31" s="41">
        <v>77152.91</v>
      </c>
      <c r="Q31" s="41">
        <v>116183</v>
      </c>
      <c r="R31" s="41">
        <v>87366.99</v>
      </c>
      <c r="S31" s="41">
        <v>2610061.21</v>
      </c>
      <c r="T31" s="41">
        <v>2813611.2</v>
      </c>
      <c r="U31" s="41">
        <v>2.87</v>
      </c>
      <c r="V31" s="41">
        <v>7.06</v>
      </c>
    </row>
    <row r="32" spans="1:22" hidden="1" x14ac:dyDescent="0.35">
      <c r="A32" s="41">
        <v>905410</v>
      </c>
      <c r="B32" s="41">
        <v>942</v>
      </c>
      <c r="C32" s="41">
        <v>3</v>
      </c>
      <c r="D32" s="41" t="s">
        <v>1062</v>
      </c>
      <c r="E32" s="41">
        <v>4</v>
      </c>
      <c r="F32" s="41">
        <v>2017</v>
      </c>
      <c r="G32" s="41" t="s">
        <v>1102</v>
      </c>
      <c r="H32" s="41">
        <v>3595182</v>
      </c>
      <c r="I32" s="41">
        <v>-22805.599999999999</v>
      </c>
      <c r="J32" s="41">
        <v>-83.51</v>
      </c>
      <c r="K32" s="41">
        <v>-33167.379999999997</v>
      </c>
      <c r="L32" s="41">
        <v>3539125.51</v>
      </c>
      <c r="M32" s="27">
        <v>120554.43</v>
      </c>
      <c r="N32" s="41">
        <v>208361.73</v>
      </c>
      <c r="O32" s="41">
        <v>0</v>
      </c>
      <c r="P32" s="41">
        <v>120554.43</v>
      </c>
      <c r="Q32" s="41">
        <v>146835.29</v>
      </c>
      <c r="R32" s="41">
        <v>112934.83</v>
      </c>
      <c r="S32" s="41">
        <v>3418571.08</v>
      </c>
      <c r="T32" s="41">
        <v>3678341.2</v>
      </c>
      <c r="U32" s="41">
        <v>3.41</v>
      </c>
      <c r="V32" s="41">
        <v>9.2899999999999991</v>
      </c>
    </row>
    <row r="33" spans="1:22" hidden="1" x14ac:dyDescent="0.35">
      <c r="A33" s="41">
        <v>905410</v>
      </c>
      <c r="B33" s="41">
        <v>942</v>
      </c>
      <c r="C33" s="41">
        <v>3</v>
      </c>
      <c r="D33" s="41" t="s">
        <v>1062</v>
      </c>
      <c r="E33" s="41">
        <v>4</v>
      </c>
      <c r="F33" s="41">
        <v>2018</v>
      </c>
      <c r="G33" s="41" t="s">
        <v>1103</v>
      </c>
      <c r="H33" s="41">
        <v>3637039.9</v>
      </c>
      <c r="I33" s="41">
        <v>-44504.2</v>
      </c>
      <c r="J33" s="41">
        <v>-146.88999999999999</v>
      </c>
      <c r="K33" s="41">
        <v>-8594.51</v>
      </c>
      <c r="L33" s="41">
        <v>3583794.3</v>
      </c>
      <c r="M33" s="27">
        <v>133525.56</v>
      </c>
      <c r="N33" s="41">
        <v>246189.8</v>
      </c>
      <c r="O33" s="41">
        <v>0</v>
      </c>
      <c r="P33" s="41">
        <v>133525.56</v>
      </c>
      <c r="Q33" s="41">
        <v>153631.24</v>
      </c>
      <c r="R33" s="41">
        <v>114919.12</v>
      </c>
      <c r="S33" s="41">
        <v>3450268.74</v>
      </c>
      <c r="T33" s="41">
        <v>3718819.1</v>
      </c>
      <c r="U33" s="41">
        <v>3.73</v>
      </c>
      <c r="V33" s="41">
        <v>10.6</v>
      </c>
    </row>
    <row r="34" spans="1:22" hidden="1" x14ac:dyDescent="0.35">
      <c r="A34" s="41">
        <v>905410</v>
      </c>
      <c r="B34" s="41">
        <v>942</v>
      </c>
      <c r="C34" s="41">
        <v>3</v>
      </c>
      <c r="D34" s="41" t="s">
        <v>1062</v>
      </c>
      <c r="E34" s="41">
        <v>4</v>
      </c>
      <c r="F34" s="41">
        <v>2019</v>
      </c>
      <c r="G34" s="41" t="s">
        <v>1104</v>
      </c>
      <c r="H34" s="41">
        <v>3072412.9</v>
      </c>
      <c r="I34" s="41">
        <v>-5953.6</v>
      </c>
      <c r="J34" s="41">
        <v>5109.3500000000004</v>
      </c>
      <c r="K34" s="41">
        <v>-9974.35</v>
      </c>
      <c r="L34" s="41">
        <v>3061594.3</v>
      </c>
      <c r="M34" s="27">
        <v>149997.66</v>
      </c>
      <c r="N34" s="41">
        <v>286434.39</v>
      </c>
      <c r="O34" s="41">
        <v>0</v>
      </c>
      <c r="P34" s="41">
        <v>149997.66</v>
      </c>
      <c r="Q34" s="41">
        <v>132328.21</v>
      </c>
      <c r="R34" s="41">
        <v>95272.95</v>
      </c>
      <c r="S34" s="41">
        <v>2911596.64</v>
      </c>
      <c r="T34" s="41">
        <v>3139197.8</v>
      </c>
      <c r="U34" s="41">
        <v>4.9000000000000004</v>
      </c>
      <c r="V34" s="41">
        <v>14.26</v>
      </c>
    </row>
    <row r="35" spans="1:22" hidden="1" x14ac:dyDescent="0.35">
      <c r="A35" s="41">
        <v>905410</v>
      </c>
      <c r="B35" s="41">
        <v>942</v>
      </c>
      <c r="C35" s="41">
        <v>3</v>
      </c>
      <c r="D35" s="41" t="s">
        <v>1062</v>
      </c>
      <c r="E35" s="41">
        <v>4</v>
      </c>
      <c r="F35" s="41">
        <v>2020</v>
      </c>
      <c r="G35" s="41" t="s">
        <v>1105</v>
      </c>
      <c r="H35" s="41">
        <v>4056789.4</v>
      </c>
      <c r="I35" s="41">
        <v>-642.70000000000005</v>
      </c>
      <c r="J35" s="41">
        <v>6772.81</v>
      </c>
      <c r="K35" s="41">
        <v>-212593.38</v>
      </c>
      <c r="L35" s="41">
        <v>3850326.13</v>
      </c>
      <c r="M35" s="27">
        <v>158250.69</v>
      </c>
      <c r="N35" s="41">
        <v>287472.90999999997</v>
      </c>
      <c r="O35" s="41">
        <v>0</v>
      </c>
      <c r="P35" s="41">
        <v>158250.69</v>
      </c>
      <c r="Q35" s="41">
        <v>128829</v>
      </c>
      <c r="R35" s="41">
        <v>101717.66</v>
      </c>
      <c r="S35" s="41">
        <v>3692075.44</v>
      </c>
      <c r="T35" s="41">
        <v>3922622.1</v>
      </c>
      <c r="U35" s="41">
        <v>4.1100000000000003</v>
      </c>
      <c r="V35" s="41">
        <v>11.58</v>
      </c>
    </row>
    <row r="36" spans="1:22" hidden="1" x14ac:dyDescent="0.35">
      <c r="A36" s="41">
        <v>905410</v>
      </c>
      <c r="B36" s="41">
        <v>942</v>
      </c>
      <c r="C36" s="41">
        <v>3</v>
      </c>
      <c r="D36" s="41" t="s">
        <v>1062</v>
      </c>
      <c r="E36" s="41">
        <v>4</v>
      </c>
      <c r="F36" s="41">
        <v>2021</v>
      </c>
      <c r="G36" s="41" t="s">
        <v>1109</v>
      </c>
      <c r="H36" s="41">
        <v>609489.5</v>
      </c>
      <c r="I36" s="41">
        <v>-114.4</v>
      </c>
      <c r="J36" s="41">
        <v>489.72</v>
      </c>
      <c r="K36" s="41">
        <v>-8602.1200000000008</v>
      </c>
      <c r="L36" s="41">
        <v>601262.69999999995</v>
      </c>
      <c r="M36" s="27">
        <v>32330.57</v>
      </c>
      <c r="N36" s="41">
        <v>52786.400000000001</v>
      </c>
      <c r="O36" s="41">
        <v>0</v>
      </c>
      <c r="P36" s="41">
        <v>32330.57</v>
      </c>
      <c r="Q36" s="41">
        <v>27746.83</v>
      </c>
      <c r="R36" s="41">
        <v>18679.240000000002</v>
      </c>
      <c r="S36" s="41">
        <v>568932.13</v>
      </c>
      <c r="T36" s="41">
        <v>615358.19999999995</v>
      </c>
      <c r="U36" s="41">
        <v>5.38</v>
      </c>
      <c r="V36" s="41">
        <v>14.16</v>
      </c>
    </row>
    <row r="37" spans="1:22" hidden="1" x14ac:dyDescent="0.35">
      <c r="A37" s="41">
        <v>905410</v>
      </c>
      <c r="B37" s="41">
        <v>942</v>
      </c>
      <c r="C37" s="41">
        <v>3</v>
      </c>
      <c r="D37" s="41" t="s">
        <v>1062</v>
      </c>
      <c r="E37" s="41">
        <v>4</v>
      </c>
      <c r="F37" s="41">
        <v>2024</v>
      </c>
      <c r="G37" s="41" t="s">
        <v>2093</v>
      </c>
      <c r="H37" s="41">
        <v>0</v>
      </c>
      <c r="I37" s="41">
        <v>-3592.8</v>
      </c>
      <c r="J37" s="41">
        <v>3610.8</v>
      </c>
      <c r="K37" s="41">
        <v>0</v>
      </c>
      <c r="L37" s="41">
        <v>18</v>
      </c>
      <c r="M37" s="27">
        <v>0.3</v>
      </c>
      <c r="N37" s="41">
        <v>18</v>
      </c>
      <c r="O37" s="41">
        <v>0</v>
      </c>
      <c r="P37" s="41">
        <v>0.3</v>
      </c>
      <c r="Q37" s="41">
        <v>0.2</v>
      </c>
      <c r="R37" s="41">
        <v>0.3</v>
      </c>
      <c r="S37" s="41">
        <v>17.7</v>
      </c>
      <c r="T37" s="41">
        <v>18.2</v>
      </c>
      <c r="U37" s="41">
        <v>1.67</v>
      </c>
      <c r="V37" s="41">
        <v>101.67</v>
      </c>
    </row>
    <row r="38" spans="1:22" hidden="1" x14ac:dyDescent="0.35">
      <c r="A38" s="41">
        <v>905410</v>
      </c>
      <c r="B38" s="41">
        <v>942</v>
      </c>
      <c r="C38" s="41">
        <v>3</v>
      </c>
      <c r="D38" s="41" t="s">
        <v>1062</v>
      </c>
      <c r="E38" s="41">
        <v>5</v>
      </c>
      <c r="F38" s="41">
        <v>2004</v>
      </c>
      <c r="G38" s="41" t="s">
        <v>1063</v>
      </c>
      <c r="H38" s="41">
        <v>90640694.400000006</v>
      </c>
      <c r="I38" s="41">
        <v>-1820110.4</v>
      </c>
      <c r="J38" s="41">
        <v>6893.03</v>
      </c>
      <c r="K38" s="41">
        <v>64037</v>
      </c>
      <c r="L38" s="41">
        <v>88891514.030000001</v>
      </c>
      <c r="M38" s="27">
        <v>130739.96</v>
      </c>
      <c r="N38" s="46">
        <v>36948.82</v>
      </c>
      <c r="O38" s="41">
        <v>0</v>
      </c>
      <c r="P38" s="41">
        <v>130739.96</v>
      </c>
      <c r="Q38" s="41">
        <v>4102564.66</v>
      </c>
      <c r="R38" s="41">
        <v>3077736.17</v>
      </c>
      <c r="S38" s="41">
        <v>88760774.069999993</v>
      </c>
      <c r="T38" s="41">
        <v>95941074.900000006</v>
      </c>
      <c r="U38" s="41">
        <v>0.15</v>
      </c>
      <c r="V38" s="41">
        <v>0.19</v>
      </c>
    </row>
    <row r="39" spans="1:22" hidden="1" x14ac:dyDescent="0.35">
      <c r="A39" s="41">
        <v>905410</v>
      </c>
      <c r="B39" s="41">
        <v>942</v>
      </c>
      <c r="C39" s="41">
        <v>3</v>
      </c>
      <c r="D39" s="41" t="s">
        <v>1062</v>
      </c>
      <c r="E39" s="41">
        <v>5</v>
      </c>
      <c r="F39" s="41">
        <v>2008</v>
      </c>
      <c r="G39" s="41" t="s">
        <v>1064</v>
      </c>
      <c r="H39" s="41">
        <v>58.4</v>
      </c>
      <c r="I39" s="41">
        <v>0</v>
      </c>
      <c r="J39" s="41">
        <v>0</v>
      </c>
      <c r="K39" s="41">
        <v>0</v>
      </c>
      <c r="L39" s="41">
        <v>58.4</v>
      </c>
      <c r="M39" s="27">
        <v>0</v>
      </c>
      <c r="N39" s="46">
        <v>0</v>
      </c>
      <c r="O39" s="41">
        <v>0</v>
      </c>
      <c r="P39" s="41">
        <v>0</v>
      </c>
      <c r="Q39" s="41">
        <v>3.1</v>
      </c>
      <c r="R39" s="41">
        <v>2</v>
      </c>
      <c r="S39" s="41">
        <v>58.4</v>
      </c>
      <c r="T39" s="41">
        <v>63.5</v>
      </c>
      <c r="U39" s="41">
        <v>0</v>
      </c>
      <c r="V39" s="41">
        <v>0</v>
      </c>
    </row>
    <row r="40" spans="1:22" hidden="1" x14ac:dyDescent="0.35">
      <c r="A40" s="41">
        <v>905410</v>
      </c>
      <c r="B40" s="41">
        <v>942</v>
      </c>
      <c r="C40" s="41">
        <v>3</v>
      </c>
      <c r="D40" s="41" t="s">
        <v>1062</v>
      </c>
      <c r="E40" s="41">
        <v>5</v>
      </c>
      <c r="F40" s="41">
        <v>2009</v>
      </c>
      <c r="G40" s="41" t="s">
        <v>1065</v>
      </c>
      <c r="H40" s="41">
        <v>392.9</v>
      </c>
      <c r="I40" s="41">
        <v>0</v>
      </c>
      <c r="J40" s="41">
        <v>0</v>
      </c>
      <c r="K40" s="41">
        <v>0</v>
      </c>
      <c r="L40" s="41">
        <v>392.9</v>
      </c>
      <c r="M40" s="27">
        <v>0</v>
      </c>
      <c r="N40" s="46">
        <v>0</v>
      </c>
      <c r="O40" s="41">
        <v>0</v>
      </c>
      <c r="P40" s="41">
        <v>0</v>
      </c>
      <c r="Q40" s="41">
        <v>20.440000000000001</v>
      </c>
      <c r="R40" s="41">
        <v>13.46</v>
      </c>
      <c r="S40" s="41">
        <v>392.9</v>
      </c>
      <c r="T40" s="41">
        <v>426.8</v>
      </c>
      <c r="U40" s="41">
        <v>0</v>
      </c>
      <c r="V40" s="41">
        <v>0</v>
      </c>
    </row>
    <row r="41" spans="1:22" hidden="1" x14ac:dyDescent="0.35">
      <c r="A41" s="41">
        <v>905410</v>
      </c>
      <c r="B41" s="41">
        <v>942</v>
      </c>
      <c r="C41" s="41">
        <v>3</v>
      </c>
      <c r="D41" s="41" t="s">
        <v>1062</v>
      </c>
      <c r="E41" s="41">
        <v>5</v>
      </c>
      <c r="F41" s="41">
        <v>2010</v>
      </c>
      <c r="G41" s="41" t="s">
        <v>1066</v>
      </c>
      <c r="H41" s="41">
        <v>568.29999999999995</v>
      </c>
      <c r="I41" s="41">
        <v>0</v>
      </c>
      <c r="J41" s="41">
        <v>0</v>
      </c>
      <c r="K41" s="41">
        <v>0</v>
      </c>
      <c r="L41" s="41">
        <v>568.29999999999995</v>
      </c>
      <c r="M41" s="27">
        <v>17.3</v>
      </c>
      <c r="N41" s="46">
        <v>0</v>
      </c>
      <c r="O41" s="41">
        <v>0</v>
      </c>
      <c r="P41" s="41">
        <v>17.3</v>
      </c>
      <c r="Q41" s="41">
        <v>28.17</v>
      </c>
      <c r="R41" s="41">
        <v>19.03</v>
      </c>
      <c r="S41" s="41">
        <v>551</v>
      </c>
      <c r="T41" s="41">
        <v>598.20000000000005</v>
      </c>
      <c r="U41" s="41">
        <v>3.04</v>
      </c>
      <c r="V41" s="41">
        <v>3.04</v>
      </c>
    </row>
    <row r="42" spans="1:22" hidden="1" x14ac:dyDescent="0.35">
      <c r="A42" s="41">
        <v>905410</v>
      </c>
      <c r="B42" s="41">
        <v>942</v>
      </c>
      <c r="C42" s="41">
        <v>3</v>
      </c>
      <c r="D42" s="41" t="s">
        <v>1062</v>
      </c>
      <c r="E42" s="41">
        <v>5</v>
      </c>
      <c r="F42" s="41">
        <v>2011</v>
      </c>
      <c r="G42" s="41" t="s">
        <v>1067</v>
      </c>
      <c r="H42" s="41">
        <v>3398.6</v>
      </c>
      <c r="I42" s="41">
        <v>0</v>
      </c>
      <c r="J42" s="41">
        <v>0</v>
      </c>
      <c r="K42" s="41">
        <v>0</v>
      </c>
      <c r="L42" s="41">
        <v>3398.6</v>
      </c>
      <c r="M42" s="27">
        <v>6.86</v>
      </c>
      <c r="N42" s="46">
        <v>0.1</v>
      </c>
      <c r="O42" s="41">
        <v>0</v>
      </c>
      <c r="P42" s="41">
        <v>6.86</v>
      </c>
      <c r="Q42" s="41">
        <v>181.98</v>
      </c>
      <c r="R42" s="41">
        <v>116.18</v>
      </c>
      <c r="S42" s="41">
        <v>3391.74</v>
      </c>
      <c r="T42" s="41">
        <v>3689.9</v>
      </c>
      <c r="U42" s="41">
        <v>0.2</v>
      </c>
      <c r="V42" s="41">
        <v>0.2</v>
      </c>
    </row>
    <row r="43" spans="1:22" hidden="1" x14ac:dyDescent="0.35">
      <c r="A43" s="41">
        <v>905410</v>
      </c>
      <c r="B43" s="41">
        <v>942</v>
      </c>
      <c r="C43" s="41">
        <v>3</v>
      </c>
      <c r="D43" s="41" t="s">
        <v>1062</v>
      </c>
      <c r="E43" s="41">
        <v>5</v>
      </c>
      <c r="F43" s="41">
        <v>2012</v>
      </c>
      <c r="G43" s="41" t="s">
        <v>1068</v>
      </c>
      <c r="H43" s="41">
        <v>1739065</v>
      </c>
      <c r="I43" s="41">
        <v>-86923.1</v>
      </c>
      <c r="J43" s="41">
        <v>2901.1</v>
      </c>
      <c r="K43" s="41">
        <v>0</v>
      </c>
      <c r="L43" s="41">
        <v>1655043</v>
      </c>
      <c r="M43" s="27">
        <v>26106.560000000001</v>
      </c>
      <c r="N43" s="46">
        <v>19624.439999999999</v>
      </c>
      <c r="O43" s="41">
        <v>0</v>
      </c>
      <c r="P43" s="41">
        <v>26106.560000000001</v>
      </c>
      <c r="Q43" s="41">
        <v>201889</v>
      </c>
      <c r="R43" s="41">
        <v>57411.360000000001</v>
      </c>
      <c r="S43" s="41">
        <v>1628936.44</v>
      </c>
      <c r="T43" s="41">
        <v>1888236.8</v>
      </c>
      <c r="U43" s="41">
        <v>1.58</v>
      </c>
      <c r="V43" s="41">
        <v>2.76</v>
      </c>
    </row>
    <row r="44" spans="1:22" hidden="1" x14ac:dyDescent="0.35">
      <c r="A44" s="41">
        <v>905410</v>
      </c>
      <c r="B44" s="41">
        <v>942</v>
      </c>
      <c r="C44" s="41">
        <v>3</v>
      </c>
      <c r="D44" s="41" t="s">
        <v>1062</v>
      </c>
      <c r="E44" s="41">
        <v>5</v>
      </c>
      <c r="F44" s="41">
        <v>2013</v>
      </c>
      <c r="G44" s="41" t="s">
        <v>1069</v>
      </c>
      <c r="H44" s="41">
        <v>3720675.7</v>
      </c>
      <c r="I44" s="41">
        <v>-79661</v>
      </c>
      <c r="J44" s="41">
        <v>6768.8</v>
      </c>
      <c r="K44" s="41">
        <v>0</v>
      </c>
      <c r="L44" s="41">
        <v>3647783.5</v>
      </c>
      <c r="M44" s="27">
        <v>56406.58</v>
      </c>
      <c r="N44" s="46">
        <v>36489.5</v>
      </c>
      <c r="O44" s="41">
        <v>0</v>
      </c>
      <c r="P44" s="41">
        <v>56406.58</v>
      </c>
      <c r="Q44" s="41">
        <v>164961.18</v>
      </c>
      <c r="R44" s="41">
        <v>123562</v>
      </c>
      <c r="S44" s="41">
        <v>3591376.92</v>
      </c>
      <c r="T44" s="41">
        <v>3879900.1</v>
      </c>
      <c r="U44" s="41">
        <v>1.55</v>
      </c>
      <c r="V44" s="41">
        <v>2.5499999999999998</v>
      </c>
    </row>
    <row r="45" spans="1:22" hidden="1" x14ac:dyDescent="0.35">
      <c r="A45" s="41">
        <v>905410</v>
      </c>
      <c r="B45" s="41">
        <v>942</v>
      </c>
      <c r="C45" s="41">
        <v>3</v>
      </c>
      <c r="D45" s="41" t="s">
        <v>1062</v>
      </c>
      <c r="E45" s="41">
        <v>5</v>
      </c>
      <c r="F45" s="41">
        <v>2014</v>
      </c>
      <c r="G45" s="41" t="s">
        <v>1070</v>
      </c>
      <c r="H45" s="41">
        <v>2924951.4</v>
      </c>
      <c r="I45" s="41">
        <v>-73958.399999999994</v>
      </c>
      <c r="J45" s="41">
        <v>-3340.15</v>
      </c>
      <c r="K45" s="41">
        <v>-2971.2</v>
      </c>
      <c r="L45" s="41">
        <v>2844681.65</v>
      </c>
      <c r="M45" s="27">
        <v>59214.19</v>
      </c>
      <c r="N45" s="46">
        <v>45299.94</v>
      </c>
      <c r="O45" s="41">
        <v>0</v>
      </c>
      <c r="P45" s="41">
        <v>59214.19</v>
      </c>
      <c r="Q45" s="41">
        <v>128099.05</v>
      </c>
      <c r="R45" s="41">
        <v>95466.19</v>
      </c>
      <c r="S45" s="41">
        <v>2785467.46</v>
      </c>
      <c r="T45" s="41">
        <v>3009032.7</v>
      </c>
      <c r="U45" s="41">
        <v>2.08</v>
      </c>
      <c r="V45" s="41">
        <v>3.67</v>
      </c>
    </row>
    <row r="46" spans="1:22" hidden="1" x14ac:dyDescent="0.35">
      <c r="A46" s="41">
        <v>905410</v>
      </c>
      <c r="B46" s="41">
        <v>942</v>
      </c>
      <c r="C46" s="41">
        <v>3</v>
      </c>
      <c r="D46" s="41" t="s">
        <v>1062</v>
      </c>
      <c r="E46" s="41">
        <v>5</v>
      </c>
      <c r="F46" s="41">
        <v>2015</v>
      </c>
      <c r="G46" s="41" t="s">
        <v>1071</v>
      </c>
      <c r="H46" s="41">
        <v>3350178.7</v>
      </c>
      <c r="I46" s="41">
        <v>-79826</v>
      </c>
      <c r="J46" s="41">
        <v>-7806.48</v>
      </c>
      <c r="K46" s="41">
        <v>-2551.75</v>
      </c>
      <c r="L46" s="41">
        <v>3259994.47</v>
      </c>
      <c r="M46" s="27">
        <v>95333.54</v>
      </c>
      <c r="N46" s="46">
        <v>82626.899999999994</v>
      </c>
      <c r="O46" s="41">
        <v>0</v>
      </c>
      <c r="P46" s="41">
        <v>95333.54</v>
      </c>
      <c r="Q46" s="41">
        <v>142876.76999999999</v>
      </c>
      <c r="R46" s="41">
        <v>105414.3</v>
      </c>
      <c r="S46" s="41">
        <v>3164660.93</v>
      </c>
      <c r="T46" s="41">
        <v>3412952</v>
      </c>
      <c r="U46" s="41">
        <v>2.92</v>
      </c>
      <c r="V46" s="41">
        <v>5.46</v>
      </c>
    </row>
    <row r="47" spans="1:22" hidden="1" x14ac:dyDescent="0.35">
      <c r="A47" s="41">
        <v>905410</v>
      </c>
      <c r="B47" s="41">
        <v>942</v>
      </c>
      <c r="C47" s="41">
        <v>3</v>
      </c>
      <c r="D47" s="41" t="s">
        <v>1062</v>
      </c>
      <c r="E47" s="41">
        <v>5</v>
      </c>
      <c r="F47" s="41">
        <v>2016</v>
      </c>
      <c r="G47" s="41" t="s">
        <v>1072</v>
      </c>
      <c r="H47" s="41">
        <v>3075728.6</v>
      </c>
      <c r="I47" s="41">
        <v>-81620.600000000006</v>
      </c>
      <c r="J47" s="41">
        <v>-25158.35</v>
      </c>
      <c r="K47" s="41">
        <v>-2453</v>
      </c>
      <c r="L47" s="41">
        <v>2966496.65</v>
      </c>
      <c r="M47" s="27">
        <v>124040.07</v>
      </c>
      <c r="N47" s="46">
        <v>164717.4</v>
      </c>
      <c r="O47" s="41">
        <v>0</v>
      </c>
      <c r="P47" s="41">
        <v>124040.07</v>
      </c>
      <c r="Q47" s="41">
        <v>125189.63</v>
      </c>
      <c r="R47" s="41">
        <v>94818.19</v>
      </c>
      <c r="S47" s="41">
        <v>2842456.58</v>
      </c>
      <c r="T47" s="41">
        <v>3062464.4</v>
      </c>
      <c r="U47" s="41">
        <v>4.18</v>
      </c>
      <c r="V47" s="41">
        <v>9.73</v>
      </c>
    </row>
    <row r="48" spans="1:22" hidden="1" x14ac:dyDescent="0.35">
      <c r="A48" s="41">
        <v>905410</v>
      </c>
      <c r="B48" s="41">
        <v>942</v>
      </c>
      <c r="C48" s="41">
        <v>3</v>
      </c>
      <c r="D48" s="41" t="s">
        <v>1062</v>
      </c>
      <c r="E48" s="41">
        <v>5</v>
      </c>
      <c r="F48" s="41">
        <v>2017</v>
      </c>
      <c r="G48" s="41" t="s">
        <v>1073</v>
      </c>
      <c r="H48" s="41">
        <v>3182435.1</v>
      </c>
      <c r="I48" s="41">
        <v>-34625.5</v>
      </c>
      <c r="J48" s="41">
        <v>-20549.189999999999</v>
      </c>
      <c r="K48" s="41">
        <v>0</v>
      </c>
      <c r="L48" s="41">
        <v>3127260.41</v>
      </c>
      <c r="M48" s="27">
        <v>180352.35</v>
      </c>
      <c r="N48" s="46">
        <v>255470.95</v>
      </c>
      <c r="O48" s="41">
        <v>0</v>
      </c>
      <c r="P48" s="41">
        <v>180352.35</v>
      </c>
      <c r="Q48" s="41">
        <v>122999.08</v>
      </c>
      <c r="R48" s="41">
        <v>95748.26</v>
      </c>
      <c r="S48" s="41">
        <v>2946908.06</v>
      </c>
      <c r="T48" s="41">
        <v>3165655.4</v>
      </c>
      <c r="U48" s="41">
        <v>5.77</v>
      </c>
      <c r="V48" s="41">
        <v>13.94</v>
      </c>
    </row>
    <row r="49" spans="1:22" hidden="1" x14ac:dyDescent="0.35">
      <c r="A49" s="41">
        <v>905410</v>
      </c>
      <c r="B49" s="41">
        <v>942</v>
      </c>
      <c r="C49" s="41">
        <v>3</v>
      </c>
      <c r="D49" s="41" t="s">
        <v>1062</v>
      </c>
      <c r="E49" s="41">
        <v>5</v>
      </c>
      <c r="F49" s="41">
        <v>2018</v>
      </c>
      <c r="G49" s="41" t="s">
        <v>1074</v>
      </c>
      <c r="H49" s="41">
        <v>3208536.6</v>
      </c>
      <c r="I49" s="41">
        <v>-13816.8</v>
      </c>
      <c r="J49" s="41">
        <v>-20480.7</v>
      </c>
      <c r="K49" s="41">
        <v>-25527.599999999999</v>
      </c>
      <c r="L49" s="41">
        <v>3148711.5</v>
      </c>
      <c r="M49" s="27">
        <v>156247.84</v>
      </c>
      <c r="N49" s="46">
        <v>276941.09000000003</v>
      </c>
      <c r="O49" s="41">
        <v>0</v>
      </c>
      <c r="P49" s="41">
        <v>156247.84</v>
      </c>
      <c r="Q49" s="41">
        <v>127443.69</v>
      </c>
      <c r="R49" s="41">
        <v>97415.65</v>
      </c>
      <c r="S49" s="41">
        <v>2992463.66</v>
      </c>
      <c r="T49" s="41">
        <v>3217323</v>
      </c>
      <c r="U49" s="41">
        <v>4.96</v>
      </c>
      <c r="V49" s="41">
        <v>13.76</v>
      </c>
    </row>
    <row r="50" spans="1:22" hidden="1" x14ac:dyDescent="0.35">
      <c r="A50" s="41">
        <v>905410</v>
      </c>
      <c r="B50" s="41">
        <v>942</v>
      </c>
      <c r="C50" s="41">
        <v>3</v>
      </c>
      <c r="D50" s="41" t="s">
        <v>1062</v>
      </c>
      <c r="E50" s="41">
        <v>5</v>
      </c>
      <c r="F50" s="41">
        <v>2019</v>
      </c>
      <c r="G50" s="41" t="s">
        <v>1075</v>
      </c>
      <c r="H50" s="41">
        <v>2944515.5</v>
      </c>
      <c r="I50" s="41">
        <v>-6006.6</v>
      </c>
      <c r="J50" s="41">
        <v>-19412.09</v>
      </c>
      <c r="K50" s="41">
        <v>0</v>
      </c>
      <c r="L50" s="41">
        <v>2919096.81</v>
      </c>
      <c r="M50" s="27">
        <v>133169.48000000001</v>
      </c>
      <c r="N50" s="46">
        <v>248651.68</v>
      </c>
      <c r="O50" s="41">
        <v>0</v>
      </c>
      <c r="P50" s="41">
        <v>133169.48000000001</v>
      </c>
      <c r="Q50" s="41">
        <v>124959.62</v>
      </c>
      <c r="R50" s="41">
        <v>90876.45</v>
      </c>
      <c r="S50" s="41">
        <v>2785927.33</v>
      </c>
      <c r="T50" s="41">
        <v>3001763.4</v>
      </c>
      <c r="U50" s="41">
        <v>4.5599999999999996</v>
      </c>
      <c r="V50" s="41">
        <v>13.08</v>
      </c>
    </row>
    <row r="51" spans="1:22" hidden="1" x14ac:dyDescent="0.35">
      <c r="A51" s="41">
        <v>905410</v>
      </c>
      <c r="B51" s="41">
        <v>942</v>
      </c>
      <c r="C51" s="41">
        <v>3</v>
      </c>
      <c r="D51" s="41" t="s">
        <v>1062</v>
      </c>
      <c r="E51" s="41">
        <v>5</v>
      </c>
      <c r="F51" s="41">
        <v>2020</v>
      </c>
      <c r="G51" s="41" t="s">
        <v>1076</v>
      </c>
      <c r="H51" s="41">
        <v>2983627.4</v>
      </c>
      <c r="I51" s="41">
        <v>-14077.09</v>
      </c>
      <c r="J51" s="41">
        <v>-24753.35</v>
      </c>
      <c r="K51" s="41">
        <v>0</v>
      </c>
      <c r="L51" s="41">
        <v>2944796.96</v>
      </c>
      <c r="M51" s="27">
        <v>188310.27</v>
      </c>
      <c r="N51" s="46">
        <v>259597.42</v>
      </c>
      <c r="O51" s="41">
        <v>0</v>
      </c>
      <c r="P51" s="41">
        <v>188310.27</v>
      </c>
      <c r="Q51" s="41">
        <v>130735.08</v>
      </c>
      <c r="R51" s="41">
        <v>91006.53</v>
      </c>
      <c r="S51" s="41">
        <v>2756486.69</v>
      </c>
      <c r="T51" s="41">
        <v>2978228.3</v>
      </c>
      <c r="U51" s="41">
        <v>6.39</v>
      </c>
      <c r="V51" s="41">
        <v>15.21</v>
      </c>
    </row>
    <row r="52" spans="1:22" hidden="1" x14ac:dyDescent="0.35">
      <c r="A52" s="41">
        <v>905410</v>
      </c>
      <c r="B52" s="41">
        <v>942</v>
      </c>
      <c r="C52" s="41">
        <v>3</v>
      </c>
      <c r="D52" s="41" t="s">
        <v>1062</v>
      </c>
      <c r="E52" s="41">
        <v>5</v>
      </c>
      <c r="F52" s="41">
        <v>2021</v>
      </c>
      <c r="G52" s="41" t="s">
        <v>1079</v>
      </c>
      <c r="H52" s="41">
        <v>1909328.9</v>
      </c>
      <c r="I52" s="41">
        <v>-8095.65</v>
      </c>
      <c r="J52" s="41">
        <v>-15445.1</v>
      </c>
      <c r="K52" s="41">
        <v>6104.1</v>
      </c>
      <c r="L52" s="41">
        <v>1891892.25</v>
      </c>
      <c r="M52" s="27">
        <v>185004.91</v>
      </c>
      <c r="N52" s="46">
        <v>267774.48</v>
      </c>
      <c r="O52" s="41">
        <v>0</v>
      </c>
      <c r="P52" s="41">
        <v>185004.91</v>
      </c>
      <c r="Q52" s="41">
        <v>95544.22</v>
      </c>
      <c r="R52" s="41">
        <v>55841.94</v>
      </c>
      <c r="S52" s="41">
        <v>1706887.34</v>
      </c>
      <c r="T52" s="41">
        <v>1858273.5</v>
      </c>
      <c r="U52" s="41">
        <v>9.7799999999999994</v>
      </c>
      <c r="V52" s="41">
        <v>23.93</v>
      </c>
    </row>
    <row r="53" spans="1:22" hidden="1" x14ac:dyDescent="0.35">
      <c r="A53" s="41">
        <v>905410</v>
      </c>
      <c r="B53" s="41">
        <v>942</v>
      </c>
      <c r="C53" s="41">
        <v>3</v>
      </c>
      <c r="D53" s="41" t="s">
        <v>1062</v>
      </c>
      <c r="E53" s="41">
        <v>5</v>
      </c>
      <c r="F53" s="41">
        <v>2022</v>
      </c>
      <c r="G53" s="41" t="s">
        <v>2094</v>
      </c>
      <c r="H53" s="41">
        <v>1925208.2</v>
      </c>
      <c r="I53" s="41">
        <v>-67451.350000000006</v>
      </c>
      <c r="J53" s="41">
        <v>-259669.02</v>
      </c>
      <c r="K53" s="41">
        <v>10654.21</v>
      </c>
      <c r="L53" s="41">
        <v>1608742.04</v>
      </c>
      <c r="M53" s="27">
        <v>-168273</v>
      </c>
      <c r="N53" s="46">
        <v>132734.39000000001</v>
      </c>
      <c r="O53" s="41">
        <v>0</v>
      </c>
      <c r="P53" s="41">
        <v>-168273</v>
      </c>
      <c r="Q53" s="41">
        <v>99930.12</v>
      </c>
      <c r="R53" s="41">
        <v>34101.839999999997</v>
      </c>
      <c r="S53" s="41">
        <v>1777015.04</v>
      </c>
      <c r="T53" s="41">
        <v>1911047</v>
      </c>
      <c r="U53" s="41">
        <v>-10.46</v>
      </c>
      <c r="V53" s="41">
        <v>-2.21</v>
      </c>
    </row>
    <row r="54" spans="1:22" hidden="1" x14ac:dyDescent="0.35">
      <c r="A54" s="41">
        <v>905410</v>
      </c>
      <c r="B54" s="41">
        <v>942</v>
      </c>
      <c r="C54" s="41">
        <v>3</v>
      </c>
      <c r="D54" s="41" t="s">
        <v>1062</v>
      </c>
      <c r="E54" s="41">
        <v>5</v>
      </c>
      <c r="F54" s="41">
        <v>2023</v>
      </c>
      <c r="G54" s="41" t="s">
        <v>2095</v>
      </c>
      <c r="H54" s="41">
        <v>4744425.5999999996</v>
      </c>
      <c r="I54" s="41">
        <v>-42840.7</v>
      </c>
      <c r="J54" s="41">
        <v>-284304.45</v>
      </c>
      <c r="K54" s="41">
        <v>5810.9</v>
      </c>
      <c r="L54" s="41">
        <v>4423091.3499999996</v>
      </c>
      <c r="M54" s="27">
        <v>812245.83</v>
      </c>
      <c r="N54" s="46">
        <v>506312.6</v>
      </c>
      <c r="O54" s="41">
        <v>0</v>
      </c>
      <c r="P54" s="41">
        <v>812245.83</v>
      </c>
      <c r="Q54" s="41">
        <v>224551.33</v>
      </c>
      <c r="R54" s="41">
        <v>129401.55</v>
      </c>
      <c r="S54" s="41">
        <v>3610845.52</v>
      </c>
      <c r="T54" s="41">
        <v>3964798.4</v>
      </c>
      <c r="U54" s="41">
        <v>18.36</v>
      </c>
      <c r="V54" s="41">
        <v>29.81</v>
      </c>
    </row>
    <row r="55" spans="1:22" hidden="1" x14ac:dyDescent="0.35">
      <c r="A55" s="41">
        <v>905410</v>
      </c>
      <c r="B55" s="41">
        <v>942</v>
      </c>
      <c r="C55" s="41">
        <v>3</v>
      </c>
      <c r="D55" s="41" t="s">
        <v>1062</v>
      </c>
      <c r="E55" s="41">
        <v>5</v>
      </c>
      <c r="F55" s="41">
        <v>2024</v>
      </c>
      <c r="G55" s="41" t="s">
        <v>2096</v>
      </c>
      <c r="H55" s="41">
        <v>0</v>
      </c>
      <c r="I55" s="41">
        <v>-6567304.3700000001</v>
      </c>
      <c r="J55" s="41">
        <v>19262586.620000001</v>
      </c>
      <c r="K55" s="41">
        <v>-7635.61</v>
      </c>
      <c r="L55" s="41">
        <v>12687646.640000001</v>
      </c>
      <c r="M55" s="78">
        <v>9073418.1199999992</v>
      </c>
      <c r="N55" s="46">
        <v>477679.23</v>
      </c>
      <c r="O55" s="41">
        <v>4496.8500000000004</v>
      </c>
      <c r="P55" s="41">
        <v>9077914.9700000007</v>
      </c>
      <c r="Q55" s="41">
        <v>194351.94</v>
      </c>
      <c r="R55" s="41">
        <v>110945.97</v>
      </c>
      <c r="S55" s="41">
        <v>3609731.79</v>
      </c>
      <c r="T55" s="41">
        <v>3915029.7</v>
      </c>
      <c r="U55" s="41">
        <v>71.55</v>
      </c>
      <c r="V55" s="41">
        <v>75.31</v>
      </c>
    </row>
    <row r="56" spans="1:22" hidden="1" x14ac:dyDescent="0.35">
      <c r="A56" s="41">
        <v>905410</v>
      </c>
      <c r="B56" s="41">
        <v>942</v>
      </c>
      <c r="C56" s="41">
        <v>3</v>
      </c>
      <c r="D56" s="41" t="s">
        <v>1062</v>
      </c>
      <c r="E56" s="41">
        <v>6</v>
      </c>
      <c r="F56" s="41">
        <v>2022</v>
      </c>
      <c r="G56" s="41" t="s">
        <v>2097</v>
      </c>
      <c r="H56" s="41">
        <v>68427.100000000006</v>
      </c>
      <c r="I56" s="41">
        <v>0</v>
      </c>
      <c r="J56" s="41">
        <v>-774.79</v>
      </c>
      <c r="K56" s="41">
        <v>-132.6</v>
      </c>
      <c r="L56" s="41">
        <v>67519.710000000006</v>
      </c>
      <c r="M56" s="27">
        <v>11674.72</v>
      </c>
      <c r="N56" s="41">
        <v>8008.07</v>
      </c>
      <c r="O56" s="41">
        <v>0</v>
      </c>
      <c r="P56" s="41">
        <v>11674.72</v>
      </c>
      <c r="Q56" s="41">
        <v>3257.94</v>
      </c>
      <c r="R56" s="41">
        <v>2009.77</v>
      </c>
      <c r="S56" s="41">
        <v>55844.99</v>
      </c>
      <c r="T56" s="41">
        <v>61112.7</v>
      </c>
      <c r="U56" s="41">
        <v>17.29</v>
      </c>
      <c r="V56" s="41">
        <v>29.15</v>
      </c>
    </row>
    <row r="57" spans="1:22" hidden="1" x14ac:dyDescent="0.35">
      <c r="A57" s="41">
        <v>905410</v>
      </c>
      <c r="B57" s="41">
        <v>942</v>
      </c>
      <c r="C57" s="41">
        <v>3</v>
      </c>
      <c r="D57" s="41" t="s">
        <v>1062</v>
      </c>
      <c r="E57" s="41">
        <v>6</v>
      </c>
      <c r="F57" s="41">
        <v>2023</v>
      </c>
      <c r="G57" s="41" t="s">
        <v>2098</v>
      </c>
      <c r="H57" s="41">
        <v>34835.599999999999</v>
      </c>
      <c r="I57" s="41">
        <v>0</v>
      </c>
      <c r="J57" s="41">
        <v>-271.06</v>
      </c>
      <c r="K57" s="41">
        <v>-81.8</v>
      </c>
      <c r="L57" s="41">
        <v>34482.74</v>
      </c>
      <c r="M57" s="27">
        <v>6435.04</v>
      </c>
      <c r="N57" s="41">
        <v>3441.23</v>
      </c>
      <c r="O57" s="41">
        <v>0</v>
      </c>
      <c r="P57" s="41">
        <v>6435.04</v>
      </c>
      <c r="Q57" s="41">
        <v>1772.1</v>
      </c>
      <c r="R57" s="41">
        <v>1042.8</v>
      </c>
      <c r="S57" s="41">
        <v>28047.7</v>
      </c>
      <c r="T57" s="41">
        <v>30862.6</v>
      </c>
      <c r="U57" s="41">
        <v>18.66</v>
      </c>
      <c r="V57" s="41">
        <v>28.64</v>
      </c>
    </row>
    <row r="58" spans="1:22" hidden="1" x14ac:dyDescent="0.35">
      <c r="A58" s="41">
        <v>905410</v>
      </c>
      <c r="B58" s="41">
        <v>942</v>
      </c>
      <c r="C58" s="41">
        <v>3</v>
      </c>
      <c r="D58" s="41" t="s">
        <v>1062</v>
      </c>
      <c r="E58" s="41">
        <v>6</v>
      </c>
      <c r="F58" s="41">
        <v>2024</v>
      </c>
      <c r="G58" s="41" t="s">
        <v>2099</v>
      </c>
      <c r="H58" s="41">
        <v>0</v>
      </c>
      <c r="I58" s="41">
        <v>0</v>
      </c>
      <c r="J58" s="41">
        <v>176324.6</v>
      </c>
      <c r="K58" s="41">
        <v>-531</v>
      </c>
      <c r="L58" s="41">
        <v>175793.6</v>
      </c>
      <c r="M58" s="27">
        <v>36323.449999999997</v>
      </c>
      <c r="N58" s="41">
        <v>16666.27</v>
      </c>
      <c r="O58" s="41">
        <v>0</v>
      </c>
      <c r="P58" s="41">
        <v>36323.449999999997</v>
      </c>
      <c r="Q58" s="41">
        <v>3630.79</v>
      </c>
      <c r="R58" s="41">
        <v>1860.66</v>
      </c>
      <c r="S58" s="41">
        <v>139470.15</v>
      </c>
      <c r="T58" s="41">
        <v>144961.60000000001</v>
      </c>
      <c r="U58" s="41">
        <v>20.66</v>
      </c>
      <c r="V58" s="41">
        <v>30.14</v>
      </c>
    </row>
    <row r="59" spans="1:22" x14ac:dyDescent="0.35">
      <c r="A59" s="41">
        <v>905410</v>
      </c>
      <c r="B59" s="41">
        <v>942</v>
      </c>
      <c r="C59" s="41">
        <v>3</v>
      </c>
      <c r="D59" s="41" t="s">
        <v>1062</v>
      </c>
      <c r="E59" s="41">
        <v>7</v>
      </c>
      <c r="F59" s="41">
        <v>2020</v>
      </c>
      <c r="G59" s="41" t="s">
        <v>1087</v>
      </c>
      <c r="H59" s="41">
        <v>18818.900000000001</v>
      </c>
      <c r="I59" s="41">
        <v>0</v>
      </c>
      <c r="J59" s="41">
        <v>2.1800000000000002</v>
      </c>
      <c r="K59" s="41">
        <v>147.5</v>
      </c>
      <c r="L59" s="41">
        <v>18968.580000000002</v>
      </c>
      <c r="M59" s="27">
        <v>29697.79</v>
      </c>
      <c r="N59" s="41">
        <v>27081.67</v>
      </c>
      <c r="O59" s="41">
        <v>0</v>
      </c>
      <c r="P59" s="41">
        <v>29697.79</v>
      </c>
      <c r="Q59" s="41">
        <v>424.48</v>
      </c>
      <c r="R59" s="41">
        <v>-2304.4699999999998</v>
      </c>
      <c r="S59" s="41">
        <v>-10729.21</v>
      </c>
      <c r="T59" s="41">
        <v>-12609.2</v>
      </c>
      <c r="U59" s="41">
        <v>156.56</v>
      </c>
      <c r="V59" s="41">
        <v>299.33</v>
      </c>
    </row>
    <row r="60" spans="1:22" hidden="1" x14ac:dyDescent="0.35">
      <c r="A60" s="41">
        <v>905410</v>
      </c>
      <c r="B60" s="41">
        <v>942</v>
      </c>
      <c r="C60" s="41">
        <v>3</v>
      </c>
      <c r="D60" s="41" t="s">
        <v>1062</v>
      </c>
      <c r="E60" s="41">
        <v>8</v>
      </c>
      <c r="F60" s="41">
        <v>2020</v>
      </c>
      <c r="G60" s="41" t="s">
        <v>1110</v>
      </c>
      <c r="H60" s="41">
        <v>161510</v>
      </c>
      <c r="I60" s="41">
        <v>-5717.2</v>
      </c>
      <c r="J60" s="41">
        <v>0</v>
      </c>
      <c r="K60" s="41">
        <v>-531.1</v>
      </c>
      <c r="L60" s="41">
        <v>155261.70000000001</v>
      </c>
      <c r="M60" s="58">
        <v>0</v>
      </c>
      <c r="N60" s="41">
        <v>0</v>
      </c>
      <c r="O60" s="41">
        <v>0</v>
      </c>
      <c r="P60" s="41">
        <v>0</v>
      </c>
      <c r="Q60" s="41">
        <v>7253.04</v>
      </c>
      <c r="R60" s="41">
        <v>5458.56</v>
      </c>
      <c r="S60" s="41">
        <v>155261.70000000001</v>
      </c>
      <c r="T60" s="41">
        <v>167973.3</v>
      </c>
      <c r="U60" s="41">
        <v>0</v>
      </c>
      <c r="V60" s="41">
        <v>0</v>
      </c>
    </row>
    <row r="61" spans="1:22" hidden="1" x14ac:dyDescent="0.35">
      <c r="A61" s="41">
        <v>905410</v>
      </c>
      <c r="B61" s="41">
        <v>942</v>
      </c>
      <c r="C61" s="41">
        <v>3</v>
      </c>
      <c r="D61" s="41" t="s">
        <v>1062</v>
      </c>
      <c r="E61" s="41">
        <v>8</v>
      </c>
      <c r="F61" s="41">
        <v>2021</v>
      </c>
      <c r="G61" s="41" t="s">
        <v>2100</v>
      </c>
      <c r="H61" s="41">
        <v>97.8</v>
      </c>
      <c r="I61" s="41">
        <v>0</v>
      </c>
      <c r="J61" s="41">
        <v>0</v>
      </c>
      <c r="K61" s="41">
        <v>0</v>
      </c>
      <c r="L61" s="41">
        <v>97.8</v>
      </c>
      <c r="M61" s="58">
        <v>0</v>
      </c>
      <c r="N61" s="41">
        <v>0</v>
      </c>
      <c r="O61" s="41">
        <v>0</v>
      </c>
      <c r="P61" s="41">
        <v>0</v>
      </c>
      <c r="Q61" s="41">
        <v>5.35</v>
      </c>
      <c r="R61" s="41">
        <v>3.35</v>
      </c>
      <c r="S61" s="41">
        <v>97.8</v>
      </c>
      <c r="T61" s="41">
        <v>106.5</v>
      </c>
      <c r="U61" s="41">
        <v>0</v>
      </c>
      <c r="V61" s="41">
        <v>0</v>
      </c>
    </row>
    <row r="62" spans="1:22" hidden="1" x14ac:dyDescent="0.35">
      <c r="A62" s="41">
        <v>905410</v>
      </c>
      <c r="B62" s="41">
        <v>942</v>
      </c>
      <c r="C62" s="41">
        <v>3</v>
      </c>
      <c r="D62" s="41" t="s">
        <v>1062</v>
      </c>
      <c r="E62" s="41">
        <v>9</v>
      </c>
      <c r="F62" s="41">
        <v>2020</v>
      </c>
      <c r="G62" s="41" t="s">
        <v>1111</v>
      </c>
      <c r="H62" s="41">
        <v>1344753</v>
      </c>
      <c r="I62" s="41">
        <v>-14451.9</v>
      </c>
      <c r="J62" s="41">
        <v>0</v>
      </c>
      <c r="K62" s="41">
        <v>-1261.2</v>
      </c>
      <c r="L62" s="41">
        <v>1329039.8999999999</v>
      </c>
      <c r="M62" s="58">
        <v>83.83</v>
      </c>
      <c r="N62" s="41">
        <v>39.340000000000003</v>
      </c>
      <c r="O62" s="41">
        <v>0</v>
      </c>
      <c r="P62" s="41">
        <v>83.83</v>
      </c>
      <c r="Q62" s="41">
        <v>61094.12</v>
      </c>
      <c r="R62" s="41">
        <v>45782.31</v>
      </c>
      <c r="S62" s="41">
        <v>1328956.07</v>
      </c>
      <c r="T62" s="41">
        <v>1435832.5</v>
      </c>
      <c r="U62" s="41">
        <v>0.01</v>
      </c>
      <c r="V62" s="41">
        <v>0.01</v>
      </c>
    </row>
    <row r="63" spans="1:22" hidden="1" x14ac:dyDescent="0.35">
      <c r="A63" s="41">
        <v>905410</v>
      </c>
      <c r="B63" s="41">
        <v>942</v>
      </c>
      <c r="C63" s="41">
        <v>3</v>
      </c>
      <c r="D63" s="41" t="s">
        <v>1062</v>
      </c>
      <c r="E63" s="41">
        <v>10</v>
      </c>
      <c r="F63" s="41">
        <v>2020</v>
      </c>
      <c r="G63" s="41" t="s">
        <v>1112</v>
      </c>
      <c r="H63" s="41">
        <v>495195.9</v>
      </c>
      <c r="I63" s="41">
        <v>-21375.8</v>
      </c>
      <c r="J63" s="41">
        <v>0</v>
      </c>
      <c r="K63" s="41">
        <v>0</v>
      </c>
      <c r="L63" s="41">
        <v>473820.1</v>
      </c>
      <c r="M63" s="58">
        <v>355.8</v>
      </c>
      <c r="N63" s="41">
        <v>139.11000000000001</v>
      </c>
      <c r="O63" s="41">
        <v>0</v>
      </c>
      <c r="P63" s="41">
        <v>355.8</v>
      </c>
      <c r="Q63" s="41">
        <v>22231.66</v>
      </c>
      <c r="R63" s="41">
        <v>16682.240000000002</v>
      </c>
      <c r="S63" s="41">
        <v>473464.3</v>
      </c>
      <c r="T63" s="41">
        <v>512378.2</v>
      </c>
      <c r="U63" s="41">
        <v>0.08</v>
      </c>
      <c r="V63" s="41">
        <v>0.1</v>
      </c>
    </row>
    <row r="64" spans="1:22" hidden="1" x14ac:dyDescent="0.35">
      <c r="A64" s="41">
        <v>905410</v>
      </c>
      <c r="B64" s="41">
        <v>942</v>
      </c>
      <c r="C64" s="41">
        <v>3</v>
      </c>
      <c r="D64" s="41" t="s">
        <v>1062</v>
      </c>
      <c r="E64" s="41">
        <v>16</v>
      </c>
      <c r="F64" s="41">
        <v>2009</v>
      </c>
      <c r="G64" s="41" t="s">
        <v>1077</v>
      </c>
      <c r="H64" s="41">
        <v>21</v>
      </c>
      <c r="I64" s="41">
        <v>0</v>
      </c>
      <c r="J64" s="41">
        <v>0</v>
      </c>
      <c r="K64" s="41">
        <v>0</v>
      </c>
      <c r="L64" s="41">
        <v>21</v>
      </c>
      <c r="M64" s="27">
        <v>19.29</v>
      </c>
      <c r="N64" s="46">
        <v>-0.04</v>
      </c>
      <c r="O64" s="41">
        <v>0</v>
      </c>
      <c r="P64" s="41">
        <v>19.29</v>
      </c>
      <c r="Q64" s="41">
        <v>-7.0000000000000007E-2</v>
      </c>
      <c r="R64" s="41">
        <v>-1.64</v>
      </c>
      <c r="S64" s="41">
        <v>1.71</v>
      </c>
      <c r="T64" s="41">
        <v>0</v>
      </c>
      <c r="U64" s="41">
        <v>91.86</v>
      </c>
      <c r="V64" s="41">
        <v>91.67</v>
      </c>
    </row>
    <row r="65" spans="1:22" hidden="1" x14ac:dyDescent="0.35">
      <c r="A65" s="41">
        <v>905410</v>
      </c>
      <c r="B65" s="41">
        <v>942</v>
      </c>
      <c r="C65" s="41">
        <v>3</v>
      </c>
      <c r="D65" s="41" t="s">
        <v>1062</v>
      </c>
      <c r="E65" s="41">
        <v>20</v>
      </c>
      <c r="F65" s="41">
        <v>2018</v>
      </c>
      <c r="G65" s="41" t="s">
        <v>2101</v>
      </c>
      <c r="H65" s="41">
        <v>-3059.3</v>
      </c>
      <c r="I65" s="41">
        <v>0</v>
      </c>
      <c r="J65" s="41">
        <v>0</v>
      </c>
      <c r="K65" s="41">
        <v>0</v>
      </c>
      <c r="L65" s="41">
        <v>-3059.3</v>
      </c>
      <c r="M65" s="27">
        <v>-3056.39</v>
      </c>
      <c r="N65" s="41">
        <v>0</v>
      </c>
      <c r="O65" s="41">
        <v>0</v>
      </c>
      <c r="P65" s="41">
        <v>-3056.39</v>
      </c>
      <c r="Q65" s="41">
        <v>0</v>
      </c>
      <c r="R65" s="41">
        <v>2.91</v>
      </c>
      <c r="S65" s="41">
        <v>-2.91</v>
      </c>
      <c r="T65" s="41">
        <v>0</v>
      </c>
      <c r="U65" s="41">
        <v>99.9</v>
      </c>
      <c r="V65" s="41">
        <v>99.9</v>
      </c>
    </row>
    <row r="66" spans="1:22" hidden="1" x14ac:dyDescent="0.35">
      <c r="A66" s="41">
        <v>905410</v>
      </c>
      <c r="B66" s="41">
        <v>942</v>
      </c>
      <c r="C66" s="41">
        <v>3</v>
      </c>
      <c r="D66" s="41" t="s">
        <v>1062</v>
      </c>
      <c r="E66" s="41">
        <v>20</v>
      </c>
      <c r="F66" s="41">
        <v>2020</v>
      </c>
      <c r="G66" s="41" t="s">
        <v>1106</v>
      </c>
      <c r="H66" s="41">
        <v>49705.4</v>
      </c>
      <c r="I66" s="41">
        <v>0</v>
      </c>
      <c r="J66" s="41">
        <v>47.74</v>
      </c>
      <c r="K66" s="41">
        <v>0</v>
      </c>
      <c r="L66" s="41">
        <v>49753.14</v>
      </c>
      <c r="M66" s="27">
        <v>20563.689999999999</v>
      </c>
      <c r="N66" s="41">
        <v>23370.05</v>
      </c>
      <c r="O66" s="41">
        <v>0</v>
      </c>
      <c r="P66" s="41">
        <v>20563.689999999999</v>
      </c>
      <c r="Q66" s="41">
        <v>603.15</v>
      </c>
      <c r="R66" s="41">
        <v>23.9</v>
      </c>
      <c r="S66" s="41">
        <v>29189.45</v>
      </c>
      <c r="T66" s="41">
        <v>29816.5</v>
      </c>
      <c r="U66" s="41">
        <v>41.33</v>
      </c>
      <c r="V66" s="41">
        <v>88.3</v>
      </c>
    </row>
    <row r="67" spans="1:22" hidden="1" x14ac:dyDescent="0.35">
      <c r="A67" s="41">
        <v>905410</v>
      </c>
      <c r="B67" s="41">
        <v>942</v>
      </c>
      <c r="C67" s="41">
        <v>3</v>
      </c>
      <c r="D67" s="41" t="s">
        <v>1062</v>
      </c>
      <c r="E67" s="41">
        <v>21</v>
      </c>
      <c r="F67" s="41">
        <v>2020</v>
      </c>
      <c r="G67" s="41" t="s">
        <v>1088</v>
      </c>
      <c r="H67" s="41">
        <v>416099.7</v>
      </c>
      <c r="I67" s="41">
        <v>-6456</v>
      </c>
      <c r="J67" s="41">
        <v>-64.900000000000006</v>
      </c>
      <c r="K67" s="41">
        <v>-82.9</v>
      </c>
      <c r="L67" s="41">
        <v>409495.9</v>
      </c>
      <c r="M67" s="58">
        <v>1203.3699999999999</v>
      </c>
      <c r="N67" s="41">
        <v>645.48</v>
      </c>
      <c r="O67" s="41">
        <v>0</v>
      </c>
      <c r="P67" s="41">
        <v>1203.3699999999999</v>
      </c>
      <c r="Q67" s="41">
        <v>18784.150000000001</v>
      </c>
      <c r="R67" s="41">
        <v>14078.22</v>
      </c>
      <c r="S67" s="41">
        <v>408292.53</v>
      </c>
      <c r="T67" s="41">
        <v>441154.9</v>
      </c>
      <c r="U67" s="41">
        <v>0.28999999999999998</v>
      </c>
      <c r="V67" s="41">
        <v>0.45</v>
      </c>
    </row>
    <row r="68" spans="1:22" hidden="1" x14ac:dyDescent="0.35">
      <c r="A68" s="41">
        <v>905410</v>
      </c>
      <c r="B68" s="41">
        <v>942</v>
      </c>
      <c r="C68" s="41">
        <v>3</v>
      </c>
      <c r="D68" s="41" t="s">
        <v>1062</v>
      </c>
      <c r="E68" s="41">
        <v>30</v>
      </c>
      <c r="F68" s="41">
        <v>2021</v>
      </c>
      <c r="G68" s="41" t="s">
        <v>1113</v>
      </c>
      <c r="H68" s="41">
        <v>9</v>
      </c>
      <c r="I68" s="41">
        <v>0</v>
      </c>
      <c r="J68" s="41">
        <v>0</v>
      </c>
      <c r="K68" s="41">
        <v>0</v>
      </c>
      <c r="L68" s="41">
        <v>9</v>
      </c>
      <c r="M68" s="58">
        <v>-3.65</v>
      </c>
      <c r="N68" s="41">
        <v>-1.47</v>
      </c>
      <c r="O68" s="41">
        <v>0</v>
      </c>
      <c r="P68" s="41">
        <v>-3.65</v>
      </c>
      <c r="Q68" s="41">
        <v>0.88</v>
      </c>
      <c r="R68" s="41">
        <v>0.37</v>
      </c>
      <c r="S68" s="41">
        <v>12.65</v>
      </c>
      <c r="T68" s="41">
        <v>13.9</v>
      </c>
      <c r="U68" s="41">
        <v>-40.56</v>
      </c>
      <c r="V68" s="41">
        <v>-56.89</v>
      </c>
    </row>
    <row r="69" spans="1:22" hidden="1" x14ac:dyDescent="0.35">
      <c r="A69" s="41">
        <v>905410</v>
      </c>
      <c r="B69" s="41">
        <v>942</v>
      </c>
      <c r="C69" s="41">
        <v>3</v>
      </c>
      <c r="D69" s="41" t="s">
        <v>1062</v>
      </c>
      <c r="E69" s="41">
        <v>50</v>
      </c>
      <c r="F69" s="41">
        <v>2022</v>
      </c>
      <c r="G69" s="41" t="s">
        <v>2102</v>
      </c>
      <c r="H69" s="41">
        <v>2886375.9</v>
      </c>
      <c r="I69" s="41">
        <v>-6212.1</v>
      </c>
      <c r="J69" s="41">
        <v>-28265.18</v>
      </c>
      <c r="K69" s="41">
        <v>-20619.28</v>
      </c>
      <c r="L69" s="41">
        <v>2831279.34</v>
      </c>
      <c r="M69" s="58">
        <v>591889.98</v>
      </c>
      <c r="N69" s="41">
        <v>391969.99</v>
      </c>
      <c r="O69" s="41">
        <v>0</v>
      </c>
      <c r="P69" s="41">
        <v>591889.98</v>
      </c>
      <c r="Q69" s="41">
        <v>135910.69</v>
      </c>
      <c r="R69" s="41">
        <v>83627.850000000006</v>
      </c>
      <c r="S69" s="41">
        <v>2239389.36</v>
      </c>
      <c r="T69" s="41">
        <v>2458927.9</v>
      </c>
      <c r="U69" s="41">
        <v>20.91</v>
      </c>
      <c r="V69" s="41">
        <v>34.75</v>
      </c>
    </row>
    <row r="70" spans="1:22" hidden="1" x14ac:dyDescent="0.35">
      <c r="A70" s="41">
        <v>905410</v>
      </c>
      <c r="B70" s="41">
        <v>942</v>
      </c>
      <c r="C70" s="41">
        <v>3</v>
      </c>
      <c r="D70" s="41" t="s">
        <v>1062</v>
      </c>
      <c r="E70" s="41">
        <v>56</v>
      </c>
      <c r="F70" s="41">
        <v>2018</v>
      </c>
      <c r="G70" s="41" t="s">
        <v>2103</v>
      </c>
      <c r="H70" s="41">
        <v>-1277.8</v>
      </c>
      <c r="I70" s="41">
        <v>0</v>
      </c>
      <c r="J70" s="41">
        <v>0</v>
      </c>
      <c r="K70" s="41">
        <v>0</v>
      </c>
      <c r="L70" s="41">
        <v>-1277.8</v>
      </c>
      <c r="M70" s="27">
        <v>-1276.55</v>
      </c>
      <c r="N70" s="41">
        <v>0</v>
      </c>
      <c r="O70" s="41">
        <v>0</v>
      </c>
      <c r="P70" s="41">
        <v>-1276.55</v>
      </c>
      <c r="Q70" s="41">
        <v>0.03</v>
      </c>
      <c r="R70" s="41">
        <v>1.22</v>
      </c>
      <c r="S70" s="41">
        <v>-1.25</v>
      </c>
      <c r="T70" s="41">
        <v>0</v>
      </c>
      <c r="U70" s="41">
        <v>99.9</v>
      </c>
      <c r="V70" s="41">
        <v>99.9</v>
      </c>
    </row>
    <row r="71" spans="1:22" hidden="1" x14ac:dyDescent="0.35">
      <c r="A71" s="41">
        <v>905410</v>
      </c>
      <c r="B71" s="41">
        <v>942</v>
      </c>
      <c r="C71" s="41">
        <v>3</v>
      </c>
      <c r="D71" s="41" t="s">
        <v>1062</v>
      </c>
      <c r="E71" s="41">
        <v>56</v>
      </c>
      <c r="F71" s="41">
        <v>2020</v>
      </c>
      <c r="G71" s="41" t="s">
        <v>1107</v>
      </c>
      <c r="H71" s="41">
        <v>21972.400000000001</v>
      </c>
      <c r="I71" s="41">
        <v>0</v>
      </c>
      <c r="J71" s="41">
        <v>0.47</v>
      </c>
      <c r="K71" s="41">
        <v>48.5</v>
      </c>
      <c r="L71" s="41">
        <v>22021.37</v>
      </c>
      <c r="M71" s="27">
        <v>11810.44</v>
      </c>
      <c r="N71" s="41">
        <v>6635.77</v>
      </c>
      <c r="O71" s="41">
        <v>0</v>
      </c>
      <c r="P71" s="41">
        <v>11810.44</v>
      </c>
      <c r="Q71" s="41">
        <v>333.62</v>
      </c>
      <c r="R71" s="41">
        <v>-282.64999999999998</v>
      </c>
      <c r="S71" s="41">
        <v>10210.93</v>
      </c>
      <c r="T71" s="41">
        <v>10261.9</v>
      </c>
      <c r="U71" s="41">
        <v>53.63</v>
      </c>
      <c r="V71" s="41">
        <v>83.77</v>
      </c>
    </row>
    <row r="72" spans="1:22" hidden="1" x14ac:dyDescent="0.35">
      <c r="A72" s="41">
        <v>905410</v>
      </c>
      <c r="B72" s="41">
        <v>942</v>
      </c>
      <c r="C72" s="41">
        <v>3</v>
      </c>
      <c r="D72" s="41" t="s">
        <v>1062</v>
      </c>
      <c r="E72" s="41">
        <v>72</v>
      </c>
      <c r="F72" s="41">
        <v>2023</v>
      </c>
      <c r="G72" s="41" t="s">
        <v>2104</v>
      </c>
      <c r="H72" s="41">
        <v>33915.699999999997</v>
      </c>
      <c r="I72" s="41">
        <v>0</v>
      </c>
      <c r="J72" s="41">
        <v>-11.52</v>
      </c>
      <c r="K72" s="41">
        <v>-159.30000000000001</v>
      </c>
      <c r="L72" s="41">
        <v>33744.879999999997</v>
      </c>
      <c r="M72" s="58">
        <v>8825.7999999999993</v>
      </c>
      <c r="N72" s="41">
        <v>3622.79</v>
      </c>
      <c r="O72" s="41">
        <v>0</v>
      </c>
      <c r="P72" s="41">
        <v>8825.7999999999993</v>
      </c>
      <c r="Q72" s="41">
        <v>1645.47</v>
      </c>
      <c r="R72" s="41">
        <v>966.15</v>
      </c>
      <c r="S72" s="41">
        <v>24919.08</v>
      </c>
      <c r="T72" s="41">
        <v>27530.7</v>
      </c>
      <c r="U72" s="41">
        <v>26.15</v>
      </c>
      <c r="V72" s="41">
        <v>36.89</v>
      </c>
    </row>
    <row r="73" spans="1:22" hidden="1" x14ac:dyDescent="0.35">
      <c r="A73" s="41">
        <v>905410</v>
      </c>
      <c r="B73" s="41">
        <v>942</v>
      </c>
      <c r="C73" s="41">
        <v>3</v>
      </c>
      <c r="D73" s="41" t="s">
        <v>1062</v>
      </c>
      <c r="E73" s="41">
        <v>72</v>
      </c>
      <c r="F73" s="41">
        <v>2024</v>
      </c>
      <c r="G73" s="41" t="s">
        <v>2105</v>
      </c>
      <c r="H73" s="41">
        <v>0</v>
      </c>
      <c r="I73" s="41">
        <v>0</v>
      </c>
      <c r="J73" s="41">
        <v>48606.23</v>
      </c>
      <c r="K73" s="41">
        <v>-150.44999999999999</v>
      </c>
      <c r="L73" s="41">
        <v>48455.78</v>
      </c>
      <c r="M73" s="58">
        <v>16100.87</v>
      </c>
      <c r="N73" s="41">
        <v>4286.47</v>
      </c>
      <c r="O73" s="41">
        <v>0</v>
      </c>
      <c r="P73" s="41">
        <v>16100.87</v>
      </c>
      <c r="Q73" s="41">
        <v>1470.15</v>
      </c>
      <c r="R73" s="41">
        <v>758.94</v>
      </c>
      <c r="S73" s="41">
        <v>32354.91</v>
      </c>
      <c r="T73" s="41">
        <v>34584</v>
      </c>
      <c r="U73" s="41">
        <v>33.229999999999997</v>
      </c>
      <c r="V73" s="41">
        <v>42.07</v>
      </c>
    </row>
    <row r="74" spans="1:22" hidden="1" x14ac:dyDescent="0.35">
      <c r="A74" s="41">
        <v>905410</v>
      </c>
      <c r="B74" s="41">
        <v>942</v>
      </c>
      <c r="C74" s="41">
        <v>3</v>
      </c>
      <c r="D74" s="41" t="s">
        <v>1062</v>
      </c>
      <c r="E74" s="41">
        <v>80</v>
      </c>
      <c r="F74" s="41">
        <v>2020</v>
      </c>
      <c r="G74" s="41" t="s">
        <v>1089</v>
      </c>
      <c r="H74" s="41">
        <v>732758.8</v>
      </c>
      <c r="I74" s="41">
        <v>-3997.9</v>
      </c>
      <c r="J74" s="41">
        <v>-3632.76</v>
      </c>
      <c r="K74" s="41">
        <v>-3217.4</v>
      </c>
      <c r="L74" s="41">
        <v>721910.74</v>
      </c>
      <c r="M74" s="27">
        <v>19876.61</v>
      </c>
      <c r="N74" s="41">
        <v>26854.02</v>
      </c>
      <c r="O74" s="41">
        <v>0</v>
      </c>
      <c r="P74" s="41">
        <v>19876.61</v>
      </c>
      <c r="Q74" s="41">
        <v>32786.58</v>
      </c>
      <c r="R74" s="41">
        <v>24112.09</v>
      </c>
      <c r="S74" s="41">
        <v>702034.13</v>
      </c>
      <c r="T74" s="41">
        <v>758932.8</v>
      </c>
      <c r="U74" s="41">
        <v>2.75</v>
      </c>
      <c r="V74" s="41">
        <v>6.47</v>
      </c>
    </row>
    <row r="75" spans="1:22" hidden="1" x14ac:dyDescent="0.35">
      <c r="A75" s="41">
        <v>905410</v>
      </c>
      <c r="B75" s="41">
        <v>942</v>
      </c>
      <c r="C75" s="41">
        <v>3</v>
      </c>
      <c r="D75" s="41" t="s">
        <v>1062</v>
      </c>
      <c r="E75" s="41">
        <v>80</v>
      </c>
      <c r="F75" s="41">
        <v>2021</v>
      </c>
      <c r="G75" s="41" t="s">
        <v>1090</v>
      </c>
      <c r="H75" s="41">
        <v>130633.8</v>
      </c>
      <c r="I75" s="41">
        <v>-194.1</v>
      </c>
      <c r="J75" s="41">
        <v>-1410.51</v>
      </c>
      <c r="K75" s="41">
        <v>-141</v>
      </c>
      <c r="L75" s="41">
        <v>128888.19</v>
      </c>
      <c r="M75" s="27">
        <v>9637.5499999999993</v>
      </c>
      <c r="N75" s="41">
        <v>9600.58</v>
      </c>
      <c r="O75" s="41">
        <v>0</v>
      </c>
      <c r="P75" s="41">
        <v>9637.5499999999993</v>
      </c>
      <c r="Q75" s="41">
        <v>6408.59</v>
      </c>
      <c r="R75" s="41">
        <v>4164.37</v>
      </c>
      <c r="S75" s="41">
        <v>119250.64</v>
      </c>
      <c r="T75" s="41">
        <v>129823.6</v>
      </c>
      <c r="U75" s="41">
        <v>7.48</v>
      </c>
      <c r="V75" s="41">
        <v>14.93</v>
      </c>
    </row>
    <row r="76" spans="1:22" hidden="1" x14ac:dyDescent="0.35">
      <c r="A76" s="41">
        <v>905410</v>
      </c>
      <c r="B76" s="41">
        <v>942</v>
      </c>
      <c r="C76" s="41">
        <v>3</v>
      </c>
      <c r="D76" s="41" t="s">
        <v>1062</v>
      </c>
      <c r="E76" s="41">
        <v>80</v>
      </c>
      <c r="F76" s="41">
        <v>2022</v>
      </c>
      <c r="G76" s="41" t="s">
        <v>2106</v>
      </c>
      <c r="H76" s="41">
        <v>1346.3</v>
      </c>
      <c r="I76" s="41">
        <v>0</v>
      </c>
      <c r="J76" s="41">
        <v>61.03</v>
      </c>
      <c r="K76" s="41">
        <v>0</v>
      </c>
      <c r="L76" s="41">
        <v>1407.33</v>
      </c>
      <c r="M76" s="27">
        <v>277.41000000000003</v>
      </c>
      <c r="N76" s="41">
        <v>331.1</v>
      </c>
      <c r="O76" s="41">
        <v>0</v>
      </c>
      <c r="P76" s="41">
        <v>277.41000000000003</v>
      </c>
      <c r="Q76" s="41">
        <v>60.15</v>
      </c>
      <c r="R76" s="41">
        <v>37.43</v>
      </c>
      <c r="S76" s="41">
        <v>1129.92</v>
      </c>
      <c r="T76" s="41">
        <v>1227.5</v>
      </c>
      <c r="U76" s="41">
        <v>19.71</v>
      </c>
      <c r="V76" s="41">
        <v>43.24</v>
      </c>
    </row>
    <row r="77" spans="1:22" hidden="1" x14ac:dyDescent="0.35">
      <c r="A77" s="41">
        <v>905410</v>
      </c>
      <c r="B77" s="41">
        <v>942</v>
      </c>
      <c r="C77" s="41">
        <v>3</v>
      </c>
      <c r="D77" s="41" t="s">
        <v>1062</v>
      </c>
      <c r="E77" s="41">
        <v>81</v>
      </c>
      <c r="F77" s="41">
        <v>2020</v>
      </c>
      <c r="G77" s="41" t="s">
        <v>1114</v>
      </c>
      <c r="H77" s="41">
        <v>1286345.1000000001</v>
      </c>
      <c r="I77" s="41">
        <v>-23893</v>
      </c>
      <c r="J77" s="41">
        <v>0</v>
      </c>
      <c r="K77" s="41">
        <v>0</v>
      </c>
      <c r="L77" s="41">
        <v>1262452.1000000001</v>
      </c>
      <c r="M77" s="58">
        <v>0</v>
      </c>
      <c r="N77" s="41">
        <v>0</v>
      </c>
      <c r="O77" s="41">
        <v>0</v>
      </c>
      <c r="P77" s="41">
        <v>0</v>
      </c>
      <c r="Q77" s="41">
        <v>60660.36</v>
      </c>
      <c r="R77" s="41">
        <v>43313.24</v>
      </c>
      <c r="S77" s="41">
        <v>1262452.1000000001</v>
      </c>
      <c r="T77" s="41">
        <v>1366425.7</v>
      </c>
      <c r="U77" s="41">
        <v>0</v>
      </c>
      <c r="V77" s="41">
        <v>0</v>
      </c>
    </row>
    <row r="78" spans="1:22" hidden="1" x14ac:dyDescent="0.35">
      <c r="A78" s="41">
        <v>905410</v>
      </c>
      <c r="B78" s="41">
        <v>942</v>
      </c>
      <c r="C78" s="41">
        <v>3</v>
      </c>
      <c r="D78" s="41" t="s">
        <v>1062</v>
      </c>
      <c r="E78" s="41">
        <v>81</v>
      </c>
      <c r="F78" s="41">
        <v>2021</v>
      </c>
      <c r="G78" s="41" t="s">
        <v>1114</v>
      </c>
      <c r="H78" s="41">
        <v>111014.2</v>
      </c>
      <c r="I78" s="41">
        <v>0</v>
      </c>
      <c r="J78" s="41">
        <v>0</v>
      </c>
      <c r="K78" s="41">
        <v>0</v>
      </c>
      <c r="L78" s="41">
        <v>111014.2</v>
      </c>
      <c r="M78" s="58">
        <v>0</v>
      </c>
      <c r="N78" s="41">
        <v>0</v>
      </c>
      <c r="O78" s="41">
        <v>0</v>
      </c>
      <c r="P78" s="41">
        <v>0</v>
      </c>
      <c r="Q78" s="41">
        <v>6095.61</v>
      </c>
      <c r="R78" s="41">
        <v>3802.59</v>
      </c>
      <c r="S78" s="41">
        <v>111014.2</v>
      </c>
      <c r="T78" s="41">
        <v>120912.4</v>
      </c>
      <c r="U78" s="41">
        <v>0</v>
      </c>
      <c r="V78" s="41">
        <v>0</v>
      </c>
    </row>
    <row r="79" spans="1:22" hidden="1" x14ac:dyDescent="0.35">
      <c r="A79" s="41">
        <v>905410</v>
      </c>
      <c r="B79" s="41">
        <v>942</v>
      </c>
      <c r="C79" s="41">
        <v>3</v>
      </c>
      <c r="D79" s="41" t="s">
        <v>1062</v>
      </c>
      <c r="E79" s="41">
        <v>82</v>
      </c>
      <c r="F79" s="41">
        <v>2020</v>
      </c>
      <c r="G79" s="41" t="s">
        <v>1091</v>
      </c>
      <c r="H79" s="41">
        <v>26419.5</v>
      </c>
      <c r="I79" s="41">
        <v>-13.1</v>
      </c>
      <c r="J79" s="41">
        <v>-137.69999999999999</v>
      </c>
      <c r="K79" s="41">
        <v>-57.4</v>
      </c>
      <c r="L79" s="41">
        <v>26211.3</v>
      </c>
      <c r="M79" s="27">
        <v>1475.85</v>
      </c>
      <c r="N79" s="41">
        <v>1201.4000000000001</v>
      </c>
      <c r="O79" s="41">
        <v>0</v>
      </c>
      <c r="P79" s="41">
        <v>1475.85</v>
      </c>
      <c r="Q79" s="41">
        <v>1182.3699999999999</v>
      </c>
      <c r="R79" s="41">
        <v>857.68</v>
      </c>
      <c r="S79" s="41">
        <v>24735.45</v>
      </c>
      <c r="T79" s="41">
        <v>26775.5</v>
      </c>
      <c r="U79" s="41">
        <v>5.63</v>
      </c>
      <c r="V79" s="41">
        <v>10.210000000000001</v>
      </c>
    </row>
    <row r="80" spans="1:22" hidden="1" x14ac:dyDescent="0.35">
      <c r="A80" s="41">
        <v>905410</v>
      </c>
      <c r="B80" s="41">
        <v>942</v>
      </c>
      <c r="C80" s="41">
        <v>3</v>
      </c>
      <c r="D80" s="41" t="s">
        <v>1062</v>
      </c>
      <c r="E80" s="41">
        <v>82</v>
      </c>
      <c r="F80" s="41">
        <v>2021</v>
      </c>
      <c r="G80" s="41" t="s">
        <v>1092</v>
      </c>
      <c r="H80" s="41">
        <v>17684</v>
      </c>
      <c r="I80" s="41">
        <v>0</v>
      </c>
      <c r="J80" s="41">
        <v>-214.41</v>
      </c>
      <c r="K80" s="41">
        <v>-12.4</v>
      </c>
      <c r="L80" s="41">
        <v>17457.189999999999</v>
      </c>
      <c r="M80" s="27">
        <v>997.66</v>
      </c>
      <c r="N80" s="41">
        <v>1040.97</v>
      </c>
      <c r="O80" s="41">
        <v>0</v>
      </c>
      <c r="P80" s="41">
        <v>997.66</v>
      </c>
      <c r="Q80" s="41">
        <v>897.46</v>
      </c>
      <c r="R80" s="41">
        <v>571.91</v>
      </c>
      <c r="S80" s="41">
        <v>16459.53</v>
      </c>
      <c r="T80" s="41">
        <v>17928.900000000001</v>
      </c>
      <c r="U80" s="41">
        <v>5.71</v>
      </c>
      <c r="V80" s="41">
        <v>11.68</v>
      </c>
    </row>
    <row r="81" spans="1:22" hidden="1" x14ac:dyDescent="0.35">
      <c r="A81" s="41">
        <v>905410</v>
      </c>
      <c r="B81" s="41">
        <v>942</v>
      </c>
      <c r="C81" s="41">
        <v>3</v>
      </c>
      <c r="D81" s="41" t="s">
        <v>1062</v>
      </c>
      <c r="E81" s="41">
        <v>82</v>
      </c>
      <c r="F81" s="41">
        <v>2022</v>
      </c>
      <c r="G81" s="41" t="s">
        <v>2107</v>
      </c>
      <c r="H81" s="41">
        <v>331.7</v>
      </c>
      <c r="I81" s="41">
        <v>0</v>
      </c>
      <c r="J81" s="41">
        <v>0</v>
      </c>
      <c r="K81" s="41">
        <v>0</v>
      </c>
      <c r="L81" s="41">
        <v>331.7</v>
      </c>
      <c r="M81" s="27">
        <v>50.9</v>
      </c>
      <c r="N81" s="41">
        <v>72.63</v>
      </c>
      <c r="O81" s="41">
        <v>0</v>
      </c>
      <c r="P81" s="41">
        <v>50.9</v>
      </c>
      <c r="Q81" s="41">
        <v>14.85</v>
      </c>
      <c r="R81" s="41">
        <v>10.55</v>
      </c>
      <c r="S81" s="41">
        <v>280.8</v>
      </c>
      <c r="T81" s="41">
        <v>306.2</v>
      </c>
      <c r="U81" s="41">
        <v>15.35</v>
      </c>
      <c r="V81" s="41">
        <v>37.24</v>
      </c>
    </row>
    <row r="82" spans="1:22" hidden="1" x14ac:dyDescent="0.35">
      <c r="A82" s="41">
        <v>905410</v>
      </c>
      <c r="B82" s="41">
        <v>942</v>
      </c>
      <c r="C82" s="41">
        <v>3</v>
      </c>
      <c r="D82" s="41" t="s">
        <v>1062</v>
      </c>
      <c r="E82" s="41">
        <v>84</v>
      </c>
      <c r="F82" s="41">
        <v>2020</v>
      </c>
      <c r="G82" s="41" t="s">
        <v>1108</v>
      </c>
      <c r="H82" s="41">
        <v>6341811.2000000002</v>
      </c>
      <c r="I82" s="41">
        <v>-319814.2</v>
      </c>
      <c r="J82" s="41">
        <v>0</v>
      </c>
      <c r="K82" s="41">
        <v>0</v>
      </c>
      <c r="L82" s="41">
        <v>6021997</v>
      </c>
      <c r="M82" s="27">
        <v>462.8</v>
      </c>
      <c r="N82" s="41">
        <v>0</v>
      </c>
      <c r="O82" s="41">
        <v>0</v>
      </c>
      <c r="P82" s="41">
        <v>462.8</v>
      </c>
      <c r="Q82" s="41">
        <v>278429.09000000003</v>
      </c>
      <c r="R82" s="41">
        <v>207701.71</v>
      </c>
      <c r="S82" s="41">
        <v>6021534.2000000002</v>
      </c>
      <c r="T82" s="41">
        <v>6507665</v>
      </c>
      <c r="U82" s="41">
        <v>0.01</v>
      </c>
      <c r="V82" s="41">
        <v>0.01</v>
      </c>
    </row>
    <row r="83" spans="1:22" hidden="1" x14ac:dyDescent="0.35">
      <c r="A83" s="41">
        <v>905410</v>
      </c>
      <c r="B83" s="41">
        <v>942</v>
      </c>
      <c r="C83" s="41">
        <v>3</v>
      </c>
      <c r="D83" s="41" t="s">
        <v>1062</v>
      </c>
      <c r="E83" s="41">
        <v>85</v>
      </c>
      <c r="F83" s="41">
        <v>2020</v>
      </c>
      <c r="G83" s="41" t="s">
        <v>1078</v>
      </c>
      <c r="H83" s="41">
        <v>12171849.199999999</v>
      </c>
      <c r="I83" s="41">
        <v>-456282.9</v>
      </c>
      <c r="J83" s="41">
        <v>0</v>
      </c>
      <c r="K83" s="41">
        <v>0</v>
      </c>
      <c r="L83" s="41">
        <v>11715566.300000001</v>
      </c>
      <c r="M83" s="27">
        <v>40354.65</v>
      </c>
      <c r="N83" s="46">
        <v>0</v>
      </c>
      <c r="O83" s="41">
        <v>0</v>
      </c>
      <c r="P83" s="41">
        <v>40354.65</v>
      </c>
      <c r="Q83" s="41">
        <v>535885.18999999994</v>
      </c>
      <c r="R83" s="41">
        <v>401511.16</v>
      </c>
      <c r="S83" s="41">
        <v>11675211.65</v>
      </c>
      <c r="T83" s="41">
        <v>12612608</v>
      </c>
      <c r="U83" s="41">
        <v>0.34</v>
      </c>
      <c r="V83" s="41">
        <v>0.34</v>
      </c>
    </row>
    <row r="84" spans="1:22" hidden="1" x14ac:dyDescent="0.35">
      <c r="A84" s="41">
        <v>905410</v>
      </c>
      <c r="B84" s="41">
        <v>942</v>
      </c>
      <c r="C84" s="41">
        <v>3</v>
      </c>
      <c r="D84" s="41" t="s">
        <v>1062</v>
      </c>
      <c r="E84" s="41">
        <v>95</v>
      </c>
      <c r="F84" s="41">
        <v>2020</v>
      </c>
      <c r="G84" s="41" t="s">
        <v>1115</v>
      </c>
      <c r="H84" s="41">
        <v>828262.6</v>
      </c>
      <c r="I84" s="41">
        <v>-30699.5</v>
      </c>
      <c r="J84" s="41">
        <v>0</v>
      </c>
      <c r="K84" s="41">
        <v>0</v>
      </c>
      <c r="L84" s="41">
        <v>797563.1</v>
      </c>
      <c r="M84" s="58">
        <v>-0.1</v>
      </c>
      <c r="N84" s="41">
        <v>0</v>
      </c>
      <c r="O84" s="41">
        <v>0</v>
      </c>
      <c r="P84" s="41">
        <v>-0.1</v>
      </c>
      <c r="Q84" s="41">
        <v>37193.68</v>
      </c>
      <c r="R84" s="41">
        <v>27880.62</v>
      </c>
      <c r="S84" s="41">
        <v>797563.2</v>
      </c>
      <c r="T84" s="41">
        <v>862637.5</v>
      </c>
      <c r="U84" s="41">
        <v>0</v>
      </c>
      <c r="V84" s="41">
        <v>0</v>
      </c>
    </row>
    <row r="85" spans="1:22" hidden="1" x14ac:dyDescent="0.35">
      <c r="A85" s="41">
        <v>905410</v>
      </c>
      <c r="B85" s="41">
        <v>942</v>
      </c>
      <c r="C85" s="41">
        <v>3</v>
      </c>
      <c r="D85" s="41" t="s">
        <v>1062</v>
      </c>
      <c r="E85" s="41">
        <v>96</v>
      </c>
      <c r="F85" s="41">
        <v>2020</v>
      </c>
      <c r="G85" s="41" t="s">
        <v>1116</v>
      </c>
      <c r="H85" s="41">
        <v>3490</v>
      </c>
      <c r="I85" s="41">
        <v>0</v>
      </c>
      <c r="J85" s="41">
        <v>0</v>
      </c>
      <c r="K85" s="41">
        <v>0</v>
      </c>
      <c r="L85" s="41">
        <v>3490</v>
      </c>
      <c r="M85" s="58">
        <v>0</v>
      </c>
      <c r="N85" s="41">
        <v>0</v>
      </c>
      <c r="O85" s="41">
        <v>0</v>
      </c>
      <c r="P85" s="41">
        <v>0</v>
      </c>
      <c r="Q85" s="41">
        <v>159.36000000000001</v>
      </c>
      <c r="R85" s="41">
        <v>119.54</v>
      </c>
      <c r="S85" s="41">
        <v>3490</v>
      </c>
      <c r="T85" s="41">
        <v>3768.9</v>
      </c>
      <c r="U85" s="41">
        <v>0</v>
      </c>
      <c r="V85" s="41">
        <v>0</v>
      </c>
    </row>
    <row r="86" spans="1:22" hidden="1" x14ac:dyDescent="0.35">
      <c r="A86" s="41">
        <v>905410</v>
      </c>
      <c r="B86" s="41">
        <v>942</v>
      </c>
      <c r="C86" s="41">
        <v>3</v>
      </c>
      <c r="D86" s="41" t="s">
        <v>1062</v>
      </c>
      <c r="E86" s="41">
        <v>98</v>
      </c>
      <c r="F86" s="41">
        <v>2020</v>
      </c>
      <c r="G86" s="41" t="s">
        <v>1117</v>
      </c>
      <c r="H86" s="41">
        <v>1081.5999999999999</v>
      </c>
      <c r="I86" s="41">
        <v>0</v>
      </c>
      <c r="J86" s="41">
        <v>0</v>
      </c>
      <c r="K86" s="41">
        <v>0</v>
      </c>
      <c r="L86" s="41">
        <v>1081.5999999999999</v>
      </c>
      <c r="M86" s="58">
        <v>0</v>
      </c>
      <c r="N86" s="41">
        <v>0</v>
      </c>
      <c r="O86" s="41">
        <v>0</v>
      </c>
      <c r="P86" s="41">
        <v>0</v>
      </c>
      <c r="Q86" s="41">
        <v>54.16</v>
      </c>
      <c r="R86" s="41">
        <v>37.04</v>
      </c>
      <c r="S86" s="41">
        <v>1081.5999999999999</v>
      </c>
      <c r="T86" s="41">
        <v>1172.8</v>
      </c>
      <c r="U86" s="41">
        <v>0</v>
      </c>
      <c r="V86" s="41">
        <v>0</v>
      </c>
    </row>
  </sheetData>
  <autoFilter ref="A1:V86" xr:uid="{109FA90A-5874-404B-AAFC-4E2EF5CC8DBB}">
    <filterColumn colId="6">
      <filters>
        <filter val="ביוב שנים קודמות 005"/>
        <filter val="ביוב שנים קודמות 012"/>
        <filter val="ביוב שנים קודמות 013"/>
        <filter val="ביוב שנים קודמות 014"/>
        <filter val="ביוב שנים קודמות 015"/>
        <filter val="ביוב שנים קודמות 016"/>
        <filter val="ביוב שנים קודמות 018"/>
        <filter val="היטל ביוב 2020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204D-A3C5-4B93-8D14-0A7839090CB0}">
  <dimension ref="A1:AD467"/>
  <sheetViews>
    <sheetView rightToLeft="1" workbookViewId="0">
      <selection activeCell="G25" sqref="G25"/>
    </sheetView>
  </sheetViews>
  <sheetFormatPr defaultColWidth="9" defaultRowHeight="23.25" x14ac:dyDescent="0.35"/>
  <cols>
    <col min="1" max="16384" width="9" style="41"/>
  </cols>
  <sheetData>
    <row r="1" spans="1:30" x14ac:dyDescent="0.35">
      <c r="A1" s="41" t="s">
        <v>632</v>
      </c>
      <c r="B1" s="41" t="s">
        <v>631</v>
      </c>
      <c r="C1" s="41" t="s">
        <v>630</v>
      </c>
      <c r="D1" s="41" t="s">
        <v>629</v>
      </c>
      <c r="E1" s="41" t="s">
        <v>628</v>
      </c>
      <c r="F1" s="41" t="s">
        <v>627</v>
      </c>
      <c r="G1" s="41" t="s">
        <v>626</v>
      </c>
      <c r="H1" s="41" t="s">
        <v>625</v>
      </c>
      <c r="I1" s="41" t="s">
        <v>624</v>
      </c>
      <c r="J1" s="41" t="s">
        <v>623</v>
      </c>
      <c r="K1" s="41" t="s">
        <v>622</v>
      </c>
      <c r="L1" s="41" t="s">
        <v>621</v>
      </c>
      <c r="M1" s="41" t="s">
        <v>620</v>
      </c>
      <c r="N1" s="41" t="s">
        <v>619</v>
      </c>
      <c r="O1" s="41" t="s">
        <v>618</v>
      </c>
      <c r="P1" s="41" t="s">
        <v>617</v>
      </c>
      <c r="Q1" s="41" t="s">
        <v>616</v>
      </c>
      <c r="R1" s="41" t="s">
        <v>615</v>
      </c>
      <c r="S1" s="41" t="s">
        <v>614</v>
      </c>
      <c r="T1" s="41" t="s">
        <v>613</v>
      </c>
      <c r="U1" s="41" t="s">
        <v>612</v>
      </c>
      <c r="V1" s="41" t="s">
        <v>611</v>
      </c>
      <c r="W1" s="41" t="s">
        <v>610</v>
      </c>
      <c r="X1" s="41" t="s">
        <v>609</v>
      </c>
      <c r="Y1" s="41" t="s">
        <v>608</v>
      </c>
      <c r="Z1" s="41" t="s">
        <v>1693</v>
      </c>
      <c r="AA1" s="41" t="s">
        <v>607</v>
      </c>
      <c r="AB1" s="41" t="s">
        <v>606</v>
      </c>
      <c r="AC1" s="41" t="s">
        <v>818</v>
      </c>
    </row>
    <row r="2" spans="1:30" x14ac:dyDescent="0.35">
      <c r="A2" s="41">
        <v>467</v>
      </c>
      <c r="B2" s="41">
        <v>2590860</v>
      </c>
      <c r="C2" s="41">
        <v>25908609</v>
      </c>
      <c r="D2" s="41" t="s">
        <v>434</v>
      </c>
      <c r="E2" s="41" t="s">
        <v>544</v>
      </c>
      <c r="F2" s="41">
        <v>812200</v>
      </c>
      <c r="G2" s="41" t="s">
        <v>1972</v>
      </c>
      <c r="H2" s="41">
        <v>90541</v>
      </c>
      <c r="I2" s="41" t="s">
        <v>819</v>
      </c>
      <c r="J2" s="41">
        <v>49</v>
      </c>
      <c r="K2" s="41">
        <v>2</v>
      </c>
      <c r="L2" s="41">
        <v>3</v>
      </c>
      <c r="M2" s="41">
        <v>100</v>
      </c>
      <c r="N2" s="41">
        <v>13786.48</v>
      </c>
      <c r="O2" s="41">
        <v>2322.62</v>
      </c>
      <c r="P2" s="41">
        <v>512.1</v>
      </c>
      <c r="Q2" s="41">
        <v>10185.6</v>
      </c>
      <c r="R2" s="41">
        <v>0</v>
      </c>
      <c r="S2" s="41">
        <v>0</v>
      </c>
      <c r="T2" s="41">
        <v>0</v>
      </c>
      <c r="U2" s="41">
        <v>0</v>
      </c>
      <c r="V2" s="41">
        <v>185.6</v>
      </c>
      <c r="W2" s="41">
        <v>200</v>
      </c>
      <c r="X2" s="41">
        <v>9800</v>
      </c>
      <c r="Y2" s="41">
        <v>766.16</v>
      </c>
      <c r="Z2" s="41">
        <v>0</v>
      </c>
      <c r="AA2" s="41">
        <v>0</v>
      </c>
      <c r="AB2" s="41">
        <v>1812200</v>
      </c>
      <c r="AC2" s="41" t="s">
        <v>433</v>
      </c>
      <c r="AD2" s="41" t="s">
        <v>433</v>
      </c>
    </row>
    <row r="3" spans="1:30" x14ac:dyDescent="0.35">
      <c r="A3" s="41">
        <v>467</v>
      </c>
      <c r="B3" s="41">
        <v>2618322</v>
      </c>
      <c r="C3" s="41">
        <v>26183228</v>
      </c>
      <c r="D3" s="41" t="s">
        <v>434</v>
      </c>
      <c r="E3" s="41" t="s">
        <v>597</v>
      </c>
      <c r="F3" s="41">
        <v>812200</v>
      </c>
      <c r="G3" s="41" t="s">
        <v>1972</v>
      </c>
      <c r="H3" s="41">
        <v>90541</v>
      </c>
      <c r="I3" s="41" t="s">
        <v>819</v>
      </c>
      <c r="J3" s="41">
        <v>49</v>
      </c>
      <c r="K3" s="41">
        <v>2</v>
      </c>
      <c r="L3" s="41">
        <v>3</v>
      </c>
      <c r="M3" s="41">
        <v>100</v>
      </c>
      <c r="N3" s="41">
        <v>13263.2</v>
      </c>
      <c r="O3" s="41">
        <v>2242.59</v>
      </c>
      <c r="P3" s="41">
        <v>485.4</v>
      </c>
      <c r="Q3" s="41">
        <v>9798.1</v>
      </c>
      <c r="R3" s="41">
        <v>0</v>
      </c>
      <c r="S3" s="41">
        <v>0</v>
      </c>
      <c r="T3" s="41">
        <v>0</v>
      </c>
      <c r="U3" s="41">
        <v>0</v>
      </c>
      <c r="V3" s="41">
        <v>185.6</v>
      </c>
      <c r="W3" s="41">
        <v>0</v>
      </c>
      <c r="X3" s="41">
        <v>9612.5</v>
      </c>
      <c r="Y3" s="41">
        <v>737.11</v>
      </c>
      <c r="Z3" s="41">
        <v>0</v>
      </c>
      <c r="AA3" s="41">
        <v>0</v>
      </c>
      <c r="AB3" s="41">
        <v>1812200</v>
      </c>
      <c r="AC3" s="41" t="s">
        <v>433</v>
      </c>
      <c r="AD3" s="41" t="s">
        <v>433</v>
      </c>
    </row>
    <row r="4" spans="1:30" x14ac:dyDescent="0.35">
      <c r="A4" s="41">
        <v>467</v>
      </c>
      <c r="B4" s="41">
        <v>2619544</v>
      </c>
      <c r="C4" s="41">
        <v>26195446</v>
      </c>
      <c r="D4" s="41" t="s">
        <v>538</v>
      </c>
      <c r="E4" s="41" t="s">
        <v>820</v>
      </c>
      <c r="F4" s="41">
        <v>812200</v>
      </c>
      <c r="G4" s="41" t="s">
        <v>1972</v>
      </c>
      <c r="H4" s="41">
        <v>90541</v>
      </c>
      <c r="I4" s="41" t="s">
        <v>1694</v>
      </c>
      <c r="J4" s="41">
        <v>5</v>
      </c>
      <c r="K4" s="41">
        <v>5</v>
      </c>
      <c r="L4" s="41">
        <v>0</v>
      </c>
      <c r="M4" s="41">
        <v>67.7</v>
      </c>
      <c r="N4" s="41">
        <v>5067.84</v>
      </c>
      <c r="O4" s="41">
        <v>631.87</v>
      </c>
      <c r="P4" s="41">
        <v>142.77000000000001</v>
      </c>
      <c r="Q4" s="41">
        <v>3991.6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3991.6</v>
      </c>
      <c r="Y4" s="41">
        <v>301.60000000000002</v>
      </c>
      <c r="Z4" s="41">
        <v>0</v>
      </c>
      <c r="AA4" s="41">
        <v>0</v>
      </c>
      <c r="AB4" s="41">
        <v>1812200</v>
      </c>
      <c r="AC4" s="41">
        <v>67.7</v>
      </c>
      <c r="AD4" s="41" t="s">
        <v>433</v>
      </c>
    </row>
    <row r="5" spans="1:30" x14ac:dyDescent="0.35">
      <c r="A5" s="41">
        <v>467</v>
      </c>
      <c r="B5" s="41">
        <v>2627446</v>
      </c>
      <c r="C5" s="41">
        <v>26274464</v>
      </c>
      <c r="D5" s="41" t="s">
        <v>515</v>
      </c>
      <c r="E5" s="41" t="s">
        <v>822</v>
      </c>
      <c r="F5" s="41">
        <v>812200</v>
      </c>
      <c r="G5" s="41" t="s">
        <v>1972</v>
      </c>
      <c r="H5" s="41">
        <v>90541</v>
      </c>
      <c r="I5" s="41" t="s">
        <v>1694</v>
      </c>
      <c r="J5" s="41">
        <v>5</v>
      </c>
      <c r="K5" s="41">
        <v>5</v>
      </c>
      <c r="L5" s="41">
        <v>0</v>
      </c>
      <c r="M5" s="41">
        <v>65.599999999999994</v>
      </c>
      <c r="N5" s="41">
        <v>5810.85</v>
      </c>
      <c r="O5" s="41">
        <v>724.97</v>
      </c>
      <c r="P5" s="41">
        <v>162.58000000000001</v>
      </c>
      <c r="Q5" s="41">
        <v>4579.8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4579.8</v>
      </c>
      <c r="Y5" s="41">
        <v>343.5</v>
      </c>
      <c r="Z5" s="41">
        <v>0</v>
      </c>
      <c r="AA5" s="41">
        <v>0</v>
      </c>
      <c r="AB5" s="41">
        <v>1812200</v>
      </c>
      <c r="AC5" s="41">
        <v>65.599999999999994</v>
      </c>
      <c r="AD5" s="41" t="s">
        <v>433</v>
      </c>
    </row>
    <row r="6" spans="1:30" x14ac:dyDescent="0.35">
      <c r="A6" s="41">
        <v>467</v>
      </c>
      <c r="B6" s="41">
        <v>2750507</v>
      </c>
      <c r="C6" s="41">
        <v>27505072</v>
      </c>
      <c r="D6" s="41" t="s">
        <v>935</v>
      </c>
      <c r="E6" s="41" t="s">
        <v>578</v>
      </c>
      <c r="F6" s="41">
        <v>812200</v>
      </c>
      <c r="G6" s="41" t="s">
        <v>1972</v>
      </c>
      <c r="H6" s="41">
        <v>90541</v>
      </c>
      <c r="I6" s="41" t="s">
        <v>819</v>
      </c>
      <c r="J6" s="41">
        <v>49</v>
      </c>
      <c r="K6" s="41">
        <v>2</v>
      </c>
      <c r="L6" s="41">
        <v>3</v>
      </c>
      <c r="M6" s="41">
        <v>100</v>
      </c>
      <c r="N6" s="41">
        <v>12651.99</v>
      </c>
      <c r="O6" s="41">
        <v>2169.63</v>
      </c>
      <c r="P6" s="41">
        <v>432.62</v>
      </c>
      <c r="Q6" s="41">
        <v>9348.6</v>
      </c>
      <c r="R6" s="41">
        <v>0</v>
      </c>
      <c r="S6" s="41">
        <v>0</v>
      </c>
      <c r="T6" s="41">
        <v>0</v>
      </c>
      <c r="U6" s="41">
        <v>0</v>
      </c>
      <c r="V6" s="41">
        <v>48.6</v>
      </c>
      <c r="W6" s="41">
        <v>0</v>
      </c>
      <c r="X6" s="41">
        <v>9300</v>
      </c>
      <c r="Y6" s="41">
        <v>701.14</v>
      </c>
      <c r="Z6" s="41">
        <v>0</v>
      </c>
      <c r="AA6" s="41">
        <v>0</v>
      </c>
      <c r="AB6" s="41">
        <v>1812200</v>
      </c>
      <c r="AC6" s="41">
        <v>65.599999999999994</v>
      </c>
      <c r="AD6" s="41" t="s">
        <v>433</v>
      </c>
    </row>
    <row r="7" spans="1:30" x14ac:dyDescent="0.35">
      <c r="A7" s="41">
        <v>467</v>
      </c>
      <c r="B7" s="41">
        <v>2759563</v>
      </c>
      <c r="C7" s="41">
        <v>27595636</v>
      </c>
      <c r="D7" s="41" t="s">
        <v>506</v>
      </c>
      <c r="E7" s="41" t="s">
        <v>569</v>
      </c>
      <c r="F7" s="41">
        <v>812200</v>
      </c>
      <c r="G7" s="41" t="s">
        <v>1972</v>
      </c>
      <c r="H7" s="41">
        <v>90541</v>
      </c>
      <c r="I7" s="41" t="s">
        <v>819</v>
      </c>
      <c r="J7" s="41">
        <v>5</v>
      </c>
      <c r="K7" s="41">
        <v>37</v>
      </c>
      <c r="L7" s="41">
        <v>0</v>
      </c>
      <c r="M7" s="41">
        <v>100</v>
      </c>
      <c r="N7" s="41">
        <v>11337.46</v>
      </c>
      <c r="O7" s="41">
        <v>1796.36</v>
      </c>
      <c r="P7" s="41">
        <v>304.94</v>
      </c>
      <c r="Q7" s="41">
        <v>8591.8700000000008</v>
      </c>
      <c r="R7" s="41">
        <v>0</v>
      </c>
      <c r="S7" s="41">
        <v>0</v>
      </c>
      <c r="T7" s="41">
        <v>0</v>
      </c>
      <c r="U7" s="41">
        <v>0</v>
      </c>
      <c r="V7" s="41">
        <v>48.6</v>
      </c>
      <c r="W7" s="41">
        <v>0</v>
      </c>
      <c r="X7" s="41">
        <v>8543.27</v>
      </c>
      <c r="Y7" s="41">
        <v>644.29</v>
      </c>
      <c r="Z7" s="41">
        <v>0</v>
      </c>
      <c r="AA7" s="41">
        <v>0</v>
      </c>
      <c r="AB7" s="41">
        <v>1812200</v>
      </c>
      <c r="AC7" s="41">
        <v>65.599999999999994</v>
      </c>
      <c r="AD7" s="41" t="s">
        <v>433</v>
      </c>
    </row>
    <row r="8" spans="1:30" x14ac:dyDescent="0.35">
      <c r="A8" s="41">
        <v>467</v>
      </c>
      <c r="B8" s="41">
        <v>2986814</v>
      </c>
      <c r="C8" s="41">
        <v>29868148</v>
      </c>
      <c r="D8" s="41" t="s">
        <v>448</v>
      </c>
      <c r="E8" s="41" t="s">
        <v>473</v>
      </c>
      <c r="F8" s="41">
        <v>812200</v>
      </c>
      <c r="G8" s="41" t="s">
        <v>1972</v>
      </c>
      <c r="H8" s="41">
        <v>90541</v>
      </c>
      <c r="I8" s="41" t="s">
        <v>819</v>
      </c>
      <c r="J8" s="41">
        <v>49</v>
      </c>
      <c r="K8" s="41">
        <v>2</v>
      </c>
      <c r="L8" s="41">
        <v>2</v>
      </c>
      <c r="M8" s="41">
        <v>100</v>
      </c>
      <c r="N8" s="41">
        <v>12002.01</v>
      </c>
      <c r="O8" s="41">
        <v>1959.72</v>
      </c>
      <c r="P8" s="41">
        <v>380.54</v>
      </c>
      <c r="Q8" s="41">
        <v>8985.6</v>
      </c>
      <c r="R8" s="41">
        <v>0</v>
      </c>
      <c r="S8" s="41">
        <v>0</v>
      </c>
      <c r="T8" s="41">
        <v>0</v>
      </c>
      <c r="U8" s="41">
        <v>0</v>
      </c>
      <c r="V8" s="41">
        <v>185.6</v>
      </c>
      <c r="W8" s="41">
        <v>400</v>
      </c>
      <c r="X8" s="41">
        <v>8400</v>
      </c>
      <c r="Y8" s="41">
        <v>676.15</v>
      </c>
      <c r="Z8" s="41">
        <v>0</v>
      </c>
      <c r="AA8" s="41">
        <v>0</v>
      </c>
      <c r="AB8" s="41">
        <v>1812200</v>
      </c>
      <c r="AC8" s="41">
        <v>65.599999999999994</v>
      </c>
      <c r="AD8" s="41" t="s">
        <v>433</v>
      </c>
    </row>
    <row r="9" spans="1:30" x14ac:dyDescent="0.35">
      <c r="A9" s="41">
        <v>467</v>
      </c>
      <c r="B9" s="41">
        <v>3310543</v>
      </c>
      <c r="C9" s="41">
        <v>33105438</v>
      </c>
      <c r="D9" s="41" t="s">
        <v>596</v>
      </c>
      <c r="E9" s="41" t="s">
        <v>534</v>
      </c>
      <c r="F9" s="41">
        <v>812200</v>
      </c>
      <c r="G9" s="41" t="s">
        <v>1972</v>
      </c>
      <c r="H9" s="41">
        <v>90541</v>
      </c>
      <c r="I9" s="41" t="s">
        <v>819</v>
      </c>
      <c r="J9" s="41">
        <v>49</v>
      </c>
      <c r="K9" s="41">
        <v>2</v>
      </c>
      <c r="L9" s="41">
        <v>3</v>
      </c>
      <c r="M9" s="41">
        <v>100</v>
      </c>
      <c r="N9" s="41">
        <v>12843.38</v>
      </c>
      <c r="O9" s="41">
        <v>2179.09</v>
      </c>
      <c r="P9" s="41">
        <v>421.61</v>
      </c>
      <c r="Q9" s="41">
        <v>9525.98</v>
      </c>
      <c r="R9" s="41">
        <v>0</v>
      </c>
      <c r="S9" s="41">
        <v>0</v>
      </c>
      <c r="T9" s="41">
        <v>0</v>
      </c>
      <c r="U9" s="41">
        <v>0</v>
      </c>
      <c r="V9" s="41">
        <v>185.6</v>
      </c>
      <c r="W9" s="41">
        <v>0</v>
      </c>
      <c r="X9" s="41">
        <v>9340.3799999999992</v>
      </c>
      <c r="Y9" s="41">
        <v>716.7</v>
      </c>
      <c r="Z9" s="41">
        <v>0</v>
      </c>
      <c r="AA9" s="41">
        <v>0</v>
      </c>
      <c r="AB9" s="41">
        <v>1812200</v>
      </c>
      <c r="AC9" s="41">
        <v>65.599999999999994</v>
      </c>
      <c r="AD9" s="41" t="s">
        <v>433</v>
      </c>
    </row>
    <row r="10" spans="1:30" x14ac:dyDescent="0.35">
      <c r="A10" s="41">
        <v>467</v>
      </c>
      <c r="B10" s="41">
        <v>3342606</v>
      </c>
      <c r="C10" s="41">
        <v>33426065</v>
      </c>
      <c r="D10" s="41" t="s">
        <v>486</v>
      </c>
      <c r="E10" s="41" t="s">
        <v>582</v>
      </c>
      <c r="F10" s="41">
        <v>812200</v>
      </c>
      <c r="G10" s="41" t="s">
        <v>1972</v>
      </c>
      <c r="H10" s="41">
        <v>90541</v>
      </c>
      <c r="I10" s="41" t="s">
        <v>819</v>
      </c>
      <c r="J10" s="41">
        <v>49</v>
      </c>
      <c r="K10" s="41">
        <v>2</v>
      </c>
      <c r="L10" s="41">
        <v>3</v>
      </c>
      <c r="M10" s="41">
        <v>100</v>
      </c>
      <c r="N10" s="41">
        <v>13174.04</v>
      </c>
      <c r="O10" s="41">
        <v>2223.69</v>
      </c>
      <c r="P10" s="41">
        <v>470.61</v>
      </c>
      <c r="Q10" s="41">
        <v>9748.6</v>
      </c>
      <c r="R10" s="41">
        <v>0</v>
      </c>
      <c r="S10" s="41">
        <v>0</v>
      </c>
      <c r="T10" s="41">
        <v>0</v>
      </c>
      <c r="U10" s="41">
        <v>0</v>
      </c>
      <c r="V10" s="41">
        <v>48.6</v>
      </c>
      <c r="W10" s="41">
        <v>400</v>
      </c>
      <c r="X10" s="41">
        <v>9300</v>
      </c>
      <c r="Y10" s="41">
        <v>731.14</v>
      </c>
      <c r="Z10" s="41">
        <v>0</v>
      </c>
      <c r="AA10" s="41">
        <v>0</v>
      </c>
      <c r="AB10" s="41">
        <v>1812200</v>
      </c>
      <c r="AC10" s="41">
        <v>65.599999999999994</v>
      </c>
      <c r="AD10" s="41" t="s">
        <v>433</v>
      </c>
    </row>
    <row r="11" spans="1:30" x14ac:dyDescent="0.35">
      <c r="A11" s="41">
        <v>467</v>
      </c>
      <c r="B11" s="41">
        <v>3342802</v>
      </c>
      <c r="C11" s="41">
        <v>33428020</v>
      </c>
      <c r="D11" s="41" t="s">
        <v>595</v>
      </c>
      <c r="E11" s="41" t="s">
        <v>436</v>
      </c>
      <c r="F11" s="41">
        <v>812200</v>
      </c>
      <c r="G11" s="41" t="s">
        <v>1972</v>
      </c>
      <c r="H11" s="41">
        <v>90541</v>
      </c>
      <c r="I11" s="41" t="s">
        <v>819</v>
      </c>
      <c r="J11" s="41">
        <v>49</v>
      </c>
      <c r="K11" s="41">
        <v>2</v>
      </c>
      <c r="L11" s="41">
        <v>3</v>
      </c>
      <c r="M11" s="41">
        <v>100</v>
      </c>
      <c r="N11" s="41">
        <v>14012.8</v>
      </c>
      <c r="O11" s="41">
        <v>2351.1999999999998</v>
      </c>
      <c r="P11" s="41">
        <v>487.46</v>
      </c>
      <c r="Q11" s="41">
        <v>10392.44</v>
      </c>
      <c r="R11" s="41">
        <v>0</v>
      </c>
      <c r="S11" s="41">
        <v>0</v>
      </c>
      <c r="T11" s="41">
        <v>0</v>
      </c>
      <c r="U11" s="41">
        <v>0</v>
      </c>
      <c r="V11" s="41">
        <v>185.6</v>
      </c>
      <c r="W11" s="41">
        <v>400</v>
      </c>
      <c r="X11" s="41">
        <v>9806.84</v>
      </c>
      <c r="Y11" s="41">
        <v>781.7</v>
      </c>
      <c r="Z11" s="41">
        <v>0</v>
      </c>
      <c r="AA11" s="41">
        <v>0</v>
      </c>
      <c r="AB11" s="41">
        <v>1812200</v>
      </c>
      <c r="AC11" s="41">
        <v>65.599999999999994</v>
      </c>
      <c r="AD11" s="41" t="s">
        <v>433</v>
      </c>
    </row>
    <row r="12" spans="1:30" x14ac:dyDescent="0.35">
      <c r="A12" s="41">
        <v>467</v>
      </c>
      <c r="B12" s="41">
        <v>3457629</v>
      </c>
      <c r="C12" s="41">
        <v>34576298</v>
      </c>
      <c r="D12" s="41" t="s">
        <v>823</v>
      </c>
      <c r="E12" s="41" t="s">
        <v>550</v>
      </c>
      <c r="F12" s="41">
        <v>812200</v>
      </c>
      <c r="G12" s="41" t="s">
        <v>1972</v>
      </c>
      <c r="H12" s="41">
        <v>90541</v>
      </c>
      <c r="I12" s="41" t="s">
        <v>819</v>
      </c>
      <c r="J12" s="41">
        <v>49</v>
      </c>
      <c r="K12" s="41">
        <v>2</v>
      </c>
      <c r="L12" s="41">
        <v>3</v>
      </c>
      <c r="M12" s="41">
        <v>100</v>
      </c>
      <c r="N12" s="41">
        <v>13097.22</v>
      </c>
      <c r="O12" s="41">
        <v>2248.37</v>
      </c>
      <c r="P12" s="41">
        <v>436.3</v>
      </c>
      <c r="Q12" s="41">
        <v>9686.1</v>
      </c>
      <c r="R12" s="41">
        <v>0</v>
      </c>
      <c r="S12" s="41">
        <v>0</v>
      </c>
      <c r="T12" s="41">
        <v>0</v>
      </c>
      <c r="U12" s="41">
        <v>0</v>
      </c>
      <c r="V12" s="41">
        <v>48.6</v>
      </c>
      <c r="W12" s="41">
        <v>0</v>
      </c>
      <c r="X12" s="41">
        <v>9637.5</v>
      </c>
      <c r="Y12" s="41">
        <v>726.45</v>
      </c>
      <c r="Z12" s="41">
        <v>0</v>
      </c>
      <c r="AA12" s="41">
        <v>0</v>
      </c>
      <c r="AB12" s="41">
        <v>1812200</v>
      </c>
      <c r="AC12" s="41">
        <v>65.599999999999994</v>
      </c>
      <c r="AD12" s="41" t="s">
        <v>433</v>
      </c>
    </row>
    <row r="13" spans="1:30" x14ac:dyDescent="0.35">
      <c r="A13" s="41">
        <v>467</v>
      </c>
      <c r="B13" s="41">
        <v>3741266</v>
      </c>
      <c r="C13" s="41">
        <v>37412665</v>
      </c>
      <c r="D13" s="41" t="s">
        <v>434</v>
      </c>
      <c r="E13" s="41" t="s">
        <v>582</v>
      </c>
      <c r="F13" s="41">
        <v>812200</v>
      </c>
      <c r="G13" s="41" t="s">
        <v>1972</v>
      </c>
      <c r="H13" s="41">
        <v>90541</v>
      </c>
      <c r="I13" s="41" t="s">
        <v>819</v>
      </c>
      <c r="J13" s="41">
        <v>49</v>
      </c>
      <c r="K13" s="41">
        <v>3</v>
      </c>
      <c r="L13" s="41">
        <v>1</v>
      </c>
      <c r="M13" s="41">
        <v>100</v>
      </c>
      <c r="N13" s="41">
        <v>12578.3</v>
      </c>
      <c r="O13" s="41">
        <v>2010.75</v>
      </c>
      <c r="P13" s="41">
        <v>455.6</v>
      </c>
      <c r="Q13" s="41">
        <v>9404.35</v>
      </c>
      <c r="R13" s="41">
        <v>0</v>
      </c>
      <c r="S13" s="41">
        <v>0</v>
      </c>
      <c r="T13" s="41">
        <v>0</v>
      </c>
      <c r="U13" s="41">
        <v>0</v>
      </c>
      <c r="V13" s="41">
        <v>185.6</v>
      </c>
      <c r="W13" s="41">
        <v>600</v>
      </c>
      <c r="X13" s="41">
        <v>8618.75</v>
      </c>
      <c r="Y13" s="41">
        <v>707.6</v>
      </c>
      <c r="Z13" s="41">
        <v>0</v>
      </c>
      <c r="AA13" s="41">
        <v>0</v>
      </c>
      <c r="AB13" s="41">
        <v>1812200</v>
      </c>
      <c r="AC13" s="41">
        <v>65.599999999999994</v>
      </c>
      <c r="AD13" s="41" t="s">
        <v>433</v>
      </c>
    </row>
    <row r="14" spans="1:30" x14ac:dyDescent="0.35">
      <c r="A14" s="41">
        <v>467</v>
      </c>
      <c r="B14" s="41">
        <v>4349257</v>
      </c>
      <c r="C14" s="41">
        <v>43492578</v>
      </c>
      <c r="D14" s="41" t="s">
        <v>585</v>
      </c>
      <c r="E14" s="41" t="s">
        <v>449</v>
      </c>
      <c r="F14" s="41">
        <v>812200</v>
      </c>
      <c r="G14" s="41" t="s">
        <v>1972</v>
      </c>
      <c r="H14" s="41">
        <v>90541</v>
      </c>
      <c r="I14" s="41" t="s">
        <v>819</v>
      </c>
      <c r="J14" s="41">
        <v>49</v>
      </c>
      <c r="K14" s="41">
        <v>3</v>
      </c>
      <c r="L14" s="41">
        <v>3</v>
      </c>
      <c r="M14" s="41">
        <v>80</v>
      </c>
      <c r="N14" s="41">
        <v>11207.31</v>
      </c>
      <c r="O14" s="41">
        <v>1901.67</v>
      </c>
      <c r="P14" s="41">
        <v>319.89</v>
      </c>
      <c r="Q14" s="41">
        <v>8358.8799999999992</v>
      </c>
      <c r="R14" s="41">
        <v>0</v>
      </c>
      <c r="S14" s="41">
        <v>0</v>
      </c>
      <c r="T14" s="41">
        <v>0</v>
      </c>
      <c r="U14" s="41">
        <v>0</v>
      </c>
      <c r="V14" s="41">
        <v>38.880000000000003</v>
      </c>
      <c r="W14" s="41">
        <v>400</v>
      </c>
      <c r="X14" s="41">
        <v>7920</v>
      </c>
      <c r="Y14" s="41">
        <v>626.87</v>
      </c>
      <c r="Z14" s="41">
        <v>0</v>
      </c>
      <c r="AA14" s="41">
        <v>0</v>
      </c>
      <c r="AB14" s="41">
        <v>1812200</v>
      </c>
      <c r="AC14" s="41">
        <v>65.599999999999994</v>
      </c>
      <c r="AD14" s="41" t="s">
        <v>433</v>
      </c>
    </row>
    <row r="15" spans="1:30" x14ac:dyDescent="0.35">
      <c r="A15" s="41">
        <v>467</v>
      </c>
      <c r="B15" s="41">
        <v>4982768</v>
      </c>
      <c r="C15" s="41">
        <v>49827686</v>
      </c>
      <c r="D15" s="41" t="s">
        <v>448</v>
      </c>
      <c r="E15" s="41" t="s">
        <v>594</v>
      </c>
      <c r="F15" s="41">
        <v>812200</v>
      </c>
      <c r="G15" s="41" t="s">
        <v>1972</v>
      </c>
      <c r="H15" s="41">
        <v>90541</v>
      </c>
      <c r="I15" s="41" t="s">
        <v>819</v>
      </c>
      <c r="J15" s="41">
        <v>49</v>
      </c>
      <c r="K15" s="41">
        <v>2</v>
      </c>
      <c r="L15" s="41">
        <v>3</v>
      </c>
      <c r="M15" s="41">
        <v>100</v>
      </c>
      <c r="N15" s="41">
        <v>12382.2</v>
      </c>
      <c r="O15" s="41">
        <v>2078.6</v>
      </c>
      <c r="P15" s="41">
        <v>397.8</v>
      </c>
      <c r="Q15" s="41">
        <v>9212.6</v>
      </c>
      <c r="R15" s="41">
        <v>0</v>
      </c>
      <c r="S15" s="41">
        <v>0</v>
      </c>
      <c r="T15" s="41">
        <v>0</v>
      </c>
      <c r="U15" s="41">
        <v>0</v>
      </c>
      <c r="V15" s="41">
        <v>185.6</v>
      </c>
      <c r="W15" s="41">
        <v>200</v>
      </c>
      <c r="X15" s="41">
        <v>8827</v>
      </c>
      <c r="Y15" s="41">
        <v>693.2</v>
      </c>
      <c r="Z15" s="41">
        <v>0</v>
      </c>
      <c r="AA15" s="41">
        <v>0</v>
      </c>
      <c r="AB15" s="41">
        <v>1812200</v>
      </c>
      <c r="AC15" s="41">
        <v>65.599999999999994</v>
      </c>
      <c r="AD15" s="41" t="s">
        <v>433</v>
      </c>
    </row>
    <row r="16" spans="1:30" x14ac:dyDescent="0.35">
      <c r="A16" s="41">
        <v>467</v>
      </c>
      <c r="B16" s="41">
        <v>6126737</v>
      </c>
      <c r="C16" s="41">
        <v>61267373</v>
      </c>
      <c r="D16" s="41" t="s">
        <v>545</v>
      </c>
      <c r="E16" s="41" t="s">
        <v>824</v>
      </c>
      <c r="F16" s="41">
        <v>812200</v>
      </c>
      <c r="G16" s="41" t="s">
        <v>1972</v>
      </c>
      <c r="H16" s="41">
        <v>90541</v>
      </c>
      <c r="I16" s="41" t="s">
        <v>819</v>
      </c>
      <c r="J16" s="41">
        <v>49</v>
      </c>
      <c r="K16" s="41">
        <v>2</v>
      </c>
      <c r="L16" s="41">
        <v>1</v>
      </c>
      <c r="M16" s="41">
        <v>100</v>
      </c>
      <c r="N16" s="41">
        <v>11062.03</v>
      </c>
      <c r="O16" s="41">
        <v>1831.4</v>
      </c>
      <c r="P16" s="41">
        <v>359.6</v>
      </c>
      <c r="Q16" s="41">
        <v>8250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400</v>
      </c>
      <c r="X16" s="41">
        <v>7850</v>
      </c>
      <c r="Y16" s="41">
        <v>621.03</v>
      </c>
      <c r="Z16" s="41">
        <v>0</v>
      </c>
      <c r="AA16" s="41">
        <v>0</v>
      </c>
      <c r="AB16" s="41">
        <v>1812200</v>
      </c>
      <c r="AC16" s="41">
        <v>65.599999999999994</v>
      </c>
      <c r="AD16" s="41" t="s">
        <v>433</v>
      </c>
    </row>
    <row r="17" spans="1:30" x14ac:dyDescent="0.35">
      <c r="A17" s="41">
        <v>467</v>
      </c>
      <c r="B17" s="41">
        <v>20419551</v>
      </c>
      <c r="C17" s="41">
        <v>204195515</v>
      </c>
      <c r="D17" s="41" t="s">
        <v>446</v>
      </c>
      <c r="E17" s="41" t="s">
        <v>1697</v>
      </c>
      <c r="F17" s="41">
        <v>812200</v>
      </c>
      <c r="G17" s="41" t="s">
        <v>1972</v>
      </c>
      <c r="H17" s="41">
        <v>90541</v>
      </c>
      <c r="I17" s="41" t="s">
        <v>1694</v>
      </c>
      <c r="J17" s="41">
        <v>5</v>
      </c>
      <c r="K17" s="41">
        <v>6</v>
      </c>
      <c r="L17" s="41">
        <v>0</v>
      </c>
      <c r="M17" s="41">
        <v>27.6</v>
      </c>
      <c r="N17" s="41">
        <v>3364.86</v>
      </c>
      <c r="O17" s="41">
        <v>419.81</v>
      </c>
      <c r="P17" s="41">
        <v>94.15</v>
      </c>
      <c r="Q17" s="41">
        <v>2652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2652</v>
      </c>
      <c r="Y17" s="41">
        <v>198.9</v>
      </c>
      <c r="Z17" s="41">
        <v>0</v>
      </c>
      <c r="AA17" s="41">
        <v>0</v>
      </c>
      <c r="AB17" s="41">
        <v>1812200</v>
      </c>
      <c r="AC17" s="41">
        <v>27.6</v>
      </c>
      <c r="AD17" s="41" t="s">
        <v>433</v>
      </c>
    </row>
    <row r="18" spans="1:30" x14ac:dyDescent="0.35">
      <c r="A18" s="41">
        <v>467</v>
      </c>
      <c r="B18" s="41">
        <v>20429725</v>
      </c>
      <c r="C18" s="41">
        <v>204297253</v>
      </c>
      <c r="D18" s="41" t="s">
        <v>434</v>
      </c>
      <c r="E18" s="41" t="s">
        <v>825</v>
      </c>
      <c r="F18" s="41">
        <v>812200</v>
      </c>
      <c r="G18" s="41" t="s">
        <v>1972</v>
      </c>
      <c r="H18" s="41">
        <v>90541</v>
      </c>
      <c r="I18" s="41" t="s">
        <v>819</v>
      </c>
      <c r="J18" s="41">
        <v>49</v>
      </c>
      <c r="K18" s="41">
        <v>2</v>
      </c>
      <c r="L18" s="41">
        <v>1</v>
      </c>
      <c r="M18" s="41">
        <v>100</v>
      </c>
      <c r="N18" s="41">
        <v>11112.01</v>
      </c>
      <c r="O18" s="41">
        <v>1860.69</v>
      </c>
      <c r="P18" s="41">
        <v>354.77</v>
      </c>
      <c r="Q18" s="41">
        <v>8273.77</v>
      </c>
      <c r="R18" s="41">
        <v>0</v>
      </c>
      <c r="S18" s="41">
        <v>0</v>
      </c>
      <c r="T18" s="41">
        <v>0</v>
      </c>
      <c r="U18" s="41">
        <v>0</v>
      </c>
      <c r="V18" s="41">
        <v>179.53</v>
      </c>
      <c r="W18" s="41">
        <v>200</v>
      </c>
      <c r="X18" s="41">
        <v>7894.24</v>
      </c>
      <c r="Y18" s="41">
        <v>622.78</v>
      </c>
      <c r="Z18" s="41">
        <v>0</v>
      </c>
      <c r="AA18" s="41">
        <v>0</v>
      </c>
      <c r="AB18" s="41">
        <v>1812200</v>
      </c>
      <c r="AC18" s="41">
        <v>27.6</v>
      </c>
      <c r="AD18" s="41" t="s">
        <v>433</v>
      </c>
    </row>
    <row r="19" spans="1:30" x14ac:dyDescent="0.35">
      <c r="A19" s="41">
        <v>467</v>
      </c>
      <c r="B19" s="41">
        <v>20576010</v>
      </c>
      <c r="C19" s="41">
        <v>205760101</v>
      </c>
      <c r="D19" s="41" t="s">
        <v>434</v>
      </c>
      <c r="E19" s="41" t="s">
        <v>479</v>
      </c>
      <c r="F19" s="41">
        <v>812200</v>
      </c>
      <c r="G19" s="41" t="s">
        <v>1972</v>
      </c>
      <c r="H19" s="41">
        <v>90541</v>
      </c>
      <c r="I19" s="41" t="s">
        <v>819</v>
      </c>
      <c r="J19" s="41">
        <v>49</v>
      </c>
      <c r="K19" s="41">
        <v>2</v>
      </c>
      <c r="L19" s="41">
        <v>1</v>
      </c>
      <c r="M19" s="41">
        <v>100</v>
      </c>
      <c r="N19" s="41">
        <v>11171.75</v>
      </c>
      <c r="O19" s="41">
        <v>1826.12</v>
      </c>
      <c r="P19" s="41">
        <v>358.67</v>
      </c>
      <c r="Q19" s="41">
        <v>8357.8799999999992</v>
      </c>
      <c r="R19" s="41">
        <v>351</v>
      </c>
      <c r="S19" s="41">
        <v>0</v>
      </c>
      <c r="T19" s="41">
        <v>0</v>
      </c>
      <c r="U19" s="41">
        <v>0</v>
      </c>
      <c r="V19" s="41">
        <v>179.53</v>
      </c>
      <c r="W19" s="41">
        <v>0</v>
      </c>
      <c r="X19" s="41">
        <v>7827.35</v>
      </c>
      <c r="Y19" s="41">
        <v>629.08000000000004</v>
      </c>
      <c r="Z19" s="41">
        <v>0</v>
      </c>
      <c r="AA19" s="41">
        <v>0</v>
      </c>
      <c r="AB19" s="41">
        <v>1812200</v>
      </c>
      <c r="AC19" s="41">
        <v>27.6</v>
      </c>
      <c r="AD19" s="41" t="s">
        <v>433</v>
      </c>
    </row>
    <row r="20" spans="1:30" x14ac:dyDescent="0.35">
      <c r="A20" s="41">
        <v>467</v>
      </c>
      <c r="B20" s="41">
        <v>20576664</v>
      </c>
      <c r="C20" s="41">
        <v>205766645</v>
      </c>
      <c r="D20" s="41" t="s">
        <v>442</v>
      </c>
      <c r="E20" s="41" t="s">
        <v>470</v>
      </c>
      <c r="F20" s="41">
        <v>812200</v>
      </c>
      <c r="G20" s="41" t="s">
        <v>1972</v>
      </c>
      <c r="H20" s="41">
        <v>90541</v>
      </c>
      <c r="I20" s="41" t="s">
        <v>1694</v>
      </c>
      <c r="J20" s="41">
        <v>5</v>
      </c>
      <c r="K20" s="41">
        <v>5</v>
      </c>
      <c r="L20" s="41">
        <v>0</v>
      </c>
      <c r="M20" s="41">
        <v>63.4</v>
      </c>
      <c r="N20" s="41">
        <v>3537.4</v>
      </c>
      <c r="O20" s="41">
        <v>441.33</v>
      </c>
      <c r="P20" s="41">
        <v>98.97</v>
      </c>
      <c r="Q20" s="41">
        <v>2788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2788</v>
      </c>
      <c r="Y20" s="41">
        <v>209.1</v>
      </c>
      <c r="Z20" s="41">
        <v>0</v>
      </c>
      <c r="AA20" s="41">
        <v>0</v>
      </c>
      <c r="AB20" s="41">
        <v>1812200</v>
      </c>
      <c r="AC20" s="41">
        <v>63.4</v>
      </c>
      <c r="AD20" s="41" t="s">
        <v>433</v>
      </c>
    </row>
    <row r="21" spans="1:30" x14ac:dyDescent="0.35">
      <c r="A21" s="41">
        <v>467</v>
      </c>
      <c r="B21" s="41">
        <v>20576675</v>
      </c>
      <c r="C21" s="41">
        <v>205766751</v>
      </c>
      <c r="D21" s="41" t="s">
        <v>442</v>
      </c>
      <c r="E21" s="41" t="s">
        <v>1698</v>
      </c>
      <c r="F21" s="41">
        <v>812200</v>
      </c>
      <c r="G21" s="41" t="s">
        <v>1972</v>
      </c>
      <c r="H21" s="41">
        <v>90541</v>
      </c>
      <c r="I21" s="41" t="s">
        <v>1694</v>
      </c>
      <c r="J21" s="41">
        <v>5</v>
      </c>
      <c r="K21" s="41">
        <v>5</v>
      </c>
      <c r="L21" s="41">
        <v>0</v>
      </c>
      <c r="M21" s="41">
        <v>21.9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1812200</v>
      </c>
      <c r="AC21" s="41">
        <v>21.9</v>
      </c>
      <c r="AD21" s="41" t="s">
        <v>433</v>
      </c>
    </row>
    <row r="22" spans="1:30" x14ac:dyDescent="0.35">
      <c r="A22" s="41">
        <v>467</v>
      </c>
      <c r="B22" s="41">
        <v>20762714</v>
      </c>
      <c r="C22" s="41">
        <v>207627142</v>
      </c>
      <c r="D22" s="41" t="s">
        <v>434</v>
      </c>
      <c r="E22" s="41" t="s">
        <v>1699</v>
      </c>
      <c r="F22" s="41">
        <v>812200</v>
      </c>
      <c r="G22" s="41" t="s">
        <v>1972</v>
      </c>
      <c r="H22" s="41">
        <v>90541</v>
      </c>
      <c r="I22" s="41" t="s">
        <v>1694</v>
      </c>
      <c r="J22" s="41">
        <v>5</v>
      </c>
      <c r="K22" s="41">
        <v>5</v>
      </c>
      <c r="L22" s="41">
        <v>0</v>
      </c>
      <c r="M22" s="41">
        <v>65.400000000000006</v>
      </c>
      <c r="N22" s="41">
        <v>4895.28</v>
      </c>
      <c r="O22" s="41">
        <v>610.34</v>
      </c>
      <c r="P22" s="41">
        <v>137.94</v>
      </c>
      <c r="Q22" s="41">
        <v>3855.6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3855.6</v>
      </c>
      <c r="Y22" s="41">
        <v>291.39999999999998</v>
      </c>
      <c r="Z22" s="41">
        <v>0</v>
      </c>
      <c r="AA22" s="41">
        <v>0</v>
      </c>
      <c r="AB22" s="41">
        <v>1812200</v>
      </c>
      <c r="AC22" s="41">
        <v>65.400000000000006</v>
      </c>
      <c r="AD22" s="41" t="s">
        <v>433</v>
      </c>
    </row>
    <row r="23" spans="1:30" x14ac:dyDescent="0.35">
      <c r="A23" s="41">
        <v>467</v>
      </c>
      <c r="B23" s="41">
        <v>20821936</v>
      </c>
      <c r="C23" s="41">
        <v>208219360</v>
      </c>
      <c r="D23" s="41" t="s">
        <v>434</v>
      </c>
      <c r="E23" s="41" t="s">
        <v>1700</v>
      </c>
      <c r="F23" s="41">
        <v>812200</v>
      </c>
      <c r="G23" s="41" t="s">
        <v>1972</v>
      </c>
      <c r="H23" s="41">
        <v>90541</v>
      </c>
      <c r="I23" s="41" t="s">
        <v>1694</v>
      </c>
      <c r="J23" s="41">
        <v>5</v>
      </c>
      <c r="K23" s="41">
        <v>5</v>
      </c>
      <c r="L23" s="41">
        <v>0</v>
      </c>
      <c r="M23" s="41">
        <v>45.7</v>
      </c>
      <c r="N23" s="41">
        <v>3420.92</v>
      </c>
      <c r="O23" s="41">
        <v>426.8</v>
      </c>
      <c r="P23" s="41">
        <v>95.72</v>
      </c>
      <c r="Q23" s="41">
        <v>2696.2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2696.2</v>
      </c>
      <c r="Y23" s="41">
        <v>202.2</v>
      </c>
      <c r="Z23" s="41">
        <v>0</v>
      </c>
      <c r="AA23" s="41">
        <v>0</v>
      </c>
      <c r="AB23" s="41">
        <v>1812200</v>
      </c>
      <c r="AC23" s="41">
        <v>45.7</v>
      </c>
      <c r="AD23" s="41" t="s">
        <v>433</v>
      </c>
    </row>
    <row r="24" spans="1:30" x14ac:dyDescent="0.35">
      <c r="A24" s="41">
        <v>467</v>
      </c>
      <c r="B24" s="41">
        <v>30147778</v>
      </c>
      <c r="C24" s="41">
        <v>301477782</v>
      </c>
      <c r="D24" s="41" t="s">
        <v>439</v>
      </c>
      <c r="E24" s="41" t="s">
        <v>828</v>
      </c>
      <c r="F24" s="41">
        <v>812200</v>
      </c>
      <c r="G24" s="41" t="s">
        <v>1972</v>
      </c>
      <c r="H24" s="41">
        <v>90541</v>
      </c>
      <c r="I24" s="41" t="s">
        <v>1694</v>
      </c>
      <c r="J24" s="41">
        <v>5</v>
      </c>
      <c r="K24" s="41">
        <v>5</v>
      </c>
      <c r="L24" s="41">
        <v>0</v>
      </c>
      <c r="M24" s="41">
        <v>37.5</v>
      </c>
      <c r="N24" s="41">
        <v>2807.36</v>
      </c>
      <c r="O24" s="41">
        <v>349.84</v>
      </c>
      <c r="P24" s="41">
        <v>79.52</v>
      </c>
      <c r="Q24" s="41">
        <v>2210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2210</v>
      </c>
      <c r="Y24" s="41">
        <v>168</v>
      </c>
      <c r="Z24" s="41">
        <v>0</v>
      </c>
      <c r="AA24" s="41">
        <v>0</v>
      </c>
      <c r="AB24" s="41">
        <v>1812200</v>
      </c>
      <c r="AC24" s="41">
        <v>37.5</v>
      </c>
      <c r="AD24" s="41" t="s">
        <v>433</v>
      </c>
    </row>
    <row r="25" spans="1:30" x14ac:dyDescent="0.35">
      <c r="A25" s="41">
        <v>467</v>
      </c>
      <c r="B25" s="41">
        <v>31645834</v>
      </c>
      <c r="C25" s="41">
        <v>316458348</v>
      </c>
      <c r="D25" s="41" t="s">
        <v>434</v>
      </c>
      <c r="E25" s="41" t="s">
        <v>830</v>
      </c>
      <c r="F25" s="41">
        <v>812200</v>
      </c>
      <c r="G25" s="41" t="s">
        <v>1972</v>
      </c>
      <c r="H25" s="41">
        <v>90541</v>
      </c>
      <c r="I25" s="41" t="s">
        <v>819</v>
      </c>
      <c r="J25" s="41">
        <v>49</v>
      </c>
      <c r="K25" s="41">
        <v>2</v>
      </c>
      <c r="L25" s="41">
        <v>1</v>
      </c>
      <c r="M25" s="41">
        <v>100</v>
      </c>
      <c r="N25" s="41">
        <v>12085.49</v>
      </c>
      <c r="O25" s="41">
        <v>1904.35</v>
      </c>
      <c r="P25" s="41">
        <v>417.83</v>
      </c>
      <c r="Q25" s="41">
        <v>9080.0300000000007</v>
      </c>
      <c r="R25" s="41">
        <v>588</v>
      </c>
      <c r="S25" s="41">
        <v>0</v>
      </c>
      <c r="T25" s="41">
        <v>0</v>
      </c>
      <c r="U25" s="41">
        <v>0</v>
      </c>
      <c r="V25" s="41">
        <v>179.53</v>
      </c>
      <c r="W25" s="41">
        <v>400</v>
      </c>
      <c r="X25" s="41">
        <v>7912.5</v>
      </c>
      <c r="Y25" s="41">
        <v>683.28</v>
      </c>
      <c r="Z25" s="41">
        <v>0</v>
      </c>
      <c r="AA25" s="41">
        <v>0</v>
      </c>
      <c r="AB25" s="41">
        <v>1812200</v>
      </c>
      <c r="AC25" s="41">
        <v>37.5</v>
      </c>
      <c r="AD25" s="41" t="s">
        <v>433</v>
      </c>
    </row>
    <row r="26" spans="1:30" x14ac:dyDescent="0.35">
      <c r="A26" s="41">
        <v>467</v>
      </c>
      <c r="B26" s="41">
        <v>2327966</v>
      </c>
      <c r="C26" s="41">
        <v>23279664</v>
      </c>
      <c r="D26" s="41" t="s">
        <v>434</v>
      </c>
      <c r="E26" s="41" t="s">
        <v>593</v>
      </c>
      <c r="F26" s="41">
        <v>812300</v>
      </c>
      <c r="G26" s="41" t="s">
        <v>1972</v>
      </c>
      <c r="H26" s="41">
        <v>90541</v>
      </c>
      <c r="I26" s="41" t="s">
        <v>819</v>
      </c>
      <c r="J26" s="41">
        <v>49</v>
      </c>
      <c r="K26" s="41">
        <v>2</v>
      </c>
      <c r="L26" s="41">
        <v>3</v>
      </c>
      <c r="M26" s="41">
        <v>100</v>
      </c>
      <c r="N26" s="41">
        <v>13689.12</v>
      </c>
      <c r="O26" s="41">
        <v>2133.39</v>
      </c>
      <c r="P26" s="41">
        <v>480.47</v>
      </c>
      <c r="Q26" s="41">
        <v>10300.459999999999</v>
      </c>
      <c r="R26" s="41">
        <v>0</v>
      </c>
      <c r="S26" s="41">
        <v>0</v>
      </c>
      <c r="T26" s="41">
        <v>0</v>
      </c>
      <c r="U26" s="41">
        <v>0</v>
      </c>
      <c r="V26" s="41">
        <v>185.6</v>
      </c>
      <c r="W26" s="41">
        <v>0</v>
      </c>
      <c r="X26" s="41">
        <v>10114.86</v>
      </c>
      <c r="Y26" s="41">
        <v>774.8</v>
      </c>
      <c r="Z26" s="41">
        <v>0</v>
      </c>
      <c r="AA26" s="41">
        <v>0</v>
      </c>
      <c r="AB26" s="41">
        <v>1812300</v>
      </c>
      <c r="AC26" s="41">
        <v>37.5</v>
      </c>
      <c r="AD26" s="41" t="s">
        <v>433</v>
      </c>
    </row>
    <row r="27" spans="1:30" x14ac:dyDescent="0.35">
      <c r="A27" s="41">
        <v>467</v>
      </c>
      <c r="B27" s="41">
        <v>2616750</v>
      </c>
      <c r="C27" s="41">
        <v>26167502</v>
      </c>
      <c r="D27" s="41" t="s">
        <v>442</v>
      </c>
      <c r="E27" s="41" t="s">
        <v>558</v>
      </c>
      <c r="F27" s="41">
        <v>812300</v>
      </c>
      <c r="G27" s="41" t="s">
        <v>1972</v>
      </c>
      <c r="H27" s="41">
        <v>90541</v>
      </c>
      <c r="I27" s="41" t="s">
        <v>819</v>
      </c>
      <c r="J27" s="41">
        <v>49</v>
      </c>
      <c r="K27" s="41">
        <v>2</v>
      </c>
      <c r="L27" s="41">
        <v>2</v>
      </c>
      <c r="M27" s="41">
        <v>100</v>
      </c>
      <c r="N27" s="41">
        <v>11581.51</v>
      </c>
      <c r="O27" s="41">
        <v>1969</v>
      </c>
      <c r="P27" s="41">
        <v>380.75</v>
      </c>
      <c r="Q27" s="41">
        <v>8585.6</v>
      </c>
      <c r="R27" s="41">
        <v>0</v>
      </c>
      <c r="S27" s="41">
        <v>0</v>
      </c>
      <c r="T27" s="41">
        <v>0</v>
      </c>
      <c r="U27" s="41">
        <v>0</v>
      </c>
      <c r="V27" s="41">
        <v>185.6</v>
      </c>
      <c r="W27" s="41">
        <v>0</v>
      </c>
      <c r="X27" s="41">
        <v>8400</v>
      </c>
      <c r="Y27" s="41">
        <v>646.16</v>
      </c>
      <c r="Z27" s="41">
        <v>0</v>
      </c>
      <c r="AA27" s="41">
        <v>0</v>
      </c>
      <c r="AB27" s="41">
        <v>1812300</v>
      </c>
      <c r="AC27" s="41">
        <v>37.5</v>
      </c>
      <c r="AD27" s="41" t="s">
        <v>433</v>
      </c>
    </row>
    <row r="28" spans="1:30" x14ac:dyDescent="0.35">
      <c r="A28" s="41">
        <v>467</v>
      </c>
      <c r="B28" s="41">
        <v>2625853</v>
      </c>
      <c r="C28" s="41">
        <v>26258533</v>
      </c>
      <c r="D28" s="41" t="s">
        <v>448</v>
      </c>
      <c r="E28" s="41" t="s">
        <v>473</v>
      </c>
      <c r="F28" s="41">
        <v>812300</v>
      </c>
      <c r="G28" s="41" t="s">
        <v>1972</v>
      </c>
      <c r="H28" s="41">
        <v>90541</v>
      </c>
      <c r="I28" s="41" t="s">
        <v>819</v>
      </c>
      <c r="J28" s="41">
        <v>49</v>
      </c>
      <c r="K28" s="41">
        <v>2</v>
      </c>
      <c r="L28" s="41">
        <v>2</v>
      </c>
      <c r="M28" s="41">
        <v>100</v>
      </c>
      <c r="N28" s="41">
        <v>12515.02</v>
      </c>
      <c r="O28" s="41">
        <v>1971.38</v>
      </c>
      <c r="P28" s="41">
        <v>440.91</v>
      </c>
      <c r="Q28" s="41">
        <v>9395.7999999999993</v>
      </c>
      <c r="R28" s="41">
        <v>0</v>
      </c>
      <c r="S28" s="41">
        <v>0</v>
      </c>
      <c r="T28" s="41">
        <v>0</v>
      </c>
      <c r="U28" s="41">
        <v>0</v>
      </c>
      <c r="V28" s="41">
        <v>545.79999999999995</v>
      </c>
      <c r="W28" s="41">
        <v>400</v>
      </c>
      <c r="X28" s="41">
        <v>8450</v>
      </c>
      <c r="Y28" s="41">
        <v>706.93</v>
      </c>
      <c r="Z28" s="41">
        <v>0</v>
      </c>
      <c r="AA28" s="41">
        <v>0</v>
      </c>
      <c r="AB28" s="41">
        <v>1812300</v>
      </c>
      <c r="AC28" s="41">
        <v>37.5</v>
      </c>
      <c r="AD28" s="41" t="s">
        <v>433</v>
      </c>
    </row>
    <row r="29" spans="1:30" x14ac:dyDescent="0.35">
      <c r="A29" s="41">
        <v>467</v>
      </c>
      <c r="B29" s="41">
        <v>2627304</v>
      </c>
      <c r="C29" s="41">
        <v>26273045</v>
      </c>
      <c r="D29" s="41" t="s">
        <v>442</v>
      </c>
      <c r="E29" s="41" t="s">
        <v>592</v>
      </c>
      <c r="F29" s="41">
        <v>812300</v>
      </c>
      <c r="G29" s="41" t="s">
        <v>1972</v>
      </c>
      <c r="H29" s="41">
        <v>90541</v>
      </c>
      <c r="I29" s="41" t="s">
        <v>819</v>
      </c>
      <c r="J29" s="41">
        <v>49</v>
      </c>
      <c r="K29" s="41">
        <v>2</v>
      </c>
      <c r="L29" s="41">
        <v>4</v>
      </c>
      <c r="M29" s="41">
        <v>100</v>
      </c>
      <c r="N29" s="41">
        <v>14682.91</v>
      </c>
      <c r="O29" s="41">
        <v>2441.94</v>
      </c>
      <c r="P29" s="41">
        <v>525.72</v>
      </c>
      <c r="Q29" s="41">
        <v>10895.8</v>
      </c>
      <c r="R29" s="41">
        <v>0</v>
      </c>
      <c r="S29" s="41">
        <v>0</v>
      </c>
      <c r="T29" s="41">
        <v>0</v>
      </c>
      <c r="U29" s="41">
        <v>0</v>
      </c>
      <c r="V29" s="41">
        <v>545.79999999999995</v>
      </c>
      <c r="W29" s="41">
        <v>0</v>
      </c>
      <c r="X29" s="41">
        <v>10350</v>
      </c>
      <c r="Y29" s="41">
        <v>819.45</v>
      </c>
      <c r="Z29" s="41">
        <v>0</v>
      </c>
      <c r="AA29" s="41">
        <v>0</v>
      </c>
      <c r="AB29" s="41">
        <v>1812300</v>
      </c>
      <c r="AC29" s="41">
        <v>37.5</v>
      </c>
      <c r="AD29" s="41" t="s">
        <v>433</v>
      </c>
    </row>
    <row r="30" spans="1:30" x14ac:dyDescent="0.35">
      <c r="A30" s="41">
        <v>467</v>
      </c>
      <c r="B30" s="41">
        <v>2627601</v>
      </c>
      <c r="C30" s="41">
        <v>26276014</v>
      </c>
      <c r="D30" s="41" t="s">
        <v>442</v>
      </c>
      <c r="E30" s="41" t="s">
        <v>832</v>
      </c>
      <c r="F30" s="41">
        <v>812300</v>
      </c>
      <c r="G30" s="41" t="s">
        <v>1972</v>
      </c>
      <c r="H30" s="41">
        <v>90541</v>
      </c>
      <c r="I30" s="41" t="s">
        <v>819</v>
      </c>
      <c r="J30" s="41">
        <v>49</v>
      </c>
      <c r="K30" s="41">
        <v>2</v>
      </c>
      <c r="L30" s="41">
        <v>3</v>
      </c>
      <c r="M30" s="41">
        <v>100</v>
      </c>
      <c r="N30" s="41">
        <v>13506.21</v>
      </c>
      <c r="O30" s="41">
        <v>2298.52</v>
      </c>
      <c r="P30" s="41">
        <v>457.49</v>
      </c>
      <c r="Q30" s="41">
        <v>9998.1</v>
      </c>
      <c r="R30" s="41">
        <v>0</v>
      </c>
      <c r="S30" s="41">
        <v>0</v>
      </c>
      <c r="T30" s="41">
        <v>0</v>
      </c>
      <c r="U30" s="41">
        <v>0</v>
      </c>
      <c r="V30" s="41">
        <v>185.6</v>
      </c>
      <c r="W30" s="41">
        <v>0</v>
      </c>
      <c r="X30" s="41">
        <v>9812.5</v>
      </c>
      <c r="Y30" s="41">
        <v>752.1</v>
      </c>
      <c r="Z30" s="41">
        <v>0</v>
      </c>
      <c r="AA30" s="41">
        <v>0</v>
      </c>
      <c r="AB30" s="41">
        <v>1812300</v>
      </c>
      <c r="AC30" s="41">
        <v>37.5</v>
      </c>
      <c r="AD30" s="41" t="s">
        <v>433</v>
      </c>
    </row>
    <row r="31" spans="1:30" x14ac:dyDescent="0.35">
      <c r="A31" s="41">
        <v>467</v>
      </c>
      <c r="B31" s="41">
        <v>2627886</v>
      </c>
      <c r="C31" s="41">
        <v>26278861</v>
      </c>
      <c r="D31" s="41" t="s">
        <v>434</v>
      </c>
      <c r="E31" s="41" t="s">
        <v>590</v>
      </c>
      <c r="F31" s="41">
        <v>812300</v>
      </c>
      <c r="G31" s="41" t="s">
        <v>1972</v>
      </c>
      <c r="H31" s="41">
        <v>90541</v>
      </c>
      <c r="I31" s="41" t="s">
        <v>819</v>
      </c>
      <c r="J31" s="41">
        <v>49</v>
      </c>
      <c r="K31" s="41">
        <v>2</v>
      </c>
      <c r="L31" s="41">
        <v>3</v>
      </c>
      <c r="M31" s="41">
        <v>100</v>
      </c>
      <c r="N31" s="41">
        <v>13309.09</v>
      </c>
      <c r="O31" s="41">
        <v>2265.29</v>
      </c>
      <c r="P31" s="41">
        <v>446.67</v>
      </c>
      <c r="Q31" s="41">
        <v>9855.68</v>
      </c>
      <c r="R31" s="41">
        <v>0</v>
      </c>
      <c r="S31" s="41">
        <v>0</v>
      </c>
      <c r="T31" s="41">
        <v>0</v>
      </c>
      <c r="U31" s="41">
        <v>0</v>
      </c>
      <c r="V31" s="41">
        <v>185.6</v>
      </c>
      <c r="W31" s="41">
        <v>0</v>
      </c>
      <c r="X31" s="41">
        <v>9670.08</v>
      </c>
      <c r="Y31" s="41">
        <v>741.45</v>
      </c>
      <c r="Z31" s="41">
        <v>0</v>
      </c>
      <c r="AA31" s="41">
        <v>0</v>
      </c>
      <c r="AB31" s="41">
        <v>1812300</v>
      </c>
      <c r="AC31" s="41">
        <v>37.5</v>
      </c>
      <c r="AD31" s="41" t="s">
        <v>433</v>
      </c>
    </row>
    <row r="32" spans="1:30" x14ac:dyDescent="0.35">
      <c r="A32" s="41">
        <v>467</v>
      </c>
      <c r="B32" s="41">
        <v>2635647</v>
      </c>
      <c r="C32" s="41">
        <v>26356477</v>
      </c>
      <c r="D32" s="41" t="s">
        <v>448</v>
      </c>
      <c r="E32" s="41" t="s">
        <v>1701</v>
      </c>
      <c r="F32" s="41">
        <v>812300</v>
      </c>
      <c r="G32" s="41" t="s">
        <v>1972</v>
      </c>
      <c r="H32" s="41">
        <v>90541</v>
      </c>
      <c r="I32" s="41" t="s">
        <v>821</v>
      </c>
      <c r="J32" s="41">
        <v>0</v>
      </c>
      <c r="K32" s="41">
        <v>0</v>
      </c>
      <c r="L32" s="41">
        <v>0</v>
      </c>
      <c r="M32" s="41">
        <v>0</v>
      </c>
      <c r="N32" s="41">
        <v>165.04</v>
      </c>
      <c r="O32" s="41">
        <v>6.85</v>
      </c>
      <c r="P32" s="41">
        <v>8.6199999999999992</v>
      </c>
      <c r="Q32" s="41">
        <v>137</v>
      </c>
      <c r="R32" s="41">
        <v>0</v>
      </c>
      <c r="S32" s="41">
        <v>0</v>
      </c>
      <c r="T32" s="41">
        <v>0</v>
      </c>
      <c r="U32" s="41">
        <v>0</v>
      </c>
      <c r="V32" s="41">
        <v>137</v>
      </c>
      <c r="W32" s="41">
        <v>0</v>
      </c>
      <c r="X32" s="41">
        <v>0</v>
      </c>
      <c r="Y32" s="41">
        <v>12.57</v>
      </c>
      <c r="Z32" s="41">
        <v>0</v>
      </c>
      <c r="AA32" s="41">
        <v>0</v>
      </c>
      <c r="AB32" s="41">
        <v>1812300</v>
      </c>
      <c r="AC32" s="41">
        <v>37.5</v>
      </c>
      <c r="AD32" s="41" t="s">
        <v>433</v>
      </c>
    </row>
    <row r="33" spans="1:30" x14ac:dyDescent="0.35">
      <c r="A33" s="41">
        <v>467</v>
      </c>
      <c r="B33" s="41">
        <v>2750507</v>
      </c>
      <c r="C33" s="41">
        <v>27505072</v>
      </c>
      <c r="D33" s="41" t="s">
        <v>935</v>
      </c>
      <c r="E33" s="41" t="s">
        <v>578</v>
      </c>
      <c r="F33" s="41">
        <v>812300</v>
      </c>
      <c r="G33" s="41" t="s">
        <v>1972</v>
      </c>
      <c r="H33" s="41">
        <v>90541</v>
      </c>
      <c r="I33" s="41" t="s">
        <v>821</v>
      </c>
      <c r="J33" s="41">
        <v>0</v>
      </c>
      <c r="K33" s="41">
        <v>0</v>
      </c>
      <c r="L33" s="41">
        <v>0</v>
      </c>
      <c r="M33" s="41">
        <v>0</v>
      </c>
      <c r="N33" s="41">
        <v>129.47999999999999</v>
      </c>
      <c r="O33" s="41">
        <v>-43.75</v>
      </c>
      <c r="P33" s="41">
        <v>8.4</v>
      </c>
      <c r="Q33" s="41">
        <v>151.22</v>
      </c>
      <c r="R33" s="41">
        <v>0</v>
      </c>
      <c r="S33" s="41">
        <v>0</v>
      </c>
      <c r="T33" s="41">
        <v>0</v>
      </c>
      <c r="U33" s="41">
        <v>0</v>
      </c>
      <c r="V33" s="41">
        <v>339</v>
      </c>
      <c r="W33" s="41">
        <v>0</v>
      </c>
      <c r="X33" s="41">
        <v>-187.78</v>
      </c>
      <c r="Y33" s="41">
        <v>13.61</v>
      </c>
      <c r="Z33" s="41">
        <v>0</v>
      </c>
      <c r="AA33" s="41">
        <v>0</v>
      </c>
      <c r="AB33" s="41">
        <v>1812300</v>
      </c>
      <c r="AC33" s="41">
        <v>37.5</v>
      </c>
      <c r="AD33" s="41" t="s">
        <v>433</v>
      </c>
    </row>
    <row r="34" spans="1:30" x14ac:dyDescent="0.35">
      <c r="A34" s="41">
        <v>467</v>
      </c>
      <c r="B34" s="41">
        <v>2767373</v>
      </c>
      <c r="C34" s="41">
        <v>27673730</v>
      </c>
      <c r="D34" s="41" t="s">
        <v>434</v>
      </c>
      <c r="E34" s="41" t="s">
        <v>559</v>
      </c>
      <c r="F34" s="41">
        <v>812300</v>
      </c>
      <c r="G34" s="41" t="s">
        <v>1972</v>
      </c>
      <c r="H34" s="41">
        <v>90541</v>
      </c>
      <c r="I34" s="41" t="s">
        <v>819</v>
      </c>
      <c r="J34" s="41">
        <v>49</v>
      </c>
      <c r="K34" s="41">
        <v>2</v>
      </c>
      <c r="L34" s="41">
        <v>3</v>
      </c>
      <c r="M34" s="41">
        <v>100</v>
      </c>
      <c r="N34" s="41">
        <v>13027.56</v>
      </c>
      <c r="O34" s="41">
        <v>2171.34</v>
      </c>
      <c r="P34" s="41">
        <v>434.29</v>
      </c>
      <c r="Q34" s="41">
        <v>9692.73</v>
      </c>
      <c r="R34" s="41">
        <v>0</v>
      </c>
      <c r="S34" s="41">
        <v>0</v>
      </c>
      <c r="T34" s="41">
        <v>0</v>
      </c>
      <c r="U34" s="41">
        <v>0</v>
      </c>
      <c r="V34" s="41">
        <v>185.6</v>
      </c>
      <c r="W34" s="41">
        <v>200</v>
      </c>
      <c r="X34" s="41">
        <v>9307.1299999999992</v>
      </c>
      <c r="Y34" s="41">
        <v>729.2</v>
      </c>
      <c r="Z34" s="41">
        <v>0</v>
      </c>
      <c r="AA34" s="41">
        <v>0</v>
      </c>
      <c r="AB34" s="41">
        <v>1812300</v>
      </c>
      <c r="AC34" s="41">
        <v>37.5</v>
      </c>
      <c r="AD34" s="41" t="s">
        <v>433</v>
      </c>
    </row>
    <row r="35" spans="1:30" x14ac:dyDescent="0.35">
      <c r="A35" s="41">
        <v>467</v>
      </c>
      <c r="B35" s="41">
        <v>2984367</v>
      </c>
      <c r="C35" s="41">
        <v>29843679</v>
      </c>
      <c r="D35" s="41" t="s">
        <v>448</v>
      </c>
      <c r="E35" s="41" t="s">
        <v>834</v>
      </c>
      <c r="F35" s="41">
        <v>812300</v>
      </c>
      <c r="G35" s="41" t="s">
        <v>1972</v>
      </c>
      <c r="H35" s="41">
        <v>90541</v>
      </c>
      <c r="I35" s="41" t="s">
        <v>819</v>
      </c>
      <c r="J35" s="41">
        <v>49</v>
      </c>
      <c r="K35" s="41">
        <v>3</v>
      </c>
      <c r="L35" s="41">
        <v>2</v>
      </c>
      <c r="M35" s="41">
        <v>100</v>
      </c>
      <c r="N35" s="41">
        <v>12395.82</v>
      </c>
      <c r="O35" s="41">
        <v>2060.91</v>
      </c>
      <c r="P35" s="41">
        <v>421.92</v>
      </c>
      <c r="Q35" s="41">
        <v>9219.31</v>
      </c>
      <c r="R35" s="41">
        <v>0</v>
      </c>
      <c r="S35" s="41">
        <v>0</v>
      </c>
      <c r="T35" s="41">
        <v>0</v>
      </c>
      <c r="U35" s="41">
        <v>0</v>
      </c>
      <c r="V35" s="41">
        <v>185.6</v>
      </c>
      <c r="W35" s="41">
        <v>200</v>
      </c>
      <c r="X35" s="41">
        <v>8833.7099999999991</v>
      </c>
      <c r="Y35" s="41">
        <v>693.68</v>
      </c>
      <c r="Z35" s="41">
        <v>0</v>
      </c>
      <c r="AA35" s="41">
        <v>0</v>
      </c>
      <c r="AB35" s="41">
        <v>1812300</v>
      </c>
      <c r="AC35" s="41">
        <v>37.5</v>
      </c>
      <c r="AD35" s="41" t="s">
        <v>433</v>
      </c>
    </row>
    <row r="36" spans="1:30" x14ac:dyDescent="0.35">
      <c r="A36" s="41">
        <v>467</v>
      </c>
      <c r="B36" s="41">
        <v>3145202</v>
      </c>
      <c r="C36" s="41">
        <v>31452022</v>
      </c>
      <c r="D36" s="41" t="s">
        <v>538</v>
      </c>
      <c r="E36" s="41" t="s">
        <v>937</v>
      </c>
      <c r="F36" s="41">
        <v>812300</v>
      </c>
      <c r="G36" s="41" t="s">
        <v>1972</v>
      </c>
      <c r="H36" s="41">
        <v>90541</v>
      </c>
      <c r="I36" s="41" t="s">
        <v>819</v>
      </c>
      <c r="J36" s="41">
        <v>49</v>
      </c>
      <c r="K36" s="41">
        <v>2</v>
      </c>
      <c r="L36" s="41">
        <v>2</v>
      </c>
      <c r="M36" s="41">
        <v>100</v>
      </c>
      <c r="N36" s="41">
        <v>12032.43</v>
      </c>
      <c r="O36" s="41">
        <v>1959.71</v>
      </c>
      <c r="P36" s="41">
        <v>410.94</v>
      </c>
      <c r="Q36" s="41">
        <v>8985.6</v>
      </c>
      <c r="R36" s="41">
        <v>0</v>
      </c>
      <c r="S36" s="41">
        <v>0</v>
      </c>
      <c r="T36" s="41">
        <v>0</v>
      </c>
      <c r="U36" s="41">
        <v>0</v>
      </c>
      <c r="V36" s="41">
        <v>185.6</v>
      </c>
      <c r="W36" s="41">
        <v>400</v>
      </c>
      <c r="X36" s="41">
        <v>8400</v>
      </c>
      <c r="Y36" s="41">
        <v>676.18</v>
      </c>
      <c r="Z36" s="41">
        <v>0</v>
      </c>
      <c r="AA36" s="41">
        <v>0</v>
      </c>
      <c r="AB36" s="41">
        <v>1812300</v>
      </c>
      <c r="AC36" s="41">
        <v>37.5</v>
      </c>
      <c r="AD36" s="41" t="s">
        <v>433</v>
      </c>
    </row>
    <row r="37" spans="1:30" x14ac:dyDescent="0.35">
      <c r="A37" s="41">
        <v>467</v>
      </c>
      <c r="B37" s="41">
        <v>3145566</v>
      </c>
      <c r="C37" s="41">
        <v>31455660</v>
      </c>
      <c r="D37" s="41" t="s">
        <v>434</v>
      </c>
      <c r="E37" s="41" t="s">
        <v>589</v>
      </c>
      <c r="F37" s="41">
        <v>812300</v>
      </c>
      <c r="G37" s="41" t="s">
        <v>1972</v>
      </c>
      <c r="H37" s="41">
        <v>90541</v>
      </c>
      <c r="I37" s="41" t="s">
        <v>819</v>
      </c>
      <c r="J37" s="41">
        <v>49</v>
      </c>
      <c r="K37" s="41">
        <v>2</v>
      </c>
      <c r="L37" s="41">
        <v>3</v>
      </c>
      <c r="M37" s="41">
        <v>100</v>
      </c>
      <c r="N37" s="41">
        <v>13994.03</v>
      </c>
      <c r="O37" s="41">
        <v>2340.34</v>
      </c>
      <c r="P37" s="41">
        <v>486.94</v>
      </c>
      <c r="Q37" s="41">
        <v>10385.6</v>
      </c>
      <c r="R37" s="41">
        <v>0</v>
      </c>
      <c r="S37" s="41">
        <v>0</v>
      </c>
      <c r="T37" s="41">
        <v>0</v>
      </c>
      <c r="U37" s="41">
        <v>0</v>
      </c>
      <c r="V37" s="41">
        <v>185.6</v>
      </c>
      <c r="W37" s="41">
        <v>400</v>
      </c>
      <c r="X37" s="41">
        <v>9800</v>
      </c>
      <c r="Y37" s="41">
        <v>781.15</v>
      </c>
      <c r="Z37" s="41">
        <v>0</v>
      </c>
      <c r="AA37" s="41">
        <v>0</v>
      </c>
      <c r="AB37" s="41">
        <v>1812300</v>
      </c>
      <c r="AC37" s="41">
        <v>37.5</v>
      </c>
      <c r="AD37" s="41" t="s">
        <v>433</v>
      </c>
    </row>
    <row r="38" spans="1:30" x14ac:dyDescent="0.35">
      <c r="A38" s="41">
        <v>467</v>
      </c>
      <c r="B38" s="41">
        <v>3159446</v>
      </c>
      <c r="C38" s="41">
        <v>31594468</v>
      </c>
      <c r="D38" s="41" t="s">
        <v>434</v>
      </c>
      <c r="E38" s="41" t="s">
        <v>588</v>
      </c>
      <c r="F38" s="41">
        <v>812300</v>
      </c>
      <c r="G38" s="41" t="s">
        <v>1972</v>
      </c>
      <c r="H38" s="41">
        <v>90541</v>
      </c>
      <c r="I38" s="41" t="s">
        <v>819</v>
      </c>
      <c r="J38" s="41">
        <v>49</v>
      </c>
      <c r="K38" s="41">
        <v>3</v>
      </c>
      <c r="L38" s="41">
        <v>3</v>
      </c>
      <c r="M38" s="41">
        <v>100</v>
      </c>
      <c r="N38" s="41">
        <v>14803.65</v>
      </c>
      <c r="O38" s="41">
        <v>2472.1999999999998</v>
      </c>
      <c r="P38" s="41">
        <v>557.03</v>
      </c>
      <c r="Q38" s="41">
        <v>10950.84</v>
      </c>
      <c r="R38" s="41">
        <v>0</v>
      </c>
      <c r="S38" s="41">
        <v>0</v>
      </c>
      <c r="T38" s="41">
        <v>0</v>
      </c>
      <c r="U38" s="41">
        <v>0</v>
      </c>
      <c r="V38" s="41">
        <v>185.6</v>
      </c>
      <c r="W38" s="41">
        <v>400</v>
      </c>
      <c r="X38" s="41">
        <v>10365.24</v>
      </c>
      <c r="Y38" s="41">
        <v>823.58</v>
      </c>
      <c r="Z38" s="41">
        <v>0</v>
      </c>
      <c r="AA38" s="41">
        <v>0</v>
      </c>
      <c r="AB38" s="41">
        <v>1812300</v>
      </c>
      <c r="AC38" s="41">
        <v>37.5</v>
      </c>
      <c r="AD38" s="41" t="s">
        <v>433</v>
      </c>
    </row>
    <row r="39" spans="1:30" x14ac:dyDescent="0.35">
      <c r="A39" s="41">
        <v>467</v>
      </c>
      <c r="B39" s="41">
        <v>3252139</v>
      </c>
      <c r="C39" s="41">
        <v>32521395</v>
      </c>
      <c r="D39" s="41" t="s">
        <v>954</v>
      </c>
      <c r="E39" s="41" t="s">
        <v>581</v>
      </c>
      <c r="F39" s="41">
        <v>812300</v>
      </c>
      <c r="G39" s="41" t="s">
        <v>1972</v>
      </c>
      <c r="H39" s="41">
        <v>90541</v>
      </c>
      <c r="I39" s="41" t="s">
        <v>819</v>
      </c>
      <c r="J39" s="41">
        <v>49</v>
      </c>
      <c r="K39" s="41">
        <v>2</v>
      </c>
      <c r="L39" s="41">
        <v>2</v>
      </c>
      <c r="M39" s="41">
        <v>100</v>
      </c>
      <c r="N39" s="41">
        <v>11404.34</v>
      </c>
      <c r="O39" s="41">
        <v>1957.73</v>
      </c>
      <c r="P39" s="41">
        <v>371.23</v>
      </c>
      <c r="Q39" s="41">
        <v>8440.1</v>
      </c>
      <c r="R39" s="41">
        <v>0</v>
      </c>
      <c r="S39" s="41">
        <v>0</v>
      </c>
      <c r="T39" s="41">
        <v>0</v>
      </c>
      <c r="U39" s="41">
        <v>0</v>
      </c>
      <c r="V39" s="41">
        <v>48.6</v>
      </c>
      <c r="W39" s="41">
        <v>0</v>
      </c>
      <c r="X39" s="41">
        <v>8391.5</v>
      </c>
      <c r="Y39" s="41">
        <v>635.28</v>
      </c>
      <c r="Z39" s="41">
        <v>0</v>
      </c>
      <c r="AA39" s="41">
        <v>0</v>
      </c>
      <c r="AB39" s="41">
        <v>1812300</v>
      </c>
      <c r="AC39" s="41">
        <v>37.5</v>
      </c>
      <c r="AD39" s="41" t="s">
        <v>433</v>
      </c>
    </row>
    <row r="40" spans="1:30" x14ac:dyDescent="0.35">
      <c r="A40" s="41">
        <v>467</v>
      </c>
      <c r="B40" s="41">
        <v>3252342</v>
      </c>
      <c r="C40" s="41">
        <v>32523425</v>
      </c>
      <c r="D40" s="41" t="s">
        <v>486</v>
      </c>
      <c r="E40" s="41" t="s">
        <v>578</v>
      </c>
      <c r="F40" s="41">
        <v>812300</v>
      </c>
      <c r="G40" s="41" t="s">
        <v>1972</v>
      </c>
      <c r="H40" s="41">
        <v>90541</v>
      </c>
      <c r="I40" s="41" t="s">
        <v>819</v>
      </c>
      <c r="J40" s="41">
        <v>49</v>
      </c>
      <c r="K40" s="41">
        <v>2</v>
      </c>
      <c r="L40" s="41">
        <v>2</v>
      </c>
      <c r="M40" s="41">
        <v>100</v>
      </c>
      <c r="N40" s="41">
        <v>12034.7</v>
      </c>
      <c r="O40" s="41">
        <v>1971.38</v>
      </c>
      <c r="P40" s="41">
        <v>400.49</v>
      </c>
      <c r="Q40" s="41">
        <v>8986.6</v>
      </c>
      <c r="R40" s="41">
        <v>351</v>
      </c>
      <c r="S40" s="41">
        <v>0</v>
      </c>
      <c r="T40" s="41">
        <v>0</v>
      </c>
      <c r="U40" s="41">
        <v>0</v>
      </c>
      <c r="V40" s="41">
        <v>185.6</v>
      </c>
      <c r="W40" s="41">
        <v>0</v>
      </c>
      <c r="X40" s="41">
        <v>8450</v>
      </c>
      <c r="Y40" s="41">
        <v>676.23</v>
      </c>
      <c r="Z40" s="41">
        <v>0</v>
      </c>
      <c r="AA40" s="41">
        <v>0</v>
      </c>
      <c r="AB40" s="41">
        <v>1812300</v>
      </c>
      <c r="AC40" s="41">
        <v>37.5</v>
      </c>
      <c r="AD40" s="41" t="s">
        <v>433</v>
      </c>
    </row>
    <row r="41" spans="1:30" x14ac:dyDescent="0.35">
      <c r="A41" s="41">
        <v>467</v>
      </c>
      <c r="B41" s="41">
        <v>3310728</v>
      </c>
      <c r="C41" s="41">
        <v>33107285</v>
      </c>
      <c r="D41" s="41" t="s">
        <v>434</v>
      </c>
      <c r="E41" s="41" t="s">
        <v>938</v>
      </c>
      <c r="F41" s="41">
        <v>812300</v>
      </c>
      <c r="G41" s="41" t="s">
        <v>1972</v>
      </c>
      <c r="H41" s="41">
        <v>90541</v>
      </c>
      <c r="I41" s="41" t="s">
        <v>819</v>
      </c>
      <c r="J41" s="41">
        <v>49</v>
      </c>
      <c r="K41" s="41">
        <v>2</v>
      </c>
      <c r="L41" s="41">
        <v>3</v>
      </c>
      <c r="M41" s="41">
        <v>100</v>
      </c>
      <c r="N41" s="41">
        <v>12068.35</v>
      </c>
      <c r="O41" s="41">
        <v>1991.76</v>
      </c>
      <c r="P41" s="41">
        <v>382.81</v>
      </c>
      <c r="Q41" s="41">
        <v>9015.3799999999992</v>
      </c>
      <c r="R41" s="41">
        <v>0</v>
      </c>
      <c r="S41" s="41">
        <v>0</v>
      </c>
      <c r="T41" s="41">
        <v>0</v>
      </c>
      <c r="U41" s="41">
        <v>0</v>
      </c>
      <c r="V41" s="41">
        <v>478</v>
      </c>
      <c r="W41" s="41">
        <v>0</v>
      </c>
      <c r="X41" s="41">
        <v>8537.3799999999992</v>
      </c>
      <c r="Y41" s="41">
        <v>678.4</v>
      </c>
      <c r="Z41" s="41">
        <v>0</v>
      </c>
      <c r="AA41" s="41">
        <v>0</v>
      </c>
      <c r="AB41" s="41">
        <v>1812300</v>
      </c>
      <c r="AC41" s="41">
        <v>37.5</v>
      </c>
      <c r="AD41" s="41" t="s">
        <v>433</v>
      </c>
    </row>
    <row r="42" spans="1:30" x14ac:dyDescent="0.35">
      <c r="A42" s="41">
        <v>467</v>
      </c>
      <c r="B42" s="41">
        <v>3342606</v>
      </c>
      <c r="C42" s="41">
        <v>33426065</v>
      </c>
      <c r="D42" s="41" t="s">
        <v>486</v>
      </c>
      <c r="E42" s="41" t="s">
        <v>582</v>
      </c>
      <c r="F42" s="41">
        <v>812300</v>
      </c>
      <c r="G42" s="41" t="s">
        <v>1972</v>
      </c>
      <c r="H42" s="41">
        <v>90541</v>
      </c>
      <c r="I42" s="41" t="s">
        <v>821</v>
      </c>
      <c r="J42" s="41">
        <v>0</v>
      </c>
      <c r="K42" s="41">
        <v>0</v>
      </c>
      <c r="L42" s="41">
        <v>0</v>
      </c>
      <c r="M42" s="41">
        <v>0</v>
      </c>
      <c r="N42" s="41">
        <v>157.62</v>
      </c>
      <c r="O42" s="41">
        <v>0</v>
      </c>
      <c r="P42" s="41">
        <v>8.08</v>
      </c>
      <c r="Q42" s="41">
        <v>137</v>
      </c>
      <c r="R42" s="41">
        <v>0</v>
      </c>
      <c r="S42" s="41">
        <v>0</v>
      </c>
      <c r="T42" s="41">
        <v>0</v>
      </c>
      <c r="U42" s="41">
        <v>0</v>
      </c>
      <c r="V42" s="41">
        <v>137</v>
      </c>
      <c r="W42" s="41">
        <v>0</v>
      </c>
      <c r="X42" s="41">
        <v>0</v>
      </c>
      <c r="Y42" s="41">
        <v>12.54</v>
      </c>
      <c r="Z42" s="41">
        <v>0</v>
      </c>
      <c r="AA42" s="41">
        <v>0</v>
      </c>
      <c r="AB42" s="41">
        <v>1812300</v>
      </c>
      <c r="AC42" s="41">
        <v>37.5</v>
      </c>
      <c r="AD42" s="41" t="s">
        <v>433</v>
      </c>
    </row>
    <row r="43" spans="1:30" x14ac:dyDescent="0.35">
      <c r="A43" s="41">
        <v>467</v>
      </c>
      <c r="B43" s="41">
        <v>3344483</v>
      </c>
      <c r="C43" s="41">
        <v>33444837</v>
      </c>
      <c r="D43" s="41" t="s">
        <v>434</v>
      </c>
      <c r="E43" s="41" t="s">
        <v>587</v>
      </c>
      <c r="F43" s="41">
        <v>812300</v>
      </c>
      <c r="G43" s="41" t="s">
        <v>1972</v>
      </c>
      <c r="H43" s="41">
        <v>90541</v>
      </c>
      <c r="I43" s="41" t="s">
        <v>819</v>
      </c>
      <c r="J43" s="41">
        <v>49</v>
      </c>
      <c r="K43" s="41">
        <v>2</v>
      </c>
      <c r="L43" s="41">
        <v>3</v>
      </c>
      <c r="M43" s="41">
        <v>100</v>
      </c>
      <c r="N43" s="41">
        <v>13870.7</v>
      </c>
      <c r="O43" s="41">
        <v>2334.2800000000002</v>
      </c>
      <c r="P43" s="41">
        <v>530.91</v>
      </c>
      <c r="Q43" s="41">
        <v>10235.6</v>
      </c>
      <c r="R43" s="41">
        <v>0</v>
      </c>
      <c r="S43" s="41">
        <v>0</v>
      </c>
      <c r="T43" s="41">
        <v>0</v>
      </c>
      <c r="U43" s="41">
        <v>0</v>
      </c>
      <c r="V43" s="41">
        <v>185.6</v>
      </c>
      <c r="W43" s="41">
        <v>200</v>
      </c>
      <c r="X43" s="41">
        <v>9850</v>
      </c>
      <c r="Y43" s="41">
        <v>769.91</v>
      </c>
      <c r="Z43" s="41">
        <v>0</v>
      </c>
      <c r="AA43" s="41">
        <v>0</v>
      </c>
      <c r="AB43" s="41">
        <v>1812300</v>
      </c>
      <c r="AC43" s="41">
        <v>37.5</v>
      </c>
      <c r="AD43" s="41" t="s">
        <v>433</v>
      </c>
    </row>
    <row r="44" spans="1:30" x14ac:dyDescent="0.35">
      <c r="A44" s="41">
        <v>467</v>
      </c>
      <c r="B44" s="41">
        <v>3380069</v>
      </c>
      <c r="C44" s="41">
        <v>33800699</v>
      </c>
      <c r="D44" s="41" t="s">
        <v>448</v>
      </c>
      <c r="E44" s="41" t="s">
        <v>580</v>
      </c>
      <c r="F44" s="41">
        <v>812300</v>
      </c>
      <c r="G44" s="41" t="s">
        <v>1972</v>
      </c>
      <c r="H44" s="41">
        <v>90541</v>
      </c>
      <c r="I44" s="41" t="s">
        <v>819</v>
      </c>
      <c r="J44" s="41">
        <v>49</v>
      </c>
      <c r="K44" s="41">
        <v>2</v>
      </c>
      <c r="L44" s="41">
        <v>1</v>
      </c>
      <c r="M44" s="41">
        <v>100</v>
      </c>
      <c r="N44" s="41">
        <v>10853.23</v>
      </c>
      <c r="O44" s="41">
        <v>1843.07</v>
      </c>
      <c r="P44" s="41">
        <v>322.42</v>
      </c>
      <c r="Q44" s="41">
        <v>8079.53</v>
      </c>
      <c r="R44" s="41">
        <v>0</v>
      </c>
      <c r="S44" s="41">
        <v>0</v>
      </c>
      <c r="T44" s="41">
        <v>0</v>
      </c>
      <c r="U44" s="41">
        <v>0</v>
      </c>
      <c r="V44" s="41">
        <v>179.53</v>
      </c>
      <c r="W44" s="41">
        <v>0</v>
      </c>
      <c r="X44" s="41">
        <v>7900</v>
      </c>
      <c r="Y44" s="41">
        <v>608.21</v>
      </c>
      <c r="Z44" s="41">
        <v>0</v>
      </c>
      <c r="AA44" s="41">
        <v>0</v>
      </c>
      <c r="AB44" s="41">
        <v>1812300</v>
      </c>
      <c r="AC44" s="41">
        <v>37.5</v>
      </c>
      <c r="AD44" s="41" t="s">
        <v>433</v>
      </c>
    </row>
    <row r="45" spans="1:30" x14ac:dyDescent="0.35">
      <c r="A45" s="41">
        <v>467</v>
      </c>
      <c r="B45" s="41">
        <v>3455523</v>
      </c>
      <c r="C45" s="41">
        <v>34555235</v>
      </c>
      <c r="D45" s="41" t="s">
        <v>434</v>
      </c>
      <c r="E45" s="41" t="s">
        <v>1704</v>
      </c>
      <c r="F45" s="41">
        <v>812300</v>
      </c>
      <c r="G45" s="41" t="s">
        <v>1972</v>
      </c>
      <c r="H45" s="41">
        <v>90541</v>
      </c>
      <c r="I45" s="41" t="s">
        <v>819</v>
      </c>
      <c r="J45" s="41">
        <v>49</v>
      </c>
      <c r="K45" s="41">
        <v>2</v>
      </c>
      <c r="L45" s="41">
        <v>2</v>
      </c>
      <c r="M45" s="41">
        <v>100</v>
      </c>
      <c r="N45" s="41">
        <v>9978.2099999999991</v>
      </c>
      <c r="O45" s="41">
        <v>1695.97</v>
      </c>
      <c r="P45" s="41">
        <v>265.72000000000003</v>
      </c>
      <c r="Q45" s="41">
        <v>7455.12</v>
      </c>
      <c r="R45" s="41">
        <v>0</v>
      </c>
      <c r="S45" s="41">
        <v>0</v>
      </c>
      <c r="T45" s="41">
        <v>0</v>
      </c>
      <c r="U45" s="41">
        <v>0</v>
      </c>
      <c r="V45" s="41">
        <v>185.6</v>
      </c>
      <c r="W45" s="41">
        <v>0</v>
      </c>
      <c r="X45" s="41">
        <v>7269.52</v>
      </c>
      <c r="Y45" s="41">
        <v>561.4</v>
      </c>
      <c r="Z45" s="41">
        <v>0</v>
      </c>
      <c r="AA45" s="41">
        <v>0</v>
      </c>
      <c r="AB45" s="41">
        <v>1812300</v>
      </c>
      <c r="AC45" s="41">
        <v>37.5</v>
      </c>
      <c r="AD45" s="41" t="s">
        <v>433</v>
      </c>
    </row>
    <row r="46" spans="1:30" x14ac:dyDescent="0.35">
      <c r="A46" s="41">
        <v>467</v>
      </c>
      <c r="B46" s="41">
        <v>3457629</v>
      </c>
      <c r="C46" s="41">
        <v>34576298</v>
      </c>
      <c r="D46" s="41" t="s">
        <v>823</v>
      </c>
      <c r="E46" s="41" t="s">
        <v>550</v>
      </c>
      <c r="F46" s="41">
        <v>812300</v>
      </c>
      <c r="G46" s="41" t="s">
        <v>1972</v>
      </c>
      <c r="H46" s="41">
        <v>90541</v>
      </c>
      <c r="I46" s="41" t="s">
        <v>821</v>
      </c>
      <c r="J46" s="41">
        <v>0</v>
      </c>
      <c r="K46" s="41">
        <v>0</v>
      </c>
      <c r="L46" s="41">
        <v>0</v>
      </c>
      <c r="M46" s="41">
        <v>0</v>
      </c>
      <c r="N46" s="41">
        <v>142.07</v>
      </c>
      <c r="O46" s="41">
        <v>-2.56</v>
      </c>
      <c r="P46" s="41">
        <v>7.05</v>
      </c>
      <c r="Q46" s="41">
        <v>125.88</v>
      </c>
      <c r="R46" s="41">
        <v>0</v>
      </c>
      <c r="S46" s="41">
        <v>0</v>
      </c>
      <c r="T46" s="41">
        <v>0</v>
      </c>
      <c r="U46" s="41">
        <v>0</v>
      </c>
      <c r="V46" s="41">
        <v>137</v>
      </c>
      <c r="W46" s="41">
        <v>0</v>
      </c>
      <c r="X46" s="41">
        <v>-11.12</v>
      </c>
      <c r="Y46" s="41">
        <v>11.7</v>
      </c>
      <c r="Z46" s="41">
        <v>0</v>
      </c>
      <c r="AA46" s="41">
        <v>0</v>
      </c>
      <c r="AB46" s="41">
        <v>1812300</v>
      </c>
      <c r="AC46" s="41">
        <v>37.5</v>
      </c>
      <c r="AD46" s="41" t="s">
        <v>433</v>
      </c>
    </row>
    <row r="47" spans="1:30" x14ac:dyDescent="0.35">
      <c r="A47" s="41">
        <v>467</v>
      </c>
      <c r="B47" s="41">
        <v>3639109</v>
      </c>
      <c r="C47" s="41">
        <v>36391092</v>
      </c>
      <c r="D47" s="41" t="s">
        <v>442</v>
      </c>
      <c r="E47" s="41" t="s">
        <v>586</v>
      </c>
      <c r="F47" s="41">
        <v>812300</v>
      </c>
      <c r="G47" s="41" t="s">
        <v>1972</v>
      </c>
      <c r="H47" s="41">
        <v>90541</v>
      </c>
      <c r="I47" s="41" t="s">
        <v>819</v>
      </c>
      <c r="J47" s="41">
        <v>49</v>
      </c>
      <c r="K47" s="41">
        <v>2</v>
      </c>
      <c r="L47" s="41">
        <v>4</v>
      </c>
      <c r="M47" s="41">
        <v>100</v>
      </c>
      <c r="N47" s="41">
        <v>18894.599999999999</v>
      </c>
      <c r="O47" s="41">
        <v>2373.08</v>
      </c>
      <c r="P47" s="41">
        <v>808.39</v>
      </c>
      <c r="Q47" s="41">
        <v>14614.78</v>
      </c>
      <c r="R47" s="41">
        <v>0</v>
      </c>
      <c r="S47" s="41">
        <v>0</v>
      </c>
      <c r="T47" s="41">
        <v>0</v>
      </c>
      <c r="U47" s="41">
        <v>0</v>
      </c>
      <c r="V47" s="41">
        <v>185.6</v>
      </c>
      <c r="W47" s="41">
        <v>200</v>
      </c>
      <c r="X47" s="41">
        <v>14229.18</v>
      </c>
      <c r="Y47" s="41">
        <v>1098.3499999999999</v>
      </c>
      <c r="Z47" s="41">
        <v>0</v>
      </c>
      <c r="AA47" s="41">
        <v>0</v>
      </c>
      <c r="AB47" s="41">
        <v>1812300</v>
      </c>
      <c r="AC47" s="41">
        <v>37.5</v>
      </c>
      <c r="AD47" s="41" t="s">
        <v>433</v>
      </c>
    </row>
    <row r="48" spans="1:30" x14ac:dyDescent="0.35">
      <c r="A48" s="41">
        <v>467</v>
      </c>
      <c r="B48" s="41">
        <v>3639199</v>
      </c>
      <c r="C48" s="41">
        <v>36391993</v>
      </c>
      <c r="D48" s="41" t="s">
        <v>835</v>
      </c>
      <c r="E48" s="41" t="s">
        <v>836</v>
      </c>
      <c r="F48" s="41">
        <v>812300</v>
      </c>
      <c r="G48" s="41" t="s">
        <v>1972</v>
      </c>
      <c r="H48" s="41">
        <v>90541</v>
      </c>
      <c r="I48" s="41" t="s">
        <v>819</v>
      </c>
      <c r="J48" s="41">
        <v>49</v>
      </c>
      <c r="K48" s="41">
        <v>2</v>
      </c>
      <c r="L48" s="41">
        <v>1</v>
      </c>
      <c r="M48" s="41">
        <v>100</v>
      </c>
      <c r="N48" s="41">
        <v>21574.12</v>
      </c>
      <c r="O48" s="41">
        <v>1843.46</v>
      </c>
      <c r="P48" s="41">
        <v>1014.06</v>
      </c>
      <c r="Q48" s="41">
        <v>17406.62</v>
      </c>
      <c r="R48" s="41">
        <v>8925.48</v>
      </c>
      <c r="S48" s="41">
        <v>0</v>
      </c>
      <c r="T48" s="41">
        <v>0</v>
      </c>
      <c r="U48" s="41">
        <v>0</v>
      </c>
      <c r="V48" s="41">
        <v>179.53</v>
      </c>
      <c r="W48" s="41">
        <v>400</v>
      </c>
      <c r="X48" s="41">
        <v>7901.61</v>
      </c>
      <c r="Y48" s="41">
        <v>1309.98</v>
      </c>
      <c r="Z48" s="41">
        <v>0</v>
      </c>
      <c r="AA48" s="41">
        <v>0</v>
      </c>
      <c r="AB48" s="41">
        <v>1812300</v>
      </c>
      <c r="AC48" s="41">
        <v>37.5</v>
      </c>
      <c r="AD48" s="41" t="s">
        <v>433</v>
      </c>
    </row>
    <row r="49" spans="1:30" x14ac:dyDescent="0.35">
      <c r="A49" s="41">
        <v>467</v>
      </c>
      <c r="B49" s="41">
        <v>3648233</v>
      </c>
      <c r="C49" s="41">
        <v>36482339</v>
      </c>
      <c r="D49" s="41" t="s">
        <v>942</v>
      </c>
      <c r="E49" s="41" t="s">
        <v>485</v>
      </c>
      <c r="F49" s="41">
        <v>812300</v>
      </c>
      <c r="G49" s="41" t="s">
        <v>1972</v>
      </c>
      <c r="H49" s="41">
        <v>90541</v>
      </c>
      <c r="I49" s="41" t="s">
        <v>819</v>
      </c>
      <c r="J49" s="41">
        <v>49</v>
      </c>
      <c r="K49" s="41">
        <v>2</v>
      </c>
      <c r="L49" s="41">
        <v>2</v>
      </c>
      <c r="M49" s="41">
        <v>100</v>
      </c>
      <c r="N49" s="41">
        <v>11728.68</v>
      </c>
      <c r="O49" s="41">
        <v>1985.96</v>
      </c>
      <c r="P49" s="41">
        <v>389.99</v>
      </c>
      <c r="Q49" s="41">
        <v>8698.1</v>
      </c>
      <c r="R49" s="41">
        <v>0</v>
      </c>
      <c r="S49" s="41">
        <v>0</v>
      </c>
      <c r="T49" s="41">
        <v>0</v>
      </c>
      <c r="U49" s="41">
        <v>0</v>
      </c>
      <c r="V49" s="41">
        <v>185.6</v>
      </c>
      <c r="W49" s="41">
        <v>0</v>
      </c>
      <c r="X49" s="41">
        <v>8512.5</v>
      </c>
      <c r="Y49" s="41">
        <v>654.63</v>
      </c>
      <c r="Z49" s="41">
        <v>0</v>
      </c>
      <c r="AA49" s="41">
        <v>0</v>
      </c>
      <c r="AB49" s="41">
        <v>1812300</v>
      </c>
      <c r="AC49" s="41">
        <v>37.5</v>
      </c>
      <c r="AD49" s="41" t="s">
        <v>433</v>
      </c>
    </row>
    <row r="50" spans="1:30" x14ac:dyDescent="0.35">
      <c r="A50" s="41">
        <v>467</v>
      </c>
      <c r="B50" s="41">
        <v>3800364</v>
      </c>
      <c r="C50" s="41">
        <v>38003646</v>
      </c>
      <c r="D50" s="41" t="s">
        <v>434</v>
      </c>
      <c r="E50" s="41" t="s">
        <v>575</v>
      </c>
      <c r="F50" s="41">
        <v>812300</v>
      </c>
      <c r="G50" s="41" t="s">
        <v>1972</v>
      </c>
      <c r="H50" s="41">
        <v>90541</v>
      </c>
      <c r="I50" s="41" t="s">
        <v>819</v>
      </c>
      <c r="J50" s="41">
        <v>49</v>
      </c>
      <c r="K50" s="41">
        <v>2</v>
      </c>
      <c r="L50" s="41">
        <v>2</v>
      </c>
      <c r="M50" s="41">
        <v>100</v>
      </c>
      <c r="N50" s="41">
        <v>12002.47</v>
      </c>
      <c r="O50" s="41">
        <v>2035.55</v>
      </c>
      <c r="P50" s="41">
        <v>385.79</v>
      </c>
      <c r="Q50" s="41">
        <v>8910.6</v>
      </c>
      <c r="R50" s="41">
        <v>0</v>
      </c>
      <c r="S50" s="41">
        <v>0</v>
      </c>
      <c r="T50" s="41">
        <v>0</v>
      </c>
      <c r="U50" s="41">
        <v>0</v>
      </c>
      <c r="V50" s="41">
        <v>185.6</v>
      </c>
      <c r="W50" s="41">
        <v>0</v>
      </c>
      <c r="X50" s="41">
        <v>8725</v>
      </c>
      <c r="Y50" s="41">
        <v>670.53</v>
      </c>
      <c r="Z50" s="41">
        <v>0</v>
      </c>
      <c r="AA50" s="41">
        <v>0</v>
      </c>
      <c r="AB50" s="41">
        <v>1812300</v>
      </c>
      <c r="AC50" s="41">
        <v>37.5</v>
      </c>
      <c r="AD50" s="41" t="s">
        <v>433</v>
      </c>
    </row>
    <row r="51" spans="1:30" x14ac:dyDescent="0.35">
      <c r="A51" s="41">
        <v>467</v>
      </c>
      <c r="B51" s="41">
        <v>3912939</v>
      </c>
      <c r="C51" s="41">
        <v>39129390</v>
      </c>
      <c r="D51" s="41" t="s">
        <v>484</v>
      </c>
      <c r="E51" s="41" t="s">
        <v>438</v>
      </c>
      <c r="F51" s="41">
        <v>812300</v>
      </c>
      <c r="G51" s="41" t="s">
        <v>1972</v>
      </c>
      <c r="H51" s="41">
        <v>90541</v>
      </c>
      <c r="I51" s="41" t="s">
        <v>819</v>
      </c>
      <c r="J51" s="41">
        <v>49</v>
      </c>
      <c r="K51" s="41">
        <v>2</v>
      </c>
      <c r="L51" s="41">
        <v>1</v>
      </c>
      <c r="M51" s="41">
        <v>100</v>
      </c>
      <c r="N51" s="41">
        <v>11756.22</v>
      </c>
      <c r="O51" s="41">
        <v>1991.79</v>
      </c>
      <c r="P51" s="41">
        <v>391.37</v>
      </c>
      <c r="Q51" s="41">
        <v>8717.0300000000007</v>
      </c>
      <c r="R51" s="41">
        <v>0</v>
      </c>
      <c r="S51" s="41">
        <v>0</v>
      </c>
      <c r="T51" s="41">
        <v>0</v>
      </c>
      <c r="U51" s="41">
        <v>0</v>
      </c>
      <c r="V51" s="41">
        <v>179.53</v>
      </c>
      <c r="W51" s="41">
        <v>0</v>
      </c>
      <c r="X51" s="41">
        <v>8537.5</v>
      </c>
      <c r="Y51" s="41">
        <v>656.03</v>
      </c>
      <c r="Z51" s="41">
        <v>0</v>
      </c>
      <c r="AA51" s="41">
        <v>0</v>
      </c>
      <c r="AB51" s="41">
        <v>1812300</v>
      </c>
      <c r="AC51" s="41">
        <v>37.5</v>
      </c>
      <c r="AD51" s="41" t="s">
        <v>433</v>
      </c>
    </row>
    <row r="52" spans="1:30" x14ac:dyDescent="0.35">
      <c r="A52" s="41">
        <v>467</v>
      </c>
      <c r="B52" s="41">
        <v>4046639</v>
      </c>
      <c r="C52" s="41">
        <v>40466393</v>
      </c>
      <c r="D52" s="41" t="s">
        <v>434</v>
      </c>
      <c r="E52" s="41" t="s">
        <v>544</v>
      </c>
      <c r="F52" s="41">
        <v>812300</v>
      </c>
      <c r="G52" s="41" t="s">
        <v>1972</v>
      </c>
      <c r="H52" s="41">
        <v>90541</v>
      </c>
      <c r="I52" s="41" t="s">
        <v>819</v>
      </c>
      <c r="J52" s="41">
        <v>49</v>
      </c>
      <c r="K52" s="41">
        <v>2</v>
      </c>
      <c r="L52" s="41">
        <v>2</v>
      </c>
      <c r="M52" s="41">
        <v>100</v>
      </c>
      <c r="N52" s="41">
        <v>11538.78</v>
      </c>
      <c r="O52" s="41">
        <v>1954.07</v>
      </c>
      <c r="P52" s="41">
        <v>378.98</v>
      </c>
      <c r="Q52" s="41">
        <v>8561.3700000000008</v>
      </c>
      <c r="R52" s="41">
        <v>0</v>
      </c>
      <c r="S52" s="41">
        <v>0</v>
      </c>
      <c r="T52" s="41">
        <v>0</v>
      </c>
      <c r="U52" s="41">
        <v>0</v>
      </c>
      <c r="V52" s="41">
        <v>185.6</v>
      </c>
      <c r="W52" s="41">
        <v>0</v>
      </c>
      <c r="X52" s="41">
        <v>8375.77</v>
      </c>
      <c r="Y52" s="41">
        <v>644.36</v>
      </c>
      <c r="Z52" s="41">
        <v>0</v>
      </c>
      <c r="AA52" s="41">
        <v>0</v>
      </c>
      <c r="AB52" s="41">
        <v>1812300</v>
      </c>
      <c r="AC52" s="41">
        <v>37.5</v>
      </c>
      <c r="AD52" s="41" t="s">
        <v>433</v>
      </c>
    </row>
    <row r="53" spans="1:30" x14ac:dyDescent="0.35">
      <c r="A53" s="41">
        <v>467</v>
      </c>
      <c r="B53" s="41">
        <v>4081065</v>
      </c>
      <c r="C53" s="41">
        <v>40810657</v>
      </c>
      <c r="D53" s="41" t="s">
        <v>837</v>
      </c>
      <c r="E53" s="41" t="s">
        <v>838</v>
      </c>
      <c r="F53" s="41">
        <v>812300</v>
      </c>
      <c r="G53" s="41" t="s">
        <v>1972</v>
      </c>
      <c r="H53" s="41">
        <v>90541</v>
      </c>
      <c r="I53" s="41" t="s">
        <v>819</v>
      </c>
      <c r="J53" s="41">
        <v>49</v>
      </c>
      <c r="K53" s="41">
        <v>2</v>
      </c>
      <c r="L53" s="41">
        <v>1</v>
      </c>
      <c r="M53" s="41">
        <v>100</v>
      </c>
      <c r="N53" s="41">
        <v>11409.14</v>
      </c>
      <c r="O53" s="41">
        <v>1854.74</v>
      </c>
      <c r="P53" s="41">
        <v>382.91</v>
      </c>
      <c r="Q53" s="41">
        <v>8529.5300000000007</v>
      </c>
      <c r="R53" s="41">
        <v>0</v>
      </c>
      <c r="S53" s="41">
        <v>0</v>
      </c>
      <c r="T53" s="41">
        <v>0</v>
      </c>
      <c r="U53" s="41">
        <v>0</v>
      </c>
      <c r="V53" s="41">
        <v>179.53</v>
      </c>
      <c r="W53" s="41">
        <v>400</v>
      </c>
      <c r="X53" s="41">
        <v>7950</v>
      </c>
      <c r="Y53" s="41">
        <v>641.96</v>
      </c>
      <c r="Z53" s="41">
        <v>0</v>
      </c>
      <c r="AA53" s="41">
        <v>0</v>
      </c>
      <c r="AB53" s="41">
        <v>1812300</v>
      </c>
      <c r="AC53" s="41">
        <v>37.5</v>
      </c>
      <c r="AD53" s="41" t="s">
        <v>433</v>
      </c>
    </row>
    <row r="54" spans="1:30" x14ac:dyDescent="0.35">
      <c r="A54" s="41">
        <v>467</v>
      </c>
      <c r="B54" s="41">
        <v>4346996</v>
      </c>
      <c r="C54" s="41">
        <v>43469964</v>
      </c>
      <c r="D54" s="41" t="s">
        <v>448</v>
      </c>
      <c r="E54" s="41" t="s">
        <v>483</v>
      </c>
      <c r="F54" s="41">
        <v>812300</v>
      </c>
      <c r="G54" s="41" t="s">
        <v>1972</v>
      </c>
      <c r="H54" s="41">
        <v>90541</v>
      </c>
      <c r="I54" s="41" t="s">
        <v>819</v>
      </c>
      <c r="J54" s="41">
        <v>49</v>
      </c>
      <c r="K54" s="41">
        <v>2</v>
      </c>
      <c r="L54" s="41">
        <v>2</v>
      </c>
      <c r="M54" s="41">
        <v>100</v>
      </c>
      <c r="N54" s="41">
        <v>11639.16</v>
      </c>
      <c r="O54" s="41">
        <v>1971.39</v>
      </c>
      <c r="P54" s="41">
        <v>382.26</v>
      </c>
      <c r="Q54" s="41">
        <v>8635.6</v>
      </c>
      <c r="R54" s="41">
        <v>0</v>
      </c>
      <c r="S54" s="41">
        <v>0</v>
      </c>
      <c r="T54" s="41">
        <v>0</v>
      </c>
      <c r="U54" s="41">
        <v>0</v>
      </c>
      <c r="V54" s="41">
        <v>185.6</v>
      </c>
      <c r="W54" s="41">
        <v>0</v>
      </c>
      <c r="X54" s="41">
        <v>8450</v>
      </c>
      <c r="Y54" s="41">
        <v>649.91</v>
      </c>
      <c r="Z54" s="41">
        <v>0</v>
      </c>
      <c r="AA54" s="41">
        <v>0</v>
      </c>
      <c r="AB54" s="41">
        <v>1812300</v>
      </c>
      <c r="AC54" s="41">
        <v>37.5</v>
      </c>
      <c r="AD54" s="41" t="s">
        <v>433</v>
      </c>
    </row>
    <row r="55" spans="1:30" x14ac:dyDescent="0.35">
      <c r="A55" s="41">
        <v>467</v>
      </c>
      <c r="B55" s="41">
        <v>4349257</v>
      </c>
      <c r="C55" s="41">
        <v>43492578</v>
      </c>
      <c r="D55" s="41" t="s">
        <v>585</v>
      </c>
      <c r="E55" s="41" t="s">
        <v>449</v>
      </c>
      <c r="F55" s="41">
        <v>812300</v>
      </c>
      <c r="G55" s="41" t="s">
        <v>1972</v>
      </c>
      <c r="H55" s="41">
        <v>90541</v>
      </c>
      <c r="I55" s="41" t="s">
        <v>821</v>
      </c>
      <c r="J55" s="41">
        <v>0</v>
      </c>
      <c r="K55" s="41">
        <v>0</v>
      </c>
      <c r="L55" s="41">
        <v>0</v>
      </c>
      <c r="M55" s="41">
        <v>0</v>
      </c>
      <c r="N55" s="41">
        <v>-419.53</v>
      </c>
      <c r="O55" s="41">
        <v>-73.25</v>
      </c>
      <c r="P55" s="41">
        <v>-10.85</v>
      </c>
      <c r="Q55" s="41">
        <v>-314.16000000000003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-314.16000000000003</v>
      </c>
      <c r="Y55" s="41">
        <v>-21.27</v>
      </c>
      <c r="Z55" s="41">
        <v>0</v>
      </c>
      <c r="AA55" s="41">
        <v>0</v>
      </c>
      <c r="AB55" s="41">
        <v>1812300</v>
      </c>
      <c r="AC55" s="41">
        <v>37.5</v>
      </c>
      <c r="AD55" s="41" t="s">
        <v>433</v>
      </c>
    </row>
    <row r="56" spans="1:30" x14ac:dyDescent="0.35">
      <c r="A56" s="41">
        <v>467</v>
      </c>
      <c r="B56" s="41">
        <v>6129721</v>
      </c>
      <c r="C56" s="41">
        <v>61297214</v>
      </c>
      <c r="D56" s="41" t="s">
        <v>464</v>
      </c>
      <c r="E56" s="41" t="s">
        <v>1705</v>
      </c>
      <c r="F56" s="41">
        <v>812300</v>
      </c>
      <c r="G56" s="41" t="s">
        <v>1972</v>
      </c>
      <c r="H56" s="41">
        <v>90541</v>
      </c>
      <c r="I56" s="41" t="s">
        <v>819</v>
      </c>
      <c r="J56" s="41">
        <v>49</v>
      </c>
      <c r="K56" s="41">
        <v>2</v>
      </c>
      <c r="L56" s="41">
        <v>1</v>
      </c>
      <c r="M56" s="41">
        <v>100</v>
      </c>
      <c r="N56" s="41">
        <v>10276.719999999999</v>
      </c>
      <c r="O56" s="41">
        <v>1742.59</v>
      </c>
      <c r="P56" s="41">
        <v>309.35000000000002</v>
      </c>
      <c r="Q56" s="41">
        <v>7648.85</v>
      </c>
      <c r="R56" s="41">
        <v>0</v>
      </c>
      <c r="S56" s="41">
        <v>0</v>
      </c>
      <c r="T56" s="41">
        <v>0</v>
      </c>
      <c r="U56" s="41">
        <v>0</v>
      </c>
      <c r="V56" s="41">
        <v>179.53</v>
      </c>
      <c r="W56" s="41">
        <v>0</v>
      </c>
      <c r="X56" s="41">
        <v>7469.32</v>
      </c>
      <c r="Y56" s="41">
        <v>575.92999999999995</v>
      </c>
      <c r="Z56" s="41">
        <v>0</v>
      </c>
      <c r="AA56" s="41">
        <v>0</v>
      </c>
      <c r="AB56" s="41">
        <v>1812300</v>
      </c>
      <c r="AC56" s="41">
        <v>37.5</v>
      </c>
      <c r="AD56" s="41" t="s">
        <v>433</v>
      </c>
    </row>
    <row r="57" spans="1:30" x14ac:dyDescent="0.35">
      <c r="A57" s="41">
        <v>467</v>
      </c>
      <c r="B57" s="41">
        <v>20567815</v>
      </c>
      <c r="C57" s="41">
        <v>205678154</v>
      </c>
      <c r="D57" s="41" t="s">
        <v>434</v>
      </c>
      <c r="E57" s="41" t="s">
        <v>1706</v>
      </c>
      <c r="F57" s="41">
        <v>812300</v>
      </c>
      <c r="G57" s="41" t="s">
        <v>1972</v>
      </c>
      <c r="H57" s="41">
        <v>90541</v>
      </c>
      <c r="I57" s="41" t="s">
        <v>819</v>
      </c>
      <c r="J57" s="41">
        <v>49</v>
      </c>
      <c r="K57" s="41">
        <v>2</v>
      </c>
      <c r="L57" s="41">
        <v>2</v>
      </c>
      <c r="M57" s="41">
        <v>100</v>
      </c>
      <c r="N57" s="41">
        <v>11708.82</v>
      </c>
      <c r="O57" s="41">
        <v>1916.76</v>
      </c>
      <c r="P57" s="41">
        <v>380.93</v>
      </c>
      <c r="Q57" s="41">
        <v>8752.4500000000007</v>
      </c>
      <c r="R57" s="41">
        <v>351</v>
      </c>
      <c r="S57" s="41">
        <v>0</v>
      </c>
      <c r="T57" s="41">
        <v>0</v>
      </c>
      <c r="U57" s="41">
        <v>0</v>
      </c>
      <c r="V57" s="41">
        <v>185.6</v>
      </c>
      <c r="W57" s="41">
        <v>0</v>
      </c>
      <c r="X57" s="41">
        <v>8215.85</v>
      </c>
      <c r="Y57" s="41">
        <v>658.68</v>
      </c>
      <c r="Z57" s="41">
        <v>0</v>
      </c>
      <c r="AA57" s="41">
        <v>0</v>
      </c>
      <c r="AB57" s="41">
        <v>1812300</v>
      </c>
      <c r="AC57" s="41">
        <v>37.5</v>
      </c>
      <c r="AD57" s="41" t="s">
        <v>433</v>
      </c>
    </row>
    <row r="58" spans="1:30" x14ac:dyDescent="0.35">
      <c r="A58" s="41">
        <v>467</v>
      </c>
      <c r="B58" s="41">
        <v>20576402</v>
      </c>
      <c r="C58" s="41">
        <v>205764020</v>
      </c>
      <c r="D58" s="41" t="s">
        <v>439</v>
      </c>
      <c r="E58" s="41" t="s">
        <v>584</v>
      </c>
      <c r="F58" s="41">
        <v>812300</v>
      </c>
      <c r="G58" s="41" t="s">
        <v>1972</v>
      </c>
      <c r="H58" s="41">
        <v>90541</v>
      </c>
      <c r="I58" s="41" t="s">
        <v>819</v>
      </c>
      <c r="J58" s="41">
        <v>49</v>
      </c>
      <c r="K58" s="41">
        <v>2</v>
      </c>
      <c r="L58" s="41">
        <v>2</v>
      </c>
      <c r="M58" s="41">
        <v>100</v>
      </c>
      <c r="N58" s="41">
        <v>12501.45</v>
      </c>
      <c r="O58" s="41">
        <v>2009.47</v>
      </c>
      <c r="P58" s="41">
        <v>439.45</v>
      </c>
      <c r="Q58" s="41">
        <v>9349.1</v>
      </c>
      <c r="R58" s="41">
        <v>351</v>
      </c>
      <c r="S58" s="41">
        <v>0</v>
      </c>
      <c r="T58" s="41">
        <v>0</v>
      </c>
      <c r="U58" s="41">
        <v>0</v>
      </c>
      <c r="V58" s="41">
        <v>185.6</v>
      </c>
      <c r="W58" s="41">
        <v>400</v>
      </c>
      <c r="X58" s="41">
        <v>8412.5</v>
      </c>
      <c r="Y58" s="41">
        <v>703.43</v>
      </c>
      <c r="Z58" s="41">
        <v>0</v>
      </c>
      <c r="AA58" s="41">
        <v>0</v>
      </c>
      <c r="AB58" s="41">
        <v>1812300</v>
      </c>
      <c r="AC58" s="41">
        <v>37.5</v>
      </c>
      <c r="AD58" s="41" t="s">
        <v>433</v>
      </c>
    </row>
    <row r="59" spans="1:30" x14ac:dyDescent="0.35">
      <c r="A59" s="41">
        <v>467</v>
      </c>
      <c r="B59" s="41">
        <v>20954690</v>
      </c>
      <c r="C59" s="41">
        <v>209546902</v>
      </c>
      <c r="D59" s="41" t="s">
        <v>434</v>
      </c>
      <c r="E59" s="41" t="s">
        <v>542</v>
      </c>
      <c r="F59" s="41">
        <v>812300</v>
      </c>
      <c r="G59" s="41" t="s">
        <v>1972</v>
      </c>
      <c r="H59" s="41">
        <v>90541</v>
      </c>
      <c r="I59" s="41" t="s">
        <v>819</v>
      </c>
      <c r="J59" s="41">
        <v>49</v>
      </c>
      <c r="K59" s="41">
        <v>2</v>
      </c>
      <c r="L59" s="41">
        <v>2</v>
      </c>
      <c r="M59" s="41">
        <v>100</v>
      </c>
      <c r="N59" s="41">
        <v>10128.52</v>
      </c>
      <c r="O59" s="41">
        <v>1603.41</v>
      </c>
      <c r="P59" s="41">
        <v>303.08</v>
      </c>
      <c r="Q59" s="41">
        <v>7646.32</v>
      </c>
      <c r="R59" s="41">
        <v>588</v>
      </c>
      <c r="S59" s="41">
        <v>0</v>
      </c>
      <c r="T59" s="41">
        <v>0</v>
      </c>
      <c r="U59" s="41">
        <v>0</v>
      </c>
      <c r="V59" s="41">
        <v>185.6</v>
      </c>
      <c r="W59" s="41">
        <v>0</v>
      </c>
      <c r="X59" s="41">
        <v>6872.72</v>
      </c>
      <c r="Y59" s="41">
        <v>575.71</v>
      </c>
      <c r="Z59" s="41">
        <v>0</v>
      </c>
      <c r="AA59" s="41">
        <v>0</v>
      </c>
      <c r="AB59" s="41">
        <v>1812300</v>
      </c>
      <c r="AC59" s="41">
        <v>37.5</v>
      </c>
      <c r="AD59" s="41" t="s">
        <v>433</v>
      </c>
    </row>
    <row r="60" spans="1:30" x14ac:dyDescent="0.35">
      <c r="A60" s="41">
        <v>467</v>
      </c>
      <c r="B60" s="41">
        <v>30191590</v>
      </c>
      <c r="C60" s="41">
        <v>301915906</v>
      </c>
      <c r="D60" s="41" t="s">
        <v>837</v>
      </c>
      <c r="E60" s="41" t="s">
        <v>477</v>
      </c>
      <c r="F60" s="41">
        <v>812300</v>
      </c>
      <c r="G60" s="41" t="s">
        <v>1972</v>
      </c>
      <c r="H60" s="41">
        <v>90541</v>
      </c>
      <c r="I60" s="41" t="s">
        <v>1694</v>
      </c>
      <c r="J60" s="41">
        <v>0</v>
      </c>
      <c r="K60" s="41">
        <v>0</v>
      </c>
      <c r="L60" s="41">
        <v>0</v>
      </c>
      <c r="M60" s="41">
        <v>70.5</v>
      </c>
      <c r="N60" s="41">
        <v>5279.21</v>
      </c>
      <c r="O60" s="41">
        <v>658.23</v>
      </c>
      <c r="P60" s="41">
        <v>148.68</v>
      </c>
      <c r="Q60" s="41">
        <v>4158.2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4158.2</v>
      </c>
      <c r="Y60" s="41">
        <v>314.10000000000002</v>
      </c>
      <c r="Z60" s="41">
        <v>0</v>
      </c>
      <c r="AA60" s="41">
        <v>0</v>
      </c>
      <c r="AB60" s="41">
        <v>1812300</v>
      </c>
      <c r="AC60" s="41">
        <v>70.5</v>
      </c>
      <c r="AD60" s="41" t="s">
        <v>433</v>
      </c>
    </row>
    <row r="61" spans="1:30" x14ac:dyDescent="0.35">
      <c r="A61" s="41">
        <v>467</v>
      </c>
      <c r="B61" s="41">
        <v>30525534</v>
      </c>
      <c r="C61" s="41">
        <v>305255341</v>
      </c>
      <c r="D61" s="41" t="s">
        <v>486</v>
      </c>
      <c r="E61" s="41" t="s">
        <v>841</v>
      </c>
      <c r="F61" s="41">
        <v>812300</v>
      </c>
      <c r="G61" s="41" t="s">
        <v>1972</v>
      </c>
      <c r="H61" s="41">
        <v>90541</v>
      </c>
      <c r="I61" s="41" t="s">
        <v>819</v>
      </c>
      <c r="J61" s="41">
        <v>49</v>
      </c>
      <c r="K61" s="41">
        <v>2</v>
      </c>
      <c r="L61" s="41">
        <v>2</v>
      </c>
      <c r="M61" s="41">
        <v>100</v>
      </c>
      <c r="N61" s="41">
        <v>12034.45</v>
      </c>
      <c r="O61" s="41">
        <v>1959.72</v>
      </c>
      <c r="P61" s="41">
        <v>412.95</v>
      </c>
      <c r="Q61" s="41">
        <v>8985.6</v>
      </c>
      <c r="R61" s="41">
        <v>0</v>
      </c>
      <c r="S61" s="41">
        <v>0</v>
      </c>
      <c r="T61" s="41">
        <v>0</v>
      </c>
      <c r="U61" s="41">
        <v>0</v>
      </c>
      <c r="V61" s="41">
        <v>185.6</v>
      </c>
      <c r="W61" s="41">
        <v>400</v>
      </c>
      <c r="X61" s="41">
        <v>8400</v>
      </c>
      <c r="Y61" s="41">
        <v>676.18</v>
      </c>
      <c r="Z61" s="41">
        <v>0</v>
      </c>
      <c r="AA61" s="41">
        <v>0</v>
      </c>
      <c r="AB61" s="41">
        <v>1812300</v>
      </c>
      <c r="AC61" s="41">
        <v>70.5</v>
      </c>
      <c r="AD61" s="41" t="s">
        <v>433</v>
      </c>
    </row>
    <row r="62" spans="1:30" x14ac:dyDescent="0.35">
      <c r="A62" s="41">
        <v>467</v>
      </c>
      <c r="B62" s="41">
        <v>31617072</v>
      </c>
      <c r="C62" s="41">
        <v>316170729</v>
      </c>
      <c r="D62" s="41" t="s">
        <v>434</v>
      </c>
      <c r="E62" s="41" t="s">
        <v>842</v>
      </c>
      <c r="F62" s="41">
        <v>812300</v>
      </c>
      <c r="G62" s="41" t="s">
        <v>1972</v>
      </c>
      <c r="H62" s="41">
        <v>90541</v>
      </c>
      <c r="I62" s="41" t="s">
        <v>819</v>
      </c>
      <c r="J62" s="41">
        <v>49</v>
      </c>
      <c r="K62" s="41">
        <v>2</v>
      </c>
      <c r="L62" s="41">
        <v>2</v>
      </c>
      <c r="M62" s="41">
        <v>100</v>
      </c>
      <c r="N62" s="41">
        <v>12101.32</v>
      </c>
      <c r="O62" s="41">
        <v>1941.74</v>
      </c>
      <c r="P62" s="41">
        <v>418.33</v>
      </c>
      <c r="Q62" s="41">
        <v>9059.52</v>
      </c>
      <c r="R62" s="41">
        <v>351</v>
      </c>
      <c r="S62" s="41">
        <v>0</v>
      </c>
      <c r="T62" s="41">
        <v>0</v>
      </c>
      <c r="U62" s="41">
        <v>0</v>
      </c>
      <c r="V62" s="41">
        <v>185.6</v>
      </c>
      <c r="W62" s="41">
        <v>200</v>
      </c>
      <c r="X62" s="41">
        <v>8322.92</v>
      </c>
      <c r="Y62" s="41">
        <v>681.73</v>
      </c>
      <c r="Z62" s="41">
        <v>0</v>
      </c>
      <c r="AA62" s="41">
        <v>0</v>
      </c>
      <c r="AB62" s="41">
        <v>1812300</v>
      </c>
      <c r="AC62" s="41">
        <v>70.5</v>
      </c>
      <c r="AD62" s="41" t="s">
        <v>433</v>
      </c>
    </row>
    <row r="63" spans="1:30" x14ac:dyDescent="0.35">
      <c r="A63" s="41">
        <v>467</v>
      </c>
      <c r="B63" s="41">
        <v>2635647</v>
      </c>
      <c r="C63" s="41">
        <v>26356477</v>
      </c>
      <c r="D63" s="41" t="s">
        <v>448</v>
      </c>
      <c r="E63" s="41" t="s">
        <v>1701</v>
      </c>
      <c r="F63" s="41">
        <v>812310</v>
      </c>
      <c r="G63" s="41" t="s">
        <v>1972</v>
      </c>
      <c r="H63" s="41">
        <v>90541</v>
      </c>
      <c r="I63" s="41" t="s">
        <v>819</v>
      </c>
      <c r="J63" s="41">
        <v>49</v>
      </c>
      <c r="K63" s="41">
        <v>2</v>
      </c>
      <c r="L63" s="41">
        <v>3</v>
      </c>
      <c r="M63" s="41">
        <v>100</v>
      </c>
      <c r="N63" s="41">
        <v>13623.97</v>
      </c>
      <c r="O63" s="41">
        <v>2121.56</v>
      </c>
      <c r="P63" s="41">
        <v>525.52</v>
      </c>
      <c r="Q63" s="41">
        <v>10211.1</v>
      </c>
      <c r="R63" s="41">
        <v>0</v>
      </c>
      <c r="S63" s="41">
        <v>0</v>
      </c>
      <c r="T63" s="41">
        <v>0</v>
      </c>
      <c r="U63" s="41">
        <v>0</v>
      </c>
      <c r="V63" s="41">
        <v>48.6</v>
      </c>
      <c r="W63" s="41">
        <v>200</v>
      </c>
      <c r="X63" s="41">
        <v>9962.5</v>
      </c>
      <c r="Y63" s="41">
        <v>765.79</v>
      </c>
      <c r="Z63" s="41">
        <v>0</v>
      </c>
      <c r="AA63" s="41">
        <v>0</v>
      </c>
      <c r="AB63" s="41">
        <v>1812300</v>
      </c>
      <c r="AC63" s="41">
        <v>70.5</v>
      </c>
      <c r="AD63" s="41" t="s">
        <v>433</v>
      </c>
    </row>
    <row r="64" spans="1:30" x14ac:dyDescent="0.35">
      <c r="A64" s="41">
        <v>467</v>
      </c>
      <c r="B64" s="41">
        <v>3159568</v>
      </c>
      <c r="C64" s="41">
        <v>31595689</v>
      </c>
      <c r="D64" s="41" t="s">
        <v>434</v>
      </c>
      <c r="E64" s="41" t="s">
        <v>567</v>
      </c>
      <c r="F64" s="41">
        <v>812310</v>
      </c>
      <c r="G64" s="41" t="s">
        <v>1972</v>
      </c>
      <c r="H64" s="41">
        <v>90541</v>
      </c>
      <c r="I64" s="41" t="s">
        <v>819</v>
      </c>
      <c r="J64" s="41">
        <v>49</v>
      </c>
      <c r="K64" s="41">
        <v>2</v>
      </c>
      <c r="L64" s="41">
        <v>3</v>
      </c>
      <c r="M64" s="41">
        <v>100</v>
      </c>
      <c r="N64" s="41">
        <v>13081.27</v>
      </c>
      <c r="O64" s="41">
        <v>2239.61</v>
      </c>
      <c r="P64" s="41">
        <v>469.42</v>
      </c>
      <c r="Q64" s="41">
        <v>9648.6</v>
      </c>
      <c r="R64" s="41">
        <v>0</v>
      </c>
      <c r="S64" s="41">
        <v>0</v>
      </c>
      <c r="T64" s="41">
        <v>0</v>
      </c>
      <c r="U64" s="41">
        <v>0</v>
      </c>
      <c r="V64" s="41">
        <v>48.6</v>
      </c>
      <c r="W64" s="41">
        <v>0</v>
      </c>
      <c r="X64" s="41">
        <v>9600</v>
      </c>
      <c r="Y64" s="41">
        <v>723.64</v>
      </c>
      <c r="Z64" s="41">
        <v>0</v>
      </c>
      <c r="AA64" s="41">
        <v>0</v>
      </c>
      <c r="AB64" s="41">
        <v>1812300</v>
      </c>
      <c r="AC64" s="41">
        <v>70.5</v>
      </c>
      <c r="AD64" s="41" t="s">
        <v>433</v>
      </c>
    </row>
    <row r="65" spans="1:30" x14ac:dyDescent="0.35">
      <c r="A65" s="41">
        <v>467</v>
      </c>
      <c r="B65" s="41">
        <v>3624893</v>
      </c>
      <c r="C65" s="41">
        <v>36248938</v>
      </c>
      <c r="D65" s="41" t="s">
        <v>434</v>
      </c>
      <c r="E65" s="41" t="s">
        <v>1707</v>
      </c>
      <c r="F65" s="41">
        <v>812310</v>
      </c>
      <c r="G65" s="41" t="s">
        <v>1972</v>
      </c>
      <c r="H65" s="41">
        <v>90541</v>
      </c>
      <c r="I65" s="41" t="s">
        <v>1694</v>
      </c>
      <c r="J65" s="41">
        <v>5</v>
      </c>
      <c r="K65" s="41">
        <v>5</v>
      </c>
      <c r="L65" s="41">
        <v>0</v>
      </c>
      <c r="M65" s="41">
        <v>76.099999999999994</v>
      </c>
      <c r="N65" s="41">
        <v>5172.71</v>
      </c>
      <c r="O65" s="41">
        <v>0</v>
      </c>
      <c r="P65" s="41">
        <v>165.36</v>
      </c>
      <c r="Q65" s="41">
        <v>4658</v>
      </c>
      <c r="R65" s="41">
        <v>0</v>
      </c>
      <c r="S65" s="41">
        <v>0</v>
      </c>
      <c r="T65" s="41">
        <v>0</v>
      </c>
      <c r="U65" s="41">
        <v>0</v>
      </c>
      <c r="V65" s="41">
        <v>170</v>
      </c>
      <c r="W65" s="41">
        <v>0</v>
      </c>
      <c r="X65" s="41">
        <v>4488</v>
      </c>
      <c r="Y65" s="41">
        <v>349.35</v>
      </c>
      <c r="Z65" s="41">
        <v>0</v>
      </c>
      <c r="AA65" s="41">
        <v>0</v>
      </c>
      <c r="AB65" s="41">
        <v>1812300</v>
      </c>
      <c r="AC65" s="41">
        <v>76.099999999999994</v>
      </c>
      <c r="AD65" s="41" t="s">
        <v>433</v>
      </c>
    </row>
    <row r="66" spans="1:30" x14ac:dyDescent="0.35">
      <c r="A66" s="41">
        <v>467</v>
      </c>
      <c r="B66" s="41">
        <v>4046369</v>
      </c>
      <c r="C66" s="41">
        <v>40463697</v>
      </c>
      <c r="D66" s="41" t="s">
        <v>833</v>
      </c>
      <c r="E66" s="41" t="s">
        <v>843</v>
      </c>
      <c r="F66" s="41">
        <v>812310</v>
      </c>
      <c r="G66" s="41" t="s">
        <v>1972</v>
      </c>
      <c r="H66" s="41">
        <v>90541</v>
      </c>
      <c r="I66" s="41" t="s">
        <v>1694</v>
      </c>
      <c r="J66" s="41">
        <v>5</v>
      </c>
      <c r="K66" s="41">
        <v>5</v>
      </c>
      <c r="L66" s="41">
        <v>0</v>
      </c>
      <c r="M66" s="41">
        <v>68.8</v>
      </c>
      <c r="N66" s="41">
        <v>5454.01</v>
      </c>
      <c r="O66" s="41">
        <v>946.3</v>
      </c>
      <c r="P66" s="41">
        <v>145.06</v>
      </c>
      <c r="Q66" s="41">
        <v>4056.2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4056.2</v>
      </c>
      <c r="Y66" s="41">
        <v>306.45</v>
      </c>
      <c r="Z66" s="41">
        <v>0</v>
      </c>
      <c r="AA66" s="41">
        <v>0</v>
      </c>
      <c r="AB66" s="41">
        <v>1812300</v>
      </c>
      <c r="AC66" s="41">
        <v>68.8</v>
      </c>
      <c r="AD66" s="41" t="s">
        <v>433</v>
      </c>
    </row>
    <row r="67" spans="1:30" x14ac:dyDescent="0.35">
      <c r="A67" s="41">
        <v>467</v>
      </c>
      <c r="B67" s="41">
        <v>20391422</v>
      </c>
      <c r="C67" s="41">
        <v>203914221</v>
      </c>
      <c r="D67" s="41" t="s">
        <v>506</v>
      </c>
      <c r="E67" s="41" t="s">
        <v>910</v>
      </c>
      <c r="F67" s="41">
        <v>812310</v>
      </c>
      <c r="G67" s="41" t="s">
        <v>1972</v>
      </c>
      <c r="H67" s="41">
        <v>90541</v>
      </c>
      <c r="I67" s="41" t="s">
        <v>821</v>
      </c>
      <c r="J67" s="41">
        <v>0</v>
      </c>
      <c r="K67" s="41">
        <v>0</v>
      </c>
      <c r="L67" s="41">
        <v>0</v>
      </c>
      <c r="M67" s="41">
        <v>0</v>
      </c>
      <c r="N67" s="41">
        <v>2502.06</v>
      </c>
      <c r="O67" s="41">
        <v>312.16000000000003</v>
      </c>
      <c r="P67" s="41">
        <v>70</v>
      </c>
      <c r="Q67" s="41">
        <v>1972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1972</v>
      </c>
      <c r="Y67" s="41">
        <v>147.9</v>
      </c>
      <c r="Z67" s="41">
        <v>0</v>
      </c>
      <c r="AA67" s="41">
        <v>0</v>
      </c>
      <c r="AB67" s="41">
        <v>1812300</v>
      </c>
      <c r="AC67" s="41">
        <v>68.8</v>
      </c>
      <c r="AD67" s="41" t="s">
        <v>433</v>
      </c>
    </row>
    <row r="68" spans="1:30" x14ac:dyDescent="0.35">
      <c r="A68" s="41">
        <v>467</v>
      </c>
      <c r="B68" s="41">
        <v>20411254</v>
      </c>
      <c r="C68" s="41">
        <v>204112544</v>
      </c>
      <c r="D68" s="41" t="s">
        <v>448</v>
      </c>
      <c r="E68" s="41" t="s">
        <v>449</v>
      </c>
      <c r="F68" s="41">
        <v>812310</v>
      </c>
      <c r="G68" s="41" t="s">
        <v>1972</v>
      </c>
      <c r="H68" s="41">
        <v>90541</v>
      </c>
      <c r="I68" s="41" t="s">
        <v>1694</v>
      </c>
      <c r="J68" s="41">
        <v>5</v>
      </c>
      <c r="K68" s="41">
        <v>5</v>
      </c>
      <c r="L68" s="41">
        <v>0</v>
      </c>
      <c r="M68" s="41">
        <v>25.3</v>
      </c>
      <c r="N68" s="41">
        <v>1661.31</v>
      </c>
      <c r="O68" s="41">
        <v>0</v>
      </c>
      <c r="P68" s="41">
        <v>53.11</v>
      </c>
      <c r="Q68" s="41">
        <v>1496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1496</v>
      </c>
      <c r="Y68" s="41">
        <v>112.2</v>
      </c>
      <c r="Z68" s="41">
        <v>0</v>
      </c>
      <c r="AA68" s="41">
        <v>0</v>
      </c>
      <c r="AB68" s="41">
        <v>1812300</v>
      </c>
      <c r="AC68" s="41">
        <v>25.3</v>
      </c>
      <c r="AD68" s="41" t="s">
        <v>433</v>
      </c>
    </row>
    <row r="69" spans="1:30" x14ac:dyDescent="0.35">
      <c r="A69" s="41">
        <v>467</v>
      </c>
      <c r="B69" s="41">
        <v>20635620</v>
      </c>
      <c r="C69" s="41">
        <v>206356206</v>
      </c>
      <c r="D69" s="41" t="s">
        <v>1709</v>
      </c>
      <c r="E69" s="41" t="s">
        <v>1710</v>
      </c>
      <c r="F69" s="41">
        <v>812310</v>
      </c>
      <c r="G69" s="41" t="s">
        <v>1972</v>
      </c>
      <c r="H69" s="41">
        <v>90541</v>
      </c>
      <c r="I69" s="41" t="s">
        <v>1694</v>
      </c>
      <c r="J69" s="41">
        <v>5</v>
      </c>
      <c r="K69" s="41">
        <v>5</v>
      </c>
      <c r="L69" s="41">
        <v>0</v>
      </c>
      <c r="M69" s="41">
        <v>23</v>
      </c>
      <c r="N69" s="41">
        <v>1132.72</v>
      </c>
      <c r="O69" s="41">
        <v>0</v>
      </c>
      <c r="P69" s="41">
        <v>36.22</v>
      </c>
      <c r="Q69" s="41">
        <v>1020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1020</v>
      </c>
      <c r="Y69" s="41">
        <v>76.5</v>
      </c>
      <c r="Z69" s="41">
        <v>0</v>
      </c>
      <c r="AA69" s="41">
        <v>0</v>
      </c>
      <c r="AB69" s="41">
        <v>1812300</v>
      </c>
      <c r="AC69" s="41">
        <v>23</v>
      </c>
      <c r="AD69" s="41" t="s">
        <v>433</v>
      </c>
    </row>
    <row r="70" spans="1:30" x14ac:dyDescent="0.35">
      <c r="A70" s="41">
        <v>467</v>
      </c>
      <c r="B70" s="41">
        <v>20671687</v>
      </c>
      <c r="C70" s="41">
        <v>206716870</v>
      </c>
      <c r="D70" s="41" t="s">
        <v>1709</v>
      </c>
      <c r="E70" s="41" t="s">
        <v>1713</v>
      </c>
      <c r="F70" s="41">
        <v>812310</v>
      </c>
      <c r="G70" s="41" t="s">
        <v>1972</v>
      </c>
      <c r="H70" s="41">
        <v>90541</v>
      </c>
      <c r="I70" s="41" t="s">
        <v>1694</v>
      </c>
      <c r="J70" s="41">
        <v>5</v>
      </c>
      <c r="K70" s="41">
        <v>6</v>
      </c>
      <c r="L70" s="41">
        <v>0</v>
      </c>
      <c r="M70" s="41">
        <v>88.2</v>
      </c>
      <c r="N70" s="41">
        <v>5050.6099999999997</v>
      </c>
      <c r="O70" s="41">
        <v>629.72</v>
      </c>
      <c r="P70" s="41">
        <v>142.29</v>
      </c>
      <c r="Q70" s="41">
        <v>3978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3978</v>
      </c>
      <c r="Y70" s="41">
        <v>300.60000000000002</v>
      </c>
      <c r="Z70" s="41">
        <v>0</v>
      </c>
      <c r="AA70" s="41">
        <v>0</v>
      </c>
      <c r="AB70" s="41">
        <v>1812300</v>
      </c>
      <c r="AC70" s="41">
        <v>88.2</v>
      </c>
      <c r="AD70" s="41" t="s">
        <v>433</v>
      </c>
    </row>
    <row r="71" spans="1:30" x14ac:dyDescent="0.35">
      <c r="A71" s="41">
        <v>467</v>
      </c>
      <c r="B71" s="41">
        <v>20812332</v>
      </c>
      <c r="C71" s="41">
        <v>208123323</v>
      </c>
      <c r="D71" s="41" t="s">
        <v>442</v>
      </c>
      <c r="E71" s="41" t="s">
        <v>1716</v>
      </c>
      <c r="F71" s="41">
        <v>812310</v>
      </c>
      <c r="G71" s="41" t="s">
        <v>1972</v>
      </c>
      <c r="H71" s="41">
        <v>90541</v>
      </c>
      <c r="I71" s="41" t="s">
        <v>1694</v>
      </c>
      <c r="J71" s="41">
        <v>5</v>
      </c>
      <c r="K71" s="41">
        <v>5</v>
      </c>
      <c r="L71" s="41">
        <v>0</v>
      </c>
      <c r="M71" s="41">
        <v>22.5</v>
      </c>
      <c r="N71" s="41">
        <v>1472.52</v>
      </c>
      <c r="O71" s="41">
        <v>0</v>
      </c>
      <c r="P71" s="41">
        <v>47.07</v>
      </c>
      <c r="Q71" s="41">
        <v>1326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1326</v>
      </c>
      <c r="Y71" s="41">
        <v>99.45</v>
      </c>
      <c r="Z71" s="41">
        <v>0</v>
      </c>
      <c r="AA71" s="41">
        <v>0</v>
      </c>
      <c r="AB71" s="41">
        <v>1812300</v>
      </c>
      <c r="AC71" s="41">
        <v>22.5</v>
      </c>
      <c r="AD71" s="41" t="s">
        <v>433</v>
      </c>
    </row>
    <row r="72" spans="1:30" x14ac:dyDescent="0.35">
      <c r="A72" s="41">
        <v>467</v>
      </c>
      <c r="B72" s="41">
        <v>20859018</v>
      </c>
      <c r="C72" s="41">
        <v>208590182</v>
      </c>
      <c r="D72" s="41" t="s">
        <v>434</v>
      </c>
      <c r="E72" s="41" t="s">
        <v>1718</v>
      </c>
      <c r="F72" s="41">
        <v>812310</v>
      </c>
      <c r="G72" s="41" t="s">
        <v>1972</v>
      </c>
      <c r="H72" s="41">
        <v>90541</v>
      </c>
      <c r="I72" s="41" t="s">
        <v>1694</v>
      </c>
      <c r="J72" s="41">
        <v>5</v>
      </c>
      <c r="K72" s="41">
        <v>5</v>
      </c>
      <c r="L72" s="41">
        <v>0</v>
      </c>
      <c r="M72" s="41">
        <v>67.7</v>
      </c>
      <c r="N72" s="41">
        <v>9251.6</v>
      </c>
      <c r="O72" s="41">
        <v>0</v>
      </c>
      <c r="P72" s="41">
        <v>295.75</v>
      </c>
      <c r="Q72" s="41">
        <v>8331</v>
      </c>
      <c r="R72" s="41">
        <v>0</v>
      </c>
      <c r="S72" s="41">
        <v>0</v>
      </c>
      <c r="T72" s="41">
        <v>0</v>
      </c>
      <c r="U72" s="41">
        <v>0</v>
      </c>
      <c r="V72" s="41">
        <v>120</v>
      </c>
      <c r="W72" s="41">
        <v>0</v>
      </c>
      <c r="X72" s="41">
        <v>8211</v>
      </c>
      <c r="Y72" s="41">
        <v>624.85</v>
      </c>
      <c r="Z72" s="41">
        <v>0</v>
      </c>
      <c r="AA72" s="41">
        <v>0</v>
      </c>
      <c r="AB72" s="41">
        <v>1812300</v>
      </c>
      <c r="AC72" s="41">
        <v>67.7</v>
      </c>
      <c r="AD72" s="41" t="s">
        <v>433</v>
      </c>
    </row>
    <row r="73" spans="1:30" x14ac:dyDescent="0.35">
      <c r="A73" s="41">
        <v>467</v>
      </c>
      <c r="B73" s="41">
        <v>20861981</v>
      </c>
      <c r="C73" s="41">
        <v>208619817</v>
      </c>
      <c r="D73" s="41" t="s">
        <v>538</v>
      </c>
      <c r="E73" s="41" t="s">
        <v>842</v>
      </c>
      <c r="F73" s="41">
        <v>812310</v>
      </c>
      <c r="G73" s="41" t="s">
        <v>1972</v>
      </c>
      <c r="H73" s="41">
        <v>90541</v>
      </c>
      <c r="I73" s="41" t="s">
        <v>1694</v>
      </c>
      <c r="J73" s="41">
        <v>5</v>
      </c>
      <c r="K73" s="41">
        <v>4</v>
      </c>
      <c r="L73" s="41">
        <v>0</v>
      </c>
      <c r="M73" s="41">
        <v>16.100000000000001</v>
      </c>
      <c r="N73" s="41">
        <v>1057.2</v>
      </c>
      <c r="O73" s="41">
        <v>0</v>
      </c>
      <c r="P73" s="41">
        <v>33.799999999999997</v>
      </c>
      <c r="Q73" s="41">
        <v>952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952</v>
      </c>
      <c r="Y73" s="41">
        <v>71.400000000000006</v>
      </c>
      <c r="Z73" s="41">
        <v>0</v>
      </c>
      <c r="AA73" s="41">
        <v>0</v>
      </c>
      <c r="AB73" s="41">
        <v>1812300</v>
      </c>
      <c r="AC73" s="41">
        <v>16.100000000000001</v>
      </c>
      <c r="AD73" s="41" t="s">
        <v>433</v>
      </c>
    </row>
    <row r="74" spans="1:30" x14ac:dyDescent="0.35">
      <c r="A74" s="41">
        <v>467</v>
      </c>
      <c r="B74" s="41">
        <v>21357839</v>
      </c>
      <c r="C74" s="41">
        <v>213578396</v>
      </c>
      <c r="D74" s="41" t="s">
        <v>442</v>
      </c>
      <c r="E74" s="41" t="s">
        <v>1719</v>
      </c>
      <c r="F74" s="41">
        <v>812310</v>
      </c>
      <c r="G74" s="41" t="s">
        <v>1972</v>
      </c>
      <c r="H74" s="41">
        <v>90541</v>
      </c>
      <c r="I74" s="41" t="s">
        <v>1694</v>
      </c>
      <c r="J74" s="41">
        <v>5</v>
      </c>
      <c r="K74" s="41">
        <v>4</v>
      </c>
      <c r="L74" s="41">
        <v>0</v>
      </c>
      <c r="M74" s="41">
        <v>58.8</v>
      </c>
      <c r="N74" s="41">
        <v>3851.21</v>
      </c>
      <c r="O74" s="41">
        <v>0</v>
      </c>
      <c r="P74" s="41">
        <v>123.11</v>
      </c>
      <c r="Q74" s="41">
        <v>3468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3468</v>
      </c>
      <c r="Y74" s="41">
        <v>260.10000000000002</v>
      </c>
      <c r="Z74" s="41">
        <v>0</v>
      </c>
      <c r="AA74" s="41">
        <v>0</v>
      </c>
      <c r="AB74" s="41">
        <v>1812300</v>
      </c>
      <c r="AC74" s="41">
        <v>58.8</v>
      </c>
      <c r="AD74" s="41" t="s">
        <v>433</v>
      </c>
    </row>
    <row r="75" spans="1:30" x14ac:dyDescent="0.35">
      <c r="A75" s="41">
        <v>467</v>
      </c>
      <c r="B75" s="41">
        <v>21449994</v>
      </c>
      <c r="C75" s="41">
        <v>214499949</v>
      </c>
      <c r="D75" s="41" t="s">
        <v>1720</v>
      </c>
      <c r="E75" s="41" t="s">
        <v>470</v>
      </c>
      <c r="F75" s="41">
        <v>812310</v>
      </c>
      <c r="G75" s="41" t="s">
        <v>1972</v>
      </c>
      <c r="H75" s="41">
        <v>90541</v>
      </c>
      <c r="I75" s="41" t="s">
        <v>821</v>
      </c>
      <c r="J75" s="41">
        <v>0</v>
      </c>
      <c r="K75" s="41">
        <v>0</v>
      </c>
      <c r="L75" s="41">
        <v>0</v>
      </c>
      <c r="M75" s="41">
        <v>0</v>
      </c>
      <c r="N75" s="41">
        <v>566.38</v>
      </c>
      <c r="O75" s="41">
        <v>0</v>
      </c>
      <c r="P75" s="41">
        <v>18.12</v>
      </c>
      <c r="Q75" s="41">
        <v>510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510</v>
      </c>
      <c r="Y75" s="41">
        <v>38.26</v>
      </c>
      <c r="Z75" s="41">
        <v>0</v>
      </c>
      <c r="AA75" s="41">
        <v>0</v>
      </c>
      <c r="AB75" s="41">
        <v>1812300</v>
      </c>
      <c r="AC75" s="41">
        <v>58.8</v>
      </c>
      <c r="AD75" s="41" t="s">
        <v>433</v>
      </c>
    </row>
    <row r="76" spans="1:30" x14ac:dyDescent="0.35">
      <c r="A76" s="41">
        <v>467</v>
      </c>
      <c r="B76" s="41">
        <v>21538520</v>
      </c>
      <c r="C76" s="41">
        <v>215385204</v>
      </c>
      <c r="D76" s="41" t="s">
        <v>434</v>
      </c>
      <c r="E76" s="41" t="s">
        <v>1721</v>
      </c>
      <c r="F76" s="41">
        <v>812310</v>
      </c>
      <c r="G76" s="41" t="s">
        <v>1972</v>
      </c>
      <c r="H76" s="41">
        <v>90541</v>
      </c>
      <c r="I76" s="41" t="s">
        <v>1694</v>
      </c>
      <c r="J76" s="41">
        <v>5</v>
      </c>
      <c r="K76" s="41">
        <v>5</v>
      </c>
      <c r="L76" s="41">
        <v>0</v>
      </c>
      <c r="M76" s="41">
        <v>43.9</v>
      </c>
      <c r="N76" s="41">
        <v>2873.3</v>
      </c>
      <c r="O76" s="41">
        <v>0</v>
      </c>
      <c r="P76" s="41">
        <v>91.85</v>
      </c>
      <c r="Q76" s="41">
        <v>2587.4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2587.4</v>
      </c>
      <c r="Y76" s="41">
        <v>194.05</v>
      </c>
      <c r="Z76" s="41">
        <v>0</v>
      </c>
      <c r="AA76" s="41">
        <v>0</v>
      </c>
      <c r="AB76" s="41">
        <v>1812300</v>
      </c>
      <c r="AC76" s="41">
        <v>43.9</v>
      </c>
      <c r="AD76" s="41" t="s">
        <v>433</v>
      </c>
    </row>
    <row r="77" spans="1:30" x14ac:dyDescent="0.35">
      <c r="A77" s="41">
        <v>467</v>
      </c>
      <c r="B77" s="41">
        <v>30083893</v>
      </c>
      <c r="C77" s="41">
        <v>300838935</v>
      </c>
      <c r="D77" s="41" t="s">
        <v>434</v>
      </c>
      <c r="E77" s="41" t="s">
        <v>1722</v>
      </c>
      <c r="F77" s="41">
        <v>812310</v>
      </c>
      <c r="G77" s="41" t="s">
        <v>1972</v>
      </c>
      <c r="H77" s="41">
        <v>90541</v>
      </c>
      <c r="I77" s="41" t="s">
        <v>1694</v>
      </c>
      <c r="J77" s="41">
        <v>5</v>
      </c>
      <c r="K77" s="41">
        <v>5</v>
      </c>
      <c r="L77" s="41">
        <v>0</v>
      </c>
      <c r="M77" s="41">
        <v>10.8</v>
      </c>
      <c r="N77" s="41">
        <v>2193.6799999999998</v>
      </c>
      <c r="O77" s="41">
        <v>0</v>
      </c>
      <c r="P77" s="41">
        <v>70.13</v>
      </c>
      <c r="Q77" s="41">
        <v>1975.4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1975.4</v>
      </c>
      <c r="Y77" s="41">
        <v>148.15</v>
      </c>
      <c r="Z77" s="41">
        <v>0</v>
      </c>
      <c r="AA77" s="41">
        <v>0</v>
      </c>
      <c r="AB77" s="41">
        <v>1812300</v>
      </c>
      <c r="AC77" s="41">
        <v>10.8</v>
      </c>
      <c r="AD77" s="41" t="s">
        <v>433</v>
      </c>
    </row>
    <row r="78" spans="1:30" x14ac:dyDescent="0.35">
      <c r="A78" s="41">
        <v>467</v>
      </c>
      <c r="B78" s="41">
        <v>30140720</v>
      </c>
      <c r="C78" s="41">
        <v>301407201</v>
      </c>
      <c r="D78" s="41" t="s">
        <v>434</v>
      </c>
      <c r="E78" s="41" t="s">
        <v>544</v>
      </c>
      <c r="F78" s="41">
        <v>812310</v>
      </c>
      <c r="G78" s="41" t="s">
        <v>1972</v>
      </c>
      <c r="H78" s="41">
        <v>90541</v>
      </c>
      <c r="I78" s="41" t="s">
        <v>821</v>
      </c>
      <c r="J78" s="41">
        <v>0</v>
      </c>
      <c r="K78" s="41">
        <v>0</v>
      </c>
      <c r="L78" s="41">
        <v>0</v>
      </c>
      <c r="M78" s="41">
        <v>0</v>
      </c>
      <c r="N78" s="41">
        <v>2718.5</v>
      </c>
      <c r="O78" s="41">
        <v>0</v>
      </c>
      <c r="P78" s="41">
        <v>86.9</v>
      </c>
      <c r="Q78" s="41">
        <v>2448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2448</v>
      </c>
      <c r="Y78" s="41">
        <v>183.6</v>
      </c>
      <c r="Z78" s="41">
        <v>0</v>
      </c>
      <c r="AA78" s="41">
        <v>0</v>
      </c>
      <c r="AB78" s="41">
        <v>1812300</v>
      </c>
      <c r="AC78" s="41">
        <v>10.8</v>
      </c>
      <c r="AD78" s="41" t="s">
        <v>433</v>
      </c>
    </row>
    <row r="79" spans="1:30" x14ac:dyDescent="0.35">
      <c r="A79" s="41">
        <v>467</v>
      </c>
      <c r="B79" s="41">
        <v>30175756</v>
      </c>
      <c r="C79" s="41">
        <v>301757563</v>
      </c>
      <c r="D79" s="41" t="s">
        <v>434</v>
      </c>
      <c r="E79" s="41" t="s">
        <v>1724</v>
      </c>
      <c r="F79" s="41">
        <v>812310</v>
      </c>
      <c r="G79" s="41" t="s">
        <v>1972</v>
      </c>
      <c r="H79" s="41">
        <v>90541</v>
      </c>
      <c r="I79" s="41" t="s">
        <v>1694</v>
      </c>
      <c r="J79" s="41">
        <v>5</v>
      </c>
      <c r="K79" s="41">
        <v>5</v>
      </c>
      <c r="L79" s="41">
        <v>0</v>
      </c>
      <c r="M79" s="41">
        <v>69.2</v>
      </c>
      <c r="N79" s="41">
        <v>4530.84</v>
      </c>
      <c r="O79" s="41">
        <v>0</v>
      </c>
      <c r="P79" s="41">
        <v>144.84</v>
      </c>
      <c r="Q79" s="41">
        <v>4080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4080</v>
      </c>
      <c r="Y79" s="41">
        <v>306</v>
      </c>
      <c r="Z79" s="41">
        <v>0</v>
      </c>
      <c r="AA79" s="41">
        <v>0</v>
      </c>
      <c r="AB79" s="41">
        <v>1812300</v>
      </c>
      <c r="AC79" s="41">
        <v>69.2</v>
      </c>
      <c r="AD79" s="41" t="s">
        <v>433</v>
      </c>
    </row>
    <row r="80" spans="1:30" x14ac:dyDescent="0.35">
      <c r="A80" s="41">
        <v>467</v>
      </c>
      <c r="B80" s="41">
        <v>30191674</v>
      </c>
      <c r="C80" s="41">
        <v>301916748</v>
      </c>
      <c r="D80" s="41" t="s">
        <v>490</v>
      </c>
      <c r="E80" s="41" t="s">
        <v>438</v>
      </c>
      <c r="F80" s="41">
        <v>812310</v>
      </c>
      <c r="G80" s="41" t="s">
        <v>1972</v>
      </c>
      <c r="H80" s="41">
        <v>90541</v>
      </c>
      <c r="I80" s="41" t="s">
        <v>1694</v>
      </c>
      <c r="J80" s="41">
        <v>5</v>
      </c>
      <c r="K80" s="41">
        <v>4</v>
      </c>
      <c r="L80" s="41">
        <v>0</v>
      </c>
      <c r="M80" s="41">
        <v>60</v>
      </c>
      <c r="N80" s="41">
        <v>4486.47</v>
      </c>
      <c r="O80" s="41">
        <v>559.74</v>
      </c>
      <c r="P80" s="41">
        <v>125.53</v>
      </c>
      <c r="Q80" s="41">
        <v>3536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3536</v>
      </c>
      <c r="Y80" s="41">
        <v>265.2</v>
      </c>
      <c r="Z80" s="41">
        <v>0</v>
      </c>
      <c r="AA80" s="41">
        <v>0</v>
      </c>
      <c r="AB80" s="41">
        <v>1812300</v>
      </c>
      <c r="AC80" s="41">
        <v>60</v>
      </c>
      <c r="AD80" s="41" t="s">
        <v>433</v>
      </c>
    </row>
    <row r="81" spans="1:30" x14ac:dyDescent="0.35">
      <c r="A81" s="41">
        <v>467</v>
      </c>
      <c r="B81" s="41">
        <v>30515317</v>
      </c>
      <c r="C81" s="41">
        <v>305153173</v>
      </c>
      <c r="D81" s="41" t="s">
        <v>490</v>
      </c>
      <c r="E81" s="41" t="s">
        <v>1725</v>
      </c>
      <c r="F81" s="41">
        <v>812310</v>
      </c>
      <c r="G81" s="41" t="s">
        <v>1972</v>
      </c>
      <c r="H81" s="41">
        <v>90541</v>
      </c>
      <c r="I81" s="41" t="s">
        <v>1694</v>
      </c>
      <c r="J81" s="41">
        <v>5</v>
      </c>
      <c r="K81" s="41">
        <v>5</v>
      </c>
      <c r="L81" s="41">
        <v>0</v>
      </c>
      <c r="M81" s="41">
        <v>20.6</v>
      </c>
      <c r="N81" s="41">
        <v>1540.07</v>
      </c>
      <c r="O81" s="41">
        <v>192.13</v>
      </c>
      <c r="P81" s="41">
        <v>43.09</v>
      </c>
      <c r="Q81" s="41">
        <v>1213.8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1213.8</v>
      </c>
      <c r="Y81" s="41">
        <v>91.05</v>
      </c>
      <c r="Z81" s="41">
        <v>0</v>
      </c>
      <c r="AA81" s="41">
        <v>0</v>
      </c>
      <c r="AB81" s="41">
        <v>1812300</v>
      </c>
      <c r="AC81" s="41">
        <v>20.6</v>
      </c>
      <c r="AD81" s="41" t="s">
        <v>433</v>
      </c>
    </row>
    <row r="82" spans="1:30" x14ac:dyDescent="0.35">
      <c r="A82" s="41">
        <v>467</v>
      </c>
      <c r="B82" s="41">
        <v>30525498</v>
      </c>
      <c r="C82" s="41">
        <v>305254989</v>
      </c>
      <c r="D82" s="41" t="s">
        <v>448</v>
      </c>
      <c r="E82" s="41" t="s">
        <v>829</v>
      </c>
      <c r="F82" s="41">
        <v>812310</v>
      </c>
      <c r="G82" s="41" t="s">
        <v>1972</v>
      </c>
      <c r="H82" s="41">
        <v>90541</v>
      </c>
      <c r="I82" s="41" t="s">
        <v>1694</v>
      </c>
      <c r="J82" s="41">
        <v>5</v>
      </c>
      <c r="K82" s="41">
        <v>5</v>
      </c>
      <c r="L82" s="41">
        <v>0</v>
      </c>
      <c r="M82" s="41">
        <v>62.3</v>
      </c>
      <c r="N82" s="41">
        <v>4077.76</v>
      </c>
      <c r="O82" s="41">
        <v>0</v>
      </c>
      <c r="P82" s="41">
        <v>130.36000000000001</v>
      </c>
      <c r="Q82" s="41">
        <v>3672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3672</v>
      </c>
      <c r="Y82" s="41">
        <v>275.39999999999998</v>
      </c>
      <c r="Z82" s="41">
        <v>0</v>
      </c>
      <c r="AA82" s="41">
        <v>0</v>
      </c>
      <c r="AB82" s="41">
        <v>1812300</v>
      </c>
      <c r="AC82" s="41">
        <v>62.3</v>
      </c>
      <c r="AD82" s="41" t="s">
        <v>433</v>
      </c>
    </row>
    <row r="83" spans="1:30" x14ac:dyDescent="0.35">
      <c r="A83" s="41">
        <v>467</v>
      </c>
      <c r="B83" s="41">
        <v>31870131</v>
      </c>
      <c r="C83" s="41">
        <v>318701315</v>
      </c>
      <c r="D83" s="41" t="s">
        <v>574</v>
      </c>
      <c r="E83" s="41" t="s">
        <v>844</v>
      </c>
      <c r="F83" s="41">
        <v>812310</v>
      </c>
      <c r="G83" s="41" t="s">
        <v>1972</v>
      </c>
      <c r="H83" s="41">
        <v>90541</v>
      </c>
      <c r="I83" s="41" t="s">
        <v>1694</v>
      </c>
      <c r="J83" s="41">
        <v>5</v>
      </c>
      <c r="K83" s="41">
        <v>5</v>
      </c>
      <c r="L83" s="41">
        <v>0</v>
      </c>
      <c r="M83" s="41">
        <v>38</v>
      </c>
      <c r="N83" s="41">
        <v>4366.97</v>
      </c>
      <c r="O83" s="41">
        <v>519.83000000000004</v>
      </c>
      <c r="P83" s="41">
        <v>122.89</v>
      </c>
      <c r="Q83" s="41">
        <v>3464.6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3464.6</v>
      </c>
      <c r="Y83" s="41">
        <v>259.64999999999998</v>
      </c>
      <c r="Z83" s="41">
        <v>0</v>
      </c>
      <c r="AA83" s="41">
        <v>0</v>
      </c>
      <c r="AB83" s="41">
        <v>1812300</v>
      </c>
      <c r="AC83" s="41">
        <v>38</v>
      </c>
      <c r="AD83" s="41" t="s">
        <v>433</v>
      </c>
    </row>
    <row r="84" spans="1:30" x14ac:dyDescent="0.35">
      <c r="A84" s="41">
        <v>467</v>
      </c>
      <c r="B84" s="41">
        <v>31897707</v>
      </c>
      <c r="C84" s="41">
        <v>318977071</v>
      </c>
      <c r="D84" s="41" t="s">
        <v>434</v>
      </c>
      <c r="E84" s="41" t="s">
        <v>1729</v>
      </c>
      <c r="F84" s="41">
        <v>812310</v>
      </c>
      <c r="G84" s="41" t="s">
        <v>1972</v>
      </c>
      <c r="H84" s="41">
        <v>90541</v>
      </c>
      <c r="I84" s="41" t="s">
        <v>1694</v>
      </c>
      <c r="J84" s="41">
        <v>5</v>
      </c>
      <c r="K84" s="41">
        <v>4</v>
      </c>
      <c r="L84" s="41">
        <v>0</v>
      </c>
      <c r="M84" s="41">
        <v>51.9</v>
      </c>
      <c r="N84" s="41">
        <v>3398.13</v>
      </c>
      <c r="O84" s="41">
        <v>0</v>
      </c>
      <c r="P84" s="41">
        <v>108.63</v>
      </c>
      <c r="Q84" s="41">
        <v>3060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3060</v>
      </c>
      <c r="Y84" s="41">
        <v>229.5</v>
      </c>
      <c r="Z84" s="41">
        <v>0</v>
      </c>
      <c r="AA84" s="41">
        <v>0</v>
      </c>
      <c r="AB84" s="41">
        <v>1812300</v>
      </c>
      <c r="AC84" s="41">
        <v>51.9</v>
      </c>
      <c r="AD84" s="41" t="s">
        <v>433</v>
      </c>
    </row>
    <row r="85" spans="1:30" x14ac:dyDescent="0.35">
      <c r="A85" s="41">
        <v>467</v>
      </c>
      <c r="B85" s="41">
        <v>32488152</v>
      </c>
      <c r="C85" s="41">
        <v>324881523</v>
      </c>
      <c r="D85" s="41" t="s">
        <v>434</v>
      </c>
      <c r="E85" s="41" t="s">
        <v>449</v>
      </c>
      <c r="F85" s="41">
        <v>812310</v>
      </c>
      <c r="G85" s="41" t="s">
        <v>1972</v>
      </c>
      <c r="H85" s="41">
        <v>90541</v>
      </c>
      <c r="I85" s="41" t="s">
        <v>1694</v>
      </c>
      <c r="J85" s="41">
        <v>5</v>
      </c>
      <c r="K85" s="41">
        <v>4</v>
      </c>
      <c r="L85" s="41">
        <v>0</v>
      </c>
      <c r="M85" s="41">
        <v>51</v>
      </c>
      <c r="N85" s="41">
        <v>3792.81</v>
      </c>
      <c r="O85" s="41">
        <v>0</v>
      </c>
      <c r="P85" s="41">
        <v>122.21</v>
      </c>
      <c r="Q85" s="41">
        <v>3412.4</v>
      </c>
      <c r="R85" s="41">
        <v>0</v>
      </c>
      <c r="S85" s="41">
        <v>0</v>
      </c>
      <c r="T85" s="41">
        <v>0</v>
      </c>
      <c r="U85" s="41">
        <v>0</v>
      </c>
      <c r="V85" s="41">
        <v>406.8</v>
      </c>
      <c r="W85" s="41">
        <v>0</v>
      </c>
      <c r="X85" s="41">
        <v>3005.6</v>
      </c>
      <c r="Y85" s="41">
        <v>258.2</v>
      </c>
      <c r="Z85" s="41">
        <v>0</v>
      </c>
      <c r="AA85" s="41">
        <v>0</v>
      </c>
      <c r="AB85" s="41">
        <v>1812300</v>
      </c>
      <c r="AC85" s="41">
        <v>51</v>
      </c>
      <c r="AD85" s="41" t="s">
        <v>433</v>
      </c>
    </row>
    <row r="86" spans="1:30" x14ac:dyDescent="0.35">
      <c r="A86" s="41">
        <v>467</v>
      </c>
      <c r="B86" s="41">
        <v>20473449</v>
      </c>
      <c r="C86" s="41">
        <v>204734495</v>
      </c>
      <c r="D86" s="41" t="s">
        <v>1732</v>
      </c>
      <c r="E86" s="41" t="s">
        <v>1733</v>
      </c>
      <c r="F86" s="41">
        <v>812400</v>
      </c>
      <c r="G86" s="41" t="s">
        <v>1972</v>
      </c>
      <c r="H86" s="41">
        <v>90541</v>
      </c>
      <c r="I86" s="41" t="s">
        <v>1694</v>
      </c>
      <c r="J86" s="41">
        <v>5</v>
      </c>
      <c r="K86" s="41">
        <v>6</v>
      </c>
      <c r="L86" s="41">
        <v>0</v>
      </c>
      <c r="M86" s="41">
        <v>42.6</v>
      </c>
      <c r="N86" s="41">
        <v>8269.9599999999991</v>
      </c>
      <c r="O86" s="41">
        <v>1340.26</v>
      </c>
      <c r="P86" s="41">
        <v>292.55</v>
      </c>
      <c r="Q86" s="41">
        <v>6174.09</v>
      </c>
      <c r="R86" s="41">
        <v>0</v>
      </c>
      <c r="S86" s="41">
        <v>0</v>
      </c>
      <c r="T86" s="41">
        <v>0</v>
      </c>
      <c r="U86" s="41">
        <v>0</v>
      </c>
      <c r="V86" s="41">
        <v>429.4</v>
      </c>
      <c r="W86" s="41">
        <v>0</v>
      </c>
      <c r="X86" s="41">
        <v>5744.69</v>
      </c>
      <c r="Y86" s="41">
        <v>463.06</v>
      </c>
      <c r="Z86" s="41">
        <v>0</v>
      </c>
      <c r="AA86" s="41">
        <v>0</v>
      </c>
      <c r="AB86" s="41">
        <v>1812400</v>
      </c>
      <c r="AC86" s="41">
        <v>42.6</v>
      </c>
      <c r="AD86" s="41" t="s">
        <v>433</v>
      </c>
    </row>
    <row r="87" spans="1:30" x14ac:dyDescent="0.35">
      <c r="A87" s="41">
        <v>467</v>
      </c>
      <c r="B87" s="41">
        <v>3169348</v>
      </c>
      <c r="C87" s="41">
        <v>31693484</v>
      </c>
      <c r="D87" s="41" t="s">
        <v>434</v>
      </c>
      <c r="E87" s="41" t="s">
        <v>551</v>
      </c>
      <c r="F87" s="41">
        <v>812500</v>
      </c>
      <c r="G87" s="41" t="s">
        <v>1972</v>
      </c>
      <c r="H87" s="41">
        <v>90541</v>
      </c>
      <c r="I87" s="41" t="s">
        <v>819</v>
      </c>
      <c r="J87" s="41">
        <v>5</v>
      </c>
      <c r="K87" s="41">
        <v>11</v>
      </c>
      <c r="L87" s="41">
        <v>0</v>
      </c>
      <c r="M87" s="41">
        <v>100</v>
      </c>
      <c r="N87" s="41">
        <v>12595.83</v>
      </c>
      <c r="O87" s="41">
        <v>2162.7199999999998</v>
      </c>
      <c r="P87" s="41">
        <v>415.39</v>
      </c>
      <c r="Q87" s="41">
        <v>9318.7900000000009</v>
      </c>
      <c r="R87" s="41">
        <v>0</v>
      </c>
      <c r="S87" s="41">
        <v>0</v>
      </c>
      <c r="T87" s="41">
        <v>0</v>
      </c>
      <c r="U87" s="41">
        <v>0</v>
      </c>
      <c r="V87" s="41">
        <v>48.6</v>
      </c>
      <c r="W87" s="41">
        <v>0</v>
      </c>
      <c r="X87" s="41">
        <v>9270.19</v>
      </c>
      <c r="Y87" s="41">
        <v>698.93</v>
      </c>
      <c r="Z87" s="41">
        <v>0</v>
      </c>
      <c r="AA87" s="41">
        <v>0</v>
      </c>
      <c r="AB87" s="41">
        <v>1812500</v>
      </c>
      <c r="AC87" s="41">
        <v>42.6</v>
      </c>
      <c r="AD87" s="41" t="s">
        <v>433</v>
      </c>
    </row>
    <row r="88" spans="1:30" x14ac:dyDescent="0.35">
      <c r="A88" s="41">
        <v>467</v>
      </c>
      <c r="B88" s="41">
        <v>2752864</v>
      </c>
      <c r="C88" s="41">
        <v>27528645</v>
      </c>
      <c r="D88" s="41" t="s">
        <v>538</v>
      </c>
      <c r="E88" s="41" t="s">
        <v>575</v>
      </c>
      <c r="F88" s="41">
        <v>813210</v>
      </c>
      <c r="G88" s="41" t="s">
        <v>1972</v>
      </c>
      <c r="H88" s="41">
        <v>90541</v>
      </c>
      <c r="I88" s="41" t="s">
        <v>819</v>
      </c>
      <c r="J88" s="41">
        <v>5</v>
      </c>
      <c r="K88" s="41">
        <v>41</v>
      </c>
      <c r="L88" s="41">
        <v>0</v>
      </c>
      <c r="M88" s="41">
        <v>100</v>
      </c>
      <c r="N88" s="41">
        <v>17000.900000000001</v>
      </c>
      <c r="O88" s="41">
        <v>2662.54</v>
      </c>
      <c r="P88" s="41">
        <v>668.74</v>
      </c>
      <c r="Q88" s="41">
        <v>12715.92</v>
      </c>
      <c r="R88" s="41">
        <v>0</v>
      </c>
      <c r="S88" s="41">
        <v>0</v>
      </c>
      <c r="T88" s="41">
        <v>0</v>
      </c>
      <c r="U88" s="41">
        <v>0</v>
      </c>
      <c r="V88" s="41">
        <v>48.6</v>
      </c>
      <c r="W88" s="41">
        <v>0</v>
      </c>
      <c r="X88" s="41">
        <v>12667.32</v>
      </c>
      <c r="Y88" s="41">
        <v>953.7</v>
      </c>
      <c r="Z88" s="41">
        <v>0</v>
      </c>
      <c r="AA88" s="41">
        <v>0</v>
      </c>
      <c r="AB88" s="41">
        <v>1813210</v>
      </c>
      <c r="AC88" s="41">
        <v>42.6</v>
      </c>
      <c r="AD88" s="41" t="s">
        <v>433</v>
      </c>
    </row>
    <row r="89" spans="1:30" x14ac:dyDescent="0.35">
      <c r="A89" s="41">
        <v>467</v>
      </c>
      <c r="B89" s="41">
        <v>3426287</v>
      </c>
      <c r="C89" s="41">
        <v>34262873</v>
      </c>
      <c r="D89" s="41" t="s">
        <v>577</v>
      </c>
      <c r="E89" s="41" t="s">
        <v>547</v>
      </c>
      <c r="F89" s="41">
        <v>813210</v>
      </c>
      <c r="G89" s="41" t="s">
        <v>1972</v>
      </c>
      <c r="H89" s="41">
        <v>90541</v>
      </c>
      <c r="I89" s="41" t="s">
        <v>819</v>
      </c>
      <c r="J89" s="41">
        <v>49</v>
      </c>
      <c r="K89" s="41">
        <v>2</v>
      </c>
      <c r="L89" s="41">
        <v>3</v>
      </c>
      <c r="M89" s="41">
        <v>80</v>
      </c>
      <c r="N89" s="41">
        <v>11628.1</v>
      </c>
      <c r="O89" s="41">
        <v>1803.4</v>
      </c>
      <c r="P89" s="41">
        <v>366.17</v>
      </c>
      <c r="Q89" s="41">
        <v>8796.5300000000007</v>
      </c>
      <c r="R89" s="41">
        <v>0</v>
      </c>
      <c r="S89" s="41">
        <v>0</v>
      </c>
      <c r="T89" s="41">
        <v>0</v>
      </c>
      <c r="U89" s="41">
        <v>0</v>
      </c>
      <c r="V89" s="41">
        <v>1066.53</v>
      </c>
      <c r="W89" s="41">
        <v>0</v>
      </c>
      <c r="X89" s="41">
        <v>7730</v>
      </c>
      <c r="Y89" s="41">
        <v>662</v>
      </c>
      <c r="Z89" s="41">
        <v>0</v>
      </c>
      <c r="AA89" s="41">
        <v>0</v>
      </c>
      <c r="AB89" s="41">
        <v>1813210</v>
      </c>
      <c r="AC89" s="41">
        <v>42.6</v>
      </c>
      <c r="AD89" s="41" t="s">
        <v>433</v>
      </c>
    </row>
    <row r="90" spans="1:30" x14ac:dyDescent="0.35">
      <c r="A90" s="41">
        <v>467</v>
      </c>
      <c r="B90" s="41">
        <v>3648316</v>
      </c>
      <c r="C90" s="41">
        <v>36483162</v>
      </c>
      <c r="D90" s="41" t="s">
        <v>495</v>
      </c>
      <c r="E90" s="41" t="s">
        <v>571</v>
      </c>
      <c r="F90" s="41">
        <v>813210</v>
      </c>
      <c r="G90" s="41" t="s">
        <v>1972</v>
      </c>
      <c r="H90" s="41">
        <v>90541</v>
      </c>
      <c r="I90" s="41" t="s">
        <v>1694</v>
      </c>
      <c r="J90" s="41">
        <v>5</v>
      </c>
      <c r="K90" s="41">
        <v>5</v>
      </c>
      <c r="L90" s="41">
        <v>0</v>
      </c>
      <c r="M90" s="41">
        <v>72.8</v>
      </c>
      <c r="N90" s="41">
        <v>5769.28</v>
      </c>
      <c r="O90" s="41">
        <v>1001.04</v>
      </c>
      <c r="P90" s="41">
        <v>153.38999999999999</v>
      </c>
      <c r="Q90" s="41">
        <v>4290.8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4290.8</v>
      </c>
      <c r="Y90" s="41">
        <v>324.05</v>
      </c>
      <c r="Z90" s="41">
        <v>0</v>
      </c>
      <c r="AA90" s="41">
        <v>0</v>
      </c>
      <c r="AB90" s="41">
        <v>1813210</v>
      </c>
      <c r="AC90" s="41">
        <v>72.8</v>
      </c>
      <c r="AD90" s="41" t="s">
        <v>433</v>
      </c>
    </row>
    <row r="91" spans="1:30" x14ac:dyDescent="0.35">
      <c r="A91" s="41">
        <v>467</v>
      </c>
      <c r="B91" s="41">
        <v>6046395</v>
      </c>
      <c r="C91" s="41">
        <v>60463957</v>
      </c>
      <c r="D91" s="41" t="s">
        <v>442</v>
      </c>
      <c r="E91" s="41" t="s">
        <v>441</v>
      </c>
      <c r="F91" s="41">
        <v>813210</v>
      </c>
      <c r="G91" s="41" t="s">
        <v>1972</v>
      </c>
      <c r="H91" s="41">
        <v>90541</v>
      </c>
      <c r="I91" s="41" t="s">
        <v>819</v>
      </c>
      <c r="J91" s="41">
        <v>49</v>
      </c>
      <c r="K91" s="41">
        <v>2</v>
      </c>
      <c r="L91" s="41">
        <v>3</v>
      </c>
      <c r="M91" s="41">
        <v>80</v>
      </c>
      <c r="N91" s="41">
        <v>9780.7900000000009</v>
      </c>
      <c r="O91" s="41">
        <v>1591.35</v>
      </c>
      <c r="P91" s="41">
        <v>289.44</v>
      </c>
      <c r="Q91" s="41">
        <v>7348.88</v>
      </c>
      <c r="R91" s="41">
        <v>0</v>
      </c>
      <c r="S91" s="41">
        <v>0</v>
      </c>
      <c r="T91" s="41">
        <v>0</v>
      </c>
      <c r="U91" s="41">
        <v>0</v>
      </c>
      <c r="V91" s="41">
        <v>38.880000000000003</v>
      </c>
      <c r="W91" s="41">
        <v>0</v>
      </c>
      <c r="X91" s="41">
        <v>7310</v>
      </c>
      <c r="Y91" s="41">
        <v>551.12</v>
      </c>
      <c r="Z91" s="41">
        <v>0</v>
      </c>
      <c r="AA91" s="41">
        <v>0</v>
      </c>
      <c r="AB91" s="41">
        <v>1813210</v>
      </c>
      <c r="AC91" s="41">
        <v>72.8</v>
      </c>
      <c r="AD91" s="41" t="s">
        <v>433</v>
      </c>
    </row>
    <row r="92" spans="1:30" x14ac:dyDescent="0.35">
      <c r="A92" s="41">
        <v>467</v>
      </c>
      <c r="B92" s="41">
        <v>30123808</v>
      </c>
      <c r="C92" s="41">
        <v>301238085</v>
      </c>
      <c r="D92" s="41" t="s">
        <v>434</v>
      </c>
      <c r="E92" s="41" t="s">
        <v>849</v>
      </c>
      <c r="F92" s="41">
        <v>813210</v>
      </c>
      <c r="G92" s="41" t="s">
        <v>1972</v>
      </c>
      <c r="H92" s="41">
        <v>90541</v>
      </c>
      <c r="I92" s="41" t="s">
        <v>819</v>
      </c>
      <c r="J92" s="41">
        <v>5</v>
      </c>
      <c r="K92" s="41">
        <v>5</v>
      </c>
      <c r="L92" s="41">
        <v>0</v>
      </c>
      <c r="M92" s="41">
        <v>100</v>
      </c>
      <c r="N92" s="41">
        <v>13200.42</v>
      </c>
      <c r="O92" s="41">
        <v>1757.81</v>
      </c>
      <c r="P92" s="41">
        <v>473.01</v>
      </c>
      <c r="Q92" s="41">
        <v>10202.200000000001</v>
      </c>
      <c r="R92" s="41">
        <v>0</v>
      </c>
      <c r="S92" s="41">
        <v>0</v>
      </c>
      <c r="T92" s="41">
        <v>0</v>
      </c>
      <c r="U92" s="41">
        <v>0</v>
      </c>
      <c r="V92" s="41">
        <v>173.45</v>
      </c>
      <c r="W92" s="41">
        <v>2494.09</v>
      </c>
      <c r="X92" s="41">
        <v>7534.66</v>
      </c>
      <c r="Y92" s="41">
        <v>767.4</v>
      </c>
      <c r="Z92" s="41">
        <v>0</v>
      </c>
      <c r="AA92" s="41">
        <v>0</v>
      </c>
      <c r="AB92" s="41">
        <v>1813210</v>
      </c>
      <c r="AC92" s="41">
        <v>72.8</v>
      </c>
      <c r="AD92" s="41" t="s">
        <v>433</v>
      </c>
    </row>
    <row r="93" spans="1:30" x14ac:dyDescent="0.35">
      <c r="A93" s="41">
        <v>467</v>
      </c>
      <c r="B93" s="41">
        <v>30982526</v>
      </c>
      <c r="C93" s="41">
        <v>309825263</v>
      </c>
      <c r="D93" s="41" t="s">
        <v>1734</v>
      </c>
      <c r="E93" s="41" t="s">
        <v>1735</v>
      </c>
      <c r="F93" s="41">
        <v>813210</v>
      </c>
      <c r="G93" s="41" t="s">
        <v>1972</v>
      </c>
      <c r="H93" s="41">
        <v>90541</v>
      </c>
      <c r="I93" s="41" t="s">
        <v>1694</v>
      </c>
      <c r="J93" s="41">
        <v>5</v>
      </c>
      <c r="K93" s="41">
        <v>4</v>
      </c>
      <c r="L93" s="41">
        <v>0</v>
      </c>
      <c r="M93" s="41">
        <v>38.9</v>
      </c>
      <c r="N93" s="41">
        <v>2548.62</v>
      </c>
      <c r="O93" s="41">
        <v>0</v>
      </c>
      <c r="P93" s="41">
        <v>81.47</v>
      </c>
      <c r="Q93" s="41">
        <v>2295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2295</v>
      </c>
      <c r="Y93" s="41">
        <v>172.15</v>
      </c>
      <c r="Z93" s="41">
        <v>0</v>
      </c>
      <c r="AA93" s="41">
        <v>0</v>
      </c>
      <c r="AB93" s="41">
        <v>1813210</v>
      </c>
      <c r="AC93" s="41">
        <v>38.9</v>
      </c>
      <c r="AD93" s="41" t="s">
        <v>433</v>
      </c>
    </row>
    <row r="94" spans="1:30" x14ac:dyDescent="0.35">
      <c r="A94" s="41">
        <v>467</v>
      </c>
      <c r="B94" s="41">
        <v>2752864</v>
      </c>
      <c r="C94" s="41">
        <v>27528645</v>
      </c>
      <c r="D94" s="41" t="s">
        <v>538</v>
      </c>
      <c r="E94" s="41" t="s">
        <v>575</v>
      </c>
      <c r="F94" s="41">
        <v>813211</v>
      </c>
      <c r="G94" s="41" t="s">
        <v>1972</v>
      </c>
      <c r="H94" s="41">
        <v>90541</v>
      </c>
      <c r="I94" s="41" t="s">
        <v>821</v>
      </c>
      <c r="J94" s="41">
        <v>0</v>
      </c>
      <c r="K94" s="41">
        <v>0</v>
      </c>
      <c r="L94" s="41">
        <v>0</v>
      </c>
      <c r="M94" s="41">
        <v>0</v>
      </c>
      <c r="N94" s="41">
        <v>318.2</v>
      </c>
      <c r="O94" s="41">
        <v>13.35</v>
      </c>
      <c r="P94" s="41">
        <v>15.6</v>
      </c>
      <c r="Q94" s="41">
        <v>267</v>
      </c>
      <c r="R94" s="41">
        <v>130</v>
      </c>
      <c r="S94" s="41">
        <v>0</v>
      </c>
      <c r="T94" s="41">
        <v>0</v>
      </c>
      <c r="U94" s="41">
        <v>0</v>
      </c>
      <c r="V94" s="41">
        <v>137</v>
      </c>
      <c r="W94" s="41">
        <v>0</v>
      </c>
      <c r="X94" s="41">
        <v>0</v>
      </c>
      <c r="Y94" s="41">
        <v>22.25</v>
      </c>
      <c r="Z94" s="41">
        <v>0</v>
      </c>
      <c r="AA94" s="41">
        <v>0</v>
      </c>
      <c r="AB94" s="41">
        <v>1813210</v>
      </c>
      <c r="AC94" s="41">
        <v>38.9</v>
      </c>
      <c r="AD94" s="41" t="s">
        <v>433</v>
      </c>
    </row>
    <row r="95" spans="1:30" x14ac:dyDescent="0.35">
      <c r="A95" s="41">
        <v>467</v>
      </c>
      <c r="B95" s="41">
        <v>2825471</v>
      </c>
      <c r="C95" s="41">
        <v>28254712</v>
      </c>
      <c r="D95" s="41" t="s">
        <v>442</v>
      </c>
      <c r="E95" s="41" t="s">
        <v>570</v>
      </c>
      <c r="F95" s="41">
        <v>813220</v>
      </c>
      <c r="G95" s="41" t="s">
        <v>1972</v>
      </c>
      <c r="H95" s="41">
        <v>90541</v>
      </c>
      <c r="I95" s="41" t="s">
        <v>819</v>
      </c>
      <c r="J95" s="41">
        <v>5</v>
      </c>
      <c r="K95" s="41">
        <v>11</v>
      </c>
      <c r="L95" s="41">
        <v>0</v>
      </c>
      <c r="M95" s="41">
        <v>100</v>
      </c>
      <c r="N95" s="41">
        <v>15431.53</v>
      </c>
      <c r="O95" s="41">
        <v>2420.4</v>
      </c>
      <c r="P95" s="41">
        <v>580.4</v>
      </c>
      <c r="Q95" s="41">
        <v>11563.55</v>
      </c>
      <c r="R95" s="41">
        <v>0</v>
      </c>
      <c r="S95" s="41">
        <v>0</v>
      </c>
      <c r="T95" s="41">
        <v>0</v>
      </c>
      <c r="U95" s="41">
        <v>0</v>
      </c>
      <c r="V95" s="41">
        <v>48.6</v>
      </c>
      <c r="W95" s="41">
        <v>0</v>
      </c>
      <c r="X95" s="41">
        <v>11514.95</v>
      </c>
      <c r="Y95" s="41">
        <v>867.18</v>
      </c>
      <c r="Z95" s="41">
        <v>0</v>
      </c>
      <c r="AA95" s="41">
        <v>0</v>
      </c>
      <c r="AB95" s="41">
        <v>1813220</v>
      </c>
      <c r="AC95" s="41">
        <v>38.9</v>
      </c>
      <c r="AD95" s="41" t="s">
        <v>433</v>
      </c>
    </row>
    <row r="96" spans="1:30" x14ac:dyDescent="0.35">
      <c r="A96" s="41">
        <v>467</v>
      </c>
      <c r="B96" s="41">
        <v>2913344</v>
      </c>
      <c r="C96" s="41">
        <v>29133444</v>
      </c>
      <c r="D96" s="41" t="s">
        <v>574</v>
      </c>
      <c r="E96" s="41" t="s">
        <v>441</v>
      </c>
      <c r="F96" s="41">
        <v>813220</v>
      </c>
      <c r="G96" s="41" t="s">
        <v>1972</v>
      </c>
      <c r="H96" s="41">
        <v>90541</v>
      </c>
      <c r="I96" s="41" t="s">
        <v>819</v>
      </c>
      <c r="J96" s="41">
        <v>49</v>
      </c>
      <c r="K96" s="41">
        <v>2</v>
      </c>
      <c r="L96" s="41">
        <v>3</v>
      </c>
      <c r="M96" s="41">
        <v>80</v>
      </c>
      <c r="N96" s="41">
        <v>10902.38</v>
      </c>
      <c r="O96" s="41">
        <v>1815.07</v>
      </c>
      <c r="P96" s="41">
        <v>317.48</v>
      </c>
      <c r="Q96" s="41">
        <v>8155.88</v>
      </c>
      <c r="R96" s="41">
        <v>0</v>
      </c>
      <c r="S96" s="41">
        <v>0</v>
      </c>
      <c r="T96" s="41">
        <v>0</v>
      </c>
      <c r="U96" s="41">
        <v>0</v>
      </c>
      <c r="V96" s="41">
        <v>175.88</v>
      </c>
      <c r="W96" s="41">
        <v>200</v>
      </c>
      <c r="X96" s="41">
        <v>7780</v>
      </c>
      <c r="Y96" s="41">
        <v>613.95000000000005</v>
      </c>
      <c r="Z96" s="41">
        <v>0</v>
      </c>
      <c r="AA96" s="41">
        <v>0</v>
      </c>
      <c r="AB96" s="41">
        <v>1813220</v>
      </c>
      <c r="AC96" s="41">
        <v>38.9</v>
      </c>
      <c r="AD96" s="41" t="s">
        <v>433</v>
      </c>
    </row>
    <row r="97" spans="1:30" x14ac:dyDescent="0.35">
      <c r="A97" s="41">
        <v>467</v>
      </c>
      <c r="B97" s="41">
        <v>6124989</v>
      </c>
      <c r="C97" s="41">
        <v>61249892</v>
      </c>
      <c r="D97" s="41" t="s">
        <v>434</v>
      </c>
      <c r="E97" s="41" t="s">
        <v>510</v>
      </c>
      <c r="F97" s="41">
        <v>813220</v>
      </c>
      <c r="G97" s="41" t="s">
        <v>1972</v>
      </c>
      <c r="H97" s="41">
        <v>90541</v>
      </c>
      <c r="I97" s="41" t="s">
        <v>819</v>
      </c>
      <c r="J97" s="41">
        <v>5</v>
      </c>
      <c r="K97" s="41">
        <v>5</v>
      </c>
      <c r="L97" s="41">
        <v>0</v>
      </c>
      <c r="M97" s="41">
        <v>100</v>
      </c>
      <c r="N97" s="41">
        <v>12214.75</v>
      </c>
      <c r="O97" s="41">
        <v>0</v>
      </c>
      <c r="P97" s="41">
        <v>522.01</v>
      </c>
      <c r="Q97" s="41">
        <v>10876.99</v>
      </c>
      <c r="R97" s="41">
        <v>0</v>
      </c>
      <c r="S97" s="41">
        <v>0</v>
      </c>
      <c r="T97" s="41">
        <v>0</v>
      </c>
      <c r="U97" s="41">
        <v>0</v>
      </c>
      <c r="V97" s="41">
        <v>173.45</v>
      </c>
      <c r="W97" s="41">
        <v>3296.92</v>
      </c>
      <c r="X97" s="41">
        <v>7406.62</v>
      </c>
      <c r="Y97" s="41">
        <v>815.75</v>
      </c>
      <c r="Z97" s="41">
        <v>0</v>
      </c>
      <c r="AA97" s="41">
        <v>0</v>
      </c>
      <c r="AB97" s="41">
        <v>1813220</v>
      </c>
      <c r="AC97" s="41">
        <v>38.9</v>
      </c>
      <c r="AD97" s="41" t="s">
        <v>433</v>
      </c>
    </row>
    <row r="98" spans="1:30" x14ac:dyDescent="0.35">
      <c r="A98" s="41">
        <v>467</v>
      </c>
      <c r="B98" s="41">
        <v>20416205</v>
      </c>
      <c r="C98" s="41">
        <v>204162051</v>
      </c>
      <c r="D98" s="41" t="s">
        <v>515</v>
      </c>
      <c r="E98" s="41" t="s">
        <v>851</v>
      </c>
      <c r="F98" s="41">
        <v>813220</v>
      </c>
      <c r="G98" s="41" t="s">
        <v>1972</v>
      </c>
      <c r="H98" s="41">
        <v>90541</v>
      </c>
      <c r="I98" s="41" t="s">
        <v>1694</v>
      </c>
      <c r="J98" s="41">
        <v>5</v>
      </c>
      <c r="K98" s="41">
        <v>5</v>
      </c>
      <c r="L98" s="41">
        <v>0</v>
      </c>
      <c r="M98" s="41">
        <v>69.2</v>
      </c>
      <c r="N98" s="41">
        <v>5176.7</v>
      </c>
      <c r="O98" s="41">
        <v>645.86</v>
      </c>
      <c r="P98" s="41">
        <v>144.84</v>
      </c>
      <c r="Q98" s="41">
        <v>4080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4080</v>
      </c>
      <c r="Y98" s="41">
        <v>306</v>
      </c>
      <c r="Z98" s="41">
        <v>0</v>
      </c>
      <c r="AA98" s="41">
        <v>0</v>
      </c>
      <c r="AB98" s="41">
        <v>1813220</v>
      </c>
      <c r="AC98" s="41">
        <v>69.2</v>
      </c>
      <c r="AD98" s="41" t="s">
        <v>433</v>
      </c>
    </row>
    <row r="99" spans="1:30" x14ac:dyDescent="0.35">
      <c r="A99" s="41">
        <v>467</v>
      </c>
      <c r="B99" s="41">
        <v>20595647</v>
      </c>
      <c r="C99" s="41">
        <v>205956477</v>
      </c>
      <c r="D99" s="41" t="s">
        <v>434</v>
      </c>
      <c r="E99" s="41" t="s">
        <v>874</v>
      </c>
      <c r="F99" s="41">
        <v>813220</v>
      </c>
      <c r="G99" s="41" t="s">
        <v>1972</v>
      </c>
      <c r="H99" s="41">
        <v>90541</v>
      </c>
      <c r="I99" s="41" t="s">
        <v>1694</v>
      </c>
      <c r="J99" s="41">
        <v>5</v>
      </c>
      <c r="K99" s="41">
        <v>5</v>
      </c>
      <c r="L99" s="41">
        <v>0</v>
      </c>
      <c r="M99" s="41">
        <v>45.9</v>
      </c>
      <c r="N99" s="41">
        <v>3005.48</v>
      </c>
      <c r="O99" s="41">
        <v>0</v>
      </c>
      <c r="P99" s="41">
        <v>96.08</v>
      </c>
      <c r="Q99" s="41">
        <v>2706.4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2706.4</v>
      </c>
      <c r="Y99" s="41">
        <v>203</v>
      </c>
      <c r="Z99" s="41">
        <v>0</v>
      </c>
      <c r="AA99" s="41">
        <v>0</v>
      </c>
      <c r="AB99" s="41">
        <v>1813220</v>
      </c>
      <c r="AC99" s="41">
        <v>45.9</v>
      </c>
      <c r="AD99" s="41" t="s">
        <v>433</v>
      </c>
    </row>
    <row r="100" spans="1:30" x14ac:dyDescent="0.35">
      <c r="A100" s="41">
        <v>467</v>
      </c>
      <c r="B100" s="41">
        <v>30082610</v>
      </c>
      <c r="C100" s="41">
        <v>300826104</v>
      </c>
      <c r="D100" s="41" t="s">
        <v>434</v>
      </c>
      <c r="E100" s="41" t="s">
        <v>852</v>
      </c>
      <c r="F100" s="41">
        <v>813220</v>
      </c>
      <c r="G100" s="41" t="s">
        <v>1972</v>
      </c>
      <c r="H100" s="41">
        <v>90541</v>
      </c>
      <c r="I100" s="41" t="s">
        <v>1694</v>
      </c>
      <c r="J100" s="41">
        <v>5</v>
      </c>
      <c r="K100" s="41">
        <v>6</v>
      </c>
      <c r="L100" s="41">
        <v>0</v>
      </c>
      <c r="M100" s="41">
        <v>20.7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1813220</v>
      </c>
      <c r="AC100" s="41">
        <v>20.7</v>
      </c>
      <c r="AD100" s="41" t="s">
        <v>433</v>
      </c>
    </row>
    <row r="101" spans="1:30" x14ac:dyDescent="0.35">
      <c r="A101" s="41">
        <v>467</v>
      </c>
      <c r="B101" s="41">
        <v>30147982</v>
      </c>
      <c r="C101" s="41">
        <v>301479820</v>
      </c>
      <c r="D101" s="41" t="s">
        <v>434</v>
      </c>
      <c r="E101" s="41" t="s">
        <v>553</v>
      </c>
      <c r="F101" s="41">
        <v>813220</v>
      </c>
      <c r="G101" s="41" t="s">
        <v>1972</v>
      </c>
      <c r="H101" s="41">
        <v>90541</v>
      </c>
      <c r="I101" s="41" t="s">
        <v>819</v>
      </c>
      <c r="J101" s="41">
        <v>49</v>
      </c>
      <c r="K101" s="41">
        <v>2</v>
      </c>
      <c r="L101" s="41">
        <v>3</v>
      </c>
      <c r="M101" s="41">
        <v>80</v>
      </c>
      <c r="N101" s="41">
        <v>10099.49</v>
      </c>
      <c r="O101" s="41">
        <v>1679.76</v>
      </c>
      <c r="P101" s="41">
        <v>273.39999999999998</v>
      </c>
      <c r="Q101" s="41">
        <v>7575.88</v>
      </c>
      <c r="R101" s="41">
        <v>0</v>
      </c>
      <c r="S101" s="41">
        <v>0</v>
      </c>
      <c r="T101" s="41">
        <v>0</v>
      </c>
      <c r="U101" s="41">
        <v>0</v>
      </c>
      <c r="V101" s="41">
        <v>175.88</v>
      </c>
      <c r="W101" s="41">
        <v>200</v>
      </c>
      <c r="X101" s="41">
        <v>7200</v>
      </c>
      <c r="Y101" s="41">
        <v>570.45000000000005</v>
      </c>
      <c r="Z101" s="41">
        <v>0</v>
      </c>
      <c r="AA101" s="41">
        <v>0</v>
      </c>
      <c r="AB101" s="41">
        <v>1813220</v>
      </c>
      <c r="AC101" s="41">
        <v>20.7</v>
      </c>
      <c r="AD101" s="41" t="s">
        <v>433</v>
      </c>
    </row>
    <row r="102" spans="1:30" x14ac:dyDescent="0.35">
      <c r="A102" s="41">
        <v>467</v>
      </c>
      <c r="B102" s="41">
        <v>2825471</v>
      </c>
      <c r="C102" s="41">
        <v>28254712</v>
      </c>
      <c r="D102" s="41" t="s">
        <v>442</v>
      </c>
      <c r="E102" s="41" t="s">
        <v>570</v>
      </c>
      <c r="F102" s="41">
        <v>813221</v>
      </c>
      <c r="G102" s="41" t="s">
        <v>1972</v>
      </c>
      <c r="H102" s="41">
        <v>90541</v>
      </c>
      <c r="I102" s="41" t="s">
        <v>821</v>
      </c>
      <c r="J102" s="41">
        <v>0</v>
      </c>
      <c r="K102" s="41">
        <v>0</v>
      </c>
      <c r="L102" s="41">
        <v>0</v>
      </c>
      <c r="M102" s="41">
        <v>0</v>
      </c>
      <c r="N102" s="41">
        <v>246.89</v>
      </c>
      <c r="O102" s="41">
        <v>2.34</v>
      </c>
      <c r="P102" s="41">
        <v>12.32</v>
      </c>
      <c r="Q102" s="41">
        <v>213.86</v>
      </c>
      <c r="R102" s="41">
        <v>130</v>
      </c>
      <c r="S102" s="41">
        <v>0</v>
      </c>
      <c r="T102" s="41">
        <v>0</v>
      </c>
      <c r="U102" s="41">
        <v>0</v>
      </c>
      <c r="V102" s="41">
        <v>137</v>
      </c>
      <c r="W102" s="41">
        <v>0</v>
      </c>
      <c r="X102" s="41">
        <v>-53.14</v>
      </c>
      <c r="Y102" s="41">
        <v>18.37</v>
      </c>
      <c r="Z102" s="41">
        <v>0</v>
      </c>
      <c r="AA102" s="41">
        <v>0</v>
      </c>
      <c r="AB102" s="41">
        <v>1813220</v>
      </c>
      <c r="AC102" s="41">
        <v>20.7</v>
      </c>
      <c r="AD102" s="41" t="s">
        <v>433</v>
      </c>
    </row>
    <row r="103" spans="1:30" x14ac:dyDescent="0.35">
      <c r="A103" s="41">
        <v>467</v>
      </c>
      <c r="B103" s="41">
        <v>2312554</v>
      </c>
      <c r="C103" s="41">
        <v>23125545</v>
      </c>
      <c r="D103" s="41" t="s">
        <v>563</v>
      </c>
      <c r="E103" s="41" t="s">
        <v>562</v>
      </c>
      <c r="F103" s="41">
        <v>813231</v>
      </c>
      <c r="G103" s="41" t="s">
        <v>1972</v>
      </c>
      <c r="H103" s="41">
        <v>90541</v>
      </c>
      <c r="I103" s="41" t="s">
        <v>821</v>
      </c>
      <c r="J103" s="41">
        <v>0</v>
      </c>
      <c r="K103" s="41">
        <v>0</v>
      </c>
      <c r="L103" s="41">
        <v>0</v>
      </c>
      <c r="M103" s="41">
        <v>0</v>
      </c>
      <c r="N103" s="41">
        <v>566.71</v>
      </c>
      <c r="O103" s="41">
        <v>-94.54</v>
      </c>
      <c r="P103" s="41">
        <v>32.61</v>
      </c>
      <c r="Q103" s="41">
        <v>582.64</v>
      </c>
      <c r="R103" s="41">
        <v>208</v>
      </c>
      <c r="S103" s="41">
        <v>0</v>
      </c>
      <c r="T103" s="41">
        <v>0</v>
      </c>
      <c r="U103" s="41">
        <v>0</v>
      </c>
      <c r="V103" s="41">
        <v>1148.55</v>
      </c>
      <c r="W103" s="41">
        <v>0</v>
      </c>
      <c r="X103" s="41">
        <v>-773.91</v>
      </c>
      <c r="Y103" s="41">
        <v>46</v>
      </c>
      <c r="Z103" s="41">
        <v>0</v>
      </c>
      <c r="AA103" s="41">
        <v>0</v>
      </c>
      <c r="AB103" s="41">
        <v>1813230</v>
      </c>
      <c r="AC103" s="41">
        <v>20.7</v>
      </c>
      <c r="AD103" s="41" t="s">
        <v>433</v>
      </c>
    </row>
    <row r="104" spans="1:30" x14ac:dyDescent="0.35">
      <c r="A104" s="41">
        <v>467</v>
      </c>
      <c r="B104" s="41">
        <v>2318810</v>
      </c>
      <c r="C104" s="41">
        <v>23188105</v>
      </c>
      <c r="D104" s="41" t="s">
        <v>486</v>
      </c>
      <c r="E104" s="41" t="s">
        <v>1737</v>
      </c>
      <c r="F104" s="41">
        <v>813240</v>
      </c>
      <c r="G104" s="41" t="s">
        <v>1972</v>
      </c>
      <c r="H104" s="41">
        <v>90541</v>
      </c>
      <c r="I104" s="41" t="s">
        <v>819</v>
      </c>
      <c r="J104" s="41">
        <v>5</v>
      </c>
      <c r="K104" s="41">
        <v>41</v>
      </c>
      <c r="L104" s="41">
        <v>0</v>
      </c>
      <c r="M104" s="41">
        <v>100</v>
      </c>
      <c r="N104" s="41">
        <v>16954.740000000002</v>
      </c>
      <c r="O104" s="41">
        <v>2619.67</v>
      </c>
      <c r="P104" s="41">
        <v>663.99</v>
      </c>
      <c r="Q104" s="41">
        <v>12715.18</v>
      </c>
      <c r="R104" s="41">
        <v>130</v>
      </c>
      <c r="S104" s="41">
        <v>0</v>
      </c>
      <c r="T104" s="41">
        <v>0</v>
      </c>
      <c r="U104" s="41">
        <v>0</v>
      </c>
      <c r="V104" s="41">
        <v>185.6</v>
      </c>
      <c r="W104" s="41">
        <v>0</v>
      </c>
      <c r="X104" s="41">
        <v>12399.58</v>
      </c>
      <c r="Y104" s="41">
        <v>955.9</v>
      </c>
      <c r="Z104" s="41">
        <v>0</v>
      </c>
      <c r="AA104" s="41">
        <v>0</v>
      </c>
      <c r="AB104" s="41">
        <v>1813240</v>
      </c>
      <c r="AC104" s="41">
        <v>20.7</v>
      </c>
      <c r="AD104" s="41" t="s">
        <v>433</v>
      </c>
    </row>
    <row r="105" spans="1:30" x14ac:dyDescent="0.35">
      <c r="A105" s="41">
        <v>467</v>
      </c>
      <c r="B105" s="41">
        <v>2627397</v>
      </c>
      <c r="C105" s="41">
        <v>26273979</v>
      </c>
      <c r="D105" s="41" t="s">
        <v>488</v>
      </c>
      <c r="E105" s="41" t="s">
        <v>487</v>
      </c>
      <c r="F105" s="41">
        <v>813240</v>
      </c>
      <c r="G105" s="41" t="s">
        <v>1972</v>
      </c>
      <c r="H105" s="41">
        <v>90541</v>
      </c>
      <c r="I105" s="41" t="s">
        <v>819</v>
      </c>
      <c r="J105" s="41">
        <v>49</v>
      </c>
      <c r="K105" s="41">
        <v>2</v>
      </c>
      <c r="L105" s="41">
        <v>3</v>
      </c>
      <c r="M105" s="41">
        <v>80</v>
      </c>
      <c r="N105" s="41">
        <v>10195.700000000001</v>
      </c>
      <c r="O105" s="41">
        <v>1718.42</v>
      </c>
      <c r="P105" s="41">
        <v>277.2</v>
      </c>
      <c r="Q105" s="41">
        <v>7625.88</v>
      </c>
      <c r="R105" s="41">
        <v>0</v>
      </c>
      <c r="S105" s="41">
        <v>0</v>
      </c>
      <c r="T105" s="41">
        <v>0</v>
      </c>
      <c r="U105" s="41">
        <v>0</v>
      </c>
      <c r="V105" s="41">
        <v>175.88</v>
      </c>
      <c r="W105" s="41">
        <v>200</v>
      </c>
      <c r="X105" s="41">
        <v>7250</v>
      </c>
      <c r="Y105" s="41">
        <v>574.20000000000005</v>
      </c>
      <c r="Z105" s="41">
        <v>0</v>
      </c>
      <c r="AA105" s="41">
        <v>0</v>
      </c>
      <c r="AB105" s="41">
        <v>1813240</v>
      </c>
      <c r="AC105" s="41">
        <v>20.7</v>
      </c>
      <c r="AD105" s="41" t="s">
        <v>433</v>
      </c>
    </row>
    <row r="106" spans="1:30" x14ac:dyDescent="0.35">
      <c r="A106" s="41">
        <v>467</v>
      </c>
      <c r="B106" s="41">
        <v>3381334</v>
      </c>
      <c r="C106" s="41">
        <v>33813346</v>
      </c>
      <c r="D106" s="41" t="s">
        <v>1738</v>
      </c>
      <c r="E106" s="41" t="s">
        <v>853</v>
      </c>
      <c r="F106" s="41">
        <v>813240</v>
      </c>
      <c r="G106" s="41" t="s">
        <v>1972</v>
      </c>
      <c r="H106" s="41">
        <v>90541</v>
      </c>
      <c r="I106" s="41" t="s">
        <v>819</v>
      </c>
      <c r="J106" s="41">
        <v>5</v>
      </c>
      <c r="K106" s="41">
        <v>6</v>
      </c>
      <c r="L106" s="41">
        <v>0</v>
      </c>
      <c r="M106" s="41">
        <v>100</v>
      </c>
      <c r="N106" s="41">
        <v>10157.09</v>
      </c>
      <c r="O106" s="41">
        <v>1727.54</v>
      </c>
      <c r="P106" s="41">
        <v>274.05</v>
      </c>
      <c r="Q106" s="41">
        <v>7584.4</v>
      </c>
      <c r="R106" s="41">
        <v>0</v>
      </c>
      <c r="S106" s="41">
        <v>0</v>
      </c>
      <c r="T106" s="41">
        <v>0</v>
      </c>
      <c r="U106" s="41">
        <v>0</v>
      </c>
      <c r="V106" s="41">
        <v>179.53</v>
      </c>
      <c r="W106" s="41">
        <v>0</v>
      </c>
      <c r="X106" s="41">
        <v>7404.87</v>
      </c>
      <c r="Y106" s="41">
        <v>571.1</v>
      </c>
      <c r="Z106" s="41">
        <v>0</v>
      </c>
      <c r="AA106" s="41">
        <v>0</v>
      </c>
      <c r="AB106" s="41">
        <v>1813240</v>
      </c>
      <c r="AC106" s="41">
        <v>20.7</v>
      </c>
      <c r="AD106" s="41" t="s">
        <v>433</v>
      </c>
    </row>
    <row r="107" spans="1:30" x14ac:dyDescent="0.35">
      <c r="A107" s="41">
        <v>467</v>
      </c>
      <c r="B107" s="41">
        <v>3666524</v>
      </c>
      <c r="C107" s="41">
        <v>36665248</v>
      </c>
      <c r="D107" s="41" t="s">
        <v>448</v>
      </c>
      <c r="E107" s="41" t="s">
        <v>850</v>
      </c>
      <c r="F107" s="41">
        <v>813240</v>
      </c>
      <c r="G107" s="41" t="s">
        <v>1972</v>
      </c>
      <c r="H107" s="41">
        <v>90541</v>
      </c>
      <c r="I107" s="41" t="s">
        <v>819</v>
      </c>
      <c r="J107" s="41">
        <v>5</v>
      </c>
      <c r="K107" s="41">
        <v>5</v>
      </c>
      <c r="L107" s="41">
        <v>0</v>
      </c>
      <c r="M107" s="41">
        <v>100</v>
      </c>
      <c r="N107" s="41">
        <v>10338.42</v>
      </c>
      <c r="O107" s="41">
        <v>1759.27</v>
      </c>
      <c r="P107" s="41">
        <v>283.93</v>
      </c>
      <c r="Q107" s="41">
        <v>7714.37</v>
      </c>
      <c r="R107" s="41">
        <v>0</v>
      </c>
      <c r="S107" s="41">
        <v>0</v>
      </c>
      <c r="T107" s="41">
        <v>0</v>
      </c>
      <c r="U107" s="41">
        <v>0</v>
      </c>
      <c r="V107" s="41">
        <v>173.45</v>
      </c>
      <c r="W107" s="41">
        <v>0</v>
      </c>
      <c r="X107" s="41">
        <v>7540.92</v>
      </c>
      <c r="Y107" s="41">
        <v>580.85</v>
      </c>
      <c r="Z107" s="41">
        <v>0</v>
      </c>
      <c r="AA107" s="41">
        <v>0</v>
      </c>
      <c r="AB107" s="41">
        <v>1813240</v>
      </c>
      <c r="AC107" s="41">
        <v>20.7</v>
      </c>
      <c r="AD107" s="41" t="s">
        <v>433</v>
      </c>
    </row>
    <row r="108" spans="1:30" x14ac:dyDescent="0.35">
      <c r="A108" s="41">
        <v>467</v>
      </c>
      <c r="B108" s="41">
        <v>3726403</v>
      </c>
      <c r="C108" s="41">
        <v>37264033</v>
      </c>
      <c r="D108" s="41" t="s">
        <v>434</v>
      </c>
      <c r="E108" s="41" t="s">
        <v>554</v>
      </c>
      <c r="F108" s="41">
        <v>813240</v>
      </c>
      <c r="G108" s="41" t="s">
        <v>1972</v>
      </c>
      <c r="H108" s="41">
        <v>90541</v>
      </c>
      <c r="I108" s="41" t="s">
        <v>821</v>
      </c>
      <c r="J108" s="41">
        <v>0</v>
      </c>
      <c r="K108" s="41">
        <v>0</v>
      </c>
      <c r="L108" s="41">
        <v>0</v>
      </c>
      <c r="M108" s="41">
        <v>0</v>
      </c>
      <c r="N108" s="41">
        <v>678.91</v>
      </c>
      <c r="O108" s="41">
        <v>90.64</v>
      </c>
      <c r="P108" s="41">
        <v>21.28</v>
      </c>
      <c r="Q108" s="41">
        <v>525.32000000000005</v>
      </c>
      <c r="R108" s="41">
        <v>0</v>
      </c>
      <c r="S108" s="41">
        <v>0</v>
      </c>
      <c r="T108" s="41">
        <v>0</v>
      </c>
      <c r="U108" s="41">
        <v>0</v>
      </c>
      <c r="V108" s="41">
        <v>137</v>
      </c>
      <c r="W108" s="41">
        <v>0</v>
      </c>
      <c r="X108" s="41">
        <v>388.32</v>
      </c>
      <c r="Y108" s="41">
        <v>41.67</v>
      </c>
      <c r="Z108" s="41">
        <v>0</v>
      </c>
      <c r="AA108" s="41">
        <v>0</v>
      </c>
      <c r="AB108" s="41">
        <v>1813240</v>
      </c>
      <c r="AC108" s="41">
        <v>20.7</v>
      </c>
      <c r="AD108" s="41" t="s">
        <v>433</v>
      </c>
    </row>
    <row r="109" spans="1:30" x14ac:dyDescent="0.35">
      <c r="A109" s="41">
        <v>467</v>
      </c>
      <c r="B109" s="41">
        <v>20089585</v>
      </c>
      <c r="C109" s="41">
        <v>200895852</v>
      </c>
      <c r="D109" s="41" t="s">
        <v>495</v>
      </c>
      <c r="E109" s="41" t="s">
        <v>1739</v>
      </c>
      <c r="F109" s="41">
        <v>813240</v>
      </c>
      <c r="G109" s="41" t="s">
        <v>1972</v>
      </c>
      <c r="H109" s="41">
        <v>90541</v>
      </c>
      <c r="I109" s="41" t="s">
        <v>1694</v>
      </c>
      <c r="J109" s="41">
        <v>5</v>
      </c>
      <c r="K109" s="41">
        <v>4</v>
      </c>
      <c r="L109" s="41">
        <v>0</v>
      </c>
      <c r="M109" s="41">
        <v>67.7</v>
      </c>
      <c r="N109" s="41">
        <v>5064.5200000000004</v>
      </c>
      <c r="O109" s="41">
        <v>631.87</v>
      </c>
      <c r="P109" s="41">
        <v>141.69999999999999</v>
      </c>
      <c r="Q109" s="41">
        <v>3991.6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3991.6</v>
      </c>
      <c r="Y109" s="41">
        <v>299.35000000000002</v>
      </c>
      <c r="Z109" s="41">
        <v>0</v>
      </c>
      <c r="AA109" s="41">
        <v>0</v>
      </c>
      <c r="AB109" s="41">
        <v>1813240</v>
      </c>
      <c r="AC109" s="41">
        <v>67.7</v>
      </c>
      <c r="AD109" s="41" t="s">
        <v>433</v>
      </c>
    </row>
    <row r="110" spans="1:30" x14ac:dyDescent="0.35">
      <c r="A110" s="41">
        <v>467</v>
      </c>
      <c r="B110" s="41">
        <v>20821654</v>
      </c>
      <c r="C110" s="41">
        <v>208216549</v>
      </c>
      <c r="D110" s="41" t="s">
        <v>434</v>
      </c>
      <c r="E110" s="41" t="s">
        <v>1740</v>
      </c>
      <c r="F110" s="41">
        <v>813240</v>
      </c>
      <c r="G110" s="41" t="s">
        <v>1972</v>
      </c>
      <c r="H110" s="41">
        <v>90541</v>
      </c>
      <c r="I110" s="41" t="s">
        <v>1694</v>
      </c>
      <c r="J110" s="41">
        <v>5</v>
      </c>
      <c r="K110" s="41">
        <v>5</v>
      </c>
      <c r="L110" s="41">
        <v>0</v>
      </c>
      <c r="M110" s="41">
        <v>49.2</v>
      </c>
      <c r="N110" s="41">
        <v>3365.02</v>
      </c>
      <c r="O110" s="41">
        <v>0</v>
      </c>
      <c r="P110" s="41">
        <v>107.57</v>
      </c>
      <c r="Q110" s="41">
        <v>3030.2</v>
      </c>
      <c r="R110" s="41">
        <v>0</v>
      </c>
      <c r="S110" s="41">
        <v>0</v>
      </c>
      <c r="T110" s="41">
        <v>0</v>
      </c>
      <c r="U110" s="41">
        <v>0</v>
      </c>
      <c r="V110" s="41">
        <v>130</v>
      </c>
      <c r="W110" s="41">
        <v>0</v>
      </c>
      <c r="X110" s="41">
        <v>2900.2</v>
      </c>
      <c r="Y110" s="41">
        <v>227.25</v>
      </c>
      <c r="Z110" s="41">
        <v>0</v>
      </c>
      <c r="AA110" s="41">
        <v>0</v>
      </c>
      <c r="AB110" s="41">
        <v>1813240</v>
      </c>
      <c r="AC110" s="41">
        <v>49.2</v>
      </c>
      <c r="AD110" s="41" t="s">
        <v>433</v>
      </c>
    </row>
    <row r="111" spans="1:30" x14ac:dyDescent="0.35">
      <c r="A111" s="41">
        <v>467</v>
      </c>
      <c r="B111" s="41">
        <v>21341893</v>
      </c>
      <c r="C111" s="41">
        <v>213418932</v>
      </c>
      <c r="D111" s="41" t="s">
        <v>448</v>
      </c>
      <c r="E111" s="41" t="s">
        <v>1741</v>
      </c>
      <c r="F111" s="41">
        <v>813240</v>
      </c>
      <c r="G111" s="41" t="s">
        <v>1972</v>
      </c>
      <c r="H111" s="41">
        <v>90541</v>
      </c>
      <c r="I111" s="41" t="s">
        <v>1694</v>
      </c>
      <c r="J111" s="41">
        <v>5</v>
      </c>
      <c r="K111" s="41">
        <v>5</v>
      </c>
      <c r="L111" s="41">
        <v>0</v>
      </c>
      <c r="M111" s="41">
        <v>26.5</v>
      </c>
      <c r="N111" s="41">
        <v>1858.98</v>
      </c>
      <c r="O111" s="41">
        <v>0</v>
      </c>
      <c r="P111" s="41">
        <v>59.43</v>
      </c>
      <c r="Q111" s="41">
        <v>1674</v>
      </c>
      <c r="R111" s="41">
        <v>0</v>
      </c>
      <c r="S111" s="41">
        <v>0</v>
      </c>
      <c r="T111" s="41">
        <v>0</v>
      </c>
      <c r="U111" s="41">
        <v>0</v>
      </c>
      <c r="V111" s="41">
        <v>110</v>
      </c>
      <c r="W111" s="41">
        <v>0</v>
      </c>
      <c r="X111" s="41">
        <v>1564</v>
      </c>
      <c r="Y111" s="41">
        <v>125.55</v>
      </c>
      <c r="Z111" s="41">
        <v>0</v>
      </c>
      <c r="AA111" s="41">
        <v>0</v>
      </c>
      <c r="AB111" s="41">
        <v>1813240</v>
      </c>
      <c r="AC111" s="41">
        <v>26.5</v>
      </c>
      <c r="AD111" s="41" t="s">
        <v>433</v>
      </c>
    </row>
    <row r="112" spans="1:30" x14ac:dyDescent="0.35">
      <c r="A112" s="41">
        <v>467</v>
      </c>
      <c r="B112" s="41">
        <v>2476577</v>
      </c>
      <c r="C112" s="41">
        <v>24765778</v>
      </c>
      <c r="D112" s="41" t="s">
        <v>520</v>
      </c>
      <c r="E112" s="41" t="s">
        <v>560</v>
      </c>
      <c r="F112" s="41">
        <v>813300</v>
      </c>
      <c r="G112" s="41" t="s">
        <v>1972</v>
      </c>
      <c r="H112" s="41">
        <v>90541</v>
      </c>
      <c r="I112" s="41" t="s">
        <v>819</v>
      </c>
      <c r="J112" s="41">
        <v>80</v>
      </c>
      <c r="K112" s="41">
        <v>1</v>
      </c>
      <c r="L112" s="41">
        <v>0</v>
      </c>
      <c r="M112" s="41">
        <v>100</v>
      </c>
      <c r="N112" s="41">
        <v>15664.19</v>
      </c>
      <c r="O112" s="41">
        <v>2435.34</v>
      </c>
      <c r="P112" s="41">
        <v>590.95000000000005</v>
      </c>
      <c r="Q112" s="41">
        <v>11754.1</v>
      </c>
      <c r="R112" s="41">
        <v>44.94</v>
      </c>
      <c r="S112" s="41">
        <v>0</v>
      </c>
      <c r="T112" s="41">
        <v>0</v>
      </c>
      <c r="U112" s="41">
        <v>0</v>
      </c>
      <c r="V112" s="41">
        <v>161.30000000000001</v>
      </c>
      <c r="W112" s="41">
        <v>0</v>
      </c>
      <c r="X112" s="41">
        <v>11547.86</v>
      </c>
      <c r="Y112" s="41">
        <v>883.8</v>
      </c>
      <c r="Z112" s="41">
        <v>0</v>
      </c>
      <c r="AA112" s="41">
        <v>0</v>
      </c>
      <c r="AB112" s="41">
        <v>1813300</v>
      </c>
      <c r="AC112" s="41">
        <v>26.5</v>
      </c>
      <c r="AD112" s="41" t="s">
        <v>433</v>
      </c>
    </row>
    <row r="113" spans="1:30" x14ac:dyDescent="0.35">
      <c r="A113" s="41">
        <v>467</v>
      </c>
      <c r="B113" s="41">
        <v>2981668</v>
      </c>
      <c r="C113" s="41">
        <v>29816683</v>
      </c>
      <c r="D113" s="41" t="s">
        <v>546</v>
      </c>
      <c r="E113" s="41" t="s">
        <v>558</v>
      </c>
      <c r="F113" s="41">
        <v>813300</v>
      </c>
      <c r="G113" s="41" t="s">
        <v>1972</v>
      </c>
      <c r="H113" s="41">
        <v>90541</v>
      </c>
      <c r="I113" s="41" t="s">
        <v>819</v>
      </c>
      <c r="J113" s="41">
        <v>49</v>
      </c>
      <c r="K113" s="41">
        <v>3</v>
      </c>
      <c r="L113" s="41">
        <v>3</v>
      </c>
      <c r="M113" s="41">
        <v>60</v>
      </c>
      <c r="N113" s="41">
        <v>8981.15</v>
      </c>
      <c r="O113" s="41">
        <v>1513.97</v>
      </c>
      <c r="P113" s="41">
        <v>239.67</v>
      </c>
      <c r="Q113" s="41">
        <v>6721.16</v>
      </c>
      <c r="R113" s="41">
        <v>0</v>
      </c>
      <c r="S113" s="41">
        <v>0</v>
      </c>
      <c r="T113" s="41">
        <v>0</v>
      </c>
      <c r="U113" s="41">
        <v>0</v>
      </c>
      <c r="V113" s="41">
        <v>166.16</v>
      </c>
      <c r="W113" s="41">
        <v>240</v>
      </c>
      <c r="X113" s="41">
        <v>6315</v>
      </c>
      <c r="Y113" s="41">
        <v>506.35</v>
      </c>
      <c r="Z113" s="41">
        <v>0</v>
      </c>
      <c r="AA113" s="41">
        <v>0</v>
      </c>
      <c r="AB113" s="41">
        <v>1813300</v>
      </c>
      <c r="AC113" s="41">
        <v>26.5</v>
      </c>
      <c r="AD113" s="41" t="s">
        <v>433</v>
      </c>
    </row>
    <row r="114" spans="1:30" x14ac:dyDescent="0.35">
      <c r="A114" s="41">
        <v>467</v>
      </c>
      <c r="B114" s="41">
        <v>2981724</v>
      </c>
      <c r="C114" s="41">
        <v>29817244</v>
      </c>
      <c r="D114" s="41" t="s">
        <v>434</v>
      </c>
      <c r="E114" s="41" t="s">
        <v>848</v>
      </c>
      <c r="F114" s="41">
        <v>813300</v>
      </c>
      <c r="G114" s="41" t="s">
        <v>1972</v>
      </c>
      <c r="H114" s="41">
        <v>90541</v>
      </c>
      <c r="I114" s="41" t="s">
        <v>1694</v>
      </c>
      <c r="J114" s="41">
        <v>5</v>
      </c>
      <c r="K114" s="41">
        <v>5</v>
      </c>
      <c r="L114" s="41">
        <v>0</v>
      </c>
      <c r="M114" s="41">
        <v>11.2</v>
      </c>
      <c r="N114" s="41">
        <v>4320.96</v>
      </c>
      <c r="O114" s="41">
        <v>749.58</v>
      </c>
      <c r="P114" s="41">
        <v>115.13</v>
      </c>
      <c r="Q114" s="41">
        <v>3213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3213</v>
      </c>
      <c r="Y114" s="41">
        <v>243.25</v>
      </c>
      <c r="Z114" s="41">
        <v>0</v>
      </c>
      <c r="AA114" s="41">
        <v>0</v>
      </c>
      <c r="AB114" s="41">
        <v>1813300</v>
      </c>
      <c r="AC114" s="41">
        <v>11.2</v>
      </c>
      <c r="AD114" s="41" t="s">
        <v>433</v>
      </c>
    </row>
    <row r="115" spans="1:30" x14ac:dyDescent="0.35">
      <c r="A115" s="41">
        <v>467</v>
      </c>
      <c r="B115" s="41">
        <v>3154722</v>
      </c>
      <c r="C115" s="41">
        <v>31547227</v>
      </c>
      <c r="D115" s="41" t="s">
        <v>1742</v>
      </c>
      <c r="E115" s="41" t="s">
        <v>557</v>
      </c>
      <c r="F115" s="41">
        <v>813300</v>
      </c>
      <c r="G115" s="41" t="s">
        <v>1972</v>
      </c>
      <c r="H115" s="41">
        <v>90541</v>
      </c>
      <c r="I115" s="41" t="s">
        <v>819</v>
      </c>
      <c r="J115" s="41">
        <v>49</v>
      </c>
      <c r="K115" s="41">
        <v>3</v>
      </c>
      <c r="L115" s="41">
        <v>3</v>
      </c>
      <c r="M115" s="41">
        <v>100</v>
      </c>
      <c r="N115" s="41">
        <v>13484.71</v>
      </c>
      <c r="O115" s="41">
        <v>2231.19</v>
      </c>
      <c r="P115" s="41">
        <v>460.52</v>
      </c>
      <c r="Q115" s="41">
        <v>10037.9</v>
      </c>
      <c r="R115" s="41">
        <v>0</v>
      </c>
      <c r="S115" s="41">
        <v>0</v>
      </c>
      <c r="T115" s="41">
        <v>0</v>
      </c>
      <c r="U115" s="41">
        <v>0</v>
      </c>
      <c r="V115" s="41">
        <v>474.2</v>
      </c>
      <c r="W115" s="41">
        <v>0</v>
      </c>
      <c r="X115" s="41">
        <v>9563.7000000000007</v>
      </c>
      <c r="Y115" s="41">
        <v>755.1</v>
      </c>
      <c r="Z115" s="41">
        <v>0</v>
      </c>
      <c r="AA115" s="41">
        <v>0</v>
      </c>
      <c r="AB115" s="41">
        <v>1813300</v>
      </c>
      <c r="AC115" s="41">
        <v>11.2</v>
      </c>
      <c r="AD115" s="41" t="s">
        <v>433</v>
      </c>
    </row>
    <row r="116" spans="1:30" x14ac:dyDescent="0.35">
      <c r="A116" s="41">
        <v>467</v>
      </c>
      <c r="B116" s="41">
        <v>3169348</v>
      </c>
      <c r="C116" s="41">
        <v>31693484</v>
      </c>
      <c r="D116" s="41" t="s">
        <v>434</v>
      </c>
      <c r="E116" s="41" t="s">
        <v>551</v>
      </c>
      <c r="F116" s="41">
        <v>813300</v>
      </c>
      <c r="G116" s="41" t="s">
        <v>1972</v>
      </c>
      <c r="H116" s="41">
        <v>90541</v>
      </c>
      <c r="I116" s="41" t="s">
        <v>821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1813300</v>
      </c>
      <c r="AC116" s="41">
        <v>11.2</v>
      </c>
      <c r="AD116" s="41" t="s">
        <v>433</v>
      </c>
    </row>
    <row r="117" spans="1:30" x14ac:dyDescent="0.35">
      <c r="A117" s="41">
        <v>467</v>
      </c>
      <c r="B117" s="41">
        <v>3361036</v>
      </c>
      <c r="C117" s="41">
        <v>33610361</v>
      </c>
      <c r="D117" s="41" t="s">
        <v>1743</v>
      </c>
      <c r="E117" s="41" t="s">
        <v>941</v>
      </c>
      <c r="F117" s="41">
        <v>813300</v>
      </c>
      <c r="G117" s="41" t="s">
        <v>1972</v>
      </c>
      <c r="H117" s="41">
        <v>90541</v>
      </c>
      <c r="I117" s="41" t="s">
        <v>819</v>
      </c>
      <c r="J117" s="41">
        <v>49</v>
      </c>
      <c r="K117" s="41">
        <v>3</v>
      </c>
      <c r="L117" s="41">
        <v>3</v>
      </c>
      <c r="M117" s="41">
        <v>100</v>
      </c>
      <c r="N117" s="41">
        <v>15900.4</v>
      </c>
      <c r="O117" s="41">
        <v>2652.98</v>
      </c>
      <c r="P117" s="41">
        <v>592.17999999999995</v>
      </c>
      <c r="Q117" s="41">
        <v>11770.24</v>
      </c>
      <c r="R117" s="41">
        <v>0</v>
      </c>
      <c r="S117" s="41">
        <v>0</v>
      </c>
      <c r="T117" s="41">
        <v>0</v>
      </c>
      <c r="U117" s="41">
        <v>0</v>
      </c>
      <c r="V117" s="41">
        <v>185.6</v>
      </c>
      <c r="W117" s="41">
        <v>600</v>
      </c>
      <c r="X117" s="41">
        <v>10984.64</v>
      </c>
      <c r="Y117" s="41">
        <v>885</v>
      </c>
      <c r="Z117" s="41">
        <v>0</v>
      </c>
      <c r="AA117" s="41">
        <v>0</v>
      </c>
      <c r="AB117" s="41">
        <v>1813300</v>
      </c>
      <c r="AC117" s="41">
        <v>11.2</v>
      </c>
      <c r="AD117" s="41" t="s">
        <v>433</v>
      </c>
    </row>
    <row r="118" spans="1:30" x14ac:dyDescent="0.35">
      <c r="A118" s="41">
        <v>467</v>
      </c>
      <c r="B118" s="41">
        <v>3380481</v>
      </c>
      <c r="C118" s="41">
        <v>33804816</v>
      </c>
      <c r="D118" s="41" t="s">
        <v>434</v>
      </c>
      <c r="E118" s="41" t="s">
        <v>457</v>
      </c>
      <c r="F118" s="41">
        <v>813300</v>
      </c>
      <c r="G118" s="41" t="s">
        <v>1972</v>
      </c>
      <c r="H118" s="41">
        <v>90541</v>
      </c>
      <c r="I118" s="41" t="s">
        <v>819</v>
      </c>
      <c r="J118" s="41">
        <v>49</v>
      </c>
      <c r="K118" s="41">
        <v>3</v>
      </c>
      <c r="L118" s="41">
        <v>3</v>
      </c>
      <c r="M118" s="41">
        <v>100</v>
      </c>
      <c r="N118" s="41">
        <v>14457.92</v>
      </c>
      <c r="O118" s="41">
        <v>2458.9299999999998</v>
      </c>
      <c r="P118" s="41">
        <v>509.74</v>
      </c>
      <c r="Q118" s="41">
        <v>10685.6</v>
      </c>
      <c r="R118" s="41">
        <v>0</v>
      </c>
      <c r="S118" s="41">
        <v>0</v>
      </c>
      <c r="T118" s="41">
        <v>0</v>
      </c>
      <c r="U118" s="41">
        <v>0</v>
      </c>
      <c r="V118" s="41">
        <v>185.6</v>
      </c>
      <c r="W118" s="41">
        <v>0</v>
      </c>
      <c r="X118" s="41">
        <v>10500</v>
      </c>
      <c r="Y118" s="41">
        <v>803.65</v>
      </c>
      <c r="Z118" s="41">
        <v>0</v>
      </c>
      <c r="AA118" s="41">
        <v>0</v>
      </c>
      <c r="AB118" s="41">
        <v>1813300</v>
      </c>
      <c r="AC118" s="41">
        <v>11.2</v>
      </c>
      <c r="AD118" s="41" t="s">
        <v>433</v>
      </c>
    </row>
    <row r="119" spans="1:30" x14ac:dyDescent="0.35">
      <c r="A119" s="41">
        <v>467</v>
      </c>
      <c r="B119" s="41">
        <v>3426480</v>
      </c>
      <c r="C119" s="41">
        <v>34264804</v>
      </c>
      <c r="D119" s="41" t="s">
        <v>434</v>
      </c>
      <c r="E119" s="41" t="s">
        <v>552</v>
      </c>
      <c r="F119" s="41">
        <v>813300</v>
      </c>
      <c r="G119" s="41" t="s">
        <v>1972</v>
      </c>
      <c r="H119" s="41">
        <v>90541</v>
      </c>
      <c r="I119" s="41" t="s">
        <v>819</v>
      </c>
      <c r="J119" s="41">
        <v>49</v>
      </c>
      <c r="K119" s="41">
        <v>3</v>
      </c>
      <c r="L119" s="41">
        <v>3</v>
      </c>
      <c r="M119" s="41">
        <v>100</v>
      </c>
      <c r="N119" s="41">
        <v>14944.51</v>
      </c>
      <c r="O119" s="41">
        <v>2512.77</v>
      </c>
      <c r="P119" s="41">
        <v>538.32000000000005</v>
      </c>
      <c r="Q119" s="41">
        <v>11061.57</v>
      </c>
      <c r="R119" s="41">
        <v>0</v>
      </c>
      <c r="S119" s="41">
        <v>0</v>
      </c>
      <c r="T119" s="41">
        <v>0</v>
      </c>
      <c r="U119" s="41">
        <v>0</v>
      </c>
      <c r="V119" s="41">
        <v>48.6</v>
      </c>
      <c r="W119" s="41">
        <v>600</v>
      </c>
      <c r="X119" s="41">
        <v>10412.969999999999</v>
      </c>
      <c r="Y119" s="41">
        <v>831.85</v>
      </c>
      <c r="Z119" s="41">
        <v>0</v>
      </c>
      <c r="AA119" s="41">
        <v>0</v>
      </c>
      <c r="AB119" s="41">
        <v>1813300</v>
      </c>
      <c r="AC119" s="41">
        <v>11.2</v>
      </c>
      <c r="AD119" s="41" t="s">
        <v>433</v>
      </c>
    </row>
    <row r="120" spans="1:30" x14ac:dyDescent="0.35">
      <c r="A120" s="41">
        <v>467</v>
      </c>
      <c r="B120" s="41">
        <v>3455578</v>
      </c>
      <c r="C120" s="41">
        <v>34555789</v>
      </c>
      <c r="D120" s="41" t="s">
        <v>446</v>
      </c>
      <c r="E120" s="41" t="s">
        <v>524</v>
      </c>
      <c r="F120" s="41">
        <v>813300</v>
      </c>
      <c r="G120" s="41" t="s">
        <v>1972</v>
      </c>
      <c r="H120" s="41">
        <v>90541</v>
      </c>
      <c r="I120" s="41" t="s">
        <v>1694</v>
      </c>
      <c r="J120" s="41">
        <v>0</v>
      </c>
      <c r="K120" s="41">
        <v>0</v>
      </c>
      <c r="L120" s="41">
        <v>0</v>
      </c>
      <c r="M120" s="41">
        <v>54.5</v>
      </c>
      <c r="N120" s="41">
        <v>4325.53</v>
      </c>
      <c r="O120" s="41">
        <v>750.38</v>
      </c>
      <c r="P120" s="41">
        <v>115.25</v>
      </c>
      <c r="Q120" s="41">
        <v>3216.4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3216.4</v>
      </c>
      <c r="Y120" s="41">
        <v>243.5</v>
      </c>
      <c r="Z120" s="41">
        <v>0</v>
      </c>
      <c r="AA120" s="41">
        <v>0</v>
      </c>
      <c r="AB120" s="41">
        <v>1813300</v>
      </c>
      <c r="AC120" s="41">
        <v>54.5</v>
      </c>
      <c r="AD120" s="41" t="s">
        <v>433</v>
      </c>
    </row>
    <row r="121" spans="1:30" x14ac:dyDescent="0.35">
      <c r="A121" s="41">
        <v>467</v>
      </c>
      <c r="B121" s="41">
        <v>3981717</v>
      </c>
      <c r="C121" s="41">
        <v>39817176</v>
      </c>
      <c r="D121" s="41" t="s">
        <v>442</v>
      </c>
      <c r="E121" s="41" t="s">
        <v>556</v>
      </c>
      <c r="F121" s="41">
        <v>813300</v>
      </c>
      <c r="G121" s="41" t="s">
        <v>1972</v>
      </c>
      <c r="H121" s="41">
        <v>90541</v>
      </c>
      <c r="I121" s="41" t="s">
        <v>819</v>
      </c>
      <c r="J121" s="41">
        <v>49</v>
      </c>
      <c r="K121" s="41">
        <v>3</v>
      </c>
      <c r="L121" s="41">
        <v>3</v>
      </c>
      <c r="M121" s="41">
        <v>100</v>
      </c>
      <c r="N121" s="41">
        <v>13854.61</v>
      </c>
      <c r="O121" s="41">
        <v>2349.52</v>
      </c>
      <c r="P121" s="41">
        <v>477.13</v>
      </c>
      <c r="Q121" s="41">
        <v>10256.459999999999</v>
      </c>
      <c r="R121" s="41">
        <v>0</v>
      </c>
      <c r="S121" s="41">
        <v>0</v>
      </c>
      <c r="T121" s="41">
        <v>0</v>
      </c>
      <c r="U121" s="41">
        <v>0</v>
      </c>
      <c r="V121" s="41">
        <v>185.6</v>
      </c>
      <c r="W121" s="41">
        <v>0</v>
      </c>
      <c r="X121" s="41">
        <v>10070.86</v>
      </c>
      <c r="Y121" s="41">
        <v>771.5</v>
      </c>
      <c r="Z121" s="41">
        <v>0</v>
      </c>
      <c r="AA121" s="41">
        <v>0</v>
      </c>
      <c r="AB121" s="41">
        <v>1813300</v>
      </c>
      <c r="AC121" s="41">
        <v>54.5</v>
      </c>
      <c r="AD121" s="41" t="s">
        <v>433</v>
      </c>
    </row>
    <row r="122" spans="1:30" x14ac:dyDescent="0.35">
      <c r="A122" s="41">
        <v>467</v>
      </c>
      <c r="B122" s="41">
        <v>4170122</v>
      </c>
      <c r="C122" s="41">
        <v>41701228</v>
      </c>
      <c r="D122" s="41" t="s">
        <v>1744</v>
      </c>
      <c r="E122" s="41" t="s">
        <v>555</v>
      </c>
      <c r="F122" s="41">
        <v>813300</v>
      </c>
      <c r="G122" s="41" t="s">
        <v>1972</v>
      </c>
      <c r="H122" s="41">
        <v>90541</v>
      </c>
      <c r="I122" s="41" t="s">
        <v>1694</v>
      </c>
      <c r="J122" s="41">
        <v>0</v>
      </c>
      <c r="K122" s="41">
        <v>0</v>
      </c>
      <c r="L122" s="41">
        <v>0</v>
      </c>
      <c r="M122" s="41">
        <v>52.7</v>
      </c>
      <c r="N122" s="41">
        <v>4407.7299999999996</v>
      </c>
      <c r="O122" s="41">
        <v>764.66</v>
      </c>
      <c r="P122" s="41">
        <v>117.42</v>
      </c>
      <c r="Q122" s="41">
        <v>3277.6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3277.6</v>
      </c>
      <c r="Y122" s="41">
        <v>248.05</v>
      </c>
      <c r="Z122" s="41">
        <v>0</v>
      </c>
      <c r="AA122" s="41">
        <v>0</v>
      </c>
      <c r="AB122" s="41">
        <v>1813300</v>
      </c>
      <c r="AC122" s="41">
        <v>52.7</v>
      </c>
      <c r="AD122" s="41" t="s">
        <v>433</v>
      </c>
    </row>
    <row r="123" spans="1:30" x14ac:dyDescent="0.35">
      <c r="A123" s="41">
        <v>467</v>
      </c>
      <c r="B123" s="41">
        <v>5631533</v>
      </c>
      <c r="C123" s="41">
        <v>56315336</v>
      </c>
      <c r="D123" s="41" t="s">
        <v>437</v>
      </c>
      <c r="E123" s="41" t="s">
        <v>436</v>
      </c>
      <c r="F123" s="41">
        <v>813300</v>
      </c>
      <c r="G123" s="41" t="s">
        <v>1972</v>
      </c>
      <c r="H123" s="41">
        <v>90541</v>
      </c>
      <c r="I123" s="41" t="s">
        <v>819</v>
      </c>
      <c r="J123" s="41">
        <v>49</v>
      </c>
      <c r="K123" s="41">
        <v>3</v>
      </c>
      <c r="L123" s="41">
        <v>3</v>
      </c>
      <c r="M123" s="41">
        <v>100</v>
      </c>
      <c r="N123" s="41">
        <v>14923.54</v>
      </c>
      <c r="O123" s="41">
        <v>2329.7800000000002</v>
      </c>
      <c r="P123" s="41">
        <v>513.26</v>
      </c>
      <c r="Q123" s="41">
        <v>11235.6</v>
      </c>
      <c r="R123" s="41">
        <v>0</v>
      </c>
      <c r="S123" s="41">
        <v>0</v>
      </c>
      <c r="T123" s="41">
        <v>0</v>
      </c>
      <c r="U123" s="41">
        <v>0</v>
      </c>
      <c r="V123" s="41">
        <v>185.6</v>
      </c>
      <c r="W123" s="41">
        <v>0</v>
      </c>
      <c r="X123" s="41">
        <v>11050</v>
      </c>
      <c r="Y123" s="41">
        <v>844.9</v>
      </c>
      <c r="Z123" s="41">
        <v>0</v>
      </c>
      <c r="AA123" s="41">
        <v>0</v>
      </c>
      <c r="AB123" s="41">
        <v>1813300</v>
      </c>
      <c r="AC123" s="41">
        <v>52.7</v>
      </c>
      <c r="AD123" s="41" t="s">
        <v>433</v>
      </c>
    </row>
    <row r="124" spans="1:30" x14ac:dyDescent="0.35">
      <c r="A124" s="41">
        <v>467</v>
      </c>
      <c r="B124" s="41">
        <v>6014109</v>
      </c>
      <c r="C124" s="41">
        <v>60141090</v>
      </c>
      <c r="D124" s="41" t="s">
        <v>434</v>
      </c>
      <c r="E124" s="41" t="s">
        <v>481</v>
      </c>
      <c r="F124" s="41">
        <v>813300</v>
      </c>
      <c r="G124" s="41" t="s">
        <v>1972</v>
      </c>
      <c r="H124" s="41">
        <v>90541</v>
      </c>
      <c r="I124" s="41" t="s">
        <v>819</v>
      </c>
      <c r="J124" s="41">
        <v>49</v>
      </c>
      <c r="K124" s="41">
        <v>3</v>
      </c>
      <c r="L124" s="41">
        <v>3</v>
      </c>
      <c r="M124" s="41">
        <v>90</v>
      </c>
      <c r="N124" s="41">
        <v>13782.38</v>
      </c>
      <c r="O124" s="41">
        <v>2186.54</v>
      </c>
      <c r="P124" s="41">
        <v>474.05</v>
      </c>
      <c r="Q124" s="41">
        <v>10353.34</v>
      </c>
      <c r="R124" s="41">
        <v>631.79999999999995</v>
      </c>
      <c r="S124" s="41">
        <v>0</v>
      </c>
      <c r="T124" s="41">
        <v>0</v>
      </c>
      <c r="U124" s="41">
        <v>0</v>
      </c>
      <c r="V124" s="41">
        <v>180.74</v>
      </c>
      <c r="W124" s="41">
        <v>400</v>
      </c>
      <c r="X124" s="41">
        <v>9140.7999999999993</v>
      </c>
      <c r="Y124" s="41">
        <v>768.45</v>
      </c>
      <c r="Z124" s="41">
        <v>0</v>
      </c>
      <c r="AA124" s="41">
        <v>0</v>
      </c>
      <c r="AB124" s="41">
        <v>1813300</v>
      </c>
      <c r="AC124" s="41">
        <v>52.7</v>
      </c>
      <c r="AD124" s="41" t="s">
        <v>433</v>
      </c>
    </row>
    <row r="125" spans="1:30" x14ac:dyDescent="0.35">
      <c r="A125" s="41">
        <v>467</v>
      </c>
      <c r="B125" s="41">
        <v>6014222</v>
      </c>
      <c r="C125" s="41">
        <v>60142221</v>
      </c>
      <c r="D125" s="41" t="s">
        <v>442</v>
      </c>
      <c r="E125" s="41" t="s">
        <v>855</v>
      </c>
      <c r="F125" s="41">
        <v>813300</v>
      </c>
      <c r="G125" s="41" t="s">
        <v>1972</v>
      </c>
      <c r="H125" s="41">
        <v>90541</v>
      </c>
      <c r="I125" s="41" t="s">
        <v>819</v>
      </c>
      <c r="J125" s="41">
        <v>49</v>
      </c>
      <c r="K125" s="41">
        <v>3</v>
      </c>
      <c r="L125" s="41">
        <v>3</v>
      </c>
      <c r="M125" s="41">
        <v>100</v>
      </c>
      <c r="N125" s="41">
        <v>14388.03</v>
      </c>
      <c r="O125" s="41">
        <v>2338.63</v>
      </c>
      <c r="P125" s="41">
        <v>513.07000000000005</v>
      </c>
      <c r="Q125" s="41">
        <v>10729.38</v>
      </c>
      <c r="R125" s="41">
        <v>351</v>
      </c>
      <c r="S125" s="41">
        <v>0</v>
      </c>
      <c r="T125" s="41">
        <v>0</v>
      </c>
      <c r="U125" s="41">
        <v>0</v>
      </c>
      <c r="V125" s="41">
        <v>185.6</v>
      </c>
      <c r="W125" s="41">
        <v>400</v>
      </c>
      <c r="X125" s="41">
        <v>9792.7800000000007</v>
      </c>
      <c r="Y125" s="41">
        <v>806.95</v>
      </c>
      <c r="Z125" s="41">
        <v>0</v>
      </c>
      <c r="AA125" s="41">
        <v>0</v>
      </c>
      <c r="AB125" s="41">
        <v>1813300</v>
      </c>
      <c r="AC125" s="41">
        <v>52.7</v>
      </c>
      <c r="AD125" s="41" t="s">
        <v>433</v>
      </c>
    </row>
    <row r="126" spans="1:30" x14ac:dyDescent="0.35">
      <c r="A126" s="41">
        <v>467</v>
      </c>
      <c r="B126" s="41">
        <v>6126339</v>
      </c>
      <c r="C126" s="41">
        <v>61263398</v>
      </c>
      <c r="D126" s="41" t="s">
        <v>442</v>
      </c>
      <c r="E126" s="41" t="s">
        <v>554</v>
      </c>
      <c r="F126" s="41">
        <v>813300</v>
      </c>
      <c r="G126" s="41" t="s">
        <v>1972</v>
      </c>
      <c r="H126" s="41">
        <v>90541</v>
      </c>
      <c r="I126" s="41" t="s">
        <v>819</v>
      </c>
      <c r="J126" s="41">
        <v>49</v>
      </c>
      <c r="K126" s="41">
        <v>3</v>
      </c>
      <c r="L126" s="41">
        <v>3</v>
      </c>
      <c r="M126" s="41">
        <v>100</v>
      </c>
      <c r="N126" s="41">
        <v>14107.84</v>
      </c>
      <c r="O126" s="41">
        <v>2353.4</v>
      </c>
      <c r="P126" s="41">
        <v>493.59</v>
      </c>
      <c r="Q126" s="41">
        <v>10473.1</v>
      </c>
      <c r="R126" s="41">
        <v>0</v>
      </c>
      <c r="S126" s="41">
        <v>0</v>
      </c>
      <c r="T126" s="41">
        <v>0</v>
      </c>
      <c r="U126" s="41">
        <v>0</v>
      </c>
      <c r="V126" s="41">
        <v>185.6</v>
      </c>
      <c r="W126" s="41">
        <v>200</v>
      </c>
      <c r="X126" s="41">
        <v>10087.5</v>
      </c>
      <c r="Y126" s="41">
        <v>787.75</v>
      </c>
      <c r="Z126" s="41">
        <v>0</v>
      </c>
      <c r="AA126" s="41">
        <v>0</v>
      </c>
      <c r="AB126" s="41">
        <v>1813300</v>
      </c>
      <c r="AC126" s="41">
        <v>52.7</v>
      </c>
      <c r="AD126" s="41" t="s">
        <v>433</v>
      </c>
    </row>
    <row r="127" spans="1:30" x14ac:dyDescent="0.35">
      <c r="A127" s="41">
        <v>467</v>
      </c>
      <c r="B127" s="41">
        <v>31784907</v>
      </c>
      <c r="C127" s="41">
        <v>317849073</v>
      </c>
      <c r="D127" s="41" t="s">
        <v>434</v>
      </c>
      <c r="E127" s="41" t="s">
        <v>459</v>
      </c>
      <c r="F127" s="41">
        <v>813300</v>
      </c>
      <c r="G127" s="41" t="s">
        <v>1972</v>
      </c>
      <c r="H127" s="41">
        <v>90541</v>
      </c>
      <c r="I127" s="41" t="s">
        <v>819</v>
      </c>
      <c r="J127" s="41">
        <v>49</v>
      </c>
      <c r="K127" s="41">
        <v>3</v>
      </c>
      <c r="L127" s="41">
        <v>3</v>
      </c>
      <c r="M127" s="41">
        <v>60</v>
      </c>
      <c r="N127" s="41">
        <v>9256.65</v>
      </c>
      <c r="O127" s="41">
        <v>1460.62</v>
      </c>
      <c r="P127" s="41">
        <v>268.20999999999998</v>
      </c>
      <c r="Q127" s="41">
        <v>6962.52</v>
      </c>
      <c r="R127" s="41">
        <v>0</v>
      </c>
      <c r="S127" s="41">
        <v>0</v>
      </c>
      <c r="T127" s="41">
        <v>0</v>
      </c>
      <c r="U127" s="41">
        <v>0</v>
      </c>
      <c r="V127" s="41">
        <v>893.16</v>
      </c>
      <c r="W127" s="41">
        <v>0</v>
      </c>
      <c r="X127" s="41">
        <v>6069.36</v>
      </c>
      <c r="Y127" s="41">
        <v>565.29999999999995</v>
      </c>
      <c r="Z127" s="41">
        <v>0</v>
      </c>
      <c r="AA127" s="41">
        <v>0</v>
      </c>
      <c r="AB127" s="41">
        <v>1813300</v>
      </c>
      <c r="AC127" s="41">
        <v>52.7</v>
      </c>
      <c r="AD127" s="41" t="s">
        <v>433</v>
      </c>
    </row>
    <row r="128" spans="1:30" x14ac:dyDescent="0.35">
      <c r="A128" s="41">
        <v>467</v>
      </c>
      <c r="B128" s="41">
        <v>3169348</v>
      </c>
      <c r="C128" s="41">
        <v>31693484</v>
      </c>
      <c r="D128" s="41" t="s">
        <v>434</v>
      </c>
      <c r="E128" s="41" t="s">
        <v>551</v>
      </c>
      <c r="F128" s="41">
        <v>813310</v>
      </c>
      <c r="G128" s="41" t="s">
        <v>1972</v>
      </c>
      <c r="H128" s="41">
        <v>90541</v>
      </c>
      <c r="I128" s="41" t="s">
        <v>821</v>
      </c>
      <c r="J128" s="41">
        <v>0</v>
      </c>
      <c r="K128" s="41">
        <v>0</v>
      </c>
      <c r="L128" s="41">
        <v>0</v>
      </c>
      <c r="M128" s="41">
        <v>0</v>
      </c>
      <c r="N128" s="41">
        <v>389.82</v>
      </c>
      <c r="O128" s="41">
        <v>0</v>
      </c>
      <c r="P128" s="41">
        <v>16.7</v>
      </c>
      <c r="Q128" s="41">
        <v>345</v>
      </c>
      <c r="R128" s="41">
        <v>208</v>
      </c>
      <c r="S128" s="41">
        <v>0</v>
      </c>
      <c r="T128" s="41">
        <v>0</v>
      </c>
      <c r="U128" s="41">
        <v>0</v>
      </c>
      <c r="V128" s="41">
        <v>137</v>
      </c>
      <c r="W128" s="41">
        <v>0</v>
      </c>
      <c r="X128" s="41">
        <v>0</v>
      </c>
      <c r="Y128" s="41">
        <v>28.12</v>
      </c>
      <c r="Z128" s="41">
        <v>0</v>
      </c>
      <c r="AA128" s="41">
        <v>0</v>
      </c>
      <c r="AB128" s="41">
        <v>1813300</v>
      </c>
      <c r="AC128" s="41">
        <v>52.7</v>
      </c>
      <c r="AD128" s="41" t="s">
        <v>433</v>
      </c>
    </row>
    <row r="129" spans="1:30" x14ac:dyDescent="0.35">
      <c r="A129" s="41">
        <v>467</v>
      </c>
      <c r="B129" s="41">
        <v>2346682</v>
      </c>
      <c r="C129" s="41">
        <v>23466824</v>
      </c>
      <c r="D129" s="41" t="s">
        <v>448</v>
      </c>
      <c r="E129" s="41" t="s">
        <v>550</v>
      </c>
      <c r="F129" s="41">
        <v>814000</v>
      </c>
      <c r="G129" s="41" t="s">
        <v>1972</v>
      </c>
      <c r="H129" s="41">
        <v>90541</v>
      </c>
      <c r="I129" s="41" t="s">
        <v>819</v>
      </c>
      <c r="J129" s="41">
        <v>5</v>
      </c>
      <c r="K129" s="41">
        <v>11</v>
      </c>
      <c r="L129" s="41">
        <v>0</v>
      </c>
      <c r="M129" s="41">
        <v>100</v>
      </c>
      <c r="N129" s="41">
        <v>12360.8</v>
      </c>
      <c r="O129" s="41">
        <v>1910.84</v>
      </c>
      <c r="P129" s="41">
        <v>407.46</v>
      </c>
      <c r="Q129" s="41">
        <v>9339.75</v>
      </c>
      <c r="R129" s="41">
        <v>130</v>
      </c>
      <c r="S129" s="41">
        <v>0</v>
      </c>
      <c r="T129" s="41">
        <v>0</v>
      </c>
      <c r="U129" s="41">
        <v>0</v>
      </c>
      <c r="V129" s="41">
        <v>185.6</v>
      </c>
      <c r="W129" s="41">
        <v>0</v>
      </c>
      <c r="X129" s="41">
        <v>9024.15</v>
      </c>
      <c r="Y129" s="41">
        <v>702.75</v>
      </c>
      <c r="Z129" s="41">
        <v>0</v>
      </c>
      <c r="AA129" s="41">
        <v>0</v>
      </c>
      <c r="AB129" s="41">
        <v>1814000</v>
      </c>
      <c r="AC129" s="41">
        <v>52.7</v>
      </c>
      <c r="AD129" s="41" t="s">
        <v>433</v>
      </c>
    </row>
    <row r="130" spans="1:30" x14ac:dyDescent="0.35">
      <c r="A130" s="41">
        <v>467</v>
      </c>
      <c r="B130" s="41">
        <v>2472056</v>
      </c>
      <c r="C130" s="41">
        <v>24720567</v>
      </c>
      <c r="D130" s="41" t="s">
        <v>1727</v>
      </c>
      <c r="E130" s="41" t="s">
        <v>549</v>
      </c>
      <c r="F130" s="41">
        <v>814000</v>
      </c>
      <c r="G130" s="41" t="s">
        <v>1972</v>
      </c>
      <c r="H130" s="41">
        <v>90541</v>
      </c>
      <c r="I130" s="41" t="s">
        <v>819</v>
      </c>
      <c r="J130" s="41">
        <v>5</v>
      </c>
      <c r="K130" s="41">
        <v>37</v>
      </c>
      <c r="L130" s="41">
        <v>0</v>
      </c>
      <c r="M130" s="41">
        <v>100</v>
      </c>
      <c r="N130" s="41">
        <v>13987.5</v>
      </c>
      <c r="O130" s="41">
        <v>2229.5100000000002</v>
      </c>
      <c r="P130" s="41">
        <v>493.83</v>
      </c>
      <c r="Q130" s="41">
        <v>10476.209999999999</v>
      </c>
      <c r="R130" s="41">
        <v>0</v>
      </c>
      <c r="S130" s="41">
        <v>0</v>
      </c>
      <c r="T130" s="41">
        <v>0</v>
      </c>
      <c r="U130" s="41">
        <v>0</v>
      </c>
      <c r="V130" s="41">
        <v>185.6</v>
      </c>
      <c r="W130" s="41">
        <v>1742.23</v>
      </c>
      <c r="X130" s="41">
        <v>8548.3799999999992</v>
      </c>
      <c r="Y130" s="41">
        <v>787.95</v>
      </c>
      <c r="Z130" s="41">
        <v>0</v>
      </c>
      <c r="AA130" s="41">
        <v>0</v>
      </c>
      <c r="AB130" s="41">
        <v>1814000</v>
      </c>
      <c r="AC130" s="41">
        <v>52.7</v>
      </c>
      <c r="AD130" s="41" t="s">
        <v>433</v>
      </c>
    </row>
    <row r="131" spans="1:30" x14ac:dyDescent="0.35">
      <c r="A131" s="41">
        <v>467</v>
      </c>
      <c r="B131" s="41">
        <v>2590804</v>
      </c>
      <c r="C131" s="41">
        <v>25908047</v>
      </c>
      <c r="D131" s="41" t="s">
        <v>442</v>
      </c>
      <c r="E131" s="41" t="s">
        <v>518</v>
      </c>
      <c r="F131" s="41">
        <v>814000</v>
      </c>
      <c r="G131" s="41" t="s">
        <v>1972</v>
      </c>
      <c r="H131" s="41">
        <v>90541</v>
      </c>
      <c r="I131" s="41" t="s">
        <v>819</v>
      </c>
      <c r="J131" s="41">
        <v>5</v>
      </c>
      <c r="K131" s="41">
        <v>8</v>
      </c>
      <c r="L131" s="41">
        <v>0</v>
      </c>
      <c r="M131" s="41">
        <v>100</v>
      </c>
      <c r="N131" s="41">
        <v>16344.97</v>
      </c>
      <c r="O131" s="41">
        <v>2192.16</v>
      </c>
      <c r="P131" s="41">
        <v>651.96</v>
      </c>
      <c r="Q131" s="41">
        <v>12556.85</v>
      </c>
      <c r="R131" s="41">
        <v>0</v>
      </c>
      <c r="S131" s="41">
        <v>0</v>
      </c>
      <c r="T131" s="41">
        <v>0</v>
      </c>
      <c r="U131" s="41">
        <v>2092.4499999999998</v>
      </c>
      <c r="V131" s="41">
        <v>185.6</v>
      </c>
      <c r="W131" s="41">
        <v>2094.21</v>
      </c>
      <c r="X131" s="41">
        <v>8184.59</v>
      </c>
      <c r="Y131" s="41">
        <v>944</v>
      </c>
      <c r="Z131" s="41">
        <v>0</v>
      </c>
      <c r="AA131" s="41">
        <v>0</v>
      </c>
      <c r="AB131" s="41">
        <v>1814000</v>
      </c>
      <c r="AC131" s="41">
        <v>52.7</v>
      </c>
      <c r="AD131" s="41" t="s">
        <v>433</v>
      </c>
    </row>
    <row r="132" spans="1:30" x14ac:dyDescent="0.35">
      <c r="A132" s="41">
        <v>467</v>
      </c>
      <c r="B132" s="41">
        <v>3264263</v>
      </c>
      <c r="C132" s="41">
        <v>32642639</v>
      </c>
      <c r="D132" s="41" t="s">
        <v>546</v>
      </c>
      <c r="E132" s="41" t="s">
        <v>438</v>
      </c>
      <c r="F132" s="41">
        <v>814000</v>
      </c>
      <c r="G132" s="41" t="s">
        <v>1972</v>
      </c>
      <c r="H132" s="41">
        <v>90541</v>
      </c>
      <c r="I132" s="41" t="s">
        <v>819</v>
      </c>
      <c r="J132" s="41">
        <v>5</v>
      </c>
      <c r="K132" s="41">
        <v>7</v>
      </c>
      <c r="L132" s="41">
        <v>0</v>
      </c>
      <c r="M132" s="41">
        <v>48</v>
      </c>
      <c r="N132" s="41">
        <v>4295.62</v>
      </c>
      <c r="O132" s="41">
        <v>728.02</v>
      </c>
      <c r="P132" s="41">
        <v>115.01</v>
      </c>
      <c r="Q132" s="41">
        <v>3209.64</v>
      </c>
      <c r="R132" s="41">
        <v>0</v>
      </c>
      <c r="S132" s="41">
        <v>0</v>
      </c>
      <c r="T132" s="41">
        <v>0</v>
      </c>
      <c r="U132" s="41">
        <v>0</v>
      </c>
      <c r="V132" s="41">
        <v>89.08</v>
      </c>
      <c r="W132" s="41">
        <v>0</v>
      </c>
      <c r="X132" s="41">
        <v>3120.56</v>
      </c>
      <c r="Y132" s="41">
        <v>242.95</v>
      </c>
      <c r="Z132" s="41">
        <v>0</v>
      </c>
      <c r="AA132" s="41">
        <v>0</v>
      </c>
      <c r="AB132" s="41">
        <v>1814000</v>
      </c>
      <c r="AC132" s="41">
        <v>52.7</v>
      </c>
      <c r="AD132" s="41" t="s">
        <v>433</v>
      </c>
    </row>
    <row r="133" spans="1:30" x14ac:dyDescent="0.35">
      <c r="A133" s="41">
        <v>467</v>
      </c>
      <c r="B133" s="41">
        <v>3950632</v>
      </c>
      <c r="C133" s="41">
        <v>39506324</v>
      </c>
      <c r="D133" s="41" t="s">
        <v>434</v>
      </c>
      <c r="E133" s="41" t="s">
        <v>856</v>
      </c>
      <c r="F133" s="41">
        <v>814000</v>
      </c>
      <c r="G133" s="41" t="s">
        <v>1972</v>
      </c>
      <c r="H133" s="41">
        <v>90541</v>
      </c>
      <c r="I133" s="41" t="s">
        <v>819</v>
      </c>
      <c r="J133" s="41">
        <v>5</v>
      </c>
      <c r="K133" s="41">
        <v>5</v>
      </c>
      <c r="L133" s="41">
        <v>0</v>
      </c>
      <c r="M133" s="41">
        <v>100</v>
      </c>
      <c r="N133" s="41">
        <v>13094.15</v>
      </c>
      <c r="O133" s="41">
        <v>1754.89</v>
      </c>
      <c r="P133" s="41">
        <v>466.18</v>
      </c>
      <c r="Q133" s="41">
        <v>10112.379999999999</v>
      </c>
      <c r="R133" s="41">
        <v>0</v>
      </c>
      <c r="S133" s="41">
        <v>0</v>
      </c>
      <c r="T133" s="41">
        <v>0</v>
      </c>
      <c r="U133" s="41">
        <v>0</v>
      </c>
      <c r="V133" s="41">
        <v>173.45</v>
      </c>
      <c r="W133" s="41">
        <v>2416.83</v>
      </c>
      <c r="X133" s="41">
        <v>7522.1</v>
      </c>
      <c r="Y133" s="41">
        <v>760.7</v>
      </c>
      <c r="Z133" s="41">
        <v>0</v>
      </c>
      <c r="AA133" s="41">
        <v>0</v>
      </c>
      <c r="AB133" s="41">
        <v>1814000</v>
      </c>
      <c r="AC133" s="41">
        <v>52.7</v>
      </c>
      <c r="AD133" s="41" t="s">
        <v>433</v>
      </c>
    </row>
    <row r="134" spans="1:30" x14ac:dyDescent="0.35">
      <c r="A134" s="41">
        <v>467</v>
      </c>
      <c r="B134" s="41">
        <v>5631901</v>
      </c>
      <c r="C134" s="41">
        <v>56319015</v>
      </c>
      <c r="D134" s="41" t="s">
        <v>442</v>
      </c>
      <c r="E134" s="41" t="s">
        <v>576</v>
      </c>
      <c r="F134" s="41">
        <v>814000</v>
      </c>
      <c r="G134" s="41" t="s">
        <v>1972</v>
      </c>
      <c r="H134" s="41">
        <v>90541</v>
      </c>
      <c r="I134" s="41" t="s">
        <v>819</v>
      </c>
      <c r="J134" s="41">
        <v>5</v>
      </c>
      <c r="K134" s="41">
        <v>6</v>
      </c>
      <c r="L134" s="41">
        <v>0</v>
      </c>
      <c r="M134" s="41">
        <v>100</v>
      </c>
      <c r="N134" s="41">
        <v>12137.61</v>
      </c>
      <c r="O134" s="41">
        <v>1841.02</v>
      </c>
      <c r="P134" s="41">
        <v>397.33</v>
      </c>
      <c r="Q134" s="41">
        <v>9206.51</v>
      </c>
      <c r="R134" s="41">
        <v>0</v>
      </c>
      <c r="S134" s="41">
        <v>0</v>
      </c>
      <c r="T134" s="41">
        <v>0</v>
      </c>
      <c r="U134" s="41">
        <v>0</v>
      </c>
      <c r="V134" s="41">
        <v>179.53</v>
      </c>
      <c r="W134" s="41">
        <v>1135.72</v>
      </c>
      <c r="X134" s="41">
        <v>7891.26</v>
      </c>
      <c r="Y134" s="41">
        <v>692.75</v>
      </c>
      <c r="Z134" s="41">
        <v>0</v>
      </c>
      <c r="AA134" s="41">
        <v>0</v>
      </c>
      <c r="AB134" s="41">
        <v>1814000</v>
      </c>
      <c r="AC134" s="41">
        <v>52.7</v>
      </c>
      <c r="AD134" s="41" t="s">
        <v>433</v>
      </c>
    </row>
    <row r="135" spans="1:30" x14ac:dyDescent="0.35">
      <c r="A135" s="41">
        <v>467</v>
      </c>
      <c r="B135" s="41">
        <v>6607836</v>
      </c>
      <c r="C135" s="41">
        <v>66078361</v>
      </c>
      <c r="D135" s="41" t="s">
        <v>892</v>
      </c>
      <c r="E135" s="41" t="s">
        <v>438</v>
      </c>
      <c r="F135" s="41">
        <v>814000</v>
      </c>
      <c r="G135" s="41" t="s">
        <v>1972</v>
      </c>
      <c r="H135" s="41">
        <v>90541</v>
      </c>
      <c r="I135" s="41" t="s">
        <v>819</v>
      </c>
      <c r="J135" s="41">
        <v>54</v>
      </c>
      <c r="K135" s="41">
        <v>37</v>
      </c>
      <c r="L135" s="41">
        <v>0</v>
      </c>
      <c r="M135" s="41">
        <v>100</v>
      </c>
      <c r="N135" s="41">
        <v>9941.44</v>
      </c>
      <c r="O135" s="41">
        <v>1667.07</v>
      </c>
      <c r="P135" s="41">
        <v>264.51</v>
      </c>
      <c r="Q135" s="41">
        <v>7451.01</v>
      </c>
      <c r="R135" s="41">
        <v>0</v>
      </c>
      <c r="S135" s="41">
        <v>0</v>
      </c>
      <c r="T135" s="41">
        <v>0</v>
      </c>
      <c r="U135" s="41">
        <v>0</v>
      </c>
      <c r="V135" s="41">
        <v>455.4</v>
      </c>
      <c r="W135" s="41">
        <v>0</v>
      </c>
      <c r="X135" s="41">
        <v>6995.61</v>
      </c>
      <c r="Y135" s="41">
        <v>558.85</v>
      </c>
      <c r="Z135" s="41">
        <v>0</v>
      </c>
      <c r="AA135" s="41">
        <v>0</v>
      </c>
      <c r="AB135" s="41">
        <v>1814000</v>
      </c>
      <c r="AC135" s="41">
        <v>52.7</v>
      </c>
      <c r="AD135" s="41" t="s">
        <v>433</v>
      </c>
    </row>
    <row r="136" spans="1:30" x14ac:dyDescent="0.35">
      <c r="A136" s="41">
        <v>467</v>
      </c>
      <c r="B136" s="41">
        <v>31520322</v>
      </c>
      <c r="C136" s="41">
        <v>315203224</v>
      </c>
      <c r="D136" s="41" t="s">
        <v>490</v>
      </c>
      <c r="E136" s="41" t="s">
        <v>1745</v>
      </c>
      <c r="F136" s="41">
        <v>814000</v>
      </c>
      <c r="G136" s="41" t="s">
        <v>1972</v>
      </c>
      <c r="H136" s="41">
        <v>90541</v>
      </c>
      <c r="I136" s="41" t="s">
        <v>1694</v>
      </c>
      <c r="J136" s="41">
        <v>5</v>
      </c>
      <c r="K136" s="41">
        <v>6</v>
      </c>
      <c r="L136" s="41">
        <v>0</v>
      </c>
      <c r="M136" s="41">
        <v>66</v>
      </c>
      <c r="N136" s="41">
        <v>4323.2</v>
      </c>
      <c r="O136" s="41">
        <v>0</v>
      </c>
      <c r="P136" s="41">
        <v>138.19999999999999</v>
      </c>
      <c r="Q136" s="41">
        <v>3893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3893</v>
      </c>
      <c r="Y136" s="41">
        <v>292</v>
      </c>
      <c r="Z136" s="41">
        <v>0</v>
      </c>
      <c r="AA136" s="41">
        <v>0</v>
      </c>
      <c r="AB136" s="41">
        <v>1814000</v>
      </c>
      <c r="AC136" s="41">
        <v>66</v>
      </c>
      <c r="AD136" s="41" t="s">
        <v>433</v>
      </c>
    </row>
    <row r="137" spans="1:30" x14ac:dyDescent="0.35">
      <c r="A137" s="41">
        <v>467</v>
      </c>
      <c r="B137" s="41">
        <v>3169335</v>
      </c>
      <c r="C137" s="41">
        <v>31693351</v>
      </c>
      <c r="D137" s="41" t="s">
        <v>1746</v>
      </c>
      <c r="E137" s="41" t="s">
        <v>547</v>
      </c>
      <c r="F137" s="41">
        <v>814200</v>
      </c>
      <c r="G137" s="41" t="s">
        <v>1972</v>
      </c>
      <c r="H137" s="41">
        <v>90541</v>
      </c>
      <c r="I137" s="41" t="s">
        <v>819</v>
      </c>
      <c r="J137" s="41">
        <v>49</v>
      </c>
      <c r="K137" s="41">
        <v>2</v>
      </c>
      <c r="L137" s="41">
        <v>3</v>
      </c>
      <c r="M137" s="41">
        <v>80</v>
      </c>
      <c r="N137" s="41">
        <v>8544.9699999999993</v>
      </c>
      <c r="O137" s="41">
        <v>1449.01</v>
      </c>
      <c r="P137" s="41">
        <v>227.8</v>
      </c>
      <c r="Q137" s="41">
        <v>6386.91</v>
      </c>
      <c r="R137" s="41">
        <v>0</v>
      </c>
      <c r="S137" s="41">
        <v>0</v>
      </c>
      <c r="T137" s="41">
        <v>0</v>
      </c>
      <c r="U137" s="41">
        <v>0</v>
      </c>
      <c r="V137" s="41">
        <v>175.88</v>
      </c>
      <c r="W137" s="41">
        <v>0</v>
      </c>
      <c r="X137" s="41">
        <v>6211.03</v>
      </c>
      <c r="Y137" s="41">
        <v>481.25</v>
      </c>
      <c r="Z137" s="41">
        <v>0</v>
      </c>
      <c r="AA137" s="41">
        <v>0</v>
      </c>
      <c r="AB137" s="41">
        <v>1814000</v>
      </c>
      <c r="AC137" s="41">
        <v>66</v>
      </c>
      <c r="AD137" s="41" t="s">
        <v>433</v>
      </c>
    </row>
    <row r="138" spans="1:30" x14ac:dyDescent="0.35">
      <c r="A138" s="41">
        <v>467</v>
      </c>
      <c r="B138" s="41">
        <v>4080761</v>
      </c>
      <c r="C138" s="41">
        <v>40807612</v>
      </c>
      <c r="D138" s="41" t="s">
        <v>434</v>
      </c>
      <c r="E138" s="41" t="s">
        <v>858</v>
      </c>
      <c r="F138" s="41">
        <v>814200</v>
      </c>
      <c r="G138" s="41" t="s">
        <v>1972</v>
      </c>
      <c r="H138" s="41">
        <v>90541</v>
      </c>
      <c r="I138" s="41" t="s">
        <v>819</v>
      </c>
      <c r="J138" s="41">
        <v>5</v>
      </c>
      <c r="K138" s="41">
        <v>7</v>
      </c>
      <c r="L138" s="41">
        <v>0</v>
      </c>
      <c r="M138" s="41">
        <v>100</v>
      </c>
      <c r="N138" s="41">
        <v>11229.06</v>
      </c>
      <c r="O138" s="41">
        <v>1907.03</v>
      </c>
      <c r="P138" s="41">
        <v>332.98</v>
      </c>
      <c r="Q138" s="41">
        <v>8359.7999999999993</v>
      </c>
      <c r="R138" s="41">
        <v>0</v>
      </c>
      <c r="S138" s="41">
        <v>0</v>
      </c>
      <c r="T138" s="41">
        <v>0</v>
      </c>
      <c r="U138" s="41">
        <v>0</v>
      </c>
      <c r="V138" s="41">
        <v>185.6</v>
      </c>
      <c r="W138" s="41">
        <v>0</v>
      </c>
      <c r="X138" s="41">
        <v>8174.2</v>
      </c>
      <c r="Y138" s="41">
        <v>629.25</v>
      </c>
      <c r="Z138" s="41">
        <v>0</v>
      </c>
      <c r="AA138" s="41">
        <v>0</v>
      </c>
      <c r="AB138" s="41">
        <v>1814000</v>
      </c>
      <c r="AC138" s="41">
        <v>66</v>
      </c>
      <c r="AD138" s="41" t="s">
        <v>433</v>
      </c>
    </row>
    <row r="139" spans="1:30" x14ac:dyDescent="0.35">
      <c r="A139" s="41">
        <v>467</v>
      </c>
      <c r="B139" s="41">
        <v>30080176</v>
      </c>
      <c r="C139" s="41">
        <v>300801768</v>
      </c>
      <c r="D139" s="41" t="s">
        <v>439</v>
      </c>
      <c r="E139" s="41" t="s">
        <v>594</v>
      </c>
      <c r="F139" s="41">
        <v>814200</v>
      </c>
      <c r="G139" s="41" t="s">
        <v>1972</v>
      </c>
      <c r="H139" s="41">
        <v>90541</v>
      </c>
      <c r="I139" s="41" t="s">
        <v>819</v>
      </c>
      <c r="J139" s="41">
        <v>54</v>
      </c>
      <c r="K139" s="41">
        <v>69</v>
      </c>
      <c r="L139" s="41">
        <v>0</v>
      </c>
      <c r="M139" s="41">
        <v>70</v>
      </c>
      <c r="N139" s="41">
        <v>8351.7900000000009</v>
      </c>
      <c r="O139" s="41">
        <v>1343.39</v>
      </c>
      <c r="P139" s="41">
        <v>225</v>
      </c>
      <c r="Q139" s="41">
        <v>6308.05</v>
      </c>
      <c r="R139" s="41">
        <v>411.6</v>
      </c>
      <c r="S139" s="41">
        <v>0</v>
      </c>
      <c r="T139" s="41">
        <v>0</v>
      </c>
      <c r="U139" s="41">
        <v>0</v>
      </c>
      <c r="V139" s="41">
        <v>259.02</v>
      </c>
      <c r="W139" s="41">
        <v>0</v>
      </c>
      <c r="X139" s="41">
        <v>5637.43</v>
      </c>
      <c r="Y139" s="41">
        <v>475.35</v>
      </c>
      <c r="Z139" s="41">
        <v>0</v>
      </c>
      <c r="AA139" s="41">
        <v>0</v>
      </c>
      <c r="AB139" s="41">
        <v>1814000</v>
      </c>
      <c r="AC139" s="41">
        <v>66</v>
      </c>
      <c r="AD139" s="41" t="s">
        <v>433</v>
      </c>
    </row>
    <row r="140" spans="1:30" x14ac:dyDescent="0.35">
      <c r="A140" s="41">
        <v>467</v>
      </c>
      <c r="B140" s="41">
        <v>2155753</v>
      </c>
      <c r="C140" s="41">
        <v>21557533</v>
      </c>
      <c r="D140" s="41" t="s">
        <v>1747</v>
      </c>
      <c r="E140" s="41" t="s">
        <v>443</v>
      </c>
      <c r="F140" s="41">
        <v>815200</v>
      </c>
      <c r="G140" s="41" t="s">
        <v>1972</v>
      </c>
      <c r="H140" s="41">
        <v>90541</v>
      </c>
      <c r="I140" s="41" t="s">
        <v>819</v>
      </c>
      <c r="J140" s="41">
        <v>93</v>
      </c>
      <c r="K140" s="41">
        <v>2</v>
      </c>
      <c r="L140" s="41">
        <v>0</v>
      </c>
      <c r="M140" s="41">
        <v>42.1</v>
      </c>
      <c r="N140" s="41">
        <v>7842.17</v>
      </c>
      <c r="O140" s="41">
        <v>895.89</v>
      </c>
      <c r="P140" s="41">
        <v>319.52999999999997</v>
      </c>
      <c r="Q140" s="41">
        <v>6109.02</v>
      </c>
      <c r="R140" s="41">
        <v>0</v>
      </c>
      <c r="S140" s="41">
        <v>0</v>
      </c>
      <c r="T140" s="41">
        <v>0</v>
      </c>
      <c r="U140" s="41">
        <v>0</v>
      </c>
      <c r="V140" s="41">
        <v>359.47</v>
      </c>
      <c r="W140" s="41">
        <v>0</v>
      </c>
      <c r="X140" s="41">
        <v>5749.55</v>
      </c>
      <c r="Y140" s="41">
        <v>517.73</v>
      </c>
      <c r="Z140" s="41">
        <v>0</v>
      </c>
      <c r="AA140" s="41">
        <v>0</v>
      </c>
      <c r="AB140" s="41">
        <v>1815200</v>
      </c>
      <c r="AC140" s="41">
        <v>66</v>
      </c>
      <c r="AD140" s="41" t="s">
        <v>433</v>
      </c>
    </row>
    <row r="141" spans="1:30" x14ac:dyDescent="0.35">
      <c r="A141" s="41">
        <v>467</v>
      </c>
      <c r="B141" s="41">
        <v>2156556</v>
      </c>
      <c r="C141" s="41">
        <v>21565569</v>
      </c>
      <c r="D141" s="41" t="s">
        <v>859</v>
      </c>
      <c r="E141" s="41" t="s">
        <v>860</v>
      </c>
      <c r="F141" s="41">
        <v>815200</v>
      </c>
      <c r="G141" s="41" t="s">
        <v>1972</v>
      </c>
      <c r="H141" s="41">
        <v>90541</v>
      </c>
      <c r="I141" s="41" t="s">
        <v>819</v>
      </c>
      <c r="J141" s="41">
        <v>93</v>
      </c>
      <c r="K141" s="41">
        <v>2</v>
      </c>
      <c r="L141" s="41">
        <v>0</v>
      </c>
      <c r="M141" s="41">
        <v>42.1</v>
      </c>
      <c r="N141" s="41">
        <v>7972.29</v>
      </c>
      <c r="O141" s="41">
        <v>1293.3399999999999</v>
      </c>
      <c r="P141" s="41">
        <v>212.55</v>
      </c>
      <c r="Q141" s="41">
        <v>5987.35</v>
      </c>
      <c r="R141" s="41">
        <v>0</v>
      </c>
      <c r="S141" s="41">
        <v>0</v>
      </c>
      <c r="T141" s="41">
        <v>0</v>
      </c>
      <c r="U141" s="41">
        <v>0</v>
      </c>
      <c r="V141" s="41">
        <v>596.15</v>
      </c>
      <c r="W141" s="41">
        <v>0</v>
      </c>
      <c r="X141" s="41">
        <v>5391.2</v>
      </c>
      <c r="Y141" s="41">
        <v>449.05</v>
      </c>
      <c r="Z141" s="41">
        <v>0</v>
      </c>
      <c r="AA141" s="41">
        <v>30</v>
      </c>
      <c r="AB141" s="41">
        <v>1815200</v>
      </c>
      <c r="AC141" s="41">
        <v>66</v>
      </c>
      <c r="AD141" s="41" t="s">
        <v>433</v>
      </c>
    </row>
    <row r="142" spans="1:30" x14ac:dyDescent="0.35">
      <c r="A142" s="41">
        <v>467</v>
      </c>
      <c r="B142" s="41">
        <v>2644411</v>
      </c>
      <c r="C142" s="41">
        <v>26444117</v>
      </c>
      <c r="D142" s="41" t="s">
        <v>434</v>
      </c>
      <c r="E142" s="41" t="s">
        <v>1748</v>
      </c>
      <c r="F142" s="41">
        <v>815200</v>
      </c>
      <c r="G142" s="41" t="s">
        <v>1972</v>
      </c>
      <c r="H142" s="41">
        <v>90541</v>
      </c>
      <c r="I142" s="41" t="s">
        <v>819</v>
      </c>
      <c r="J142" s="41">
        <v>93</v>
      </c>
      <c r="K142" s="41">
        <v>2</v>
      </c>
      <c r="L142" s="41">
        <v>0</v>
      </c>
      <c r="M142" s="41">
        <v>45.8</v>
      </c>
      <c r="N142" s="41">
        <v>5125.4799999999996</v>
      </c>
      <c r="O142" s="41">
        <v>0</v>
      </c>
      <c r="P142" s="41">
        <v>163.84</v>
      </c>
      <c r="Q142" s="41">
        <v>4615.49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4615.49</v>
      </c>
      <c r="Y142" s="41">
        <v>346.15</v>
      </c>
      <c r="Z142" s="41">
        <v>0</v>
      </c>
      <c r="AA142" s="41">
        <v>0</v>
      </c>
      <c r="AB142" s="41">
        <v>1815200</v>
      </c>
      <c r="AC142" s="41">
        <v>66</v>
      </c>
      <c r="AD142" s="41" t="s">
        <v>433</v>
      </c>
    </row>
    <row r="143" spans="1:30" x14ac:dyDescent="0.35">
      <c r="A143" s="41">
        <v>467</v>
      </c>
      <c r="B143" s="41">
        <v>2837451</v>
      </c>
      <c r="C143" s="41">
        <v>28374510</v>
      </c>
      <c r="D143" s="41" t="s">
        <v>862</v>
      </c>
      <c r="E143" s="41" t="s">
        <v>572</v>
      </c>
      <c r="F143" s="41">
        <v>815200</v>
      </c>
      <c r="G143" s="41" t="s">
        <v>1972</v>
      </c>
      <c r="H143" s="41">
        <v>90541</v>
      </c>
      <c r="I143" s="41" t="s">
        <v>819</v>
      </c>
      <c r="J143" s="41">
        <v>93</v>
      </c>
      <c r="K143" s="41">
        <v>1</v>
      </c>
      <c r="L143" s="41">
        <v>0</v>
      </c>
      <c r="M143" s="41">
        <v>100</v>
      </c>
      <c r="N143" s="41">
        <v>22933.919999999998</v>
      </c>
      <c r="O143" s="41">
        <v>3829.84</v>
      </c>
      <c r="P143" s="41">
        <v>976.9</v>
      </c>
      <c r="Q143" s="41">
        <v>16832.48</v>
      </c>
      <c r="R143" s="41">
        <v>0</v>
      </c>
      <c r="S143" s="41">
        <v>0</v>
      </c>
      <c r="T143" s="41">
        <v>0</v>
      </c>
      <c r="U143" s="41">
        <v>0</v>
      </c>
      <c r="V143" s="41">
        <v>1096.5999999999999</v>
      </c>
      <c r="W143" s="41">
        <v>0</v>
      </c>
      <c r="X143" s="41">
        <v>15735.88</v>
      </c>
      <c r="Y143" s="41">
        <v>1264.7</v>
      </c>
      <c r="Z143" s="41">
        <v>0</v>
      </c>
      <c r="AA143" s="41">
        <v>30</v>
      </c>
      <c r="AB143" s="41">
        <v>1815200</v>
      </c>
      <c r="AC143" s="41">
        <v>66</v>
      </c>
      <c r="AD143" s="41" t="s">
        <v>433</v>
      </c>
    </row>
    <row r="144" spans="1:30" x14ac:dyDescent="0.35">
      <c r="A144" s="41">
        <v>467</v>
      </c>
      <c r="B144" s="41">
        <v>2913411</v>
      </c>
      <c r="C144" s="41">
        <v>29134111</v>
      </c>
      <c r="D144" s="41" t="s">
        <v>434</v>
      </c>
      <c r="E144" s="41" t="s">
        <v>466</v>
      </c>
      <c r="F144" s="41">
        <v>815200</v>
      </c>
      <c r="G144" s="41" t="s">
        <v>1972</v>
      </c>
      <c r="H144" s="41">
        <v>90541</v>
      </c>
      <c r="I144" s="41" t="s">
        <v>819</v>
      </c>
      <c r="J144" s="41">
        <v>93</v>
      </c>
      <c r="K144" s="41">
        <v>1</v>
      </c>
      <c r="L144" s="41">
        <v>0</v>
      </c>
      <c r="M144" s="41">
        <v>102.7</v>
      </c>
      <c r="N144" s="41">
        <v>20505.47</v>
      </c>
      <c r="O144" s="41">
        <v>3524.91</v>
      </c>
      <c r="P144" s="41">
        <v>829.55</v>
      </c>
      <c r="Q144" s="41">
        <v>15001.76</v>
      </c>
      <c r="R144" s="41">
        <v>0</v>
      </c>
      <c r="S144" s="41">
        <v>0</v>
      </c>
      <c r="T144" s="41">
        <v>0</v>
      </c>
      <c r="U144" s="41">
        <v>0</v>
      </c>
      <c r="V144" s="41">
        <v>428.6</v>
      </c>
      <c r="W144" s="41">
        <v>0</v>
      </c>
      <c r="X144" s="41">
        <v>14573.16</v>
      </c>
      <c r="Y144" s="41">
        <v>1119.25</v>
      </c>
      <c r="Z144" s="41">
        <v>0</v>
      </c>
      <c r="AA144" s="41">
        <v>30</v>
      </c>
      <c r="AB144" s="41">
        <v>1815200</v>
      </c>
      <c r="AC144" s="41">
        <v>66</v>
      </c>
      <c r="AD144" s="41" t="s">
        <v>433</v>
      </c>
    </row>
    <row r="145" spans="1:30" x14ac:dyDescent="0.35">
      <c r="A145" s="41">
        <v>467</v>
      </c>
      <c r="B145" s="41">
        <v>2981541</v>
      </c>
      <c r="C145" s="41">
        <v>29815412</v>
      </c>
      <c r="D145" s="41" t="s">
        <v>538</v>
      </c>
      <c r="E145" s="41" t="s">
        <v>861</v>
      </c>
      <c r="F145" s="41">
        <v>815200</v>
      </c>
      <c r="G145" s="41" t="s">
        <v>1972</v>
      </c>
      <c r="H145" s="41">
        <v>90541</v>
      </c>
      <c r="I145" s="41" t="s">
        <v>819</v>
      </c>
      <c r="J145" s="41">
        <v>93</v>
      </c>
      <c r="K145" s="41">
        <v>1</v>
      </c>
      <c r="L145" s="41">
        <v>0</v>
      </c>
      <c r="M145" s="41">
        <v>107.8</v>
      </c>
      <c r="N145" s="41">
        <v>29048.71</v>
      </c>
      <c r="O145" s="41">
        <v>4874.58</v>
      </c>
      <c r="P145" s="41">
        <v>1334.86</v>
      </c>
      <c r="Q145" s="41">
        <v>21191.37</v>
      </c>
      <c r="R145" s="41">
        <v>0</v>
      </c>
      <c r="S145" s="41">
        <v>0</v>
      </c>
      <c r="T145" s="41">
        <v>0</v>
      </c>
      <c r="U145" s="41">
        <v>0</v>
      </c>
      <c r="V145" s="41">
        <v>1108.5999999999999</v>
      </c>
      <c r="W145" s="41">
        <v>0</v>
      </c>
      <c r="X145" s="41">
        <v>20082.77</v>
      </c>
      <c r="Y145" s="41">
        <v>1617.9</v>
      </c>
      <c r="Z145" s="41">
        <v>0</v>
      </c>
      <c r="AA145" s="41">
        <v>30</v>
      </c>
      <c r="AB145" s="41">
        <v>1815200</v>
      </c>
      <c r="AC145" s="41">
        <v>66</v>
      </c>
      <c r="AD145" s="41" t="s">
        <v>433</v>
      </c>
    </row>
    <row r="146" spans="1:30" x14ac:dyDescent="0.35">
      <c r="A146" s="41">
        <v>467</v>
      </c>
      <c r="B146" s="41">
        <v>3154335</v>
      </c>
      <c r="C146" s="41">
        <v>31543358</v>
      </c>
      <c r="D146" s="41" t="s">
        <v>434</v>
      </c>
      <c r="E146" s="41" t="s">
        <v>537</v>
      </c>
      <c r="F146" s="41">
        <v>815200</v>
      </c>
      <c r="G146" s="41" t="s">
        <v>1972</v>
      </c>
      <c r="H146" s="41">
        <v>90541</v>
      </c>
      <c r="I146" s="41" t="s">
        <v>819</v>
      </c>
      <c r="J146" s="41">
        <v>93</v>
      </c>
      <c r="K146" s="41">
        <v>1</v>
      </c>
      <c r="L146" s="41">
        <v>0</v>
      </c>
      <c r="M146" s="41">
        <v>105.2</v>
      </c>
      <c r="N146" s="41">
        <v>24103.83</v>
      </c>
      <c r="O146" s="41">
        <v>4167.29</v>
      </c>
      <c r="P146" s="41">
        <v>1037.8900000000001</v>
      </c>
      <c r="Q146" s="41">
        <v>17543.8</v>
      </c>
      <c r="R146" s="41">
        <v>0</v>
      </c>
      <c r="S146" s="41">
        <v>0</v>
      </c>
      <c r="T146" s="41">
        <v>0</v>
      </c>
      <c r="U146" s="41">
        <v>0</v>
      </c>
      <c r="V146" s="41">
        <v>219.85</v>
      </c>
      <c r="W146" s="41">
        <v>0</v>
      </c>
      <c r="X146" s="41">
        <v>17323.95</v>
      </c>
      <c r="Y146" s="41">
        <v>1324.85</v>
      </c>
      <c r="Z146" s="41">
        <v>0</v>
      </c>
      <c r="AA146" s="41">
        <v>30</v>
      </c>
      <c r="AB146" s="41">
        <v>1815200</v>
      </c>
      <c r="AC146" s="41">
        <v>66</v>
      </c>
      <c r="AD146" s="41" t="s">
        <v>433</v>
      </c>
    </row>
    <row r="147" spans="1:30" x14ac:dyDescent="0.35">
      <c r="A147" s="41">
        <v>467</v>
      </c>
      <c r="B147" s="41">
        <v>3308823</v>
      </c>
      <c r="C147" s="41">
        <v>33088238</v>
      </c>
      <c r="D147" s="41" t="s">
        <v>535</v>
      </c>
      <c r="E147" s="41" t="s">
        <v>534</v>
      </c>
      <c r="F147" s="41">
        <v>815200</v>
      </c>
      <c r="G147" s="41" t="s">
        <v>1972</v>
      </c>
      <c r="H147" s="41">
        <v>90541</v>
      </c>
      <c r="I147" s="41" t="s">
        <v>819</v>
      </c>
      <c r="J147" s="41">
        <v>93</v>
      </c>
      <c r="K147" s="41">
        <v>1</v>
      </c>
      <c r="L147" s="41">
        <v>0</v>
      </c>
      <c r="M147" s="41">
        <v>107.8</v>
      </c>
      <c r="N147" s="41">
        <v>28359.96</v>
      </c>
      <c r="O147" s="41">
        <v>4387.7700000000004</v>
      </c>
      <c r="P147" s="41">
        <v>1315.71</v>
      </c>
      <c r="Q147" s="41">
        <v>21027.43</v>
      </c>
      <c r="R147" s="41">
        <v>0</v>
      </c>
      <c r="S147" s="41">
        <v>0</v>
      </c>
      <c r="T147" s="41">
        <v>0</v>
      </c>
      <c r="U147" s="41">
        <v>0</v>
      </c>
      <c r="V147" s="41">
        <v>1128.5999999999999</v>
      </c>
      <c r="W147" s="41">
        <v>0</v>
      </c>
      <c r="X147" s="41">
        <v>19898.830000000002</v>
      </c>
      <c r="Y147" s="41">
        <v>1599.05</v>
      </c>
      <c r="Z147" s="41">
        <v>0</v>
      </c>
      <c r="AA147" s="41">
        <v>30</v>
      </c>
      <c r="AB147" s="41">
        <v>1815200</v>
      </c>
      <c r="AC147" s="41">
        <v>66</v>
      </c>
      <c r="AD147" s="41" t="s">
        <v>433</v>
      </c>
    </row>
    <row r="148" spans="1:30" x14ac:dyDescent="0.35">
      <c r="A148" s="41">
        <v>467</v>
      </c>
      <c r="B148" s="41">
        <v>3360749</v>
      </c>
      <c r="C148" s="41">
        <v>33607490</v>
      </c>
      <c r="D148" s="41" t="s">
        <v>533</v>
      </c>
      <c r="E148" s="41" t="s">
        <v>532</v>
      </c>
      <c r="F148" s="41">
        <v>815200</v>
      </c>
      <c r="G148" s="41" t="s">
        <v>1972</v>
      </c>
      <c r="H148" s="41">
        <v>90541</v>
      </c>
      <c r="I148" s="41" t="s">
        <v>819</v>
      </c>
      <c r="J148" s="41">
        <v>93</v>
      </c>
      <c r="K148" s="41">
        <v>2</v>
      </c>
      <c r="L148" s="41">
        <v>0</v>
      </c>
      <c r="M148" s="41">
        <v>105.2</v>
      </c>
      <c r="N148" s="41">
        <v>23308.55</v>
      </c>
      <c r="O148" s="41">
        <v>3869.52</v>
      </c>
      <c r="P148" s="41">
        <v>997.02</v>
      </c>
      <c r="Q148" s="41">
        <v>17127.46</v>
      </c>
      <c r="R148" s="41">
        <v>0</v>
      </c>
      <c r="S148" s="41">
        <v>0</v>
      </c>
      <c r="T148" s="41">
        <v>0</v>
      </c>
      <c r="U148" s="41">
        <v>0</v>
      </c>
      <c r="V148" s="41">
        <v>1272.5999999999999</v>
      </c>
      <c r="W148" s="41">
        <v>0</v>
      </c>
      <c r="X148" s="41">
        <v>15854.86</v>
      </c>
      <c r="Y148" s="41">
        <v>1284.55</v>
      </c>
      <c r="Z148" s="41">
        <v>0</v>
      </c>
      <c r="AA148" s="41">
        <v>30</v>
      </c>
      <c r="AB148" s="41">
        <v>1815200</v>
      </c>
      <c r="AC148" s="41">
        <v>66</v>
      </c>
      <c r="AD148" s="41" t="s">
        <v>433</v>
      </c>
    </row>
    <row r="149" spans="1:30" x14ac:dyDescent="0.35">
      <c r="A149" s="41">
        <v>467</v>
      </c>
      <c r="B149" s="41">
        <v>3360781</v>
      </c>
      <c r="C149" s="41">
        <v>33607813</v>
      </c>
      <c r="D149" s="41" t="s">
        <v>531</v>
      </c>
      <c r="E149" s="41" t="s">
        <v>530</v>
      </c>
      <c r="F149" s="41">
        <v>815200</v>
      </c>
      <c r="G149" s="41" t="s">
        <v>1972</v>
      </c>
      <c r="H149" s="41">
        <v>90541</v>
      </c>
      <c r="I149" s="41" t="s">
        <v>819</v>
      </c>
      <c r="J149" s="41">
        <v>93</v>
      </c>
      <c r="K149" s="41">
        <v>2</v>
      </c>
      <c r="L149" s="41">
        <v>0</v>
      </c>
      <c r="M149" s="41">
        <v>107.8</v>
      </c>
      <c r="N149" s="41">
        <v>22400.58</v>
      </c>
      <c r="O149" s="41">
        <v>3722.53</v>
      </c>
      <c r="P149" s="41">
        <v>946.8</v>
      </c>
      <c r="Q149" s="41">
        <v>16466.3</v>
      </c>
      <c r="R149" s="41">
        <v>0</v>
      </c>
      <c r="S149" s="41">
        <v>0</v>
      </c>
      <c r="T149" s="41">
        <v>0</v>
      </c>
      <c r="U149" s="41">
        <v>0</v>
      </c>
      <c r="V149" s="41">
        <v>1205</v>
      </c>
      <c r="W149" s="41">
        <v>0</v>
      </c>
      <c r="X149" s="41">
        <v>15261.3</v>
      </c>
      <c r="Y149" s="41">
        <v>1234.95</v>
      </c>
      <c r="Z149" s="41">
        <v>0</v>
      </c>
      <c r="AA149" s="41">
        <v>30</v>
      </c>
      <c r="AB149" s="41">
        <v>1815200</v>
      </c>
      <c r="AC149" s="41">
        <v>66</v>
      </c>
      <c r="AD149" s="41" t="s">
        <v>433</v>
      </c>
    </row>
    <row r="150" spans="1:30" x14ac:dyDescent="0.35">
      <c r="A150" s="41">
        <v>467</v>
      </c>
      <c r="B150" s="41">
        <v>3381909</v>
      </c>
      <c r="C150" s="41">
        <v>33819095</v>
      </c>
      <c r="D150" s="41" t="s">
        <v>1749</v>
      </c>
      <c r="E150" s="41" t="s">
        <v>436</v>
      </c>
      <c r="F150" s="41">
        <v>815200</v>
      </c>
      <c r="G150" s="41" t="s">
        <v>1972</v>
      </c>
      <c r="H150" s="41">
        <v>90541</v>
      </c>
      <c r="I150" s="41" t="s">
        <v>819</v>
      </c>
      <c r="J150" s="41">
        <v>93</v>
      </c>
      <c r="K150" s="41">
        <v>1</v>
      </c>
      <c r="L150" s="41">
        <v>0</v>
      </c>
      <c r="M150" s="41">
        <v>100</v>
      </c>
      <c r="N150" s="41">
        <v>24662.75</v>
      </c>
      <c r="O150" s="41">
        <v>4173.1899999999996</v>
      </c>
      <c r="P150" s="41">
        <v>1075.82</v>
      </c>
      <c r="Q150" s="41">
        <v>18051.439999999999</v>
      </c>
      <c r="R150" s="41">
        <v>0</v>
      </c>
      <c r="S150" s="41">
        <v>0</v>
      </c>
      <c r="T150" s="41">
        <v>0</v>
      </c>
      <c r="U150" s="41">
        <v>0</v>
      </c>
      <c r="V150" s="41">
        <v>828.6</v>
      </c>
      <c r="W150" s="41">
        <v>0</v>
      </c>
      <c r="X150" s="41">
        <v>17222.84</v>
      </c>
      <c r="Y150" s="41">
        <v>1362.3</v>
      </c>
      <c r="Z150" s="41">
        <v>0</v>
      </c>
      <c r="AA150" s="41">
        <v>0</v>
      </c>
      <c r="AB150" s="41">
        <v>1815200</v>
      </c>
      <c r="AC150" s="41">
        <v>66</v>
      </c>
      <c r="AD150" s="41" t="s">
        <v>433</v>
      </c>
    </row>
    <row r="151" spans="1:30" x14ac:dyDescent="0.35">
      <c r="A151" s="41">
        <v>467</v>
      </c>
      <c r="B151" s="41">
        <v>3398227</v>
      </c>
      <c r="C151" s="41">
        <v>33982273</v>
      </c>
      <c r="D151" s="41" t="s">
        <v>528</v>
      </c>
      <c r="E151" s="41" t="s">
        <v>527</v>
      </c>
      <c r="F151" s="41">
        <v>815200</v>
      </c>
      <c r="G151" s="41" t="s">
        <v>1972</v>
      </c>
      <c r="H151" s="41">
        <v>90541</v>
      </c>
      <c r="I151" s="41" t="s">
        <v>819</v>
      </c>
      <c r="J151" s="41">
        <v>93</v>
      </c>
      <c r="K151" s="41">
        <v>1</v>
      </c>
      <c r="L151" s="41">
        <v>0</v>
      </c>
      <c r="M151" s="41">
        <v>100</v>
      </c>
      <c r="N151" s="41">
        <v>26761</v>
      </c>
      <c r="O151" s="41">
        <v>4091.85</v>
      </c>
      <c r="P151" s="41">
        <v>1215.6300000000001</v>
      </c>
      <c r="Q151" s="41">
        <v>19923.27</v>
      </c>
      <c r="R151" s="41">
        <v>0</v>
      </c>
      <c r="S151" s="41">
        <v>0</v>
      </c>
      <c r="T151" s="41">
        <v>0</v>
      </c>
      <c r="U151" s="41">
        <v>0</v>
      </c>
      <c r="V151" s="41">
        <v>1224.5999999999999</v>
      </c>
      <c r="W151" s="41">
        <v>620.27</v>
      </c>
      <c r="X151" s="41">
        <v>18078.400000000001</v>
      </c>
      <c r="Y151" s="41">
        <v>1500.25</v>
      </c>
      <c r="Z151" s="41">
        <v>0</v>
      </c>
      <c r="AA151" s="41">
        <v>30</v>
      </c>
      <c r="AB151" s="41">
        <v>1815200</v>
      </c>
      <c r="AC151" s="41">
        <v>66</v>
      </c>
      <c r="AD151" s="41" t="s">
        <v>433</v>
      </c>
    </row>
    <row r="152" spans="1:30" x14ac:dyDescent="0.35">
      <c r="A152" s="41">
        <v>467</v>
      </c>
      <c r="B152" s="41">
        <v>3426349</v>
      </c>
      <c r="C152" s="41">
        <v>34263491</v>
      </c>
      <c r="D152" s="41" t="s">
        <v>545</v>
      </c>
      <c r="E152" s="41" t="s">
        <v>510</v>
      </c>
      <c r="F152" s="41">
        <v>815200</v>
      </c>
      <c r="G152" s="41" t="s">
        <v>1972</v>
      </c>
      <c r="H152" s="41">
        <v>90541</v>
      </c>
      <c r="I152" s="41" t="s">
        <v>819</v>
      </c>
      <c r="J152" s="41">
        <v>93</v>
      </c>
      <c r="K152" s="41">
        <v>1</v>
      </c>
      <c r="L152" s="41">
        <v>0</v>
      </c>
      <c r="M152" s="41">
        <v>107.8</v>
      </c>
      <c r="N152" s="41">
        <v>27960.16</v>
      </c>
      <c r="O152" s="41">
        <v>4827.1099999999997</v>
      </c>
      <c r="P152" s="41">
        <v>1264.05</v>
      </c>
      <c r="Q152" s="41">
        <v>20290.95</v>
      </c>
      <c r="R152" s="41">
        <v>0</v>
      </c>
      <c r="S152" s="41">
        <v>0</v>
      </c>
      <c r="T152" s="41">
        <v>0</v>
      </c>
      <c r="U152" s="41">
        <v>0</v>
      </c>
      <c r="V152" s="41">
        <v>219.85</v>
      </c>
      <c r="W152" s="41">
        <v>0</v>
      </c>
      <c r="X152" s="41">
        <v>20071.099999999999</v>
      </c>
      <c r="Y152" s="41">
        <v>1548.05</v>
      </c>
      <c r="Z152" s="41">
        <v>0</v>
      </c>
      <c r="AA152" s="41">
        <v>30</v>
      </c>
      <c r="AB152" s="41">
        <v>1815200</v>
      </c>
      <c r="AC152" s="41">
        <v>66</v>
      </c>
      <c r="AD152" s="41" t="s">
        <v>433</v>
      </c>
    </row>
    <row r="153" spans="1:30" x14ac:dyDescent="0.35">
      <c r="A153" s="41">
        <v>467</v>
      </c>
      <c r="B153" s="41">
        <v>3483421</v>
      </c>
      <c r="C153" s="41">
        <v>34834218</v>
      </c>
      <c r="D153" s="41" t="s">
        <v>434</v>
      </c>
      <c r="E153" s="41" t="s">
        <v>948</v>
      </c>
      <c r="F153" s="41">
        <v>815200</v>
      </c>
      <c r="G153" s="41" t="s">
        <v>1972</v>
      </c>
      <c r="H153" s="41">
        <v>90541</v>
      </c>
      <c r="I153" s="41" t="s">
        <v>819</v>
      </c>
      <c r="J153" s="41">
        <v>93</v>
      </c>
      <c r="K153" s="41">
        <v>1</v>
      </c>
      <c r="L153" s="41">
        <v>0</v>
      </c>
      <c r="M153" s="41">
        <v>100</v>
      </c>
      <c r="N153" s="41">
        <v>12360.18</v>
      </c>
      <c r="O153" s="41">
        <v>2178.94</v>
      </c>
      <c r="P153" s="41">
        <v>385.74</v>
      </c>
      <c r="Q153" s="41">
        <v>9084.2000000000007</v>
      </c>
      <c r="R153" s="41">
        <v>0</v>
      </c>
      <c r="S153" s="41">
        <v>0</v>
      </c>
      <c r="T153" s="41">
        <v>0</v>
      </c>
      <c r="U153" s="41">
        <v>0</v>
      </c>
      <c r="V153" s="41">
        <v>219.85</v>
      </c>
      <c r="W153" s="41">
        <v>0</v>
      </c>
      <c r="X153" s="41">
        <v>8864.35</v>
      </c>
      <c r="Y153" s="41">
        <v>681.3</v>
      </c>
      <c r="Z153" s="41">
        <v>0</v>
      </c>
      <c r="AA153" s="41">
        <v>30</v>
      </c>
      <c r="AB153" s="41">
        <v>1815200</v>
      </c>
      <c r="AC153" s="41">
        <v>66</v>
      </c>
      <c r="AD153" s="41" t="s">
        <v>433</v>
      </c>
    </row>
    <row r="154" spans="1:30" x14ac:dyDescent="0.35">
      <c r="A154" s="41">
        <v>467</v>
      </c>
      <c r="B154" s="41">
        <v>3623325</v>
      </c>
      <c r="C154" s="41">
        <v>36233252</v>
      </c>
      <c r="D154" s="41" t="s">
        <v>545</v>
      </c>
      <c r="E154" s="41" t="s">
        <v>519</v>
      </c>
      <c r="F154" s="41">
        <v>815200</v>
      </c>
      <c r="G154" s="41" t="s">
        <v>1972</v>
      </c>
      <c r="H154" s="41">
        <v>90541</v>
      </c>
      <c r="I154" s="41" t="s">
        <v>819</v>
      </c>
      <c r="J154" s="41">
        <v>93</v>
      </c>
      <c r="K154" s="41">
        <v>1</v>
      </c>
      <c r="L154" s="41">
        <v>0</v>
      </c>
      <c r="M154" s="41">
        <v>102.6</v>
      </c>
      <c r="N154" s="41">
        <v>24690.54</v>
      </c>
      <c r="O154" s="41">
        <v>4177.17</v>
      </c>
      <c r="P154" s="41">
        <v>1076.52</v>
      </c>
      <c r="Q154" s="41">
        <v>18043.849999999999</v>
      </c>
      <c r="R154" s="41">
        <v>0</v>
      </c>
      <c r="S154" s="41">
        <v>0</v>
      </c>
      <c r="T154" s="41">
        <v>0</v>
      </c>
      <c r="U154" s="41">
        <v>0</v>
      </c>
      <c r="V154" s="41">
        <v>219.85</v>
      </c>
      <c r="W154" s="41">
        <v>573.03</v>
      </c>
      <c r="X154" s="41">
        <v>17250.97</v>
      </c>
      <c r="Y154" s="41">
        <v>1363</v>
      </c>
      <c r="Z154" s="41">
        <v>0</v>
      </c>
      <c r="AA154" s="41">
        <v>30</v>
      </c>
      <c r="AB154" s="41">
        <v>1815200</v>
      </c>
      <c r="AC154" s="41">
        <v>66</v>
      </c>
      <c r="AD154" s="41" t="s">
        <v>433</v>
      </c>
    </row>
    <row r="155" spans="1:30" x14ac:dyDescent="0.35">
      <c r="A155" s="41">
        <v>467</v>
      </c>
      <c r="B155" s="41">
        <v>3682906</v>
      </c>
      <c r="C155" s="41">
        <v>36829067</v>
      </c>
      <c r="D155" s="41" t="s">
        <v>1750</v>
      </c>
      <c r="E155" s="41" t="s">
        <v>530</v>
      </c>
      <c r="F155" s="41">
        <v>815200</v>
      </c>
      <c r="G155" s="41" t="s">
        <v>1972</v>
      </c>
      <c r="H155" s="41">
        <v>90541</v>
      </c>
      <c r="I155" s="41" t="s">
        <v>819</v>
      </c>
      <c r="J155" s="41">
        <v>93</v>
      </c>
      <c r="K155" s="41">
        <v>1</v>
      </c>
      <c r="L155" s="41">
        <v>0</v>
      </c>
      <c r="M155" s="41">
        <v>100</v>
      </c>
      <c r="N155" s="41">
        <v>30460.11</v>
      </c>
      <c r="O155" s="41">
        <v>5144.4399999999996</v>
      </c>
      <c r="P155" s="41">
        <v>1385.04</v>
      </c>
      <c r="Q155" s="41">
        <v>22233.13</v>
      </c>
      <c r="R155" s="41">
        <v>0</v>
      </c>
      <c r="S155" s="41">
        <v>0</v>
      </c>
      <c r="T155" s="41">
        <v>0</v>
      </c>
      <c r="U155" s="41">
        <v>0</v>
      </c>
      <c r="V155" s="41">
        <v>788.75</v>
      </c>
      <c r="W155" s="41">
        <v>0</v>
      </c>
      <c r="X155" s="41">
        <v>21444.38</v>
      </c>
      <c r="Y155" s="41">
        <v>1667.5</v>
      </c>
      <c r="Z155" s="41">
        <v>0</v>
      </c>
      <c r="AA155" s="41">
        <v>30</v>
      </c>
      <c r="AB155" s="41">
        <v>1815200</v>
      </c>
      <c r="AC155" s="41">
        <v>66</v>
      </c>
      <c r="AD155" s="41" t="s">
        <v>433</v>
      </c>
    </row>
    <row r="156" spans="1:30" x14ac:dyDescent="0.35">
      <c r="A156" s="41">
        <v>467</v>
      </c>
      <c r="B156" s="41">
        <v>3740909</v>
      </c>
      <c r="C156" s="41">
        <v>37409091</v>
      </c>
      <c r="D156" s="41" t="s">
        <v>434</v>
      </c>
      <c r="E156" s="41" t="s">
        <v>1751</v>
      </c>
      <c r="F156" s="41">
        <v>815200</v>
      </c>
      <c r="G156" s="41" t="s">
        <v>1972</v>
      </c>
      <c r="H156" s="41">
        <v>90541</v>
      </c>
      <c r="I156" s="41" t="s">
        <v>819</v>
      </c>
      <c r="J156" s="41">
        <v>93</v>
      </c>
      <c r="K156" s="41">
        <v>2</v>
      </c>
      <c r="L156" s="41">
        <v>0</v>
      </c>
      <c r="M156" s="41">
        <v>105.2</v>
      </c>
      <c r="N156" s="41">
        <v>25426.39</v>
      </c>
      <c r="O156" s="41">
        <v>4341.22</v>
      </c>
      <c r="P156" s="41">
        <v>1116.04</v>
      </c>
      <c r="Q156" s="41">
        <v>18537.13</v>
      </c>
      <c r="R156" s="41">
        <v>0</v>
      </c>
      <c r="S156" s="41">
        <v>0</v>
      </c>
      <c r="T156" s="41">
        <v>0</v>
      </c>
      <c r="U156" s="41">
        <v>0</v>
      </c>
      <c r="V156" s="41">
        <v>219.85</v>
      </c>
      <c r="W156" s="41">
        <v>0</v>
      </c>
      <c r="X156" s="41">
        <v>18317.28</v>
      </c>
      <c r="Y156" s="41">
        <v>1402</v>
      </c>
      <c r="Z156" s="41">
        <v>0</v>
      </c>
      <c r="AA156" s="41">
        <v>30</v>
      </c>
      <c r="AB156" s="41">
        <v>1815200</v>
      </c>
      <c r="AC156" s="41">
        <v>66</v>
      </c>
      <c r="AD156" s="41" t="s">
        <v>433</v>
      </c>
    </row>
    <row r="157" spans="1:30" x14ac:dyDescent="0.35">
      <c r="A157" s="41">
        <v>467</v>
      </c>
      <c r="B157" s="41">
        <v>3950362</v>
      </c>
      <c r="C157" s="41">
        <v>39503628</v>
      </c>
      <c r="D157" s="41" t="s">
        <v>490</v>
      </c>
      <c r="E157" s="41" t="s">
        <v>927</v>
      </c>
      <c r="F157" s="41">
        <v>815200</v>
      </c>
      <c r="G157" s="41" t="s">
        <v>1972</v>
      </c>
      <c r="H157" s="41">
        <v>90541</v>
      </c>
      <c r="I157" s="41" t="s">
        <v>819</v>
      </c>
      <c r="J157" s="41">
        <v>93</v>
      </c>
      <c r="K157" s="41">
        <v>2</v>
      </c>
      <c r="L157" s="41">
        <v>0</v>
      </c>
      <c r="M157" s="41">
        <v>87.5</v>
      </c>
      <c r="N157" s="41">
        <v>11493</v>
      </c>
      <c r="O157" s="41">
        <v>0</v>
      </c>
      <c r="P157" s="41">
        <v>472.37</v>
      </c>
      <c r="Q157" s="41">
        <v>10223.83</v>
      </c>
      <c r="R157" s="41">
        <v>0</v>
      </c>
      <c r="S157" s="41">
        <v>0</v>
      </c>
      <c r="T157" s="41">
        <v>0</v>
      </c>
      <c r="U157" s="41">
        <v>0</v>
      </c>
      <c r="V157" s="41">
        <v>182.93</v>
      </c>
      <c r="W157" s="41">
        <v>0</v>
      </c>
      <c r="X157" s="41">
        <v>10040.9</v>
      </c>
      <c r="Y157" s="41">
        <v>766.8</v>
      </c>
      <c r="Z157" s="41">
        <v>0</v>
      </c>
      <c r="AA157" s="41">
        <v>30</v>
      </c>
      <c r="AB157" s="41">
        <v>1815200</v>
      </c>
      <c r="AC157" s="41">
        <v>66</v>
      </c>
      <c r="AD157" s="41" t="s">
        <v>433</v>
      </c>
    </row>
    <row r="158" spans="1:30" x14ac:dyDescent="0.35">
      <c r="A158" s="41">
        <v>467</v>
      </c>
      <c r="B158" s="41">
        <v>3951323</v>
      </c>
      <c r="C158" s="41">
        <v>39513239</v>
      </c>
      <c r="D158" s="41" t="s">
        <v>863</v>
      </c>
      <c r="E158" s="41" t="s">
        <v>864</v>
      </c>
      <c r="F158" s="41">
        <v>815200</v>
      </c>
      <c r="G158" s="41" t="s">
        <v>1972</v>
      </c>
      <c r="H158" s="41">
        <v>90541</v>
      </c>
      <c r="I158" s="41" t="s">
        <v>819</v>
      </c>
      <c r="J158" s="41">
        <v>93</v>
      </c>
      <c r="K158" s="41">
        <v>2</v>
      </c>
      <c r="L158" s="41">
        <v>0</v>
      </c>
      <c r="M158" s="41">
        <v>103.9</v>
      </c>
      <c r="N158" s="41">
        <v>19181.669999999998</v>
      </c>
      <c r="O158" s="41">
        <v>3151.25</v>
      </c>
      <c r="P158" s="41">
        <v>771.97</v>
      </c>
      <c r="Q158" s="41">
        <v>14166</v>
      </c>
      <c r="R158" s="41">
        <v>351</v>
      </c>
      <c r="S158" s="41">
        <v>0</v>
      </c>
      <c r="T158" s="41">
        <v>0</v>
      </c>
      <c r="U158" s="41">
        <v>0</v>
      </c>
      <c r="V158" s="41">
        <v>685.6</v>
      </c>
      <c r="W158" s="41">
        <v>0</v>
      </c>
      <c r="X158" s="41">
        <v>13129.4</v>
      </c>
      <c r="Y158" s="41">
        <v>1062.45</v>
      </c>
      <c r="Z158" s="41">
        <v>0</v>
      </c>
      <c r="AA158" s="41">
        <v>30</v>
      </c>
      <c r="AB158" s="41">
        <v>1815200</v>
      </c>
      <c r="AC158" s="41">
        <v>66</v>
      </c>
      <c r="AD158" s="41" t="s">
        <v>433</v>
      </c>
    </row>
    <row r="159" spans="1:30" x14ac:dyDescent="0.35">
      <c r="A159" s="41">
        <v>467</v>
      </c>
      <c r="B159" s="41">
        <v>4046144</v>
      </c>
      <c r="C159" s="41">
        <v>40461444</v>
      </c>
      <c r="D159" s="41" t="s">
        <v>515</v>
      </c>
      <c r="E159" s="41" t="s">
        <v>514</v>
      </c>
      <c r="F159" s="41">
        <v>815200</v>
      </c>
      <c r="G159" s="41" t="s">
        <v>1972</v>
      </c>
      <c r="H159" s="41">
        <v>90541</v>
      </c>
      <c r="I159" s="41" t="s">
        <v>819</v>
      </c>
      <c r="J159" s="41">
        <v>93</v>
      </c>
      <c r="K159" s="41">
        <v>2</v>
      </c>
      <c r="L159" s="41">
        <v>0</v>
      </c>
      <c r="M159" s="41">
        <v>102.6</v>
      </c>
      <c r="N159" s="41">
        <v>21989.4</v>
      </c>
      <c r="O159" s="41">
        <v>3814.43</v>
      </c>
      <c r="P159" s="41">
        <v>913.55</v>
      </c>
      <c r="Q159" s="41">
        <v>16029.27</v>
      </c>
      <c r="R159" s="41">
        <v>0</v>
      </c>
      <c r="S159" s="41">
        <v>0</v>
      </c>
      <c r="T159" s="41">
        <v>0</v>
      </c>
      <c r="U159" s="41">
        <v>0</v>
      </c>
      <c r="V159" s="41">
        <v>171.25</v>
      </c>
      <c r="W159" s="41">
        <v>0</v>
      </c>
      <c r="X159" s="41">
        <v>15858.02</v>
      </c>
      <c r="Y159" s="41">
        <v>1202.1500000000001</v>
      </c>
      <c r="Z159" s="41">
        <v>0</v>
      </c>
      <c r="AA159" s="41">
        <v>30</v>
      </c>
      <c r="AB159" s="41">
        <v>1815200</v>
      </c>
      <c r="AC159" s="41">
        <v>66</v>
      </c>
      <c r="AD159" s="41" t="s">
        <v>433</v>
      </c>
    </row>
    <row r="160" spans="1:30" x14ac:dyDescent="0.35">
      <c r="A160" s="41">
        <v>467</v>
      </c>
      <c r="B160" s="41">
        <v>4048228</v>
      </c>
      <c r="C160" s="41">
        <v>40482283</v>
      </c>
      <c r="D160" s="41" t="s">
        <v>1752</v>
      </c>
      <c r="E160" s="41" t="s">
        <v>1753</v>
      </c>
      <c r="F160" s="41">
        <v>815200</v>
      </c>
      <c r="G160" s="41" t="s">
        <v>1972</v>
      </c>
      <c r="H160" s="41">
        <v>90541</v>
      </c>
      <c r="I160" s="41" t="s">
        <v>819</v>
      </c>
      <c r="J160" s="41">
        <v>93</v>
      </c>
      <c r="K160" s="41">
        <v>1</v>
      </c>
      <c r="L160" s="41">
        <v>0</v>
      </c>
      <c r="M160" s="41">
        <v>6.2</v>
      </c>
      <c r="N160" s="41">
        <v>1449.73</v>
      </c>
      <c r="O160" s="41">
        <v>0</v>
      </c>
      <c r="P160" s="41">
        <v>46.34</v>
      </c>
      <c r="Q160" s="41">
        <v>1305.49</v>
      </c>
      <c r="R160" s="41">
        <v>50.68</v>
      </c>
      <c r="S160" s="41">
        <v>0</v>
      </c>
      <c r="T160" s="41">
        <v>0</v>
      </c>
      <c r="U160" s="41">
        <v>0</v>
      </c>
      <c r="V160" s="41">
        <v>117.19</v>
      </c>
      <c r="W160" s="41">
        <v>0</v>
      </c>
      <c r="X160" s="41">
        <v>1137.6199999999999</v>
      </c>
      <c r="Y160" s="41">
        <v>97.9</v>
      </c>
      <c r="Z160" s="41">
        <v>0</v>
      </c>
      <c r="AA160" s="41">
        <v>0</v>
      </c>
      <c r="AB160" s="41">
        <v>1815200</v>
      </c>
      <c r="AC160" s="41">
        <v>66</v>
      </c>
      <c r="AD160" s="41" t="s">
        <v>433</v>
      </c>
    </row>
    <row r="161" spans="1:30" x14ac:dyDescent="0.35">
      <c r="A161" s="41">
        <v>467</v>
      </c>
      <c r="B161" s="41">
        <v>4051041</v>
      </c>
      <c r="C161" s="41">
        <v>40510414</v>
      </c>
      <c r="D161" s="41" t="s">
        <v>491</v>
      </c>
      <c r="E161" s="41" t="s">
        <v>1748</v>
      </c>
      <c r="F161" s="41">
        <v>815200</v>
      </c>
      <c r="G161" s="41" t="s">
        <v>1972</v>
      </c>
      <c r="H161" s="41">
        <v>90541</v>
      </c>
      <c r="I161" s="41" t="s">
        <v>819</v>
      </c>
      <c r="J161" s="41">
        <v>93</v>
      </c>
      <c r="K161" s="41">
        <v>2</v>
      </c>
      <c r="L161" s="41">
        <v>0</v>
      </c>
      <c r="M161" s="41">
        <v>100</v>
      </c>
      <c r="N161" s="41">
        <v>18467.509999999998</v>
      </c>
      <c r="O161" s="41">
        <v>3166.03</v>
      </c>
      <c r="P161" s="41">
        <v>723.85</v>
      </c>
      <c r="Q161" s="41">
        <v>13532.68</v>
      </c>
      <c r="R161" s="41">
        <v>0</v>
      </c>
      <c r="S161" s="41">
        <v>0</v>
      </c>
      <c r="T161" s="41">
        <v>0</v>
      </c>
      <c r="U161" s="41">
        <v>0</v>
      </c>
      <c r="V161" s="41">
        <v>728.6</v>
      </c>
      <c r="W161" s="41">
        <v>0</v>
      </c>
      <c r="X161" s="41">
        <v>12804.08</v>
      </c>
      <c r="Y161" s="41">
        <v>1014.95</v>
      </c>
      <c r="Z161" s="41">
        <v>0</v>
      </c>
      <c r="AA161" s="41">
        <v>30</v>
      </c>
      <c r="AB161" s="41">
        <v>1815200</v>
      </c>
      <c r="AC161" s="41">
        <v>66</v>
      </c>
      <c r="AD161" s="41" t="s">
        <v>433</v>
      </c>
    </row>
    <row r="162" spans="1:30" x14ac:dyDescent="0.35">
      <c r="A162" s="41">
        <v>467</v>
      </c>
      <c r="B162" s="41">
        <v>4081962</v>
      </c>
      <c r="C162" s="41">
        <v>40819625</v>
      </c>
      <c r="D162" s="41" t="s">
        <v>495</v>
      </c>
      <c r="E162" s="41" t="s">
        <v>506</v>
      </c>
      <c r="F162" s="41">
        <v>815200</v>
      </c>
      <c r="G162" s="41" t="s">
        <v>1972</v>
      </c>
      <c r="H162" s="41">
        <v>90541</v>
      </c>
      <c r="I162" s="41" t="s">
        <v>819</v>
      </c>
      <c r="J162" s="41">
        <v>93</v>
      </c>
      <c r="K162" s="41">
        <v>1</v>
      </c>
      <c r="L162" s="41">
        <v>0</v>
      </c>
      <c r="M162" s="41">
        <v>100</v>
      </c>
      <c r="N162" s="41">
        <v>30187.72</v>
      </c>
      <c r="O162" s="41">
        <v>4747.25</v>
      </c>
      <c r="P162" s="41">
        <v>1414.57</v>
      </c>
      <c r="Q162" s="41">
        <v>22299.3</v>
      </c>
      <c r="R162" s="41">
        <v>0</v>
      </c>
      <c r="S162" s="41">
        <v>0</v>
      </c>
      <c r="T162" s="41">
        <v>0</v>
      </c>
      <c r="U162" s="41">
        <v>2700.1</v>
      </c>
      <c r="V162" s="41">
        <v>219.85</v>
      </c>
      <c r="W162" s="41">
        <v>0</v>
      </c>
      <c r="X162" s="41">
        <v>19379.349999999999</v>
      </c>
      <c r="Y162" s="41">
        <v>1696.6</v>
      </c>
      <c r="Z162" s="41">
        <v>0</v>
      </c>
      <c r="AA162" s="41">
        <v>30</v>
      </c>
      <c r="AB162" s="41">
        <v>1815200</v>
      </c>
      <c r="AC162" s="41">
        <v>66</v>
      </c>
      <c r="AD162" s="41" t="s">
        <v>433</v>
      </c>
    </row>
    <row r="163" spans="1:30" x14ac:dyDescent="0.35">
      <c r="A163" s="41">
        <v>467</v>
      </c>
      <c r="B163" s="41">
        <v>4093226</v>
      </c>
      <c r="C163" s="41">
        <v>40932261</v>
      </c>
      <c r="D163" s="41" t="s">
        <v>1754</v>
      </c>
      <c r="E163" s="41" t="s">
        <v>1755</v>
      </c>
      <c r="F163" s="41">
        <v>815200</v>
      </c>
      <c r="G163" s="41" t="s">
        <v>1972</v>
      </c>
      <c r="H163" s="41">
        <v>90541</v>
      </c>
      <c r="I163" s="41" t="s">
        <v>819</v>
      </c>
      <c r="J163" s="41">
        <v>93</v>
      </c>
      <c r="K163" s="41">
        <v>2</v>
      </c>
      <c r="L163" s="41">
        <v>0</v>
      </c>
      <c r="M163" s="41">
        <v>38.1</v>
      </c>
      <c r="N163" s="41">
        <v>6762.63</v>
      </c>
      <c r="O163" s="41">
        <v>999.13</v>
      </c>
      <c r="P163" s="41">
        <v>303.58999999999997</v>
      </c>
      <c r="Q163" s="41">
        <v>4955.8599999999997</v>
      </c>
      <c r="R163" s="41">
        <v>0</v>
      </c>
      <c r="S163" s="41">
        <v>0</v>
      </c>
      <c r="T163" s="41">
        <v>0</v>
      </c>
      <c r="U163" s="41">
        <v>0</v>
      </c>
      <c r="V163" s="41">
        <v>759.48</v>
      </c>
      <c r="W163" s="41">
        <v>0</v>
      </c>
      <c r="X163" s="41">
        <v>4196.38</v>
      </c>
      <c r="Y163" s="41">
        <v>504.05</v>
      </c>
      <c r="Z163" s="41">
        <v>0</v>
      </c>
      <c r="AA163" s="41">
        <v>0</v>
      </c>
      <c r="AB163" s="41">
        <v>1815200</v>
      </c>
      <c r="AC163" s="41">
        <v>66</v>
      </c>
      <c r="AD163" s="41" t="s">
        <v>433</v>
      </c>
    </row>
    <row r="164" spans="1:30" x14ac:dyDescent="0.35">
      <c r="A164" s="41">
        <v>467</v>
      </c>
      <c r="B164" s="41">
        <v>4322131</v>
      </c>
      <c r="C164" s="41">
        <v>43221316</v>
      </c>
      <c r="D164" s="41" t="s">
        <v>513</v>
      </c>
      <c r="E164" s="41" t="s">
        <v>443</v>
      </c>
      <c r="F164" s="41">
        <v>815200</v>
      </c>
      <c r="G164" s="41" t="s">
        <v>1972</v>
      </c>
      <c r="H164" s="41">
        <v>90541</v>
      </c>
      <c r="I164" s="41" t="s">
        <v>819</v>
      </c>
      <c r="J164" s="41">
        <v>93</v>
      </c>
      <c r="K164" s="41">
        <v>1</v>
      </c>
      <c r="L164" s="41">
        <v>0</v>
      </c>
      <c r="M164" s="41">
        <v>59.2</v>
      </c>
      <c r="N164" s="41">
        <v>15157.13</v>
      </c>
      <c r="O164" s="41">
        <v>2464.77</v>
      </c>
      <c r="P164" s="41">
        <v>551.55999999999995</v>
      </c>
      <c r="Q164" s="41">
        <v>11265.85</v>
      </c>
      <c r="R164" s="41">
        <v>0</v>
      </c>
      <c r="S164" s="41">
        <v>0</v>
      </c>
      <c r="T164" s="41">
        <v>0</v>
      </c>
      <c r="U164" s="41">
        <v>0</v>
      </c>
      <c r="V164" s="41">
        <v>1252.78</v>
      </c>
      <c r="W164" s="41">
        <v>0</v>
      </c>
      <c r="X164" s="41">
        <v>10013.07</v>
      </c>
      <c r="Y164" s="41">
        <v>844.95</v>
      </c>
      <c r="Z164" s="41">
        <v>0</v>
      </c>
      <c r="AA164" s="41">
        <v>30</v>
      </c>
      <c r="AB164" s="41">
        <v>1815200</v>
      </c>
      <c r="AC164" s="41">
        <v>66</v>
      </c>
      <c r="AD164" s="41" t="s">
        <v>433</v>
      </c>
    </row>
    <row r="165" spans="1:30" x14ac:dyDescent="0.35">
      <c r="A165" s="41">
        <v>467</v>
      </c>
      <c r="B165" s="41">
        <v>5518344</v>
      </c>
      <c r="C165" s="41">
        <v>55183446</v>
      </c>
      <c r="D165" s="41" t="s">
        <v>511</v>
      </c>
      <c r="E165" s="41" t="s">
        <v>510</v>
      </c>
      <c r="F165" s="41">
        <v>815200</v>
      </c>
      <c r="G165" s="41" t="s">
        <v>1972</v>
      </c>
      <c r="H165" s="41">
        <v>90541</v>
      </c>
      <c r="I165" s="41" t="s">
        <v>819</v>
      </c>
      <c r="J165" s="41">
        <v>93</v>
      </c>
      <c r="K165" s="41">
        <v>1</v>
      </c>
      <c r="L165" s="41">
        <v>0</v>
      </c>
      <c r="M165" s="41">
        <v>95.5</v>
      </c>
      <c r="N165" s="41">
        <v>40481.919999999998</v>
      </c>
      <c r="O165" s="41">
        <v>6606.22</v>
      </c>
      <c r="P165" s="41">
        <v>2019.62</v>
      </c>
      <c r="Q165" s="41">
        <v>29532.38</v>
      </c>
      <c r="R165" s="41">
        <v>0</v>
      </c>
      <c r="S165" s="41">
        <v>0</v>
      </c>
      <c r="T165" s="41">
        <v>0</v>
      </c>
      <c r="U165" s="41">
        <v>0</v>
      </c>
      <c r="V165" s="41">
        <v>220.38</v>
      </c>
      <c r="W165" s="41">
        <v>0</v>
      </c>
      <c r="X165" s="41">
        <v>29312</v>
      </c>
      <c r="Y165" s="41">
        <v>2293.6999999999998</v>
      </c>
      <c r="Z165" s="41">
        <v>0</v>
      </c>
      <c r="AA165" s="41">
        <v>30</v>
      </c>
      <c r="AB165" s="41">
        <v>1815200</v>
      </c>
      <c r="AC165" s="41">
        <v>66</v>
      </c>
      <c r="AD165" s="41" t="s">
        <v>433</v>
      </c>
    </row>
    <row r="166" spans="1:30" x14ac:dyDescent="0.35">
      <c r="A166" s="41">
        <v>467</v>
      </c>
      <c r="B166" s="41">
        <v>5691815</v>
      </c>
      <c r="C166" s="41">
        <v>56918154</v>
      </c>
      <c r="D166" s="41" t="s">
        <v>444</v>
      </c>
      <c r="E166" s="41" t="s">
        <v>460</v>
      </c>
      <c r="F166" s="41">
        <v>815200</v>
      </c>
      <c r="G166" s="41" t="s">
        <v>1972</v>
      </c>
      <c r="H166" s="41">
        <v>90541</v>
      </c>
      <c r="I166" s="41" t="s">
        <v>819</v>
      </c>
      <c r="J166" s="41">
        <v>93</v>
      </c>
      <c r="K166" s="41">
        <v>13</v>
      </c>
      <c r="L166" s="41">
        <v>0</v>
      </c>
      <c r="M166" s="41">
        <v>85.2</v>
      </c>
      <c r="N166" s="41">
        <v>35665.83</v>
      </c>
      <c r="O166" s="41">
        <v>6111.25</v>
      </c>
      <c r="P166" s="41">
        <v>1706.07</v>
      </c>
      <c r="Q166" s="41">
        <v>25834.26</v>
      </c>
      <c r="R166" s="41">
        <v>0</v>
      </c>
      <c r="S166" s="41">
        <v>0</v>
      </c>
      <c r="T166" s="41">
        <v>0</v>
      </c>
      <c r="U166" s="41">
        <v>0</v>
      </c>
      <c r="V166" s="41">
        <v>360.07</v>
      </c>
      <c r="W166" s="41">
        <v>0</v>
      </c>
      <c r="X166" s="41">
        <v>25474.19</v>
      </c>
      <c r="Y166" s="41">
        <v>1984.25</v>
      </c>
      <c r="Z166" s="41">
        <v>0</v>
      </c>
      <c r="AA166" s="41">
        <v>30</v>
      </c>
      <c r="AB166" s="41">
        <v>1815200</v>
      </c>
      <c r="AC166" s="41">
        <v>66</v>
      </c>
      <c r="AD166" s="41" t="s">
        <v>433</v>
      </c>
    </row>
    <row r="167" spans="1:30" x14ac:dyDescent="0.35">
      <c r="A167" s="41">
        <v>467</v>
      </c>
      <c r="B167" s="41">
        <v>5762452</v>
      </c>
      <c r="C167" s="41">
        <v>57624520</v>
      </c>
      <c r="D167" s="41" t="s">
        <v>1756</v>
      </c>
      <c r="E167" s="41" t="s">
        <v>509</v>
      </c>
      <c r="F167" s="41">
        <v>815200</v>
      </c>
      <c r="G167" s="41" t="s">
        <v>1972</v>
      </c>
      <c r="H167" s="41">
        <v>90541</v>
      </c>
      <c r="I167" s="41" t="s">
        <v>819</v>
      </c>
      <c r="J167" s="41">
        <v>93</v>
      </c>
      <c r="K167" s="41">
        <v>2</v>
      </c>
      <c r="L167" s="41">
        <v>0</v>
      </c>
      <c r="M167" s="41">
        <v>116.6</v>
      </c>
      <c r="N167" s="41">
        <v>34832.769999999997</v>
      </c>
      <c r="O167" s="41">
        <v>5550.06</v>
      </c>
      <c r="P167" s="41">
        <v>1691.66</v>
      </c>
      <c r="Q167" s="41">
        <v>25591</v>
      </c>
      <c r="R167" s="41">
        <v>0</v>
      </c>
      <c r="S167" s="41">
        <v>0</v>
      </c>
      <c r="T167" s="41">
        <v>0</v>
      </c>
      <c r="U167" s="41">
        <v>252.31</v>
      </c>
      <c r="V167" s="41">
        <v>1010.5</v>
      </c>
      <c r="W167" s="41">
        <v>0</v>
      </c>
      <c r="X167" s="41">
        <v>24328.19</v>
      </c>
      <c r="Y167" s="41">
        <v>1970.05</v>
      </c>
      <c r="Z167" s="41">
        <v>0</v>
      </c>
      <c r="AA167" s="41">
        <v>30</v>
      </c>
      <c r="AB167" s="41">
        <v>1815200</v>
      </c>
      <c r="AC167" s="41">
        <v>66</v>
      </c>
      <c r="AD167" s="41" t="s">
        <v>433</v>
      </c>
    </row>
    <row r="168" spans="1:30" x14ac:dyDescent="0.35">
      <c r="A168" s="41">
        <v>467</v>
      </c>
      <c r="B168" s="41">
        <v>5947352</v>
      </c>
      <c r="C168" s="41">
        <v>59473520</v>
      </c>
      <c r="D168" s="41" t="s">
        <v>497</v>
      </c>
      <c r="E168" s="41" t="s">
        <v>496</v>
      </c>
      <c r="F168" s="41">
        <v>815200</v>
      </c>
      <c r="G168" s="41" t="s">
        <v>1972</v>
      </c>
      <c r="H168" s="41">
        <v>90541</v>
      </c>
      <c r="I168" s="41" t="s">
        <v>819</v>
      </c>
      <c r="J168" s="41">
        <v>93</v>
      </c>
      <c r="K168" s="41">
        <v>2</v>
      </c>
      <c r="L168" s="41">
        <v>0</v>
      </c>
      <c r="M168" s="41">
        <v>108.8</v>
      </c>
      <c r="N168" s="41">
        <v>25625.1</v>
      </c>
      <c r="O168" s="41">
        <v>4188.18</v>
      </c>
      <c r="P168" s="41">
        <v>1139.49</v>
      </c>
      <c r="Q168" s="41">
        <v>18842.28</v>
      </c>
      <c r="R168" s="41">
        <v>0</v>
      </c>
      <c r="S168" s="41">
        <v>0</v>
      </c>
      <c r="T168" s="41">
        <v>0</v>
      </c>
      <c r="U168" s="41">
        <v>0</v>
      </c>
      <c r="V168" s="41">
        <v>1231.0999999999999</v>
      </c>
      <c r="W168" s="41">
        <v>0</v>
      </c>
      <c r="X168" s="41">
        <v>17611.18</v>
      </c>
      <c r="Y168" s="41">
        <v>1425.15</v>
      </c>
      <c r="Z168" s="41">
        <v>0</v>
      </c>
      <c r="AA168" s="41">
        <v>30</v>
      </c>
      <c r="AB168" s="41">
        <v>1815200</v>
      </c>
      <c r="AC168" s="41">
        <v>66</v>
      </c>
      <c r="AD168" s="41" t="s">
        <v>433</v>
      </c>
    </row>
    <row r="169" spans="1:30" x14ac:dyDescent="0.35">
      <c r="A169" s="41">
        <v>467</v>
      </c>
      <c r="B169" s="41">
        <v>5987079</v>
      </c>
      <c r="C169" s="41">
        <v>59870790</v>
      </c>
      <c r="D169" s="41" t="s">
        <v>442</v>
      </c>
      <c r="E169" s="41" t="s">
        <v>1759</v>
      </c>
      <c r="F169" s="41">
        <v>815200</v>
      </c>
      <c r="G169" s="41" t="s">
        <v>1972</v>
      </c>
      <c r="H169" s="41">
        <v>90541</v>
      </c>
      <c r="I169" s="41" t="s">
        <v>819</v>
      </c>
      <c r="J169" s="41">
        <v>93</v>
      </c>
      <c r="K169" s="41">
        <v>1</v>
      </c>
      <c r="L169" s="41">
        <v>0</v>
      </c>
      <c r="M169" s="41">
        <v>40</v>
      </c>
      <c r="N169" s="41">
        <v>4922.33</v>
      </c>
      <c r="O169" s="41">
        <v>798.42</v>
      </c>
      <c r="P169" s="41">
        <v>132.79</v>
      </c>
      <c r="Q169" s="41">
        <v>3710.57</v>
      </c>
      <c r="R169" s="41">
        <v>0</v>
      </c>
      <c r="S169" s="41">
        <v>0</v>
      </c>
      <c r="T169" s="41">
        <v>0</v>
      </c>
      <c r="U169" s="41">
        <v>0</v>
      </c>
      <c r="V169" s="41">
        <v>244.44</v>
      </c>
      <c r="W169" s="41">
        <v>0</v>
      </c>
      <c r="X169" s="41">
        <v>3466.13</v>
      </c>
      <c r="Y169" s="41">
        <v>280.55</v>
      </c>
      <c r="Z169" s="41">
        <v>0</v>
      </c>
      <c r="AA169" s="41">
        <v>0</v>
      </c>
      <c r="AB169" s="41">
        <v>1815200</v>
      </c>
      <c r="AC169" s="41">
        <v>66</v>
      </c>
      <c r="AD169" s="41" t="s">
        <v>433</v>
      </c>
    </row>
    <row r="170" spans="1:30" x14ac:dyDescent="0.35">
      <c r="A170" s="41">
        <v>467</v>
      </c>
      <c r="B170" s="41">
        <v>6605595</v>
      </c>
      <c r="C170" s="41">
        <v>66055955</v>
      </c>
      <c r="D170" s="41" t="s">
        <v>866</v>
      </c>
      <c r="E170" s="41" t="s">
        <v>867</v>
      </c>
      <c r="F170" s="41">
        <v>815200</v>
      </c>
      <c r="G170" s="41" t="s">
        <v>1972</v>
      </c>
      <c r="H170" s="41">
        <v>90541</v>
      </c>
      <c r="I170" s="41" t="s">
        <v>819</v>
      </c>
      <c r="J170" s="41">
        <v>93</v>
      </c>
      <c r="K170" s="41">
        <v>1</v>
      </c>
      <c r="L170" s="41">
        <v>0</v>
      </c>
      <c r="M170" s="41">
        <v>110.5</v>
      </c>
      <c r="N170" s="41">
        <v>22436.39</v>
      </c>
      <c r="O170" s="41">
        <v>3665.28</v>
      </c>
      <c r="P170" s="41">
        <v>979.71</v>
      </c>
      <c r="Q170" s="41">
        <v>16522.95</v>
      </c>
      <c r="R170" s="41">
        <v>0</v>
      </c>
      <c r="S170" s="41">
        <v>0</v>
      </c>
      <c r="T170" s="41">
        <v>0</v>
      </c>
      <c r="U170" s="41">
        <v>0</v>
      </c>
      <c r="V170" s="41">
        <v>661.34</v>
      </c>
      <c r="W170" s="41">
        <v>0</v>
      </c>
      <c r="X170" s="41">
        <v>15861.61</v>
      </c>
      <c r="Y170" s="41">
        <v>1241.5</v>
      </c>
      <c r="Z170" s="41">
        <v>0</v>
      </c>
      <c r="AA170" s="41">
        <v>26.95</v>
      </c>
      <c r="AB170" s="41">
        <v>1815200</v>
      </c>
      <c r="AC170" s="41">
        <v>66</v>
      </c>
      <c r="AD170" s="41" t="s">
        <v>433</v>
      </c>
    </row>
    <row r="171" spans="1:30" x14ac:dyDescent="0.35">
      <c r="A171" s="41">
        <v>467</v>
      </c>
      <c r="B171" s="41">
        <v>20088189</v>
      </c>
      <c r="C171" s="41">
        <v>200881894</v>
      </c>
      <c r="D171" s="41" t="s">
        <v>868</v>
      </c>
      <c r="E171" s="41" t="s">
        <v>869</v>
      </c>
      <c r="F171" s="41">
        <v>815200</v>
      </c>
      <c r="G171" s="41" t="s">
        <v>1972</v>
      </c>
      <c r="H171" s="41">
        <v>90541</v>
      </c>
      <c r="I171" s="41" t="s">
        <v>819</v>
      </c>
      <c r="J171" s="41">
        <v>93</v>
      </c>
      <c r="K171" s="41">
        <v>1</v>
      </c>
      <c r="L171" s="41">
        <v>0</v>
      </c>
      <c r="M171" s="41">
        <v>91.4</v>
      </c>
      <c r="N171" s="41">
        <v>18403.2</v>
      </c>
      <c r="O171" s="41">
        <v>3082.57</v>
      </c>
      <c r="P171" s="41">
        <v>725.1</v>
      </c>
      <c r="Q171" s="41">
        <v>13549.33</v>
      </c>
      <c r="R171" s="41">
        <v>337.87</v>
      </c>
      <c r="S171" s="41">
        <v>0</v>
      </c>
      <c r="T171" s="41">
        <v>0</v>
      </c>
      <c r="U171" s="41">
        <v>0</v>
      </c>
      <c r="V171" s="41">
        <v>362.04</v>
      </c>
      <c r="W171" s="41">
        <v>0</v>
      </c>
      <c r="X171" s="41">
        <v>12849.42</v>
      </c>
      <c r="Y171" s="41">
        <v>1016.2</v>
      </c>
      <c r="Z171" s="41">
        <v>0</v>
      </c>
      <c r="AA171" s="41">
        <v>30</v>
      </c>
      <c r="AB171" s="41">
        <v>1815200</v>
      </c>
      <c r="AC171" s="41">
        <v>66</v>
      </c>
      <c r="AD171" s="41" t="s">
        <v>433</v>
      </c>
    </row>
    <row r="172" spans="1:30" x14ac:dyDescent="0.35">
      <c r="A172" s="41">
        <v>467</v>
      </c>
      <c r="B172" s="41">
        <v>20093137</v>
      </c>
      <c r="C172" s="41">
        <v>200931376</v>
      </c>
      <c r="D172" s="41" t="s">
        <v>448</v>
      </c>
      <c r="E172" s="41" t="s">
        <v>505</v>
      </c>
      <c r="F172" s="41">
        <v>815200</v>
      </c>
      <c r="G172" s="41" t="s">
        <v>1972</v>
      </c>
      <c r="H172" s="41">
        <v>90541</v>
      </c>
      <c r="I172" s="41" t="s">
        <v>819</v>
      </c>
      <c r="J172" s="41">
        <v>93</v>
      </c>
      <c r="K172" s="41">
        <v>1</v>
      </c>
      <c r="L172" s="41">
        <v>0</v>
      </c>
      <c r="M172" s="41">
        <v>105.2</v>
      </c>
      <c r="N172" s="41">
        <v>20754.580000000002</v>
      </c>
      <c r="O172" s="41">
        <v>3539.31</v>
      </c>
      <c r="P172" s="41">
        <v>850.21</v>
      </c>
      <c r="Q172" s="41">
        <v>15195.41</v>
      </c>
      <c r="R172" s="41">
        <v>351</v>
      </c>
      <c r="S172" s="41">
        <v>0</v>
      </c>
      <c r="T172" s="41">
        <v>0</v>
      </c>
      <c r="U172" s="41">
        <v>0</v>
      </c>
      <c r="V172" s="41">
        <v>219.85</v>
      </c>
      <c r="W172" s="41">
        <v>0</v>
      </c>
      <c r="X172" s="41">
        <v>14624.56</v>
      </c>
      <c r="Y172" s="41">
        <v>1139.6500000000001</v>
      </c>
      <c r="Z172" s="41">
        <v>0</v>
      </c>
      <c r="AA172" s="41">
        <v>30</v>
      </c>
      <c r="AB172" s="41">
        <v>1815200</v>
      </c>
      <c r="AC172" s="41">
        <v>66</v>
      </c>
      <c r="AD172" s="41" t="s">
        <v>433</v>
      </c>
    </row>
    <row r="173" spans="1:30" x14ac:dyDescent="0.35">
      <c r="A173" s="41">
        <v>467</v>
      </c>
      <c r="B173" s="41">
        <v>20136535</v>
      </c>
      <c r="C173" s="41">
        <v>201365350</v>
      </c>
      <c r="D173" s="41" t="s">
        <v>870</v>
      </c>
      <c r="E173" s="41" t="s">
        <v>871</v>
      </c>
      <c r="F173" s="41">
        <v>815200</v>
      </c>
      <c r="G173" s="41" t="s">
        <v>1972</v>
      </c>
      <c r="H173" s="41">
        <v>90541</v>
      </c>
      <c r="I173" s="41" t="s">
        <v>819</v>
      </c>
      <c r="J173" s="41">
        <v>93</v>
      </c>
      <c r="K173" s="41">
        <v>1</v>
      </c>
      <c r="L173" s="41">
        <v>0</v>
      </c>
      <c r="M173" s="41">
        <v>103.9</v>
      </c>
      <c r="N173" s="41">
        <v>22048.799999999999</v>
      </c>
      <c r="O173" s="41">
        <v>3686.26</v>
      </c>
      <c r="P173" s="41">
        <v>927.94</v>
      </c>
      <c r="Q173" s="41">
        <v>16188.25</v>
      </c>
      <c r="R173" s="41">
        <v>351</v>
      </c>
      <c r="S173" s="41">
        <v>0</v>
      </c>
      <c r="T173" s="41">
        <v>0</v>
      </c>
      <c r="U173" s="41">
        <v>0</v>
      </c>
      <c r="V173" s="41">
        <v>697.6</v>
      </c>
      <c r="W173" s="41">
        <v>0</v>
      </c>
      <c r="X173" s="41">
        <v>15139.65</v>
      </c>
      <c r="Y173" s="41">
        <v>1216.3499999999999</v>
      </c>
      <c r="Z173" s="41">
        <v>0</v>
      </c>
      <c r="AA173" s="41">
        <v>30</v>
      </c>
      <c r="AB173" s="41">
        <v>1815200</v>
      </c>
      <c r="AC173" s="41">
        <v>66</v>
      </c>
      <c r="AD173" s="41" t="s">
        <v>433</v>
      </c>
    </row>
    <row r="174" spans="1:30" x14ac:dyDescent="0.35">
      <c r="A174" s="41">
        <v>467</v>
      </c>
      <c r="B174" s="41">
        <v>20360335</v>
      </c>
      <c r="C174" s="41">
        <v>203603352</v>
      </c>
      <c r="D174" s="41" t="s">
        <v>513</v>
      </c>
      <c r="E174" s="41" t="s">
        <v>872</v>
      </c>
      <c r="F174" s="41">
        <v>815200</v>
      </c>
      <c r="G174" s="41" t="s">
        <v>1972</v>
      </c>
      <c r="H174" s="41">
        <v>90541</v>
      </c>
      <c r="I174" s="41" t="s">
        <v>819</v>
      </c>
      <c r="J174" s="41">
        <v>93</v>
      </c>
      <c r="K174" s="41">
        <v>2</v>
      </c>
      <c r="L174" s="41">
        <v>0</v>
      </c>
      <c r="M174" s="41">
        <v>69.7</v>
      </c>
      <c r="N174" s="41">
        <v>14238.81</v>
      </c>
      <c r="O174" s="41">
        <v>2295.42</v>
      </c>
      <c r="P174" s="41">
        <v>504.09</v>
      </c>
      <c r="Q174" s="41">
        <v>10611.2</v>
      </c>
      <c r="R174" s="41">
        <v>0</v>
      </c>
      <c r="S174" s="41">
        <v>0</v>
      </c>
      <c r="T174" s="41">
        <v>0</v>
      </c>
      <c r="U174" s="41">
        <v>0</v>
      </c>
      <c r="V174" s="41">
        <v>1042.93</v>
      </c>
      <c r="W174" s="41">
        <v>0</v>
      </c>
      <c r="X174" s="41">
        <v>9568.27</v>
      </c>
      <c r="Y174" s="41">
        <v>798.1</v>
      </c>
      <c r="Z174" s="41">
        <v>0</v>
      </c>
      <c r="AA174" s="41">
        <v>30</v>
      </c>
      <c r="AB174" s="41">
        <v>1815200</v>
      </c>
      <c r="AC174" s="41">
        <v>66</v>
      </c>
      <c r="AD174" s="41" t="s">
        <v>433</v>
      </c>
    </row>
    <row r="175" spans="1:30" x14ac:dyDescent="0.35">
      <c r="A175" s="41">
        <v>467</v>
      </c>
      <c r="B175" s="41">
        <v>20413777</v>
      </c>
      <c r="C175" s="41">
        <v>204137772</v>
      </c>
      <c r="D175" s="41" t="s">
        <v>448</v>
      </c>
      <c r="E175" s="41" t="s">
        <v>822</v>
      </c>
      <c r="F175" s="41">
        <v>815200</v>
      </c>
      <c r="G175" s="41" t="s">
        <v>1972</v>
      </c>
      <c r="H175" s="41">
        <v>90541</v>
      </c>
      <c r="I175" s="41" t="s">
        <v>819</v>
      </c>
      <c r="J175" s="41">
        <v>93</v>
      </c>
      <c r="K175" s="41">
        <v>1</v>
      </c>
      <c r="L175" s="41">
        <v>0</v>
      </c>
      <c r="M175" s="41">
        <v>69.7</v>
      </c>
      <c r="N175" s="41">
        <v>9780.4599999999991</v>
      </c>
      <c r="O175" s="41">
        <v>1141.8399999999999</v>
      </c>
      <c r="P175" s="41">
        <v>335.24</v>
      </c>
      <c r="Q175" s="41">
        <v>7701.71</v>
      </c>
      <c r="R175" s="41">
        <v>235.59</v>
      </c>
      <c r="S175" s="41">
        <v>0</v>
      </c>
      <c r="T175" s="41">
        <v>0</v>
      </c>
      <c r="U175" s="41">
        <v>0</v>
      </c>
      <c r="V175" s="41">
        <v>202.61</v>
      </c>
      <c r="W175" s="41">
        <v>0</v>
      </c>
      <c r="X175" s="41">
        <v>7263.51</v>
      </c>
      <c r="Y175" s="41">
        <v>577.65</v>
      </c>
      <c r="Z175" s="41">
        <v>0</v>
      </c>
      <c r="AA175" s="41">
        <v>24.02</v>
      </c>
      <c r="AB175" s="41">
        <v>1815200</v>
      </c>
      <c r="AC175" s="41">
        <v>66</v>
      </c>
      <c r="AD175" s="41" t="s">
        <v>433</v>
      </c>
    </row>
    <row r="176" spans="1:30" x14ac:dyDescent="0.35">
      <c r="A176" s="41">
        <v>467</v>
      </c>
      <c r="B176" s="41">
        <v>20458187</v>
      </c>
      <c r="C176" s="41">
        <v>204581870</v>
      </c>
      <c r="D176" s="41" t="s">
        <v>442</v>
      </c>
      <c r="E176" s="41" t="s">
        <v>480</v>
      </c>
      <c r="F176" s="41">
        <v>815200</v>
      </c>
      <c r="G176" s="41" t="s">
        <v>1972</v>
      </c>
      <c r="H176" s="41">
        <v>90541</v>
      </c>
      <c r="I176" s="41" t="s">
        <v>819</v>
      </c>
      <c r="J176" s="41">
        <v>93</v>
      </c>
      <c r="K176" s="41">
        <v>1</v>
      </c>
      <c r="L176" s="41">
        <v>0</v>
      </c>
      <c r="M176" s="41">
        <v>105.2</v>
      </c>
      <c r="N176" s="41">
        <v>22559.45</v>
      </c>
      <c r="O176" s="41">
        <v>3813.27</v>
      </c>
      <c r="P176" s="41">
        <v>994.06</v>
      </c>
      <c r="Q176" s="41">
        <v>16477.060000000001</v>
      </c>
      <c r="R176" s="41">
        <v>351</v>
      </c>
      <c r="S176" s="41">
        <v>0</v>
      </c>
      <c r="T176" s="41">
        <v>0</v>
      </c>
      <c r="U176" s="41">
        <v>0</v>
      </c>
      <c r="V176" s="41">
        <v>219.85</v>
      </c>
      <c r="W176" s="41">
        <v>0</v>
      </c>
      <c r="X176" s="41">
        <v>15906.21</v>
      </c>
      <c r="Y176" s="41">
        <v>1248.8</v>
      </c>
      <c r="Z176" s="41">
        <v>0</v>
      </c>
      <c r="AA176" s="41">
        <v>26.26</v>
      </c>
      <c r="AB176" s="41">
        <v>1815200</v>
      </c>
      <c r="AC176" s="41">
        <v>66</v>
      </c>
      <c r="AD176" s="41" t="s">
        <v>433</v>
      </c>
    </row>
    <row r="177" spans="1:30" x14ac:dyDescent="0.35">
      <c r="A177" s="41">
        <v>467</v>
      </c>
      <c r="B177" s="41">
        <v>20567338</v>
      </c>
      <c r="C177" s="41">
        <v>205673387</v>
      </c>
      <c r="D177" s="41" t="s">
        <v>873</v>
      </c>
      <c r="E177" s="41" t="s">
        <v>1760</v>
      </c>
      <c r="F177" s="41">
        <v>815200</v>
      </c>
      <c r="G177" s="41" t="s">
        <v>1972</v>
      </c>
      <c r="H177" s="41">
        <v>90541</v>
      </c>
      <c r="I177" s="41" t="s">
        <v>819</v>
      </c>
      <c r="J177" s="41">
        <v>93</v>
      </c>
      <c r="K177" s="41">
        <v>1</v>
      </c>
      <c r="L177" s="41">
        <v>0</v>
      </c>
      <c r="M177" s="41">
        <v>94.7</v>
      </c>
      <c r="N177" s="41">
        <v>19528.38</v>
      </c>
      <c r="O177" s="41">
        <v>3272.34</v>
      </c>
      <c r="P177" s="41">
        <v>788.85</v>
      </c>
      <c r="Q177" s="41">
        <v>14358.09</v>
      </c>
      <c r="R177" s="41">
        <v>351</v>
      </c>
      <c r="S177" s="41">
        <v>0</v>
      </c>
      <c r="T177" s="41">
        <v>0</v>
      </c>
      <c r="U177" s="41">
        <v>0</v>
      </c>
      <c r="V177" s="41">
        <v>620.1</v>
      </c>
      <c r="W177" s="41">
        <v>0</v>
      </c>
      <c r="X177" s="41">
        <v>13386.99</v>
      </c>
      <c r="Y177" s="41">
        <v>1079.0999999999999</v>
      </c>
      <c r="Z177" s="41">
        <v>0</v>
      </c>
      <c r="AA177" s="41">
        <v>30</v>
      </c>
      <c r="AB177" s="41">
        <v>1815200</v>
      </c>
      <c r="AC177" s="41">
        <v>66</v>
      </c>
      <c r="AD177" s="41" t="s">
        <v>433</v>
      </c>
    </row>
    <row r="178" spans="1:30" x14ac:dyDescent="0.35">
      <c r="A178" s="41">
        <v>467</v>
      </c>
      <c r="B178" s="41">
        <v>20576274</v>
      </c>
      <c r="C178" s="41">
        <v>205762743</v>
      </c>
      <c r="D178" s="41" t="s">
        <v>1761</v>
      </c>
      <c r="E178" s="41" t="s">
        <v>1717</v>
      </c>
      <c r="F178" s="41">
        <v>815200</v>
      </c>
      <c r="G178" s="41" t="s">
        <v>1972</v>
      </c>
      <c r="H178" s="41">
        <v>90541</v>
      </c>
      <c r="I178" s="41" t="s">
        <v>819</v>
      </c>
      <c r="J178" s="41">
        <v>93</v>
      </c>
      <c r="K178" s="41">
        <v>2</v>
      </c>
      <c r="L178" s="41">
        <v>0</v>
      </c>
      <c r="M178" s="41">
        <v>96</v>
      </c>
      <c r="N178" s="41">
        <v>17317.61</v>
      </c>
      <c r="O178" s="41">
        <v>4536</v>
      </c>
      <c r="P178" s="41">
        <v>559.42999999999995</v>
      </c>
      <c r="Q178" s="41">
        <v>11369.48</v>
      </c>
      <c r="R178" s="41">
        <v>0</v>
      </c>
      <c r="S178" s="41">
        <v>0</v>
      </c>
      <c r="T178" s="41">
        <v>0</v>
      </c>
      <c r="U178" s="41">
        <v>0</v>
      </c>
      <c r="V178" s="41">
        <v>1730.38</v>
      </c>
      <c r="W178" s="41">
        <v>0</v>
      </c>
      <c r="X178" s="41">
        <v>9639.1</v>
      </c>
      <c r="Y178" s="41">
        <v>852.7</v>
      </c>
      <c r="Z178" s="41">
        <v>0</v>
      </c>
      <c r="AA178" s="41">
        <v>0</v>
      </c>
      <c r="AB178" s="41">
        <v>1815200</v>
      </c>
      <c r="AC178" s="41">
        <v>66</v>
      </c>
      <c r="AD178" s="41" t="s">
        <v>433</v>
      </c>
    </row>
    <row r="179" spans="1:30" x14ac:dyDescent="0.35">
      <c r="A179" s="41">
        <v>467</v>
      </c>
      <c r="B179" s="41">
        <v>20576523</v>
      </c>
      <c r="C179" s="41">
        <v>205765233</v>
      </c>
      <c r="D179" s="41" t="s">
        <v>1763</v>
      </c>
      <c r="E179" s="41" t="s">
        <v>1764</v>
      </c>
      <c r="F179" s="41">
        <v>815200</v>
      </c>
      <c r="G179" s="41" t="s">
        <v>1972</v>
      </c>
      <c r="H179" s="41">
        <v>90541</v>
      </c>
      <c r="I179" s="41" t="s">
        <v>819</v>
      </c>
      <c r="J179" s="41">
        <v>93</v>
      </c>
      <c r="K179" s="41">
        <v>2</v>
      </c>
      <c r="L179" s="41">
        <v>0</v>
      </c>
      <c r="M179" s="41">
        <v>63.1</v>
      </c>
      <c r="N179" s="41">
        <v>12181.78</v>
      </c>
      <c r="O179" s="41">
        <v>2065.4899999999998</v>
      </c>
      <c r="P179" s="41">
        <v>372.48</v>
      </c>
      <c r="Q179" s="41">
        <v>9059.41</v>
      </c>
      <c r="R179" s="41">
        <v>221.69</v>
      </c>
      <c r="S179" s="41">
        <v>0</v>
      </c>
      <c r="T179" s="41">
        <v>0</v>
      </c>
      <c r="U179" s="41">
        <v>0</v>
      </c>
      <c r="V179" s="41">
        <v>313.2</v>
      </c>
      <c r="W179" s="41">
        <v>0</v>
      </c>
      <c r="X179" s="41">
        <v>8524.52</v>
      </c>
      <c r="Y179" s="41">
        <v>684.4</v>
      </c>
      <c r="Z179" s="41">
        <v>0</v>
      </c>
      <c r="AA179" s="41">
        <v>0</v>
      </c>
      <c r="AB179" s="41">
        <v>1815200</v>
      </c>
      <c r="AC179" s="41">
        <v>66</v>
      </c>
      <c r="AD179" s="41" t="s">
        <v>433</v>
      </c>
    </row>
    <row r="180" spans="1:30" x14ac:dyDescent="0.35">
      <c r="A180" s="41">
        <v>467</v>
      </c>
      <c r="B180" s="41">
        <v>20595792</v>
      </c>
      <c r="C180" s="41">
        <v>205957921</v>
      </c>
      <c r="D180" s="41" t="s">
        <v>875</v>
      </c>
      <c r="E180" s="41" t="s">
        <v>876</v>
      </c>
      <c r="F180" s="41">
        <v>815200</v>
      </c>
      <c r="G180" s="41" t="s">
        <v>1972</v>
      </c>
      <c r="H180" s="41">
        <v>90541</v>
      </c>
      <c r="I180" s="41" t="s">
        <v>819</v>
      </c>
      <c r="J180" s="41">
        <v>93</v>
      </c>
      <c r="K180" s="41">
        <v>2</v>
      </c>
      <c r="L180" s="41">
        <v>0</v>
      </c>
      <c r="M180" s="41">
        <v>100</v>
      </c>
      <c r="N180" s="41">
        <v>18231.169999999998</v>
      </c>
      <c r="O180" s="41">
        <v>3069.26</v>
      </c>
      <c r="P180" s="41">
        <v>727.1</v>
      </c>
      <c r="Q180" s="41">
        <v>13398.87</v>
      </c>
      <c r="R180" s="41">
        <v>0</v>
      </c>
      <c r="S180" s="41">
        <v>0</v>
      </c>
      <c r="T180" s="41">
        <v>0</v>
      </c>
      <c r="U180" s="41">
        <v>0</v>
      </c>
      <c r="V180" s="41">
        <v>219.85</v>
      </c>
      <c r="W180" s="41">
        <v>0</v>
      </c>
      <c r="X180" s="41">
        <v>13179.02</v>
      </c>
      <c r="Y180" s="41">
        <v>1007.16</v>
      </c>
      <c r="Z180" s="41">
        <v>0</v>
      </c>
      <c r="AA180" s="41">
        <v>28.78</v>
      </c>
      <c r="AB180" s="41">
        <v>1815200</v>
      </c>
      <c r="AC180" s="41">
        <v>66</v>
      </c>
      <c r="AD180" s="41" t="s">
        <v>433</v>
      </c>
    </row>
    <row r="181" spans="1:30" x14ac:dyDescent="0.35">
      <c r="A181" s="41">
        <v>467</v>
      </c>
      <c r="B181" s="41">
        <v>20618956</v>
      </c>
      <c r="C181" s="41">
        <v>206189565</v>
      </c>
      <c r="D181" s="41" t="s">
        <v>877</v>
      </c>
      <c r="E181" s="41" t="s">
        <v>872</v>
      </c>
      <c r="F181" s="41">
        <v>815200</v>
      </c>
      <c r="G181" s="41" t="s">
        <v>1972</v>
      </c>
      <c r="H181" s="41">
        <v>90541</v>
      </c>
      <c r="I181" s="41" t="s">
        <v>819</v>
      </c>
      <c r="J181" s="41">
        <v>93</v>
      </c>
      <c r="K181" s="41">
        <v>1</v>
      </c>
      <c r="L181" s="41">
        <v>0</v>
      </c>
      <c r="M181" s="41">
        <v>96</v>
      </c>
      <c r="N181" s="41">
        <v>20641.84</v>
      </c>
      <c r="O181" s="41">
        <v>3296.57</v>
      </c>
      <c r="P181" s="41">
        <v>842.01</v>
      </c>
      <c r="Q181" s="41">
        <v>15341.71</v>
      </c>
      <c r="R181" s="41">
        <v>357.24</v>
      </c>
      <c r="S181" s="41">
        <v>0</v>
      </c>
      <c r="T181" s="41">
        <v>0</v>
      </c>
      <c r="U181" s="41">
        <v>0</v>
      </c>
      <c r="V181" s="41">
        <v>603.16</v>
      </c>
      <c r="W181" s="41">
        <v>0</v>
      </c>
      <c r="X181" s="41">
        <v>14381.31</v>
      </c>
      <c r="Y181" s="41">
        <v>1131.55</v>
      </c>
      <c r="Z181" s="41">
        <v>0</v>
      </c>
      <c r="AA181" s="41">
        <v>30</v>
      </c>
      <c r="AB181" s="41">
        <v>1815200</v>
      </c>
      <c r="AC181" s="41">
        <v>66</v>
      </c>
      <c r="AD181" s="41" t="s">
        <v>433</v>
      </c>
    </row>
    <row r="182" spans="1:30" x14ac:dyDescent="0.35">
      <c r="A182" s="41">
        <v>467</v>
      </c>
      <c r="B182" s="41">
        <v>20621306</v>
      </c>
      <c r="C182" s="41">
        <v>206213068</v>
      </c>
      <c r="D182" s="41" t="s">
        <v>434</v>
      </c>
      <c r="E182" s="41" t="s">
        <v>878</v>
      </c>
      <c r="F182" s="41">
        <v>815200</v>
      </c>
      <c r="G182" s="41" t="s">
        <v>1972</v>
      </c>
      <c r="H182" s="41">
        <v>90541</v>
      </c>
      <c r="I182" s="41" t="s">
        <v>819</v>
      </c>
      <c r="J182" s="41">
        <v>93</v>
      </c>
      <c r="K182" s="41">
        <v>2</v>
      </c>
      <c r="L182" s="41">
        <v>0</v>
      </c>
      <c r="M182" s="41">
        <v>102.6</v>
      </c>
      <c r="N182" s="41">
        <v>17116.080000000002</v>
      </c>
      <c r="O182" s="41">
        <v>2955.85</v>
      </c>
      <c r="P182" s="41">
        <v>648.48</v>
      </c>
      <c r="Q182" s="41">
        <v>12541.15</v>
      </c>
      <c r="R182" s="41">
        <v>0</v>
      </c>
      <c r="S182" s="41">
        <v>0</v>
      </c>
      <c r="T182" s="41">
        <v>0</v>
      </c>
      <c r="U182" s="41">
        <v>0</v>
      </c>
      <c r="V182" s="41">
        <v>219.85</v>
      </c>
      <c r="W182" s="41">
        <v>0</v>
      </c>
      <c r="X182" s="41">
        <v>12321.3</v>
      </c>
      <c r="Y182" s="41">
        <v>940.6</v>
      </c>
      <c r="Z182" s="41">
        <v>0</v>
      </c>
      <c r="AA182" s="41">
        <v>30</v>
      </c>
      <c r="AB182" s="41">
        <v>1815200</v>
      </c>
      <c r="AC182" s="41">
        <v>66</v>
      </c>
      <c r="AD182" s="41" t="s">
        <v>433</v>
      </c>
    </row>
    <row r="183" spans="1:30" x14ac:dyDescent="0.35">
      <c r="A183" s="41">
        <v>467</v>
      </c>
      <c r="B183" s="41">
        <v>20625527</v>
      </c>
      <c r="C183" s="41">
        <v>206255275</v>
      </c>
      <c r="D183" s="41" t="s">
        <v>1765</v>
      </c>
      <c r="E183" s="41" t="s">
        <v>1766</v>
      </c>
      <c r="F183" s="41">
        <v>815200</v>
      </c>
      <c r="G183" s="41" t="s">
        <v>1972</v>
      </c>
      <c r="H183" s="41">
        <v>90541</v>
      </c>
      <c r="I183" s="41" t="s">
        <v>821</v>
      </c>
      <c r="J183" s="41">
        <v>0</v>
      </c>
      <c r="K183" s="41">
        <v>0</v>
      </c>
      <c r="L183" s="41">
        <v>0</v>
      </c>
      <c r="M183" s="41">
        <v>0</v>
      </c>
      <c r="N183" s="41">
        <v>5998.45</v>
      </c>
      <c r="O183" s="41">
        <v>0</v>
      </c>
      <c r="P183" s="41">
        <v>241.8</v>
      </c>
      <c r="Q183" s="41">
        <v>5299.2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5299.2</v>
      </c>
      <c r="Y183" s="41">
        <v>397.45</v>
      </c>
      <c r="Z183" s="41">
        <v>0</v>
      </c>
      <c r="AA183" s="41">
        <v>60</v>
      </c>
      <c r="AB183" s="41">
        <v>1815200</v>
      </c>
      <c r="AC183" s="41">
        <v>66</v>
      </c>
      <c r="AD183" s="41" t="s">
        <v>433</v>
      </c>
    </row>
    <row r="184" spans="1:30" x14ac:dyDescent="0.35">
      <c r="A184" s="41">
        <v>467</v>
      </c>
      <c r="B184" s="41">
        <v>20625778</v>
      </c>
      <c r="C184" s="41">
        <v>206257784</v>
      </c>
      <c r="D184" s="41" t="s">
        <v>954</v>
      </c>
      <c r="E184" s="41" t="s">
        <v>879</v>
      </c>
      <c r="F184" s="41">
        <v>815200</v>
      </c>
      <c r="G184" s="41" t="s">
        <v>1972</v>
      </c>
      <c r="H184" s="41">
        <v>90541</v>
      </c>
      <c r="I184" s="41" t="s">
        <v>819</v>
      </c>
      <c r="J184" s="41">
        <v>93</v>
      </c>
      <c r="K184" s="41">
        <v>2</v>
      </c>
      <c r="L184" s="41">
        <v>0</v>
      </c>
      <c r="M184" s="41">
        <v>102.6</v>
      </c>
      <c r="N184" s="41">
        <v>14772.19</v>
      </c>
      <c r="O184" s="41">
        <v>2576.8000000000002</v>
      </c>
      <c r="P184" s="41">
        <v>518.75</v>
      </c>
      <c r="Q184" s="41">
        <v>10834.09</v>
      </c>
      <c r="R184" s="41">
        <v>0</v>
      </c>
      <c r="S184" s="41">
        <v>0</v>
      </c>
      <c r="T184" s="41">
        <v>0</v>
      </c>
      <c r="U184" s="41">
        <v>0</v>
      </c>
      <c r="V184" s="41">
        <v>219.85</v>
      </c>
      <c r="W184" s="41">
        <v>0</v>
      </c>
      <c r="X184" s="41">
        <v>10614.24</v>
      </c>
      <c r="Y184" s="41">
        <v>812.55</v>
      </c>
      <c r="Z184" s="41">
        <v>0</v>
      </c>
      <c r="AA184" s="41">
        <v>30</v>
      </c>
      <c r="AB184" s="41">
        <v>1815200</v>
      </c>
      <c r="AC184" s="41">
        <v>66</v>
      </c>
      <c r="AD184" s="41" t="s">
        <v>433</v>
      </c>
    </row>
    <row r="185" spans="1:30" x14ac:dyDescent="0.35">
      <c r="A185" s="41">
        <v>467</v>
      </c>
      <c r="B185" s="41">
        <v>20627359</v>
      </c>
      <c r="C185" s="41">
        <v>206273591</v>
      </c>
      <c r="D185" s="41" t="s">
        <v>508</v>
      </c>
      <c r="E185" s="41" t="s">
        <v>443</v>
      </c>
      <c r="F185" s="41">
        <v>815200</v>
      </c>
      <c r="G185" s="41" t="s">
        <v>1972</v>
      </c>
      <c r="H185" s="41">
        <v>90541</v>
      </c>
      <c r="I185" s="41" t="s">
        <v>821</v>
      </c>
      <c r="J185" s="41">
        <v>0</v>
      </c>
      <c r="K185" s="41">
        <v>0</v>
      </c>
      <c r="L185" s="41">
        <v>0</v>
      </c>
      <c r="M185" s="41">
        <v>0</v>
      </c>
      <c r="N185" s="41">
        <v>5876.3</v>
      </c>
      <c r="O185" s="41">
        <v>0</v>
      </c>
      <c r="P185" s="41">
        <v>265.14999999999998</v>
      </c>
      <c r="Q185" s="41">
        <v>5179.2</v>
      </c>
      <c r="R185" s="41">
        <v>0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5179.2</v>
      </c>
      <c r="Y185" s="41">
        <v>371.95</v>
      </c>
      <c r="Z185" s="41">
        <v>0</v>
      </c>
      <c r="AA185" s="41">
        <v>60</v>
      </c>
      <c r="AB185" s="41">
        <v>1815200</v>
      </c>
      <c r="AC185" s="41">
        <v>66</v>
      </c>
      <c r="AD185" s="41" t="s">
        <v>433</v>
      </c>
    </row>
    <row r="186" spans="1:30" x14ac:dyDescent="0.35">
      <c r="A186" s="41">
        <v>467</v>
      </c>
      <c r="B186" s="41">
        <v>20660002</v>
      </c>
      <c r="C186" s="41">
        <v>206600025</v>
      </c>
      <c r="D186" s="41" t="s">
        <v>1767</v>
      </c>
      <c r="E186" s="41" t="s">
        <v>915</v>
      </c>
      <c r="F186" s="41">
        <v>815200</v>
      </c>
      <c r="G186" s="41" t="s">
        <v>1972</v>
      </c>
      <c r="H186" s="41">
        <v>90541</v>
      </c>
      <c r="I186" s="41" t="s">
        <v>819</v>
      </c>
      <c r="J186" s="41">
        <v>93</v>
      </c>
      <c r="K186" s="41">
        <v>2</v>
      </c>
      <c r="L186" s="41">
        <v>0</v>
      </c>
      <c r="M186" s="41">
        <v>50</v>
      </c>
      <c r="N186" s="41">
        <v>6550.52</v>
      </c>
      <c r="O186" s="41">
        <v>760.44</v>
      </c>
      <c r="P186" s="41">
        <v>184.14</v>
      </c>
      <c r="Q186" s="41">
        <v>5186.9399999999996</v>
      </c>
      <c r="R186" s="41">
        <v>0</v>
      </c>
      <c r="S186" s="41">
        <v>0</v>
      </c>
      <c r="T186" s="41">
        <v>0</v>
      </c>
      <c r="U186" s="41">
        <v>0</v>
      </c>
      <c r="V186" s="41">
        <v>335.05</v>
      </c>
      <c r="W186" s="41">
        <v>0</v>
      </c>
      <c r="X186" s="41">
        <v>4851.8900000000003</v>
      </c>
      <c r="Y186" s="41">
        <v>389</v>
      </c>
      <c r="Z186" s="41">
        <v>0</v>
      </c>
      <c r="AA186" s="41">
        <v>30</v>
      </c>
      <c r="AB186" s="41">
        <v>1815200</v>
      </c>
      <c r="AC186" s="41">
        <v>66</v>
      </c>
      <c r="AD186" s="41" t="s">
        <v>433</v>
      </c>
    </row>
    <row r="187" spans="1:30" x14ac:dyDescent="0.35">
      <c r="A187" s="41">
        <v>467</v>
      </c>
      <c r="B187" s="41">
        <v>20671567</v>
      </c>
      <c r="C187" s="41">
        <v>206715674</v>
      </c>
      <c r="D187" s="41" t="s">
        <v>434</v>
      </c>
      <c r="E187" s="41" t="s">
        <v>913</v>
      </c>
      <c r="F187" s="41">
        <v>815200</v>
      </c>
      <c r="G187" s="41" t="s">
        <v>1972</v>
      </c>
      <c r="H187" s="41">
        <v>90541</v>
      </c>
      <c r="I187" s="41" t="s">
        <v>819</v>
      </c>
      <c r="J187" s="41">
        <v>93</v>
      </c>
      <c r="K187" s="41">
        <v>2</v>
      </c>
      <c r="L187" s="41">
        <v>0</v>
      </c>
      <c r="M187" s="41">
        <v>87.5</v>
      </c>
      <c r="N187" s="41">
        <v>14671.51</v>
      </c>
      <c r="O187" s="41">
        <v>2431.52</v>
      </c>
      <c r="P187" s="41">
        <v>521.70000000000005</v>
      </c>
      <c r="Q187" s="41">
        <v>10872.84</v>
      </c>
      <c r="R187" s="41">
        <v>554.36</v>
      </c>
      <c r="S187" s="41">
        <v>0</v>
      </c>
      <c r="T187" s="41">
        <v>0</v>
      </c>
      <c r="U187" s="41">
        <v>0</v>
      </c>
      <c r="V187" s="41">
        <v>182.83</v>
      </c>
      <c r="W187" s="41">
        <v>0</v>
      </c>
      <c r="X187" s="41">
        <v>10135.65</v>
      </c>
      <c r="Y187" s="41">
        <v>815.45</v>
      </c>
      <c r="Z187" s="41">
        <v>0</v>
      </c>
      <c r="AA187" s="41">
        <v>30</v>
      </c>
      <c r="AB187" s="41">
        <v>1815200</v>
      </c>
      <c r="AC187" s="41">
        <v>66</v>
      </c>
      <c r="AD187" s="41" t="s">
        <v>433</v>
      </c>
    </row>
    <row r="188" spans="1:30" x14ac:dyDescent="0.35">
      <c r="A188" s="41">
        <v>467</v>
      </c>
      <c r="B188" s="41">
        <v>20680561</v>
      </c>
      <c r="C188" s="41">
        <v>206805616</v>
      </c>
      <c r="D188" s="41" t="s">
        <v>434</v>
      </c>
      <c r="E188" s="41" t="s">
        <v>1768</v>
      </c>
      <c r="F188" s="41">
        <v>815200</v>
      </c>
      <c r="G188" s="41" t="s">
        <v>1972</v>
      </c>
      <c r="H188" s="41">
        <v>90541</v>
      </c>
      <c r="I188" s="41" t="s">
        <v>819</v>
      </c>
      <c r="J188" s="41">
        <v>93</v>
      </c>
      <c r="K188" s="41">
        <v>2</v>
      </c>
      <c r="L188" s="41">
        <v>0</v>
      </c>
      <c r="M188" s="41">
        <v>42.1</v>
      </c>
      <c r="N188" s="41">
        <v>4932.72</v>
      </c>
      <c r="O188" s="41">
        <v>611.75</v>
      </c>
      <c r="P188" s="41">
        <v>144.71</v>
      </c>
      <c r="Q188" s="41">
        <v>3884.87</v>
      </c>
      <c r="R188" s="41">
        <v>0</v>
      </c>
      <c r="S188" s="41">
        <v>0</v>
      </c>
      <c r="T188" s="41">
        <v>0</v>
      </c>
      <c r="U188" s="41">
        <v>0</v>
      </c>
      <c r="V188" s="41">
        <v>20.47</v>
      </c>
      <c r="W188" s="41">
        <v>0</v>
      </c>
      <c r="X188" s="41">
        <v>3864.4</v>
      </c>
      <c r="Y188" s="41">
        <v>291.39</v>
      </c>
      <c r="Z188" s="41">
        <v>0</v>
      </c>
      <c r="AA188" s="41">
        <v>0</v>
      </c>
      <c r="AB188" s="41">
        <v>1815200</v>
      </c>
      <c r="AC188" s="41">
        <v>66</v>
      </c>
      <c r="AD188" s="41" t="s">
        <v>433</v>
      </c>
    </row>
    <row r="189" spans="1:30" x14ac:dyDescent="0.35">
      <c r="A189" s="41">
        <v>467</v>
      </c>
      <c r="B189" s="41">
        <v>20685835</v>
      </c>
      <c r="C189" s="41">
        <v>206858359</v>
      </c>
      <c r="D189" s="41" t="s">
        <v>442</v>
      </c>
      <c r="E189" s="41" t="s">
        <v>443</v>
      </c>
      <c r="F189" s="41">
        <v>815200</v>
      </c>
      <c r="G189" s="41" t="s">
        <v>1972</v>
      </c>
      <c r="H189" s="41">
        <v>90541</v>
      </c>
      <c r="I189" s="41" t="s">
        <v>819</v>
      </c>
      <c r="J189" s="41">
        <v>93</v>
      </c>
      <c r="K189" s="41">
        <v>2</v>
      </c>
      <c r="L189" s="41">
        <v>0</v>
      </c>
      <c r="M189" s="41">
        <v>34.200000000000003</v>
      </c>
      <c r="N189" s="41">
        <v>3883.08</v>
      </c>
      <c r="O189" s="41">
        <v>0</v>
      </c>
      <c r="P189" s="41">
        <v>125.48</v>
      </c>
      <c r="Q189" s="41">
        <v>3495.45</v>
      </c>
      <c r="R189" s="41">
        <v>0</v>
      </c>
      <c r="S189" s="41">
        <v>0</v>
      </c>
      <c r="T189" s="41">
        <v>0</v>
      </c>
      <c r="U189" s="41">
        <v>0</v>
      </c>
      <c r="V189" s="41">
        <v>106.82</v>
      </c>
      <c r="W189" s="41">
        <v>0</v>
      </c>
      <c r="X189" s="41">
        <v>3388.63</v>
      </c>
      <c r="Y189" s="41">
        <v>262.14999999999998</v>
      </c>
      <c r="Z189" s="41">
        <v>0</v>
      </c>
      <c r="AA189" s="41">
        <v>0</v>
      </c>
      <c r="AB189" s="41">
        <v>1815200</v>
      </c>
      <c r="AC189" s="41">
        <v>66</v>
      </c>
      <c r="AD189" s="41" t="s">
        <v>433</v>
      </c>
    </row>
    <row r="190" spans="1:30" x14ac:dyDescent="0.35">
      <c r="A190" s="41">
        <v>467</v>
      </c>
      <c r="B190" s="41">
        <v>20693144</v>
      </c>
      <c r="C190" s="41">
        <v>206931446</v>
      </c>
      <c r="D190" s="41" t="s">
        <v>442</v>
      </c>
      <c r="E190" s="41" t="s">
        <v>929</v>
      </c>
      <c r="F190" s="41">
        <v>815200</v>
      </c>
      <c r="G190" s="41" t="s">
        <v>1972</v>
      </c>
      <c r="H190" s="41">
        <v>90541</v>
      </c>
      <c r="I190" s="41" t="s">
        <v>819</v>
      </c>
      <c r="J190" s="41">
        <v>93</v>
      </c>
      <c r="K190" s="41">
        <v>2</v>
      </c>
      <c r="L190" s="41">
        <v>0</v>
      </c>
      <c r="M190" s="41">
        <v>34.200000000000003</v>
      </c>
      <c r="N190" s="41">
        <v>3901.59</v>
      </c>
      <c r="O190" s="41">
        <v>0</v>
      </c>
      <c r="P190" s="41">
        <v>124.72</v>
      </c>
      <c r="Q190" s="41">
        <v>3513.37</v>
      </c>
      <c r="R190" s="41">
        <v>0</v>
      </c>
      <c r="S190" s="41">
        <v>0</v>
      </c>
      <c r="T190" s="41">
        <v>0</v>
      </c>
      <c r="U190" s="41">
        <v>0</v>
      </c>
      <c r="V190" s="41">
        <v>92.01</v>
      </c>
      <c r="W190" s="41">
        <v>0</v>
      </c>
      <c r="X190" s="41">
        <v>3421.36</v>
      </c>
      <c r="Y190" s="41">
        <v>263.5</v>
      </c>
      <c r="Z190" s="41">
        <v>0</v>
      </c>
      <c r="AA190" s="41">
        <v>0</v>
      </c>
      <c r="AB190" s="41">
        <v>1815200</v>
      </c>
      <c r="AC190" s="41">
        <v>66</v>
      </c>
      <c r="AD190" s="41" t="s">
        <v>433</v>
      </c>
    </row>
    <row r="191" spans="1:30" x14ac:dyDescent="0.35">
      <c r="A191" s="41">
        <v>467</v>
      </c>
      <c r="B191" s="41">
        <v>20693311</v>
      </c>
      <c r="C191" s="41">
        <v>206933111</v>
      </c>
      <c r="D191" s="41" t="s">
        <v>490</v>
      </c>
      <c r="E191" s="41" t="s">
        <v>880</v>
      </c>
      <c r="F191" s="41">
        <v>815200</v>
      </c>
      <c r="G191" s="41" t="s">
        <v>1972</v>
      </c>
      <c r="H191" s="41">
        <v>90541</v>
      </c>
      <c r="I191" s="41" t="s">
        <v>819</v>
      </c>
      <c r="J191" s="41">
        <v>93</v>
      </c>
      <c r="K191" s="41">
        <v>2</v>
      </c>
      <c r="L191" s="41">
        <v>0</v>
      </c>
      <c r="M191" s="41">
        <v>100</v>
      </c>
      <c r="N191" s="41">
        <v>16375.06</v>
      </c>
      <c r="O191" s="41">
        <v>2668.8</v>
      </c>
      <c r="P191" s="41">
        <v>618.51</v>
      </c>
      <c r="Q191" s="41">
        <v>12146.75</v>
      </c>
      <c r="R191" s="41">
        <v>351</v>
      </c>
      <c r="S191" s="41">
        <v>0</v>
      </c>
      <c r="T191" s="41">
        <v>0</v>
      </c>
      <c r="U191" s="41">
        <v>0</v>
      </c>
      <c r="V191" s="41">
        <v>219.85</v>
      </c>
      <c r="W191" s="41">
        <v>0</v>
      </c>
      <c r="X191" s="41">
        <v>11575.9</v>
      </c>
      <c r="Y191" s="41">
        <v>911</v>
      </c>
      <c r="Z191" s="41">
        <v>0</v>
      </c>
      <c r="AA191" s="41">
        <v>30</v>
      </c>
      <c r="AB191" s="41">
        <v>1815200</v>
      </c>
      <c r="AC191" s="41">
        <v>66</v>
      </c>
      <c r="AD191" s="41" t="s">
        <v>433</v>
      </c>
    </row>
    <row r="192" spans="1:30" x14ac:dyDescent="0.35">
      <c r="A192" s="41">
        <v>467</v>
      </c>
      <c r="B192" s="41">
        <v>20715396</v>
      </c>
      <c r="C192" s="41">
        <v>207153966</v>
      </c>
      <c r="D192" s="41" t="s">
        <v>442</v>
      </c>
      <c r="E192" s="41" t="s">
        <v>1769</v>
      </c>
      <c r="F192" s="41">
        <v>815200</v>
      </c>
      <c r="G192" s="41" t="s">
        <v>1972</v>
      </c>
      <c r="H192" s="41">
        <v>90541</v>
      </c>
      <c r="I192" s="41" t="s">
        <v>819</v>
      </c>
      <c r="J192" s="41">
        <v>93</v>
      </c>
      <c r="K192" s="41">
        <v>2</v>
      </c>
      <c r="L192" s="41">
        <v>0</v>
      </c>
      <c r="M192" s="41">
        <v>100</v>
      </c>
      <c r="N192" s="41">
        <v>14075.34</v>
      </c>
      <c r="O192" s="41">
        <v>2362.77</v>
      </c>
      <c r="P192" s="41">
        <v>486.87</v>
      </c>
      <c r="Q192" s="41">
        <v>10414.6</v>
      </c>
      <c r="R192" s="41">
        <v>0</v>
      </c>
      <c r="S192" s="41">
        <v>0</v>
      </c>
      <c r="T192" s="41">
        <v>0</v>
      </c>
      <c r="U192" s="41">
        <v>0</v>
      </c>
      <c r="V192" s="41">
        <v>185.6</v>
      </c>
      <c r="W192" s="41">
        <v>0</v>
      </c>
      <c r="X192" s="41">
        <v>10229</v>
      </c>
      <c r="Y192" s="41">
        <v>781.1</v>
      </c>
      <c r="Z192" s="41">
        <v>0</v>
      </c>
      <c r="AA192" s="41">
        <v>30</v>
      </c>
      <c r="AB192" s="41">
        <v>1815200</v>
      </c>
      <c r="AC192" s="41">
        <v>66</v>
      </c>
      <c r="AD192" s="41" t="s">
        <v>433</v>
      </c>
    </row>
    <row r="193" spans="1:30" x14ac:dyDescent="0.35">
      <c r="A193" s="41">
        <v>467</v>
      </c>
      <c r="B193" s="41">
        <v>20715403</v>
      </c>
      <c r="C193" s="41">
        <v>207154030</v>
      </c>
      <c r="D193" s="41" t="s">
        <v>442</v>
      </c>
      <c r="E193" s="41" t="s">
        <v>1770</v>
      </c>
      <c r="F193" s="41">
        <v>815200</v>
      </c>
      <c r="G193" s="41" t="s">
        <v>1972</v>
      </c>
      <c r="H193" s="41">
        <v>90541</v>
      </c>
      <c r="I193" s="41" t="s">
        <v>819</v>
      </c>
      <c r="J193" s="41">
        <v>93</v>
      </c>
      <c r="K193" s="41">
        <v>2</v>
      </c>
      <c r="L193" s="41">
        <v>0</v>
      </c>
      <c r="M193" s="41">
        <v>42.1</v>
      </c>
      <c r="N193" s="41">
        <v>6704.11</v>
      </c>
      <c r="O193" s="41">
        <v>1117.7</v>
      </c>
      <c r="P193" s="41">
        <v>178.58</v>
      </c>
      <c r="Q193" s="41">
        <v>5030.53</v>
      </c>
      <c r="R193" s="41">
        <v>0</v>
      </c>
      <c r="S193" s="41">
        <v>0</v>
      </c>
      <c r="T193" s="41">
        <v>0</v>
      </c>
      <c r="U193" s="41">
        <v>0</v>
      </c>
      <c r="V193" s="41">
        <v>191.72</v>
      </c>
      <c r="W193" s="41">
        <v>0</v>
      </c>
      <c r="X193" s="41">
        <v>4838.8100000000004</v>
      </c>
      <c r="Y193" s="41">
        <v>377.3</v>
      </c>
      <c r="Z193" s="41">
        <v>0</v>
      </c>
      <c r="AA193" s="41">
        <v>0</v>
      </c>
      <c r="AB193" s="41">
        <v>1815200</v>
      </c>
      <c r="AC193" s="41">
        <v>66</v>
      </c>
      <c r="AD193" s="41" t="s">
        <v>433</v>
      </c>
    </row>
    <row r="194" spans="1:30" x14ac:dyDescent="0.35">
      <c r="A194" s="41">
        <v>467</v>
      </c>
      <c r="B194" s="41">
        <v>20871572</v>
      </c>
      <c r="C194" s="41">
        <v>208715722</v>
      </c>
      <c r="D194" s="41" t="s">
        <v>881</v>
      </c>
      <c r="E194" s="41" t="s">
        <v>1771</v>
      </c>
      <c r="F194" s="41">
        <v>815200</v>
      </c>
      <c r="G194" s="41" t="s">
        <v>1972</v>
      </c>
      <c r="H194" s="41">
        <v>90541</v>
      </c>
      <c r="I194" s="41" t="s">
        <v>819</v>
      </c>
      <c r="J194" s="41">
        <v>93</v>
      </c>
      <c r="K194" s="41">
        <v>1</v>
      </c>
      <c r="L194" s="41">
        <v>0</v>
      </c>
      <c r="M194" s="41">
        <v>100</v>
      </c>
      <c r="N194" s="41">
        <v>18411.439999999999</v>
      </c>
      <c r="O194" s="41">
        <v>3188.44</v>
      </c>
      <c r="P194" s="41">
        <v>718.66</v>
      </c>
      <c r="Q194" s="41">
        <v>13464.49</v>
      </c>
      <c r="R194" s="41">
        <v>0</v>
      </c>
      <c r="S194" s="41">
        <v>0</v>
      </c>
      <c r="T194" s="41">
        <v>0</v>
      </c>
      <c r="U194" s="41">
        <v>0</v>
      </c>
      <c r="V194" s="41">
        <v>219.6</v>
      </c>
      <c r="W194" s="41">
        <v>0</v>
      </c>
      <c r="X194" s="41">
        <v>13244.89</v>
      </c>
      <c r="Y194" s="41">
        <v>1009.85</v>
      </c>
      <c r="Z194" s="41">
        <v>0</v>
      </c>
      <c r="AA194" s="41">
        <v>30</v>
      </c>
      <c r="AB194" s="41">
        <v>1815200</v>
      </c>
      <c r="AC194" s="41">
        <v>66</v>
      </c>
      <c r="AD194" s="41" t="s">
        <v>433</v>
      </c>
    </row>
    <row r="195" spans="1:30" x14ac:dyDescent="0.35">
      <c r="A195" s="41">
        <v>467</v>
      </c>
      <c r="B195" s="41">
        <v>21375363</v>
      </c>
      <c r="C195" s="41">
        <v>213753635</v>
      </c>
      <c r="D195" s="41" t="s">
        <v>442</v>
      </c>
      <c r="E195" s="41" t="s">
        <v>1772</v>
      </c>
      <c r="F195" s="41">
        <v>815200</v>
      </c>
      <c r="G195" s="41" t="s">
        <v>1972</v>
      </c>
      <c r="H195" s="41">
        <v>90541</v>
      </c>
      <c r="I195" s="41" t="s">
        <v>821</v>
      </c>
      <c r="J195" s="41">
        <v>0</v>
      </c>
      <c r="K195" s="41">
        <v>0</v>
      </c>
      <c r="L195" s="41">
        <v>0</v>
      </c>
      <c r="M195" s="41">
        <v>0</v>
      </c>
      <c r="N195" s="41">
        <v>11643.63</v>
      </c>
      <c r="O195" s="41">
        <v>0</v>
      </c>
      <c r="P195" s="41">
        <v>111.63</v>
      </c>
      <c r="Q195" s="41">
        <v>11324</v>
      </c>
      <c r="R195" s="41">
        <v>0</v>
      </c>
      <c r="S195" s="41">
        <v>2953</v>
      </c>
      <c r="T195" s="41">
        <v>0</v>
      </c>
      <c r="U195" s="41">
        <v>0</v>
      </c>
      <c r="V195" s="41">
        <v>-180</v>
      </c>
      <c r="W195" s="41">
        <v>0</v>
      </c>
      <c r="X195" s="41">
        <v>8551</v>
      </c>
      <c r="Y195" s="41">
        <v>208</v>
      </c>
      <c r="Z195" s="41">
        <v>0</v>
      </c>
      <c r="AA195" s="41">
        <v>0</v>
      </c>
      <c r="AB195" s="41">
        <v>1815200</v>
      </c>
      <c r="AC195" s="41">
        <v>66</v>
      </c>
      <c r="AD195" s="41" t="s">
        <v>433</v>
      </c>
    </row>
    <row r="196" spans="1:30" x14ac:dyDescent="0.35">
      <c r="A196" s="41">
        <v>467</v>
      </c>
      <c r="B196" s="41">
        <v>30021430</v>
      </c>
      <c r="C196" s="41">
        <v>300214301</v>
      </c>
      <c r="D196" s="41" t="s">
        <v>882</v>
      </c>
      <c r="E196" s="41" t="s">
        <v>883</v>
      </c>
      <c r="F196" s="41">
        <v>815200</v>
      </c>
      <c r="G196" s="41" t="s">
        <v>1972</v>
      </c>
      <c r="H196" s="41">
        <v>90541</v>
      </c>
      <c r="I196" s="41" t="s">
        <v>819</v>
      </c>
      <c r="J196" s="41">
        <v>93</v>
      </c>
      <c r="K196" s="41">
        <v>1</v>
      </c>
      <c r="L196" s="41">
        <v>0</v>
      </c>
      <c r="M196" s="41">
        <v>100</v>
      </c>
      <c r="N196" s="41">
        <v>18055.099999999999</v>
      </c>
      <c r="O196" s="41">
        <v>3008.77</v>
      </c>
      <c r="P196" s="41">
        <v>708.98</v>
      </c>
      <c r="Q196" s="41">
        <v>13337.05</v>
      </c>
      <c r="R196" s="41">
        <v>0</v>
      </c>
      <c r="S196" s="41">
        <v>0</v>
      </c>
      <c r="T196" s="41">
        <v>0</v>
      </c>
      <c r="U196" s="41">
        <v>0</v>
      </c>
      <c r="V196" s="41">
        <v>1004.6</v>
      </c>
      <c r="W196" s="41">
        <v>0</v>
      </c>
      <c r="X196" s="41">
        <v>12332.45</v>
      </c>
      <c r="Y196" s="41">
        <v>1000.3</v>
      </c>
      <c r="Z196" s="41">
        <v>0</v>
      </c>
      <c r="AA196" s="41">
        <v>0</v>
      </c>
      <c r="AB196" s="41">
        <v>1815200</v>
      </c>
      <c r="AC196" s="41">
        <v>66</v>
      </c>
      <c r="AD196" s="41" t="s">
        <v>433</v>
      </c>
    </row>
    <row r="197" spans="1:30" x14ac:dyDescent="0.35">
      <c r="A197" s="41">
        <v>467</v>
      </c>
      <c r="B197" s="41">
        <v>30026960</v>
      </c>
      <c r="C197" s="41">
        <v>300269602</v>
      </c>
      <c r="D197" s="41" t="s">
        <v>499</v>
      </c>
      <c r="E197" s="41" t="s">
        <v>884</v>
      </c>
      <c r="F197" s="41">
        <v>815200</v>
      </c>
      <c r="G197" s="41" t="s">
        <v>1972</v>
      </c>
      <c r="H197" s="41">
        <v>90541</v>
      </c>
      <c r="I197" s="41" t="s">
        <v>819</v>
      </c>
      <c r="J197" s="41">
        <v>93</v>
      </c>
      <c r="K197" s="41">
        <v>1</v>
      </c>
      <c r="L197" s="41">
        <v>0</v>
      </c>
      <c r="M197" s="41">
        <v>100</v>
      </c>
      <c r="N197" s="41">
        <v>24301.77</v>
      </c>
      <c r="O197" s="41">
        <v>3836.65</v>
      </c>
      <c r="P197" s="41">
        <v>1082.49</v>
      </c>
      <c r="Q197" s="41">
        <v>18002.189999999999</v>
      </c>
      <c r="R197" s="41">
        <v>0</v>
      </c>
      <c r="S197" s="41">
        <v>0</v>
      </c>
      <c r="T197" s="41">
        <v>0</v>
      </c>
      <c r="U197" s="41">
        <v>0</v>
      </c>
      <c r="V197" s="41">
        <v>1040.5999999999999</v>
      </c>
      <c r="W197" s="41">
        <v>0</v>
      </c>
      <c r="X197" s="41">
        <v>16961.59</v>
      </c>
      <c r="Y197" s="41">
        <v>1352.43</v>
      </c>
      <c r="Z197" s="41">
        <v>0</v>
      </c>
      <c r="AA197" s="41">
        <v>28.01</v>
      </c>
      <c r="AB197" s="41">
        <v>1815200</v>
      </c>
      <c r="AC197" s="41">
        <v>66</v>
      </c>
      <c r="AD197" s="41" t="s">
        <v>433</v>
      </c>
    </row>
    <row r="198" spans="1:30" x14ac:dyDescent="0.35">
      <c r="A198" s="41">
        <v>467</v>
      </c>
      <c r="B198" s="41">
        <v>30117827</v>
      </c>
      <c r="C198" s="41">
        <v>301178273</v>
      </c>
      <c r="D198" s="41" t="s">
        <v>502</v>
      </c>
      <c r="E198" s="41" t="s">
        <v>501</v>
      </c>
      <c r="F198" s="41">
        <v>815200</v>
      </c>
      <c r="G198" s="41" t="s">
        <v>1972</v>
      </c>
      <c r="H198" s="41">
        <v>90541</v>
      </c>
      <c r="I198" s="41" t="s">
        <v>819</v>
      </c>
      <c r="J198" s="41">
        <v>93</v>
      </c>
      <c r="K198" s="41">
        <v>1</v>
      </c>
      <c r="L198" s="41">
        <v>0</v>
      </c>
      <c r="M198" s="41">
        <v>113.1</v>
      </c>
      <c r="N198" s="41">
        <v>27597</v>
      </c>
      <c r="O198" s="41">
        <v>4263.7700000000004</v>
      </c>
      <c r="P198" s="41">
        <v>1269.5999999999999</v>
      </c>
      <c r="Q198" s="41">
        <v>20480.080000000002</v>
      </c>
      <c r="R198" s="41">
        <v>351</v>
      </c>
      <c r="S198" s="41">
        <v>0</v>
      </c>
      <c r="T198" s="41">
        <v>0</v>
      </c>
      <c r="U198" s="41">
        <v>0</v>
      </c>
      <c r="V198" s="41">
        <v>1105.5999999999999</v>
      </c>
      <c r="W198" s="41">
        <v>0</v>
      </c>
      <c r="X198" s="41">
        <v>19023.48</v>
      </c>
      <c r="Y198" s="41">
        <v>1553.55</v>
      </c>
      <c r="Z198" s="41">
        <v>0</v>
      </c>
      <c r="AA198" s="41">
        <v>30</v>
      </c>
      <c r="AB198" s="41">
        <v>1815200</v>
      </c>
      <c r="AC198" s="41">
        <v>66</v>
      </c>
      <c r="AD198" s="41" t="s">
        <v>433</v>
      </c>
    </row>
    <row r="199" spans="1:30" x14ac:dyDescent="0.35">
      <c r="A199" s="41">
        <v>467</v>
      </c>
      <c r="B199" s="41">
        <v>30123239</v>
      </c>
      <c r="C199" s="41">
        <v>301232393</v>
      </c>
      <c r="D199" s="41" t="s">
        <v>885</v>
      </c>
      <c r="E199" s="41" t="s">
        <v>886</v>
      </c>
      <c r="F199" s="41">
        <v>815200</v>
      </c>
      <c r="G199" s="41" t="s">
        <v>1972</v>
      </c>
      <c r="H199" s="41">
        <v>90541</v>
      </c>
      <c r="I199" s="41" t="s">
        <v>819</v>
      </c>
      <c r="J199" s="41">
        <v>93</v>
      </c>
      <c r="K199" s="41">
        <v>1</v>
      </c>
      <c r="L199" s="41">
        <v>0</v>
      </c>
      <c r="M199" s="41">
        <v>100</v>
      </c>
      <c r="N199" s="41">
        <v>20308.830000000002</v>
      </c>
      <c r="O199" s="41">
        <v>3252.92</v>
      </c>
      <c r="P199" s="41">
        <v>841.66</v>
      </c>
      <c r="Q199" s="41">
        <v>15053</v>
      </c>
      <c r="R199" s="41">
        <v>0</v>
      </c>
      <c r="S199" s="41">
        <v>0</v>
      </c>
      <c r="T199" s="41">
        <v>0</v>
      </c>
      <c r="U199" s="41">
        <v>0</v>
      </c>
      <c r="V199" s="41">
        <v>966.6</v>
      </c>
      <c r="W199" s="41">
        <v>0</v>
      </c>
      <c r="X199" s="41">
        <v>14086.4</v>
      </c>
      <c r="Y199" s="41">
        <v>1131.25</v>
      </c>
      <c r="Z199" s="41">
        <v>0</v>
      </c>
      <c r="AA199" s="41">
        <v>30</v>
      </c>
      <c r="AB199" s="41">
        <v>1815200</v>
      </c>
      <c r="AC199" s="41">
        <v>66</v>
      </c>
      <c r="AD199" s="41" t="s">
        <v>433</v>
      </c>
    </row>
    <row r="200" spans="1:30" x14ac:dyDescent="0.35">
      <c r="A200" s="41">
        <v>467</v>
      </c>
      <c r="B200" s="41">
        <v>30264991</v>
      </c>
      <c r="C200" s="41">
        <v>302649918</v>
      </c>
      <c r="D200" s="41" t="s">
        <v>442</v>
      </c>
      <c r="E200" s="41" t="s">
        <v>500</v>
      </c>
      <c r="F200" s="41">
        <v>815200</v>
      </c>
      <c r="G200" s="41" t="s">
        <v>1972</v>
      </c>
      <c r="H200" s="41">
        <v>90541</v>
      </c>
      <c r="I200" s="41" t="s">
        <v>819</v>
      </c>
      <c r="J200" s="41">
        <v>93</v>
      </c>
      <c r="K200" s="41">
        <v>2</v>
      </c>
      <c r="L200" s="41">
        <v>0</v>
      </c>
      <c r="M200" s="41">
        <v>100</v>
      </c>
      <c r="N200" s="41">
        <v>24895.34</v>
      </c>
      <c r="O200" s="41">
        <v>4252.51</v>
      </c>
      <c r="P200" s="41">
        <v>1094.79</v>
      </c>
      <c r="Q200" s="41">
        <v>18158.22</v>
      </c>
      <c r="R200" s="41">
        <v>0</v>
      </c>
      <c r="S200" s="41">
        <v>0</v>
      </c>
      <c r="T200" s="41">
        <v>0</v>
      </c>
      <c r="U200" s="41">
        <v>0</v>
      </c>
      <c r="V200" s="41">
        <v>219.85</v>
      </c>
      <c r="W200" s="41">
        <v>0</v>
      </c>
      <c r="X200" s="41">
        <v>17938.37</v>
      </c>
      <c r="Y200" s="41">
        <v>1361.89</v>
      </c>
      <c r="Z200" s="41">
        <v>0</v>
      </c>
      <c r="AA200" s="41">
        <v>27.93</v>
      </c>
      <c r="AB200" s="41">
        <v>1815200</v>
      </c>
      <c r="AC200" s="41">
        <v>66</v>
      </c>
      <c r="AD200" s="41" t="s">
        <v>433</v>
      </c>
    </row>
    <row r="201" spans="1:30" x14ac:dyDescent="0.35">
      <c r="A201" s="41">
        <v>467</v>
      </c>
      <c r="B201" s="41">
        <v>30282667</v>
      </c>
      <c r="C201" s="41">
        <v>302826672</v>
      </c>
      <c r="D201" s="41" t="s">
        <v>888</v>
      </c>
      <c r="E201" s="41" t="s">
        <v>885</v>
      </c>
      <c r="F201" s="41">
        <v>815200</v>
      </c>
      <c r="G201" s="41" t="s">
        <v>1972</v>
      </c>
      <c r="H201" s="41">
        <v>90541</v>
      </c>
      <c r="I201" s="41" t="s">
        <v>819</v>
      </c>
      <c r="J201" s="41">
        <v>93</v>
      </c>
      <c r="K201" s="41">
        <v>1</v>
      </c>
      <c r="L201" s="41">
        <v>0</v>
      </c>
      <c r="M201" s="41">
        <v>100</v>
      </c>
      <c r="N201" s="41">
        <v>20560.97</v>
      </c>
      <c r="O201" s="41">
        <v>3472.41</v>
      </c>
      <c r="P201" s="41">
        <v>836.9</v>
      </c>
      <c r="Q201" s="41">
        <v>15095.16</v>
      </c>
      <c r="R201" s="41">
        <v>0</v>
      </c>
      <c r="S201" s="41">
        <v>0</v>
      </c>
      <c r="T201" s="41">
        <v>0</v>
      </c>
      <c r="U201" s="41">
        <v>0</v>
      </c>
      <c r="V201" s="41">
        <v>488.6</v>
      </c>
      <c r="W201" s="41">
        <v>0</v>
      </c>
      <c r="X201" s="41">
        <v>14606.56</v>
      </c>
      <c r="Y201" s="41">
        <v>1126.5</v>
      </c>
      <c r="Z201" s="41">
        <v>0</v>
      </c>
      <c r="AA201" s="41">
        <v>30</v>
      </c>
      <c r="AB201" s="41">
        <v>1815200</v>
      </c>
      <c r="AC201" s="41">
        <v>66</v>
      </c>
      <c r="AD201" s="41" t="s">
        <v>433</v>
      </c>
    </row>
    <row r="202" spans="1:30" x14ac:dyDescent="0.35">
      <c r="A202" s="41">
        <v>467</v>
      </c>
      <c r="B202" s="41">
        <v>30310473</v>
      </c>
      <c r="C202" s="41">
        <v>303104731</v>
      </c>
      <c r="D202" s="41" t="s">
        <v>1773</v>
      </c>
      <c r="E202" s="41" t="s">
        <v>438</v>
      </c>
      <c r="F202" s="41">
        <v>815200</v>
      </c>
      <c r="G202" s="41" t="s">
        <v>1972</v>
      </c>
      <c r="H202" s="41">
        <v>90541</v>
      </c>
      <c r="I202" s="41" t="s">
        <v>819</v>
      </c>
      <c r="J202" s="41">
        <v>93</v>
      </c>
      <c r="K202" s="41">
        <v>2</v>
      </c>
      <c r="L202" s="41">
        <v>0</v>
      </c>
      <c r="M202" s="41">
        <v>100</v>
      </c>
      <c r="N202" s="41">
        <v>20881.63</v>
      </c>
      <c r="O202" s="41">
        <v>3225.6</v>
      </c>
      <c r="P202" s="41">
        <v>881.29</v>
      </c>
      <c r="Q202" s="41">
        <v>15574.39</v>
      </c>
      <c r="R202" s="41">
        <v>351</v>
      </c>
      <c r="S202" s="41">
        <v>0</v>
      </c>
      <c r="T202" s="41">
        <v>0</v>
      </c>
      <c r="U202" s="41">
        <v>0</v>
      </c>
      <c r="V202" s="41">
        <v>1100.5999999999999</v>
      </c>
      <c r="W202" s="41">
        <v>447.52</v>
      </c>
      <c r="X202" s="41">
        <v>13675.27</v>
      </c>
      <c r="Y202" s="41">
        <v>1170.3499999999999</v>
      </c>
      <c r="Z202" s="41">
        <v>0</v>
      </c>
      <c r="AA202" s="41">
        <v>30</v>
      </c>
      <c r="AB202" s="41">
        <v>1815200</v>
      </c>
      <c r="AC202" s="41">
        <v>66</v>
      </c>
      <c r="AD202" s="41" t="s">
        <v>433</v>
      </c>
    </row>
    <row r="203" spans="1:30" x14ac:dyDescent="0.35">
      <c r="A203" s="41">
        <v>467</v>
      </c>
      <c r="B203" s="41">
        <v>30818107</v>
      </c>
      <c r="C203" s="41">
        <v>308181072</v>
      </c>
      <c r="D203" s="41" t="s">
        <v>434</v>
      </c>
      <c r="E203" s="41" t="s">
        <v>507</v>
      </c>
      <c r="F203" s="41">
        <v>815200</v>
      </c>
      <c r="G203" s="41" t="s">
        <v>1972</v>
      </c>
      <c r="H203" s="41">
        <v>90541</v>
      </c>
      <c r="I203" s="41" t="s">
        <v>821</v>
      </c>
      <c r="J203" s="41">
        <v>0</v>
      </c>
      <c r="K203" s="41">
        <v>0</v>
      </c>
      <c r="L203" s="41">
        <v>0</v>
      </c>
      <c r="M203" s="41">
        <v>0</v>
      </c>
      <c r="N203" s="41">
        <v>12491</v>
      </c>
      <c r="O203" s="41">
        <v>0</v>
      </c>
      <c r="P203" s="41">
        <v>820.9</v>
      </c>
      <c r="Q203" s="41">
        <v>10800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10800</v>
      </c>
      <c r="Y203" s="41">
        <v>810.1</v>
      </c>
      <c r="Z203" s="41">
        <v>0</v>
      </c>
      <c r="AA203" s="41">
        <v>60</v>
      </c>
      <c r="AB203" s="41">
        <v>1815200</v>
      </c>
      <c r="AC203" s="41">
        <v>66</v>
      </c>
      <c r="AD203" s="41" t="s">
        <v>433</v>
      </c>
    </row>
    <row r="204" spans="1:30" x14ac:dyDescent="0.35">
      <c r="A204" s="41">
        <v>467</v>
      </c>
      <c r="B204" s="41">
        <v>30818235</v>
      </c>
      <c r="C204" s="41">
        <v>308182351</v>
      </c>
      <c r="D204" s="41" t="s">
        <v>1775</v>
      </c>
      <c r="E204" s="41" t="s">
        <v>949</v>
      </c>
      <c r="F204" s="41">
        <v>815200</v>
      </c>
      <c r="G204" s="41" t="s">
        <v>1972</v>
      </c>
      <c r="H204" s="41">
        <v>90541</v>
      </c>
      <c r="I204" s="41" t="s">
        <v>819</v>
      </c>
      <c r="J204" s="41">
        <v>93</v>
      </c>
      <c r="K204" s="41">
        <v>2</v>
      </c>
      <c r="L204" s="41">
        <v>0</v>
      </c>
      <c r="M204" s="41">
        <v>63.1</v>
      </c>
      <c r="N204" s="41">
        <v>11506.06</v>
      </c>
      <c r="O204" s="41">
        <v>1231.2</v>
      </c>
      <c r="P204" s="41">
        <v>381.76</v>
      </c>
      <c r="Q204" s="41">
        <v>9184.4500000000007</v>
      </c>
      <c r="R204" s="41">
        <v>239.28</v>
      </c>
      <c r="S204" s="41">
        <v>0</v>
      </c>
      <c r="T204" s="41">
        <v>0</v>
      </c>
      <c r="U204" s="41">
        <v>0</v>
      </c>
      <c r="V204" s="41">
        <v>1089.68</v>
      </c>
      <c r="W204" s="41">
        <v>0</v>
      </c>
      <c r="X204" s="41">
        <v>7855.49</v>
      </c>
      <c r="Y204" s="41">
        <v>678.65</v>
      </c>
      <c r="Z204" s="41">
        <v>0</v>
      </c>
      <c r="AA204" s="41">
        <v>30</v>
      </c>
      <c r="AB204" s="41">
        <v>1815200</v>
      </c>
      <c r="AC204" s="41">
        <v>66</v>
      </c>
      <c r="AD204" s="41" t="s">
        <v>433</v>
      </c>
    </row>
    <row r="205" spans="1:30" x14ac:dyDescent="0.35">
      <c r="A205" s="41">
        <v>467</v>
      </c>
      <c r="B205" s="41">
        <v>30845003</v>
      </c>
      <c r="C205" s="41">
        <v>308450030</v>
      </c>
      <c r="D205" s="41" t="s">
        <v>516</v>
      </c>
      <c r="E205" s="41" t="s">
        <v>1776</v>
      </c>
      <c r="F205" s="41">
        <v>815200</v>
      </c>
      <c r="G205" s="41" t="s">
        <v>1972</v>
      </c>
      <c r="H205" s="41">
        <v>90541</v>
      </c>
      <c r="I205" s="41" t="s">
        <v>821</v>
      </c>
      <c r="J205" s="41">
        <v>0</v>
      </c>
      <c r="K205" s="41">
        <v>0</v>
      </c>
      <c r="L205" s="41">
        <v>0</v>
      </c>
      <c r="M205" s="41">
        <v>0</v>
      </c>
      <c r="N205" s="41">
        <v>9771.33</v>
      </c>
      <c r="O205" s="41">
        <v>0</v>
      </c>
      <c r="P205" s="41">
        <v>643.22</v>
      </c>
      <c r="Q205" s="41">
        <v>8463.36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8463.36</v>
      </c>
      <c r="Y205" s="41">
        <v>634.75</v>
      </c>
      <c r="Z205" s="41">
        <v>0</v>
      </c>
      <c r="AA205" s="41">
        <v>30</v>
      </c>
      <c r="AB205" s="41">
        <v>1815200</v>
      </c>
      <c r="AC205" s="41">
        <v>66</v>
      </c>
      <c r="AD205" s="41" t="s">
        <v>433</v>
      </c>
    </row>
    <row r="206" spans="1:30" x14ac:dyDescent="0.35">
      <c r="A206" s="41">
        <v>467</v>
      </c>
      <c r="B206" s="41">
        <v>30849903</v>
      </c>
      <c r="C206" s="41">
        <v>308499037</v>
      </c>
      <c r="D206" s="41" t="s">
        <v>1777</v>
      </c>
      <c r="E206" s="41" t="s">
        <v>583</v>
      </c>
      <c r="F206" s="41">
        <v>815200</v>
      </c>
      <c r="G206" s="41" t="s">
        <v>1972</v>
      </c>
      <c r="H206" s="41">
        <v>90541</v>
      </c>
      <c r="I206" s="41" t="s">
        <v>819</v>
      </c>
      <c r="J206" s="41">
        <v>93</v>
      </c>
      <c r="K206" s="41">
        <v>2</v>
      </c>
      <c r="L206" s="41">
        <v>0</v>
      </c>
      <c r="M206" s="41">
        <v>66.400000000000006</v>
      </c>
      <c r="N206" s="41">
        <v>7887.96</v>
      </c>
      <c r="O206" s="41">
        <v>0</v>
      </c>
      <c r="P206" s="41">
        <v>251.2</v>
      </c>
      <c r="Q206" s="41">
        <v>7076.06</v>
      </c>
      <c r="R206" s="41">
        <v>233.24</v>
      </c>
      <c r="S206" s="41">
        <v>0</v>
      </c>
      <c r="T206" s="41">
        <v>0</v>
      </c>
      <c r="U206" s="41">
        <v>0</v>
      </c>
      <c r="V206" s="41">
        <v>382.59</v>
      </c>
      <c r="W206" s="41">
        <v>0</v>
      </c>
      <c r="X206" s="41">
        <v>6460.23</v>
      </c>
      <c r="Y206" s="41">
        <v>530.70000000000005</v>
      </c>
      <c r="Z206" s="41">
        <v>0</v>
      </c>
      <c r="AA206" s="41">
        <v>30</v>
      </c>
      <c r="AB206" s="41">
        <v>1815200</v>
      </c>
      <c r="AC206" s="41">
        <v>66</v>
      </c>
      <c r="AD206" s="41" t="s">
        <v>433</v>
      </c>
    </row>
    <row r="207" spans="1:30" x14ac:dyDescent="0.35">
      <c r="A207" s="41">
        <v>467</v>
      </c>
      <c r="B207" s="41">
        <v>31007193</v>
      </c>
      <c r="C207" s="41">
        <v>310071931</v>
      </c>
      <c r="D207" s="41" t="s">
        <v>889</v>
      </c>
      <c r="E207" s="41" t="s">
        <v>858</v>
      </c>
      <c r="F207" s="41">
        <v>815200</v>
      </c>
      <c r="G207" s="41" t="s">
        <v>1972</v>
      </c>
      <c r="H207" s="41">
        <v>90541</v>
      </c>
      <c r="I207" s="41" t="s">
        <v>821</v>
      </c>
      <c r="J207" s="41">
        <v>0</v>
      </c>
      <c r="K207" s="41">
        <v>0</v>
      </c>
      <c r="L207" s="41">
        <v>0</v>
      </c>
      <c r="M207" s="41">
        <v>0</v>
      </c>
      <c r="N207" s="41">
        <v>12297.8</v>
      </c>
      <c r="O207" s="41">
        <v>2979.62</v>
      </c>
      <c r="P207" s="41">
        <v>608.02</v>
      </c>
      <c r="Q207" s="41">
        <v>8055.61</v>
      </c>
      <c r="R207" s="41">
        <v>0</v>
      </c>
      <c r="S207" s="41">
        <v>0</v>
      </c>
      <c r="T207" s="41">
        <v>0</v>
      </c>
      <c r="U207" s="41">
        <v>0</v>
      </c>
      <c r="V207" s="41">
        <v>-768.05</v>
      </c>
      <c r="W207" s="41">
        <v>0</v>
      </c>
      <c r="X207" s="41">
        <v>8823.66</v>
      </c>
      <c r="Y207" s="41">
        <v>654.54999999999995</v>
      </c>
      <c r="Z207" s="41">
        <v>0</v>
      </c>
      <c r="AA207" s="41">
        <v>0</v>
      </c>
      <c r="AB207" s="41">
        <v>1815200</v>
      </c>
      <c r="AC207" s="41">
        <v>66</v>
      </c>
      <c r="AD207" s="41" t="s">
        <v>433</v>
      </c>
    </row>
    <row r="208" spans="1:30" x14ac:dyDescent="0.35">
      <c r="A208" s="41">
        <v>467</v>
      </c>
      <c r="B208" s="41">
        <v>31239414</v>
      </c>
      <c r="C208" s="41">
        <v>312394141</v>
      </c>
      <c r="D208" s="41" t="s">
        <v>434</v>
      </c>
      <c r="E208" s="41" t="s">
        <v>890</v>
      </c>
      <c r="F208" s="41">
        <v>815200</v>
      </c>
      <c r="G208" s="41" t="s">
        <v>1972</v>
      </c>
      <c r="H208" s="41">
        <v>90541</v>
      </c>
      <c r="I208" s="41" t="s">
        <v>819</v>
      </c>
      <c r="J208" s="41">
        <v>93</v>
      </c>
      <c r="K208" s="41">
        <v>2</v>
      </c>
      <c r="L208" s="41">
        <v>0</v>
      </c>
      <c r="M208" s="41">
        <v>96</v>
      </c>
      <c r="N208" s="41">
        <v>17002.75</v>
      </c>
      <c r="O208" s="41">
        <v>2826.39</v>
      </c>
      <c r="P208" s="41">
        <v>649.54999999999995</v>
      </c>
      <c r="Q208" s="41">
        <v>12555.16</v>
      </c>
      <c r="R208" s="41">
        <v>351</v>
      </c>
      <c r="S208" s="41">
        <v>0</v>
      </c>
      <c r="T208" s="41">
        <v>0</v>
      </c>
      <c r="U208" s="41">
        <v>0</v>
      </c>
      <c r="V208" s="41">
        <v>219.85</v>
      </c>
      <c r="W208" s="41">
        <v>397.38</v>
      </c>
      <c r="X208" s="41">
        <v>11586.93</v>
      </c>
      <c r="Y208" s="41">
        <v>941.65</v>
      </c>
      <c r="Z208" s="41">
        <v>0</v>
      </c>
      <c r="AA208" s="41">
        <v>30</v>
      </c>
      <c r="AB208" s="41">
        <v>1815200</v>
      </c>
      <c r="AC208" s="41">
        <v>66</v>
      </c>
      <c r="AD208" s="41" t="s">
        <v>433</v>
      </c>
    </row>
    <row r="209" spans="1:30" x14ac:dyDescent="0.35">
      <c r="A209" s="41">
        <v>467</v>
      </c>
      <c r="B209" s="41">
        <v>31244055</v>
      </c>
      <c r="C209" s="41">
        <v>312440555</v>
      </c>
      <c r="D209" s="41" t="s">
        <v>891</v>
      </c>
      <c r="E209" s="41" t="s">
        <v>496</v>
      </c>
      <c r="F209" s="41">
        <v>815200</v>
      </c>
      <c r="G209" s="41" t="s">
        <v>1972</v>
      </c>
      <c r="H209" s="41">
        <v>90541</v>
      </c>
      <c r="I209" s="41" t="s">
        <v>819</v>
      </c>
      <c r="J209" s="41">
        <v>93</v>
      </c>
      <c r="K209" s="41">
        <v>2</v>
      </c>
      <c r="L209" s="41">
        <v>0</v>
      </c>
      <c r="M209" s="41">
        <v>106.5</v>
      </c>
      <c r="N209" s="41">
        <v>17993.099999999999</v>
      </c>
      <c r="O209" s="41">
        <v>2976.32</v>
      </c>
      <c r="P209" s="41">
        <v>707.02</v>
      </c>
      <c r="Q209" s="41">
        <v>13281.41</v>
      </c>
      <c r="R209" s="41">
        <v>0</v>
      </c>
      <c r="S209" s="41">
        <v>0</v>
      </c>
      <c r="T209" s="41">
        <v>0</v>
      </c>
      <c r="U209" s="41">
        <v>0</v>
      </c>
      <c r="V209" s="41">
        <v>724.35</v>
      </c>
      <c r="W209" s="41">
        <v>0</v>
      </c>
      <c r="X209" s="41">
        <v>12557.06</v>
      </c>
      <c r="Y209" s="41">
        <v>998.35</v>
      </c>
      <c r="Z209" s="41">
        <v>0</v>
      </c>
      <c r="AA209" s="41">
        <v>30</v>
      </c>
      <c r="AB209" s="41">
        <v>1815200</v>
      </c>
      <c r="AC209" s="41">
        <v>66</v>
      </c>
      <c r="AD209" s="41" t="s">
        <v>433</v>
      </c>
    </row>
    <row r="210" spans="1:30" x14ac:dyDescent="0.35">
      <c r="A210" s="41">
        <v>467</v>
      </c>
      <c r="B210" s="41">
        <v>31247964</v>
      </c>
      <c r="C210" s="41">
        <v>312479645</v>
      </c>
      <c r="D210" s="41" t="s">
        <v>1778</v>
      </c>
      <c r="E210" s="41" t="s">
        <v>1779</v>
      </c>
      <c r="F210" s="41">
        <v>815200</v>
      </c>
      <c r="G210" s="41" t="s">
        <v>1972</v>
      </c>
      <c r="H210" s="41">
        <v>90541</v>
      </c>
      <c r="I210" s="41" t="s">
        <v>819</v>
      </c>
      <c r="J210" s="41">
        <v>93</v>
      </c>
      <c r="K210" s="41">
        <v>1</v>
      </c>
      <c r="L210" s="41">
        <v>0</v>
      </c>
      <c r="M210" s="41">
        <v>98.6</v>
      </c>
      <c r="N210" s="41">
        <v>18504.63</v>
      </c>
      <c r="O210" s="41">
        <v>3007.5</v>
      </c>
      <c r="P210" s="41">
        <v>736.76</v>
      </c>
      <c r="Q210" s="41">
        <v>13702.67</v>
      </c>
      <c r="R210" s="41">
        <v>0</v>
      </c>
      <c r="S210" s="41">
        <v>0</v>
      </c>
      <c r="T210" s="41">
        <v>0</v>
      </c>
      <c r="U210" s="41">
        <v>0</v>
      </c>
      <c r="V210" s="41">
        <v>625</v>
      </c>
      <c r="W210" s="41">
        <v>0</v>
      </c>
      <c r="X210" s="41">
        <v>13077.67</v>
      </c>
      <c r="Y210" s="41">
        <v>1027.7</v>
      </c>
      <c r="Z210" s="41">
        <v>0</v>
      </c>
      <c r="AA210" s="41">
        <v>30</v>
      </c>
      <c r="AB210" s="41">
        <v>1815200</v>
      </c>
      <c r="AC210" s="41">
        <v>66</v>
      </c>
      <c r="AD210" s="41" t="s">
        <v>433</v>
      </c>
    </row>
    <row r="211" spans="1:30" x14ac:dyDescent="0.35">
      <c r="A211" s="41">
        <v>467</v>
      </c>
      <c r="B211" s="41">
        <v>31405744</v>
      </c>
      <c r="C211" s="41">
        <v>314057449</v>
      </c>
      <c r="D211" s="41" t="s">
        <v>892</v>
      </c>
      <c r="E211" s="41" t="s">
        <v>893</v>
      </c>
      <c r="F211" s="41">
        <v>815200</v>
      </c>
      <c r="G211" s="41" t="s">
        <v>1972</v>
      </c>
      <c r="H211" s="41">
        <v>90541</v>
      </c>
      <c r="I211" s="41" t="s">
        <v>819</v>
      </c>
      <c r="J211" s="41">
        <v>93</v>
      </c>
      <c r="K211" s="41">
        <v>2</v>
      </c>
      <c r="L211" s="41">
        <v>0</v>
      </c>
      <c r="M211" s="41">
        <v>91.4</v>
      </c>
      <c r="N211" s="41">
        <v>15140.76</v>
      </c>
      <c r="O211" s="41">
        <v>2548.71</v>
      </c>
      <c r="P211" s="41">
        <v>544.94000000000005</v>
      </c>
      <c r="Q211" s="41">
        <v>11178.71</v>
      </c>
      <c r="R211" s="41">
        <v>0</v>
      </c>
      <c r="S211" s="41">
        <v>0</v>
      </c>
      <c r="T211" s="41">
        <v>0</v>
      </c>
      <c r="U211" s="41">
        <v>0</v>
      </c>
      <c r="V211" s="41">
        <v>659.85</v>
      </c>
      <c r="W211" s="41">
        <v>0</v>
      </c>
      <c r="X211" s="41">
        <v>10518.86</v>
      </c>
      <c r="Y211" s="41">
        <v>838.4</v>
      </c>
      <c r="Z211" s="41">
        <v>0</v>
      </c>
      <c r="AA211" s="41">
        <v>30</v>
      </c>
      <c r="AB211" s="41">
        <v>1815200</v>
      </c>
      <c r="AC211" s="41">
        <v>66</v>
      </c>
      <c r="AD211" s="41" t="s">
        <v>433</v>
      </c>
    </row>
    <row r="212" spans="1:30" x14ac:dyDescent="0.35">
      <c r="A212" s="41">
        <v>467</v>
      </c>
      <c r="B212" s="41">
        <v>31464157</v>
      </c>
      <c r="C212" s="41">
        <v>314641572</v>
      </c>
      <c r="D212" s="41" t="s">
        <v>490</v>
      </c>
      <c r="E212" s="41" t="s">
        <v>1780</v>
      </c>
      <c r="F212" s="41">
        <v>815200</v>
      </c>
      <c r="G212" s="41" t="s">
        <v>1972</v>
      </c>
      <c r="H212" s="41">
        <v>90541</v>
      </c>
      <c r="I212" s="41" t="s">
        <v>821</v>
      </c>
      <c r="J212" s="41">
        <v>0</v>
      </c>
      <c r="K212" s="41">
        <v>0</v>
      </c>
      <c r="L212" s="41">
        <v>0</v>
      </c>
      <c r="M212" s="41">
        <v>0</v>
      </c>
      <c r="N212" s="41">
        <v>4141.54</v>
      </c>
      <c r="O212" s="41">
        <v>0</v>
      </c>
      <c r="P212" s="41">
        <v>113.22</v>
      </c>
      <c r="Q212" s="41">
        <v>3789.12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3789.12</v>
      </c>
      <c r="Y212" s="41">
        <v>239.2</v>
      </c>
      <c r="Z212" s="41">
        <v>0</v>
      </c>
      <c r="AA212" s="41">
        <v>0</v>
      </c>
      <c r="AB212" s="41">
        <v>1815200</v>
      </c>
      <c r="AC212" s="41">
        <v>66</v>
      </c>
      <c r="AD212" s="41" t="s">
        <v>433</v>
      </c>
    </row>
    <row r="213" spans="1:30" x14ac:dyDescent="0.35">
      <c r="A213" s="41">
        <v>467</v>
      </c>
      <c r="B213" s="41">
        <v>31504737</v>
      </c>
      <c r="C213" s="41">
        <v>315047373</v>
      </c>
      <c r="D213" s="41" t="s">
        <v>526</v>
      </c>
      <c r="E213" s="41" t="s">
        <v>842</v>
      </c>
      <c r="F213" s="41">
        <v>815200</v>
      </c>
      <c r="G213" s="41" t="s">
        <v>1972</v>
      </c>
      <c r="H213" s="41">
        <v>90541</v>
      </c>
      <c r="I213" s="41" t="s">
        <v>819</v>
      </c>
      <c r="J213" s="41">
        <v>93</v>
      </c>
      <c r="K213" s="41">
        <v>2</v>
      </c>
      <c r="L213" s="41">
        <v>0</v>
      </c>
      <c r="M213" s="41">
        <v>87.5</v>
      </c>
      <c r="N213" s="41">
        <v>15876.05</v>
      </c>
      <c r="O213" s="41">
        <v>2588.25</v>
      </c>
      <c r="P213" s="41">
        <v>592.86</v>
      </c>
      <c r="Q213" s="41">
        <v>11779.24</v>
      </c>
      <c r="R213" s="41">
        <v>331.7</v>
      </c>
      <c r="S213" s="41">
        <v>0</v>
      </c>
      <c r="T213" s="41">
        <v>0</v>
      </c>
      <c r="U213" s="41">
        <v>0</v>
      </c>
      <c r="V213" s="41">
        <v>658.65</v>
      </c>
      <c r="W213" s="41">
        <v>0</v>
      </c>
      <c r="X213" s="41">
        <v>10788.89</v>
      </c>
      <c r="Y213" s="41">
        <v>885.7</v>
      </c>
      <c r="Z213" s="41">
        <v>0</v>
      </c>
      <c r="AA213" s="41">
        <v>30</v>
      </c>
      <c r="AB213" s="41">
        <v>1815200</v>
      </c>
      <c r="AC213" s="41">
        <v>66</v>
      </c>
      <c r="AD213" s="41" t="s">
        <v>433</v>
      </c>
    </row>
    <row r="214" spans="1:30" x14ac:dyDescent="0.35">
      <c r="A214" s="41">
        <v>467</v>
      </c>
      <c r="B214" s="41">
        <v>31520408</v>
      </c>
      <c r="C214" s="41">
        <v>315204081</v>
      </c>
      <c r="D214" s="41" t="s">
        <v>1781</v>
      </c>
      <c r="E214" s="41" t="s">
        <v>885</v>
      </c>
      <c r="F214" s="41">
        <v>815200</v>
      </c>
      <c r="G214" s="41" t="s">
        <v>1972</v>
      </c>
      <c r="H214" s="41">
        <v>90541</v>
      </c>
      <c r="I214" s="41" t="s">
        <v>819</v>
      </c>
      <c r="J214" s="41">
        <v>93</v>
      </c>
      <c r="K214" s="41">
        <v>2</v>
      </c>
      <c r="L214" s="41">
        <v>0</v>
      </c>
      <c r="M214" s="41">
        <v>58.3</v>
      </c>
      <c r="N214" s="41">
        <v>6748.58</v>
      </c>
      <c r="O214" s="41">
        <v>0</v>
      </c>
      <c r="P214" s="41">
        <v>214.77</v>
      </c>
      <c r="Q214" s="41">
        <v>6050.06</v>
      </c>
      <c r="R214" s="41">
        <v>0</v>
      </c>
      <c r="S214" s="41">
        <v>0</v>
      </c>
      <c r="T214" s="41">
        <v>0</v>
      </c>
      <c r="U214" s="41">
        <v>0</v>
      </c>
      <c r="V214" s="41">
        <v>1025.8499999999999</v>
      </c>
      <c r="W214" s="41">
        <v>0</v>
      </c>
      <c r="X214" s="41">
        <v>5024.21</v>
      </c>
      <c r="Y214" s="41">
        <v>453.75</v>
      </c>
      <c r="Z214" s="41">
        <v>0</v>
      </c>
      <c r="AA214" s="41">
        <v>30</v>
      </c>
      <c r="AB214" s="41">
        <v>1815200</v>
      </c>
      <c r="AC214" s="41">
        <v>66</v>
      </c>
      <c r="AD214" s="41" t="s">
        <v>433</v>
      </c>
    </row>
    <row r="215" spans="1:30" x14ac:dyDescent="0.35">
      <c r="A215" s="41">
        <v>467</v>
      </c>
      <c r="B215" s="41">
        <v>31625037</v>
      </c>
      <c r="C215" s="41">
        <v>316250372</v>
      </c>
      <c r="D215" s="41" t="s">
        <v>472</v>
      </c>
      <c r="E215" s="41" t="s">
        <v>1782</v>
      </c>
      <c r="F215" s="41">
        <v>815200</v>
      </c>
      <c r="G215" s="41" t="s">
        <v>1972</v>
      </c>
      <c r="H215" s="41">
        <v>90541</v>
      </c>
      <c r="I215" s="41" t="s">
        <v>819</v>
      </c>
      <c r="J215" s="41">
        <v>93</v>
      </c>
      <c r="K215" s="41">
        <v>1</v>
      </c>
      <c r="L215" s="41">
        <v>0</v>
      </c>
      <c r="M215" s="41">
        <v>96</v>
      </c>
      <c r="N215" s="41">
        <v>23941.919999999998</v>
      </c>
      <c r="O215" s="41">
        <v>4092.49</v>
      </c>
      <c r="P215" s="41">
        <v>1021.8</v>
      </c>
      <c r="Q215" s="41">
        <v>17486.18</v>
      </c>
      <c r="R215" s="41">
        <v>588</v>
      </c>
      <c r="S215" s="41">
        <v>0</v>
      </c>
      <c r="T215" s="41">
        <v>0</v>
      </c>
      <c r="U215" s="41">
        <v>0</v>
      </c>
      <c r="V215" s="41">
        <v>607.6</v>
      </c>
      <c r="W215" s="41">
        <v>0</v>
      </c>
      <c r="X215" s="41">
        <v>16290.58</v>
      </c>
      <c r="Y215" s="41">
        <v>1311.45</v>
      </c>
      <c r="Z215" s="41">
        <v>0</v>
      </c>
      <c r="AA215" s="41">
        <v>30</v>
      </c>
      <c r="AB215" s="41">
        <v>1815200</v>
      </c>
      <c r="AC215" s="41">
        <v>66</v>
      </c>
      <c r="AD215" s="41" t="s">
        <v>433</v>
      </c>
    </row>
    <row r="216" spans="1:30" x14ac:dyDescent="0.35">
      <c r="A216" s="41">
        <v>467</v>
      </c>
      <c r="B216" s="41">
        <v>31897789</v>
      </c>
      <c r="C216" s="41">
        <v>318977899</v>
      </c>
      <c r="D216" s="41" t="s">
        <v>1783</v>
      </c>
      <c r="E216" s="41" t="s">
        <v>1784</v>
      </c>
      <c r="F216" s="41">
        <v>815200</v>
      </c>
      <c r="G216" s="41" t="s">
        <v>1972</v>
      </c>
      <c r="H216" s="41">
        <v>90541</v>
      </c>
      <c r="I216" s="41" t="s">
        <v>819</v>
      </c>
      <c r="J216" s="41">
        <v>93</v>
      </c>
      <c r="K216" s="41">
        <v>3</v>
      </c>
      <c r="L216" s="41">
        <v>0</v>
      </c>
      <c r="M216" s="41">
        <v>63.1</v>
      </c>
      <c r="N216" s="41">
        <v>8483.07</v>
      </c>
      <c r="O216" s="41">
        <v>1748.62</v>
      </c>
      <c r="P216" s="41">
        <v>214.32</v>
      </c>
      <c r="Q216" s="41">
        <v>6037.33</v>
      </c>
      <c r="R216" s="41">
        <v>0</v>
      </c>
      <c r="S216" s="41">
        <v>0</v>
      </c>
      <c r="T216" s="41">
        <v>0</v>
      </c>
      <c r="U216" s="41">
        <v>0</v>
      </c>
      <c r="V216" s="41">
        <v>397.95</v>
      </c>
      <c r="W216" s="41">
        <v>0</v>
      </c>
      <c r="X216" s="41">
        <v>5639.38</v>
      </c>
      <c r="Y216" s="41">
        <v>452.8</v>
      </c>
      <c r="Z216" s="41">
        <v>0</v>
      </c>
      <c r="AA216" s="41">
        <v>30</v>
      </c>
      <c r="AB216" s="41">
        <v>1815200</v>
      </c>
      <c r="AC216" s="41">
        <v>66</v>
      </c>
      <c r="AD216" s="41" t="s">
        <v>433</v>
      </c>
    </row>
    <row r="217" spans="1:30" x14ac:dyDescent="0.35">
      <c r="A217" s="41">
        <v>467</v>
      </c>
      <c r="B217" s="41">
        <v>32372902</v>
      </c>
      <c r="C217" s="41">
        <v>323729020</v>
      </c>
      <c r="D217" s="41" t="s">
        <v>1785</v>
      </c>
      <c r="E217" s="41" t="s">
        <v>908</v>
      </c>
      <c r="F217" s="41">
        <v>815200</v>
      </c>
      <c r="G217" s="41" t="s">
        <v>1972</v>
      </c>
      <c r="H217" s="41">
        <v>90541</v>
      </c>
      <c r="I217" s="41" t="s">
        <v>819</v>
      </c>
      <c r="J217" s="41">
        <v>93</v>
      </c>
      <c r="K217" s="41">
        <v>1</v>
      </c>
      <c r="L217" s="41">
        <v>0</v>
      </c>
      <c r="M217" s="41">
        <v>100</v>
      </c>
      <c r="N217" s="41">
        <v>20176.3</v>
      </c>
      <c r="O217" s="41">
        <v>3296.13</v>
      </c>
      <c r="P217" s="41">
        <v>828.08</v>
      </c>
      <c r="Q217" s="41">
        <v>14904.29</v>
      </c>
      <c r="R217" s="41">
        <v>0</v>
      </c>
      <c r="S217" s="41">
        <v>0</v>
      </c>
      <c r="T217" s="41">
        <v>0</v>
      </c>
      <c r="U217" s="41">
        <v>0</v>
      </c>
      <c r="V217" s="41">
        <v>625</v>
      </c>
      <c r="W217" s="41">
        <v>0</v>
      </c>
      <c r="X217" s="41">
        <v>14279.29</v>
      </c>
      <c r="Y217" s="41">
        <v>1117.8</v>
      </c>
      <c r="Z217" s="41">
        <v>0</v>
      </c>
      <c r="AA217" s="41">
        <v>30</v>
      </c>
      <c r="AB217" s="41">
        <v>1815200</v>
      </c>
      <c r="AC217" s="41">
        <v>66</v>
      </c>
      <c r="AD217" s="41" t="s">
        <v>433</v>
      </c>
    </row>
    <row r="218" spans="1:30" x14ac:dyDescent="0.35">
      <c r="A218" s="41">
        <v>467</v>
      </c>
      <c r="B218" s="41">
        <v>2618019</v>
      </c>
      <c r="C218" s="41">
        <v>26180190</v>
      </c>
      <c r="D218" s="41" t="s">
        <v>442</v>
      </c>
      <c r="E218" s="41" t="s">
        <v>435</v>
      </c>
      <c r="F218" s="41">
        <v>815210</v>
      </c>
      <c r="G218" s="41" t="s">
        <v>1972</v>
      </c>
      <c r="H218" s="41">
        <v>90541</v>
      </c>
      <c r="I218" s="41" t="s">
        <v>819</v>
      </c>
      <c r="J218" s="41">
        <v>5</v>
      </c>
      <c r="K218" s="41">
        <v>5</v>
      </c>
      <c r="L218" s="41">
        <v>0</v>
      </c>
      <c r="M218" s="41">
        <v>100</v>
      </c>
      <c r="N218" s="41">
        <v>13507.78</v>
      </c>
      <c r="O218" s="41">
        <v>1594.06</v>
      </c>
      <c r="P218" s="41">
        <v>504.11</v>
      </c>
      <c r="Q218" s="41">
        <v>10611.51</v>
      </c>
      <c r="R218" s="41">
        <v>0</v>
      </c>
      <c r="S218" s="41">
        <v>0</v>
      </c>
      <c r="T218" s="41">
        <v>0</v>
      </c>
      <c r="U218" s="41">
        <v>0</v>
      </c>
      <c r="V218" s="41">
        <v>173.45</v>
      </c>
      <c r="W218" s="41">
        <v>3605.38</v>
      </c>
      <c r="X218" s="41">
        <v>6832.68</v>
      </c>
      <c r="Y218" s="41">
        <v>798.1</v>
      </c>
      <c r="Z218" s="41">
        <v>0</v>
      </c>
      <c r="AA218" s="41">
        <v>0</v>
      </c>
      <c r="AB218" s="41">
        <v>1815200</v>
      </c>
      <c r="AC218" s="41">
        <v>66</v>
      </c>
      <c r="AD218" s="41" t="s">
        <v>433</v>
      </c>
    </row>
    <row r="219" spans="1:30" x14ac:dyDescent="0.35">
      <c r="A219" s="41">
        <v>467</v>
      </c>
      <c r="B219" s="41">
        <v>5894017</v>
      </c>
      <c r="C219" s="41">
        <v>58940172</v>
      </c>
      <c r="D219" s="41" t="s">
        <v>434</v>
      </c>
      <c r="E219" s="41" t="s">
        <v>459</v>
      </c>
      <c r="F219" s="41">
        <v>815210</v>
      </c>
      <c r="G219" s="41" t="s">
        <v>1972</v>
      </c>
      <c r="H219" s="41">
        <v>90541</v>
      </c>
      <c r="I219" s="41" t="s">
        <v>819</v>
      </c>
      <c r="J219" s="41">
        <v>5</v>
      </c>
      <c r="K219" s="41">
        <v>11</v>
      </c>
      <c r="L219" s="41">
        <v>0</v>
      </c>
      <c r="M219" s="41">
        <v>100</v>
      </c>
      <c r="N219" s="41">
        <v>15838.85</v>
      </c>
      <c r="O219" s="41">
        <v>2361.96</v>
      </c>
      <c r="P219" s="41">
        <v>607.33000000000004</v>
      </c>
      <c r="Q219" s="41">
        <v>11969.61</v>
      </c>
      <c r="R219" s="41">
        <v>208</v>
      </c>
      <c r="S219" s="41">
        <v>0</v>
      </c>
      <c r="T219" s="41">
        <v>0</v>
      </c>
      <c r="U219" s="41">
        <v>503.2</v>
      </c>
      <c r="V219" s="41">
        <v>185.6</v>
      </c>
      <c r="W219" s="41">
        <v>0</v>
      </c>
      <c r="X219" s="41">
        <v>11072.81</v>
      </c>
      <c r="Y219" s="41">
        <v>899.95</v>
      </c>
      <c r="Z219" s="41">
        <v>0</v>
      </c>
      <c r="AA219" s="41">
        <v>0</v>
      </c>
      <c r="AB219" s="41">
        <v>1815200</v>
      </c>
      <c r="AC219" s="41">
        <v>66</v>
      </c>
      <c r="AD219" s="41" t="s">
        <v>433</v>
      </c>
    </row>
    <row r="220" spans="1:30" x14ac:dyDescent="0.35">
      <c r="A220" s="41">
        <v>467</v>
      </c>
      <c r="B220" s="41">
        <v>2156406</v>
      </c>
      <c r="C220" s="41">
        <v>21564067</v>
      </c>
      <c r="D220" s="41" t="s">
        <v>442</v>
      </c>
      <c r="E220" s="41" t="s">
        <v>493</v>
      </c>
      <c r="F220" s="41">
        <v>817300</v>
      </c>
      <c r="G220" s="41" t="s">
        <v>1972</v>
      </c>
      <c r="H220" s="41">
        <v>90541</v>
      </c>
      <c r="I220" s="41" t="s">
        <v>819</v>
      </c>
      <c r="J220" s="41">
        <v>81</v>
      </c>
      <c r="K220" s="41">
        <v>40</v>
      </c>
      <c r="L220" s="41">
        <v>0</v>
      </c>
      <c r="M220" s="41">
        <v>100</v>
      </c>
      <c r="N220" s="41">
        <v>14196.69</v>
      </c>
      <c r="O220" s="41">
        <v>2282.4</v>
      </c>
      <c r="P220" s="41">
        <v>567.65</v>
      </c>
      <c r="Q220" s="41">
        <v>10552.93</v>
      </c>
      <c r="R220" s="41">
        <v>0</v>
      </c>
      <c r="S220" s="41">
        <v>0</v>
      </c>
      <c r="T220" s="41">
        <v>0</v>
      </c>
      <c r="U220" s="41">
        <v>0</v>
      </c>
      <c r="V220" s="41">
        <v>185.6</v>
      </c>
      <c r="W220" s="41">
        <v>1048.4000000000001</v>
      </c>
      <c r="X220" s="41">
        <v>9318.93</v>
      </c>
      <c r="Y220" s="41">
        <v>793.71</v>
      </c>
      <c r="Z220" s="41">
        <v>0</v>
      </c>
      <c r="AA220" s="41">
        <v>0</v>
      </c>
      <c r="AB220" s="41">
        <v>1817300</v>
      </c>
      <c r="AC220" s="41">
        <v>66</v>
      </c>
      <c r="AD220" s="41" t="s">
        <v>433</v>
      </c>
    </row>
    <row r="221" spans="1:30" x14ac:dyDescent="0.35">
      <c r="A221" s="41">
        <v>467</v>
      </c>
      <c r="B221" s="41">
        <v>2186203</v>
      </c>
      <c r="C221" s="41">
        <v>21862032</v>
      </c>
      <c r="D221" s="41" t="s">
        <v>894</v>
      </c>
      <c r="E221" s="41" t="s">
        <v>895</v>
      </c>
      <c r="F221" s="41">
        <v>817300</v>
      </c>
      <c r="G221" s="41" t="s">
        <v>1972</v>
      </c>
      <c r="H221" s="41">
        <v>90541</v>
      </c>
      <c r="I221" s="41" t="s">
        <v>819</v>
      </c>
      <c r="J221" s="41">
        <v>81</v>
      </c>
      <c r="K221" s="41">
        <v>39</v>
      </c>
      <c r="L221" s="41">
        <v>0</v>
      </c>
      <c r="M221" s="41">
        <v>100</v>
      </c>
      <c r="N221" s="41">
        <v>17654.169999999998</v>
      </c>
      <c r="O221" s="41">
        <v>2451.4699999999998</v>
      </c>
      <c r="P221" s="41">
        <v>777.09</v>
      </c>
      <c r="Q221" s="41">
        <v>13419.16</v>
      </c>
      <c r="R221" s="41">
        <v>0</v>
      </c>
      <c r="S221" s="41">
        <v>0</v>
      </c>
      <c r="T221" s="41">
        <v>0</v>
      </c>
      <c r="U221" s="41">
        <v>786.89</v>
      </c>
      <c r="V221" s="41">
        <v>386.6</v>
      </c>
      <c r="W221" s="41">
        <v>1958.4</v>
      </c>
      <c r="X221" s="41">
        <v>10287.27</v>
      </c>
      <c r="Y221" s="41">
        <v>1006.45</v>
      </c>
      <c r="Z221" s="41">
        <v>0</v>
      </c>
      <c r="AA221" s="41">
        <v>0</v>
      </c>
      <c r="AB221" s="41">
        <v>1817300</v>
      </c>
      <c r="AC221" s="41">
        <v>66</v>
      </c>
      <c r="AD221" s="41" t="s">
        <v>433</v>
      </c>
    </row>
    <row r="222" spans="1:30" x14ac:dyDescent="0.35">
      <c r="A222" s="41">
        <v>467</v>
      </c>
      <c r="B222" s="41">
        <v>3671125</v>
      </c>
      <c r="C222" s="41">
        <v>36711257</v>
      </c>
      <c r="D222" s="41" t="s">
        <v>442</v>
      </c>
      <c r="E222" s="41" t="s">
        <v>492</v>
      </c>
      <c r="F222" s="41">
        <v>817300</v>
      </c>
      <c r="G222" s="41" t="s">
        <v>1972</v>
      </c>
      <c r="H222" s="41">
        <v>90541</v>
      </c>
      <c r="I222" s="41" t="s">
        <v>819</v>
      </c>
      <c r="J222" s="41">
        <v>81</v>
      </c>
      <c r="K222" s="41">
        <v>69</v>
      </c>
      <c r="L222" s="41">
        <v>0</v>
      </c>
      <c r="M222" s="41">
        <v>75</v>
      </c>
      <c r="N222" s="41">
        <v>12664.55</v>
      </c>
      <c r="O222" s="41">
        <v>2086.46</v>
      </c>
      <c r="P222" s="41">
        <v>571.04</v>
      </c>
      <c r="Q222" s="41">
        <v>9295.15</v>
      </c>
      <c r="R222" s="41">
        <v>0</v>
      </c>
      <c r="S222" s="41">
        <v>1.33</v>
      </c>
      <c r="T222" s="41">
        <v>0</v>
      </c>
      <c r="U222" s="41">
        <v>0</v>
      </c>
      <c r="V222" s="41">
        <v>173.45</v>
      </c>
      <c r="W222" s="41">
        <v>925.5</v>
      </c>
      <c r="X222" s="41">
        <v>8194.8700000000008</v>
      </c>
      <c r="Y222" s="41">
        <v>711.9</v>
      </c>
      <c r="Z222" s="41">
        <v>0</v>
      </c>
      <c r="AA222" s="41">
        <v>0</v>
      </c>
      <c r="AB222" s="41">
        <v>1817300</v>
      </c>
      <c r="AC222" s="41">
        <v>66</v>
      </c>
      <c r="AD222" s="41" t="s">
        <v>433</v>
      </c>
    </row>
    <row r="223" spans="1:30" x14ac:dyDescent="0.35">
      <c r="A223" s="41">
        <v>467</v>
      </c>
      <c r="B223" s="41">
        <v>4016448</v>
      </c>
      <c r="C223" s="41">
        <v>40164485</v>
      </c>
      <c r="D223" s="41" t="s">
        <v>1786</v>
      </c>
      <c r="E223" s="41" t="s">
        <v>459</v>
      </c>
      <c r="F223" s="41">
        <v>817300</v>
      </c>
      <c r="G223" s="41" t="s">
        <v>1972</v>
      </c>
      <c r="H223" s="41">
        <v>90541</v>
      </c>
      <c r="I223" s="41" t="s">
        <v>819</v>
      </c>
      <c r="J223" s="41">
        <v>81</v>
      </c>
      <c r="K223" s="41">
        <v>39</v>
      </c>
      <c r="L223" s="41">
        <v>0</v>
      </c>
      <c r="M223" s="41">
        <v>50</v>
      </c>
      <c r="N223" s="41">
        <v>8436.82</v>
      </c>
      <c r="O223" s="41">
        <v>1157.3</v>
      </c>
      <c r="P223" s="41">
        <v>232.71</v>
      </c>
      <c r="Q223" s="41">
        <v>6555.16</v>
      </c>
      <c r="R223" s="41">
        <v>0</v>
      </c>
      <c r="S223" s="41">
        <v>0</v>
      </c>
      <c r="T223" s="41">
        <v>0</v>
      </c>
      <c r="U223" s="41">
        <v>745.08</v>
      </c>
      <c r="V223" s="41">
        <v>128.30000000000001</v>
      </c>
      <c r="W223" s="41">
        <v>825.3</v>
      </c>
      <c r="X223" s="41">
        <v>4856.4799999999996</v>
      </c>
      <c r="Y223" s="41">
        <v>491.65</v>
      </c>
      <c r="Z223" s="41">
        <v>0</v>
      </c>
      <c r="AA223" s="41">
        <v>0</v>
      </c>
      <c r="AB223" s="41">
        <v>1817300</v>
      </c>
      <c r="AC223" s="41">
        <v>66</v>
      </c>
      <c r="AD223" s="41" t="s">
        <v>433</v>
      </c>
    </row>
    <row r="224" spans="1:30" x14ac:dyDescent="0.35">
      <c r="A224" s="41">
        <v>467</v>
      </c>
      <c r="B224" s="41">
        <v>5998538</v>
      </c>
      <c r="C224" s="41">
        <v>59985382</v>
      </c>
      <c r="D224" s="41" t="s">
        <v>1787</v>
      </c>
      <c r="E224" s="41" t="s">
        <v>1788</v>
      </c>
      <c r="F224" s="41">
        <v>817300</v>
      </c>
      <c r="G224" s="41" t="s">
        <v>1972</v>
      </c>
      <c r="H224" s="41">
        <v>90541</v>
      </c>
      <c r="I224" s="41" t="s">
        <v>819</v>
      </c>
      <c r="J224" s="41">
        <v>81</v>
      </c>
      <c r="K224" s="41">
        <v>43</v>
      </c>
      <c r="L224" s="41">
        <v>0</v>
      </c>
      <c r="M224" s="41">
        <v>75</v>
      </c>
      <c r="N224" s="41">
        <v>26815.46</v>
      </c>
      <c r="O224" s="41">
        <v>3113.34</v>
      </c>
      <c r="P224" s="41">
        <v>1298.9000000000001</v>
      </c>
      <c r="Q224" s="41">
        <v>20840.21</v>
      </c>
      <c r="R224" s="41">
        <v>0</v>
      </c>
      <c r="S224" s="41">
        <v>-1.33</v>
      </c>
      <c r="T224" s="41">
        <v>0</v>
      </c>
      <c r="U224" s="41">
        <v>2364.54</v>
      </c>
      <c r="V224" s="41">
        <v>636.45000000000005</v>
      </c>
      <c r="W224" s="41">
        <v>4775.6499999999996</v>
      </c>
      <c r="X224" s="41">
        <v>13064.9</v>
      </c>
      <c r="Y224" s="41">
        <v>1563.01</v>
      </c>
      <c r="Z224" s="41">
        <v>0</v>
      </c>
      <c r="AA224" s="41">
        <v>0</v>
      </c>
      <c r="AB224" s="41">
        <v>1817300</v>
      </c>
      <c r="AC224" s="41">
        <v>66</v>
      </c>
      <c r="AD224" s="41" t="s">
        <v>433</v>
      </c>
    </row>
    <row r="225" spans="1:30" x14ac:dyDescent="0.35">
      <c r="A225" s="41">
        <v>467</v>
      </c>
      <c r="B225" s="41">
        <v>20332872</v>
      </c>
      <c r="C225" s="41">
        <v>203328729</v>
      </c>
      <c r="D225" s="41" t="s">
        <v>1789</v>
      </c>
      <c r="E225" s="41" t="s">
        <v>826</v>
      </c>
      <c r="F225" s="41">
        <v>817300</v>
      </c>
      <c r="G225" s="41" t="s">
        <v>1972</v>
      </c>
      <c r="H225" s="41">
        <v>90541</v>
      </c>
      <c r="I225" s="41" t="s">
        <v>821</v>
      </c>
      <c r="J225" s="41">
        <v>0</v>
      </c>
      <c r="K225" s="41">
        <v>0</v>
      </c>
      <c r="L225" s="41">
        <v>0</v>
      </c>
      <c r="M225" s="41">
        <v>0</v>
      </c>
      <c r="N225" s="41">
        <v>1161.3900000000001</v>
      </c>
      <c r="O225" s="41">
        <v>1080.3699999999999</v>
      </c>
      <c r="P225" s="41">
        <v>26.02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55</v>
      </c>
      <c r="Z225" s="41">
        <v>0</v>
      </c>
      <c r="AA225" s="41">
        <v>0</v>
      </c>
      <c r="AB225" s="41">
        <v>1817300</v>
      </c>
      <c r="AC225" s="41">
        <v>66</v>
      </c>
      <c r="AD225" s="41" t="s">
        <v>433</v>
      </c>
    </row>
    <row r="226" spans="1:30" x14ac:dyDescent="0.35">
      <c r="A226" s="41">
        <v>467</v>
      </c>
      <c r="B226" s="41">
        <v>30507625</v>
      </c>
      <c r="C226" s="41">
        <v>305076259</v>
      </c>
      <c r="D226" s="41" t="s">
        <v>891</v>
      </c>
      <c r="E226" s="41" t="s">
        <v>865</v>
      </c>
      <c r="F226" s="41">
        <v>817300</v>
      </c>
      <c r="G226" s="41" t="s">
        <v>1972</v>
      </c>
      <c r="H226" s="41">
        <v>90541</v>
      </c>
      <c r="I226" s="41" t="s">
        <v>819</v>
      </c>
      <c r="J226" s="41">
        <v>81</v>
      </c>
      <c r="K226" s="41">
        <v>38</v>
      </c>
      <c r="L226" s="41">
        <v>0</v>
      </c>
      <c r="M226" s="41">
        <v>50</v>
      </c>
      <c r="N226" s="41">
        <v>8653.8700000000008</v>
      </c>
      <c r="O226" s="41">
        <v>1240.2</v>
      </c>
      <c r="P226" s="41">
        <v>236.79</v>
      </c>
      <c r="Q226" s="41">
        <v>6676.18</v>
      </c>
      <c r="R226" s="41">
        <v>0</v>
      </c>
      <c r="S226" s="41">
        <v>0</v>
      </c>
      <c r="T226" s="41">
        <v>0</v>
      </c>
      <c r="U226" s="41">
        <v>516.87</v>
      </c>
      <c r="V226" s="41">
        <v>175.15</v>
      </c>
      <c r="W226" s="41">
        <v>1130.2</v>
      </c>
      <c r="X226" s="41">
        <v>4853.96</v>
      </c>
      <c r="Y226" s="41">
        <v>500.7</v>
      </c>
      <c r="Z226" s="41">
        <v>0</v>
      </c>
      <c r="AA226" s="41">
        <v>0</v>
      </c>
      <c r="AB226" s="41">
        <v>1817300</v>
      </c>
      <c r="AC226" s="41">
        <v>66</v>
      </c>
      <c r="AD226" s="41" t="s">
        <v>433</v>
      </c>
    </row>
    <row r="227" spans="1:30" x14ac:dyDescent="0.35">
      <c r="A227" s="41">
        <v>467</v>
      </c>
      <c r="B227" s="41">
        <v>3607469</v>
      </c>
      <c r="C227" s="41">
        <v>36074698</v>
      </c>
      <c r="D227" s="41" t="s">
        <v>442</v>
      </c>
      <c r="E227" s="41" t="s">
        <v>1790</v>
      </c>
      <c r="F227" s="41">
        <v>817700</v>
      </c>
      <c r="G227" s="41" t="s">
        <v>1972</v>
      </c>
      <c r="H227" s="41">
        <v>90541</v>
      </c>
      <c r="I227" s="41" t="s">
        <v>819</v>
      </c>
      <c r="J227" s="41">
        <v>5</v>
      </c>
      <c r="K227" s="41">
        <v>37</v>
      </c>
      <c r="L227" s="41">
        <v>0</v>
      </c>
      <c r="M227" s="41">
        <v>82.4</v>
      </c>
      <c r="N227" s="41">
        <v>9208.91</v>
      </c>
      <c r="O227" s="41">
        <v>1571.37</v>
      </c>
      <c r="P227" s="41">
        <v>245.11</v>
      </c>
      <c r="Q227" s="41">
        <v>6874.58</v>
      </c>
      <c r="R227" s="41">
        <v>0</v>
      </c>
      <c r="S227" s="41">
        <v>0</v>
      </c>
      <c r="T227" s="41">
        <v>0</v>
      </c>
      <c r="U227" s="41">
        <v>0</v>
      </c>
      <c r="V227" s="41">
        <v>177.05</v>
      </c>
      <c r="W227" s="41">
        <v>0</v>
      </c>
      <c r="X227" s="41">
        <v>6697.53</v>
      </c>
      <c r="Y227" s="41">
        <v>517.85</v>
      </c>
      <c r="Z227" s="41">
        <v>0</v>
      </c>
      <c r="AA227" s="41">
        <v>0</v>
      </c>
      <c r="AB227" s="41">
        <v>1817700</v>
      </c>
      <c r="AC227" s="41">
        <v>66</v>
      </c>
      <c r="AD227" s="41" t="s">
        <v>433</v>
      </c>
    </row>
    <row r="228" spans="1:30" x14ac:dyDescent="0.35">
      <c r="A228" s="41">
        <v>467</v>
      </c>
      <c r="B228" s="41">
        <v>4349091</v>
      </c>
      <c r="C228" s="41">
        <v>43490911</v>
      </c>
      <c r="D228" s="41" t="s">
        <v>442</v>
      </c>
      <c r="E228" s="41" t="s">
        <v>453</v>
      </c>
      <c r="F228" s="41">
        <v>817700</v>
      </c>
      <c r="G228" s="41" t="s">
        <v>1972</v>
      </c>
      <c r="H228" s="41">
        <v>90541</v>
      </c>
      <c r="I228" s="41" t="s">
        <v>819</v>
      </c>
      <c r="J228" s="41">
        <v>3</v>
      </c>
      <c r="K228" s="41">
        <v>2</v>
      </c>
      <c r="L228" s="41">
        <v>0</v>
      </c>
      <c r="M228" s="41">
        <v>100</v>
      </c>
      <c r="N228" s="41">
        <v>14836.33</v>
      </c>
      <c r="O228" s="41">
        <v>2404.0500000000002</v>
      </c>
      <c r="P228" s="41">
        <v>538.35</v>
      </c>
      <c r="Q228" s="41">
        <v>11062.03</v>
      </c>
      <c r="R228" s="41">
        <v>0</v>
      </c>
      <c r="S228" s="41">
        <v>0</v>
      </c>
      <c r="T228" s="41">
        <v>0</v>
      </c>
      <c r="U228" s="41">
        <v>787.3</v>
      </c>
      <c r="V228" s="41">
        <v>161.30000000000001</v>
      </c>
      <c r="W228" s="41">
        <v>0</v>
      </c>
      <c r="X228" s="41">
        <v>10113.43</v>
      </c>
      <c r="Y228" s="41">
        <v>831.9</v>
      </c>
      <c r="Z228" s="41">
        <v>0</v>
      </c>
      <c r="AA228" s="41">
        <v>0</v>
      </c>
      <c r="AB228" s="41">
        <v>1817700</v>
      </c>
      <c r="AC228" s="41">
        <v>66</v>
      </c>
      <c r="AD228" s="41" t="s">
        <v>433</v>
      </c>
    </row>
    <row r="229" spans="1:30" x14ac:dyDescent="0.35">
      <c r="A229" s="41">
        <v>467</v>
      </c>
      <c r="B229" s="41">
        <v>5996998</v>
      </c>
      <c r="C229" s="41">
        <v>59969980</v>
      </c>
      <c r="D229" s="41" t="s">
        <v>490</v>
      </c>
      <c r="E229" s="41" t="s">
        <v>489</v>
      </c>
      <c r="F229" s="41">
        <v>817700</v>
      </c>
      <c r="G229" s="41" t="s">
        <v>1972</v>
      </c>
      <c r="H229" s="41">
        <v>90541</v>
      </c>
      <c r="I229" s="41" t="s">
        <v>819</v>
      </c>
      <c r="J229" s="41">
        <v>73</v>
      </c>
      <c r="K229" s="41">
        <v>12</v>
      </c>
      <c r="L229" s="41">
        <v>0</v>
      </c>
      <c r="M229" s="41">
        <v>100</v>
      </c>
      <c r="N229" s="41">
        <v>14275.57</v>
      </c>
      <c r="O229" s="41">
        <v>2420.4699999999998</v>
      </c>
      <c r="P229" s="41">
        <v>500.24</v>
      </c>
      <c r="Q229" s="41">
        <v>10560.56</v>
      </c>
      <c r="R229" s="41">
        <v>0</v>
      </c>
      <c r="S229" s="41">
        <v>0</v>
      </c>
      <c r="T229" s="41">
        <v>0</v>
      </c>
      <c r="U229" s="41">
        <v>0</v>
      </c>
      <c r="V229" s="41">
        <v>185.6</v>
      </c>
      <c r="W229" s="41">
        <v>0</v>
      </c>
      <c r="X229" s="41">
        <v>10374.959999999999</v>
      </c>
      <c r="Y229" s="41">
        <v>794.3</v>
      </c>
      <c r="Z229" s="41">
        <v>0</v>
      </c>
      <c r="AA229" s="41">
        <v>0</v>
      </c>
      <c r="AB229" s="41">
        <v>1817700</v>
      </c>
      <c r="AC229" s="41">
        <v>66</v>
      </c>
      <c r="AD229" s="41" t="s">
        <v>433</v>
      </c>
    </row>
    <row r="230" spans="1:30" x14ac:dyDescent="0.35">
      <c r="A230" s="41">
        <v>467</v>
      </c>
      <c r="B230" s="41">
        <v>20092663</v>
      </c>
      <c r="C230" s="41">
        <v>200926632</v>
      </c>
      <c r="D230" s="41" t="s">
        <v>446</v>
      </c>
      <c r="E230" s="41" t="s">
        <v>1791</v>
      </c>
      <c r="F230" s="41">
        <v>817700</v>
      </c>
      <c r="G230" s="41" t="s">
        <v>1972</v>
      </c>
      <c r="H230" s="41">
        <v>90541</v>
      </c>
      <c r="I230" s="41" t="s">
        <v>819</v>
      </c>
      <c r="J230" s="41">
        <v>3</v>
      </c>
      <c r="K230" s="41">
        <v>2</v>
      </c>
      <c r="L230" s="41">
        <v>0</v>
      </c>
      <c r="M230" s="41">
        <v>75</v>
      </c>
      <c r="N230" s="41">
        <v>8985.23</v>
      </c>
      <c r="O230" s="41">
        <v>1334</v>
      </c>
      <c r="P230" s="41">
        <v>246.93</v>
      </c>
      <c r="Q230" s="41">
        <v>6887.7</v>
      </c>
      <c r="R230" s="41">
        <v>263.25</v>
      </c>
      <c r="S230" s="41">
        <v>0</v>
      </c>
      <c r="T230" s="41">
        <v>0</v>
      </c>
      <c r="U230" s="41">
        <v>751.29</v>
      </c>
      <c r="V230" s="41">
        <v>155.22999999999999</v>
      </c>
      <c r="W230" s="41">
        <v>0</v>
      </c>
      <c r="X230" s="41">
        <v>5717.93</v>
      </c>
      <c r="Y230" s="41">
        <v>516.6</v>
      </c>
      <c r="Z230" s="41">
        <v>0</v>
      </c>
      <c r="AA230" s="41">
        <v>0</v>
      </c>
      <c r="AB230" s="41">
        <v>1817700</v>
      </c>
      <c r="AC230" s="41">
        <v>66</v>
      </c>
      <c r="AD230" s="41" t="s">
        <v>433</v>
      </c>
    </row>
    <row r="231" spans="1:30" x14ac:dyDescent="0.35">
      <c r="A231" s="41">
        <v>467</v>
      </c>
      <c r="B231" s="41">
        <v>20847552</v>
      </c>
      <c r="C231" s="41">
        <v>208475525</v>
      </c>
      <c r="D231" s="41" t="s">
        <v>442</v>
      </c>
      <c r="E231" s="41" t="s">
        <v>931</v>
      </c>
      <c r="F231" s="41">
        <v>817700</v>
      </c>
      <c r="G231" s="41" t="s">
        <v>1972</v>
      </c>
      <c r="H231" s="41">
        <v>90541</v>
      </c>
      <c r="I231" s="41" t="s">
        <v>819</v>
      </c>
      <c r="J231" s="41">
        <v>3</v>
      </c>
      <c r="K231" s="41">
        <v>2</v>
      </c>
      <c r="L231" s="41">
        <v>0</v>
      </c>
      <c r="M231" s="41">
        <v>100</v>
      </c>
      <c r="N231" s="41">
        <v>12199.57</v>
      </c>
      <c r="O231" s="41">
        <v>1905.56</v>
      </c>
      <c r="P231" s="41">
        <v>397.16</v>
      </c>
      <c r="Q231" s="41">
        <v>9204.2999999999993</v>
      </c>
      <c r="R231" s="41">
        <v>0</v>
      </c>
      <c r="S231" s="41">
        <v>0</v>
      </c>
      <c r="T231" s="41">
        <v>0</v>
      </c>
      <c r="U231" s="41">
        <v>875.07</v>
      </c>
      <c r="V231" s="41">
        <v>161.30000000000001</v>
      </c>
      <c r="W231" s="41">
        <v>0</v>
      </c>
      <c r="X231" s="41">
        <v>8167.93</v>
      </c>
      <c r="Y231" s="41">
        <v>692.55</v>
      </c>
      <c r="Z231" s="41">
        <v>0</v>
      </c>
      <c r="AA231" s="41">
        <v>0</v>
      </c>
      <c r="AB231" s="41">
        <v>1817700</v>
      </c>
      <c r="AC231" s="41">
        <v>66</v>
      </c>
      <c r="AD231" s="41" t="s">
        <v>433</v>
      </c>
    </row>
    <row r="232" spans="1:30" x14ac:dyDescent="0.35">
      <c r="A232" s="41">
        <v>467</v>
      </c>
      <c r="B232" s="41">
        <v>2156304</v>
      </c>
      <c r="C232" s="41">
        <v>21563044</v>
      </c>
      <c r="D232" s="41" t="s">
        <v>439</v>
      </c>
      <c r="E232" s="41" t="s">
        <v>547</v>
      </c>
      <c r="F232" s="41">
        <v>817800</v>
      </c>
      <c r="G232" s="41" t="s">
        <v>1972</v>
      </c>
      <c r="H232" s="41">
        <v>90541</v>
      </c>
      <c r="I232" s="41" t="s">
        <v>1694</v>
      </c>
      <c r="J232" s="41">
        <v>5</v>
      </c>
      <c r="K232" s="41">
        <v>5</v>
      </c>
      <c r="L232" s="41">
        <v>0</v>
      </c>
      <c r="M232" s="41">
        <v>75</v>
      </c>
      <c r="N232" s="41">
        <v>4206.72</v>
      </c>
      <c r="O232" s="41">
        <v>729.76</v>
      </c>
      <c r="P232" s="41">
        <v>112.11</v>
      </c>
      <c r="Q232" s="41">
        <v>3128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3128</v>
      </c>
      <c r="Y232" s="41">
        <v>236.85</v>
      </c>
      <c r="Z232" s="41">
        <v>0</v>
      </c>
      <c r="AA232" s="41">
        <v>0</v>
      </c>
      <c r="AB232" s="41">
        <v>1817800</v>
      </c>
      <c r="AC232" s="41">
        <v>75</v>
      </c>
      <c r="AD232" s="41" t="s">
        <v>433</v>
      </c>
    </row>
    <row r="233" spans="1:30" x14ac:dyDescent="0.35">
      <c r="A233" s="41">
        <v>467</v>
      </c>
      <c r="B233" s="41">
        <v>2478719</v>
      </c>
      <c r="C233" s="41">
        <v>24787194</v>
      </c>
      <c r="D233" s="41" t="s">
        <v>442</v>
      </c>
      <c r="E233" s="41" t="s">
        <v>1792</v>
      </c>
      <c r="F233" s="41">
        <v>817800</v>
      </c>
      <c r="G233" s="41" t="s">
        <v>1972</v>
      </c>
      <c r="H233" s="41">
        <v>90541</v>
      </c>
      <c r="I233" s="41" t="s">
        <v>1694</v>
      </c>
      <c r="J233" s="41">
        <v>5</v>
      </c>
      <c r="K233" s="41">
        <v>5</v>
      </c>
      <c r="L233" s="41">
        <v>0</v>
      </c>
      <c r="M233" s="41">
        <v>50.7</v>
      </c>
      <c r="N233" s="41">
        <v>3796.25</v>
      </c>
      <c r="O233" s="41">
        <v>473.63</v>
      </c>
      <c r="P233" s="41">
        <v>106.22</v>
      </c>
      <c r="Q233" s="41">
        <v>2992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2992</v>
      </c>
      <c r="Y233" s="41">
        <v>224.4</v>
      </c>
      <c r="Z233" s="41">
        <v>0</v>
      </c>
      <c r="AA233" s="41">
        <v>0</v>
      </c>
      <c r="AB233" s="41">
        <v>1817800</v>
      </c>
      <c r="AC233" s="41">
        <v>50.7</v>
      </c>
      <c r="AD233" s="41" t="s">
        <v>433</v>
      </c>
    </row>
    <row r="234" spans="1:30" x14ac:dyDescent="0.35">
      <c r="A234" s="41">
        <v>467</v>
      </c>
      <c r="B234" s="41">
        <v>3950143</v>
      </c>
      <c r="C234" s="41">
        <v>39501432</v>
      </c>
      <c r="D234" s="41" t="s">
        <v>442</v>
      </c>
      <c r="E234" s="41" t="s">
        <v>1793</v>
      </c>
      <c r="F234" s="41">
        <v>817800</v>
      </c>
      <c r="G234" s="41" t="s">
        <v>1972</v>
      </c>
      <c r="H234" s="41">
        <v>90541</v>
      </c>
      <c r="I234" s="41" t="s">
        <v>1694</v>
      </c>
      <c r="J234" s="41">
        <v>5</v>
      </c>
      <c r="K234" s="41">
        <v>5</v>
      </c>
      <c r="L234" s="41">
        <v>0</v>
      </c>
      <c r="M234" s="41">
        <v>69.2</v>
      </c>
      <c r="N234" s="41">
        <v>5180.0200000000004</v>
      </c>
      <c r="O234" s="41">
        <v>645.86</v>
      </c>
      <c r="P234" s="41">
        <v>145.91</v>
      </c>
      <c r="Q234" s="41">
        <v>4080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4080</v>
      </c>
      <c r="Y234" s="41">
        <v>308.25</v>
      </c>
      <c r="Z234" s="41">
        <v>0</v>
      </c>
      <c r="AA234" s="41">
        <v>0</v>
      </c>
      <c r="AB234" s="41">
        <v>1817800</v>
      </c>
      <c r="AC234" s="41">
        <v>69.2</v>
      </c>
      <c r="AD234" s="41" t="s">
        <v>433</v>
      </c>
    </row>
    <row r="235" spans="1:30" x14ac:dyDescent="0.35">
      <c r="A235" s="41">
        <v>467</v>
      </c>
      <c r="B235" s="41">
        <v>4050291</v>
      </c>
      <c r="C235" s="41">
        <v>40502916</v>
      </c>
      <c r="D235" s="41" t="s">
        <v>490</v>
      </c>
      <c r="E235" s="41" t="s">
        <v>1794</v>
      </c>
      <c r="F235" s="41">
        <v>817800</v>
      </c>
      <c r="G235" s="41" t="s">
        <v>1972</v>
      </c>
      <c r="H235" s="41">
        <v>90541</v>
      </c>
      <c r="I235" s="41" t="s">
        <v>1694</v>
      </c>
      <c r="J235" s="41">
        <v>5</v>
      </c>
      <c r="K235" s="41">
        <v>5</v>
      </c>
      <c r="L235" s="41">
        <v>0</v>
      </c>
      <c r="M235" s="41">
        <v>79.599999999999994</v>
      </c>
      <c r="N235" s="41">
        <v>5953.21</v>
      </c>
      <c r="O235" s="41">
        <v>742.74</v>
      </c>
      <c r="P235" s="41">
        <v>166.57</v>
      </c>
      <c r="Q235" s="41">
        <v>4692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4692</v>
      </c>
      <c r="Y235" s="41">
        <v>351.9</v>
      </c>
      <c r="Z235" s="41">
        <v>0</v>
      </c>
      <c r="AA235" s="41">
        <v>0</v>
      </c>
      <c r="AB235" s="41">
        <v>1817800</v>
      </c>
      <c r="AC235" s="41">
        <v>79.599999999999994</v>
      </c>
      <c r="AD235" s="41" t="s">
        <v>433</v>
      </c>
    </row>
    <row r="236" spans="1:30" x14ac:dyDescent="0.35">
      <c r="A236" s="41">
        <v>467</v>
      </c>
      <c r="B236" s="41">
        <v>5897578</v>
      </c>
      <c r="C236" s="41">
        <v>58975780</v>
      </c>
      <c r="D236" s="41" t="s">
        <v>446</v>
      </c>
      <c r="E236" s="41" t="s">
        <v>482</v>
      </c>
      <c r="F236" s="41">
        <v>817800</v>
      </c>
      <c r="G236" s="41" t="s">
        <v>1972</v>
      </c>
      <c r="H236" s="41">
        <v>90541</v>
      </c>
      <c r="I236" s="41" t="s">
        <v>821</v>
      </c>
      <c r="J236" s="41">
        <v>0</v>
      </c>
      <c r="K236" s="41">
        <v>0</v>
      </c>
      <c r="L236" s="41">
        <v>0</v>
      </c>
      <c r="M236" s="41">
        <v>0</v>
      </c>
      <c r="N236" s="41">
        <v>4023.96</v>
      </c>
      <c r="O236" s="41">
        <v>698.03</v>
      </c>
      <c r="P236" s="41">
        <v>107.28</v>
      </c>
      <c r="Q236" s="41">
        <v>2992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2992</v>
      </c>
      <c r="Y236" s="41">
        <v>226.65</v>
      </c>
      <c r="Z236" s="41">
        <v>0</v>
      </c>
      <c r="AA236" s="41">
        <v>0</v>
      </c>
      <c r="AB236" s="41">
        <v>1817800</v>
      </c>
      <c r="AC236" s="41">
        <v>79.599999999999994</v>
      </c>
      <c r="AD236" s="41" t="s">
        <v>433</v>
      </c>
    </row>
    <row r="237" spans="1:30" x14ac:dyDescent="0.35">
      <c r="A237" s="41">
        <v>467</v>
      </c>
      <c r="B237" s="41">
        <v>5947846</v>
      </c>
      <c r="C237" s="41">
        <v>59478461</v>
      </c>
      <c r="D237" s="41" t="s">
        <v>434</v>
      </c>
      <c r="E237" s="41" t="s">
        <v>496</v>
      </c>
      <c r="F237" s="41">
        <v>817800</v>
      </c>
      <c r="G237" s="41" t="s">
        <v>1972</v>
      </c>
      <c r="H237" s="41">
        <v>90541</v>
      </c>
      <c r="I237" s="41" t="s">
        <v>821</v>
      </c>
      <c r="J237" s="41">
        <v>0</v>
      </c>
      <c r="K237" s="41">
        <v>0</v>
      </c>
      <c r="L237" s="41">
        <v>0</v>
      </c>
      <c r="M237" s="41">
        <v>0</v>
      </c>
      <c r="N237" s="41">
        <v>7309</v>
      </c>
      <c r="O237" s="41">
        <v>1268.3399999999999</v>
      </c>
      <c r="P237" s="41">
        <v>194.06</v>
      </c>
      <c r="Q237" s="41">
        <v>5436.6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5436.6</v>
      </c>
      <c r="Y237" s="41">
        <v>410</v>
      </c>
      <c r="Z237" s="41">
        <v>0</v>
      </c>
      <c r="AA237" s="41">
        <v>0</v>
      </c>
      <c r="AB237" s="41">
        <v>1817800</v>
      </c>
      <c r="AC237" s="41">
        <v>79.599999999999994</v>
      </c>
      <c r="AD237" s="41" t="s">
        <v>433</v>
      </c>
    </row>
    <row r="238" spans="1:30" x14ac:dyDescent="0.35">
      <c r="A238" s="41">
        <v>467</v>
      </c>
      <c r="B238" s="41">
        <v>20063541</v>
      </c>
      <c r="C238" s="41">
        <v>200635415</v>
      </c>
      <c r="D238" s="41" t="s">
        <v>504</v>
      </c>
      <c r="E238" s="41" t="s">
        <v>1795</v>
      </c>
      <c r="F238" s="41">
        <v>817800</v>
      </c>
      <c r="G238" s="41" t="s">
        <v>1972</v>
      </c>
      <c r="H238" s="41">
        <v>90541</v>
      </c>
      <c r="I238" s="41" t="s">
        <v>1694</v>
      </c>
      <c r="J238" s="41">
        <v>5</v>
      </c>
      <c r="K238" s="41">
        <v>5</v>
      </c>
      <c r="L238" s="41">
        <v>0</v>
      </c>
      <c r="M238" s="41">
        <v>54.8</v>
      </c>
      <c r="N238" s="41">
        <v>3586.92</v>
      </c>
      <c r="O238" s="41">
        <v>0</v>
      </c>
      <c r="P238" s="41">
        <v>114.67</v>
      </c>
      <c r="Q238" s="41">
        <v>3230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3230</v>
      </c>
      <c r="Y238" s="41">
        <v>242.25</v>
      </c>
      <c r="Z238" s="41">
        <v>0</v>
      </c>
      <c r="AA238" s="41">
        <v>0</v>
      </c>
      <c r="AB238" s="41">
        <v>1817800</v>
      </c>
      <c r="AC238" s="41">
        <v>54.8</v>
      </c>
      <c r="AD238" s="41" t="s">
        <v>433</v>
      </c>
    </row>
    <row r="239" spans="1:30" x14ac:dyDescent="0.35">
      <c r="A239" s="41">
        <v>467</v>
      </c>
      <c r="B239" s="41">
        <v>20688803</v>
      </c>
      <c r="C239" s="41">
        <v>206888034</v>
      </c>
      <c r="D239" s="41" t="s">
        <v>434</v>
      </c>
      <c r="E239" s="41" t="s">
        <v>840</v>
      </c>
      <c r="F239" s="41">
        <v>817800</v>
      </c>
      <c r="G239" s="41" t="s">
        <v>1972</v>
      </c>
      <c r="H239" s="41">
        <v>90541</v>
      </c>
      <c r="I239" s="41" t="s">
        <v>1694</v>
      </c>
      <c r="J239" s="41">
        <v>5</v>
      </c>
      <c r="K239" s="41">
        <v>5</v>
      </c>
      <c r="L239" s="41">
        <v>0</v>
      </c>
      <c r="M239" s="41">
        <v>31.1</v>
      </c>
      <c r="N239" s="41">
        <v>2467.21</v>
      </c>
      <c r="O239" s="41">
        <v>428.33</v>
      </c>
      <c r="P239" s="41">
        <v>65.180000000000007</v>
      </c>
      <c r="Q239" s="41">
        <v>1836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1836</v>
      </c>
      <c r="Y239" s="41">
        <v>137.69999999999999</v>
      </c>
      <c r="Z239" s="41">
        <v>0</v>
      </c>
      <c r="AA239" s="41">
        <v>0</v>
      </c>
      <c r="AB239" s="41">
        <v>1817800</v>
      </c>
      <c r="AC239" s="41">
        <v>31.1</v>
      </c>
      <c r="AD239" s="41" t="s">
        <v>433</v>
      </c>
    </row>
    <row r="240" spans="1:30" x14ac:dyDescent="0.35">
      <c r="A240" s="41">
        <v>467</v>
      </c>
      <c r="B240" s="41">
        <v>21375266</v>
      </c>
      <c r="C240" s="41">
        <v>213752660</v>
      </c>
      <c r="D240" s="41" t="s">
        <v>448</v>
      </c>
      <c r="E240" s="41" t="s">
        <v>1796</v>
      </c>
      <c r="F240" s="41">
        <v>817800</v>
      </c>
      <c r="G240" s="41" t="s">
        <v>1972</v>
      </c>
      <c r="H240" s="41">
        <v>90541</v>
      </c>
      <c r="I240" s="41" t="s">
        <v>1694</v>
      </c>
      <c r="J240" s="41">
        <v>5</v>
      </c>
      <c r="K240" s="41">
        <v>5</v>
      </c>
      <c r="L240" s="41">
        <v>0</v>
      </c>
      <c r="M240" s="41">
        <v>7.5</v>
      </c>
      <c r="N240" s="41">
        <v>564.12</v>
      </c>
      <c r="O240" s="41">
        <v>69.959999999999994</v>
      </c>
      <c r="P240" s="41">
        <v>16.760000000000002</v>
      </c>
      <c r="Q240" s="41">
        <v>442</v>
      </c>
      <c r="R240" s="41">
        <v>0</v>
      </c>
      <c r="S240" s="41">
        <v>0</v>
      </c>
      <c r="T240" s="41">
        <v>0</v>
      </c>
      <c r="U240" s="41">
        <v>0</v>
      </c>
      <c r="V240" s="41">
        <v>0</v>
      </c>
      <c r="W240" s="41">
        <v>0</v>
      </c>
      <c r="X240" s="41">
        <v>442</v>
      </c>
      <c r="Y240" s="41">
        <v>35.4</v>
      </c>
      <c r="Z240" s="41">
        <v>0</v>
      </c>
      <c r="AA240" s="41">
        <v>0</v>
      </c>
      <c r="AB240" s="41">
        <v>1817800</v>
      </c>
      <c r="AC240" s="41">
        <v>7.5</v>
      </c>
      <c r="AD240" s="41" t="s">
        <v>433</v>
      </c>
    </row>
    <row r="241" spans="1:30" x14ac:dyDescent="0.35">
      <c r="A241" s="41">
        <v>467</v>
      </c>
      <c r="B241" s="41">
        <v>21538832</v>
      </c>
      <c r="C241" s="41">
        <v>215388323</v>
      </c>
      <c r="D241" s="41" t="s">
        <v>448</v>
      </c>
      <c r="E241" s="41" t="s">
        <v>1797</v>
      </c>
      <c r="F241" s="41">
        <v>817800</v>
      </c>
      <c r="G241" s="41" t="s">
        <v>1972</v>
      </c>
      <c r="H241" s="41">
        <v>90541</v>
      </c>
      <c r="I241" s="41" t="s">
        <v>1694</v>
      </c>
      <c r="J241" s="41">
        <v>5</v>
      </c>
      <c r="K241" s="41">
        <v>5</v>
      </c>
      <c r="L241" s="41">
        <v>0</v>
      </c>
      <c r="M241" s="41">
        <v>45.7</v>
      </c>
      <c r="N241" s="41">
        <v>2997.43</v>
      </c>
      <c r="O241" s="41">
        <v>0</v>
      </c>
      <c r="P241" s="41">
        <v>96.78</v>
      </c>
      <c r="Q241" s="41">
        <v>2696.2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2696.2</v>
      </c>
      <c r="Y241" s="41">
        <v>204.45</v>
      </c>
      <c r="Z241" s="41">
        <v>0</v>
      </c>
      <c r="AA241" s="41">
        <v>0</v>
      </c>
      <c r="AB241" s="41">
        <v>1817800</v>
      </c>
      <c r="AC241" s="41">
        <v>45.7</v>
      </c>
      <c r="AD241" s="41" t="s">
        <v>433</v>
      </c>
    </row>
    <row r="242" spans="1:30" x14ac:dyDescent="0.35">
      <c r="A242" s="41">
        <v>467</v>
      </c>
      <c r="B242" s="41">
        <v>30835120</v>
      </c>
      <c r="C242" s="41">
        <v>308351204</v>
      </c>
      <c r="D242" s="41" t="s">
        <v>442</v>
      </c>
      <c r="E242" s="41" t="s">
        <v>480</v>
      </c>
      <c r="F242" s="41">
        <v>817800</v>
      </c>
      <c r="G242" s="41" t="s">
        <v>1972</v>
      </c>
      <c r="H242" s="41">
        <v>90541</v>
      </c>
      <c r="I242" s="41" t="s">
        <v>1694</v>
      </c>
      <c r="J242" s="41">
        <v>5</v>
      </c>
      <c r="K242" s="41">
        <v>5</v>
      </c>
      <c r="L242" s="41">
        <v>0</v>
      </c>
      <c r="M242" s="41">
        <v>55.2</v>
      </c>
      <c r="N242" s="41">
        <v>4132.74</v>
      </c>
      <c r="O242" s="41">
        <v>515.61</v>
      </c>
      <c r="P242" s="41">
        <v>115.63</v>
      </c>
      <c r="Q242" s="41">
        <v>3257.2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0</v>
      </c>
      <c r="X242" s="41">
        <v>3257.2</v>
      </c>
      <c r="Y242" s="41">
        <v>244.3</v>
      </c>
      <c r="Z242" s="41">
        <v>0</v>
      </c>
      <c r="AA242" s="41">
        <v>0</v>
      </c>
      <c r="AB242" s="41">
        <v>1817800</v>
      </c>
      <c r="AC242" s="41">
        <v>55.2</v>
      </c>
      <c r="AD242" s="41" t="s">
        <v>433</v>
      </c>
    </row>
    <row r="243" spans="1:30" x14ac:dyDescent="0.35">
      <c r="A243" s="41">
        <v>467</v>
      </c>
      <c r="B243" s="41">
        <v>31242848</v>
      </c>
      <c r="C243" s="41">
        <v>312428485</v>
      </c>
      <c r="D243" s="41" t="s">
        <v>434</v>
      </c>
      <c r="E243" s="41" t="s">
        <v>1798</v>
      </c>
      <c r="F243" s="41">
        <v>817800</v>
      </c>
      <c r="G243" s="41" t="s">
        <v>1972</v>
      </c>
      <c r="H243" s="41">
        <v>90541</v>
      </c>
      <c r="I243" s="41" t="s">
        <v>1694</v>
      </c>
      <c r="J243" s="41">
        <v>5</v>
      </c>
      <c r="K243" s="41">
        <v>5</v>
      </c>
      <c r="L243" s="41">
        <v>0</v>
      </c>
      <c r="M243" s="41">
        <v>31.6</v>
      </c>
      <c r="N243" s="41">
        <v>2069.09</v>
      </c>
      <c r="O243" s="41">
        <v>0</v>
      </c>
      <c r="P243" s="41">
        <v>66.14</v>
      </c>
      <c r="Q243" s="41">
        <v>1863.2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1863.2</v>
      </c>
      <c r="Y243" s="41">
        <v>139.75</v>
      </c>
      <c r="Z243" s="41">
        <v>0</v>
      </c>
      <c r="AA243" s="41">
        <v>0</v>
      </c>
      <c r="AB243" s="41">
        <v>1817800</v>
      </c>
      <c r="AC243" s="41">
        <v>31.6</v>
      </c>
      <c r="AD243" s="41" t="s">
        <v>433</v>
      </c>
    </row>
    <row r="244" spans="1:30" x14ac:dyDescent="0.35">
      <c r="A244" s="41">
        <v>467</v>
      </c>
      <c r="B244" s="41">
        <v>31876796</v>
      </c>
      <c r="C244" s="41">
        <v>318767969</v>
      </c>
      <c r="D244" s="41" t="s">
        <v>434</v>
      </c>
      <c r="E244" s="41" t="s">
        <v>900</v>
      </c>
      <c r="F244" s="41">
        <v>817800</v>
      </c>
      <c r="G244" s="41" t="s">
        <v>1972</v>
      </c>
      <c r="H244" s="41">
        <v>90541</v>
      </c>
      <c r="I244" s="41" t="s">
        <v>1694</v>
      </c>
      <c r="J244" s="41">
        <v>0</v>
      </c>
      <c r="K244" s="41">
        <v>0</v>
      </c>
      <c r="L244" s="41">
        <v>0</v>
      </c>
      <c r="M244" s="41">
        <v>59.3</v>
      </c>
      <c r="N244" s="41">
        <v>4704.7299999999996</v>
      </c>
      <c r="O244" s="41">
        <v>816.21</v>
      </c>
      <c r="P244" s="41">
        <v>125.27</v>
      </c>
      <c r="Q244" s="41">
        <v>3498.6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3498.6</v>
      </c>
      <c r="Y244" s="41">
        <v>264.64999999999998</v>
      </c>
      <c r="Z244" s="41">
        <v>0</v>
      </c>
      <c r="AA244" s="41">
        <v>0</v>
      </c>
      <c r="AB244" s="41">
        <v>1817800</v>
      </c>
      <c r="AC244" s="41">
        <v>59.3</v>
      </c>
      <c r="AD244" s="41" t="s">
        <v>433</v>
      </c>
    </row>
    <row r="245" spans="1:30" x14ac:dyDescent="0.35">
      <c r="A245" s="41">
        <v>467</v>
      </c>
      <c r="B245" s="41">
        <v>32504105</v>
      </c>
      <c r="C245" s="41">
        <v>325041051</v>
      </c>
      <c r="D245" s="41" t="s">
        <v>442</v>
      </c>
      <c r="E245" s="41" t="s">
        <v>443</v>
      </c>
      <c r="F245" s="41">
        <v>817800</v>
      </c>
      <c r="G245" s="41" t="s">
        <v>1972</v>
      </c>
      <c r="H245" s="41">
        <v>90541</v>
      </c>
      <c r="I245" s="41" t="s">
        <v>1694</v>
      </c>
      <c r="J245" s="41">
        <v>5</v>
      </c>
      <c r="K245" s="41">
        <v>5</v>
      </c>
      <c r="L245" s="41">
        <v>0</v>
      </c>
      <c r="M245" s="41">
        <v>50.7</v>
      </c>
      <c r="N245" s="41">
        <v>3796.25</v>
      </c>
      <c r="O245" s="41">
        <v>473.63</v>
      </c>
      <c r="P245" s="41">
        <v>106.22</v>
      </c>
      <c r="Q245" s="41">
        <v>2992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2992</v>
      </c>
      <c r="Y245" s="41">
        <v>224.4</v>
      </c>
      <c r="Z245" s="41">
        <v>0</v>
      </c>
      <c r="AA245" s="41">
        <v>0</v>
      </c>
      <c r="AB245" s="41">
        <v>1817800</v>
      </c>
      <c r="AC245" s="41">
        <v>50.7</v>
      </c>
      <c r="AD245" s="41" t="s">
        <v>433</v>
      </c>
    </row>
    <row r="246" spans="1:30" x14ac:dyDescent="0.35">
      <c r="A246" s="41">
        <v>467</v>
      </c>
      <c r="B246" s="41">
        <v>20419663</v>
      </c>
      <c r="C246" s="41">
        <v>204196638</v>
      </c>
      <c r="D246" s="41" t="s">
        <v>1973</v>
      </c>
      <c r="E246" s="41" t="s">
        <v>475</v>
      </c>
      <c r="F246" s="41">
        <v>817910</v>
      </c>
      <c r="G246" s="41" t="s">
        <v>1972</v>
      </c>
      <c r="H246" s="41">
        <v>90541</v>
      </c>
      <c r="I246" s="41" t="s">
        <v>819</v>
      </c>
      <c r="J246" s="41">
        <v>5</v>
      </c>
      <c r="K246" s="41">
        <v>7</v>
      </c>
      <c r="L246" s="41">
        <v>0</v>
      </c>
      <c r="M246" s="41">
        <v>100</v>
      </c>
      <c r="N246" s="41">
        <v>12882.34</v>
      </c>
      <c r="O246" s="41">
        <v>1878.86</v>
      </c>
      <c r="P246" s="41">
        <v>444.01</v>
      </c>
      <c r="Q246" s="41">
        <v>9820.67</v>
      </c>
      <c r="R246" s="41">
        <v>0</v>
      </c>
      <c r="S246" s="41">
        <v>0</v>
      </c>
      <c r="T246" s="41">
        <v>0</v>
      </c>
      <c r="U246" s="41">
        <v>0</v>
      </c>
      <c r="V246" s="41">
        <v>478</v>
      </c>
      <c r="W246" s="41">
        <v>1771.22</v>
      </c>
      <c r="X246" s="41">
        <v>7571.45</v>
      </c>
      <c r="Y246" s="41">
        <v>738.8</v>
      </c>
      <c r="Z246" s="41">
        <v>0</v>
      </c>
      <c r="AA246" s="41">
        <v>0</v>
      </c>
      <c r="AB246" s="41">
        <v>1817910</v>
      </c>
      <c r="AC246" s="41">
        <v>50.7</v>
      </c>
      <c r="AD246" s="41" t="s">
        <v>433</v>
      </c>
    </row>
    <row r="247" spans="1:30" x14ac:dyDescent="0.35">
      <c r="A247" s="41">
        <v>467</v>
      </c>
      <c r="B247" s="41">
        <v>30823828</v>
      </c>
      <c r="C247" s="41">
        <v>308238286</v>
      </c>
      <c r="D247" s="41" t="s">
        <v>442</v>
      </c>
      <c r="E247" s="41" t="s">
        <v>471</v>
      </c>
      <c r="F247" s="41">
        <v>817910</v>
      </c>
      <c r="G247" s="41" t="s">
        <v>1972</v>
      </c>
      <c r="H247" s="41">
        <v>90541</v>
      </c>
      <c r="I247" s="41" t="s">
        <v>1694</v>
      </c>
      <c r="J247" s="41">
        <v>5</v>
      </c>
      <c r="K247" s="41">
        <v>5</v>
      </c>
      <c r="L247" s="41">
        <v>0</v>
      </c>
      <c r="M247" s="41">
        <v>49</v>
      </c>
      <c r="N247" s="41">
        <v>3670.14</v>
      </c>
      <c r="O247" s="41">
        <v>457.48</v>
      </c>
      <c r="P247" s="41">
        <v>103.66</v>
      </c>
      <c r="Q247" s="41">
        <v>2890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2890</v>
      </c>
      <c r="Y247" s="41">
        <v>219</v>
      </c>
      <c r="Z247" s="41">
        <v>0</v>
      </c>
      <c r="AA247" s="41">
        <v>0</v>
      </c>
      <c r="AB247" s="41">
        <v>1817910</v>
      </c>
      <c r="AC247" s="41">
        <v>49</v>
      </c>
      <c r="AD247" s="41" t="s">
        <v>433</v>
      </c>
    </row>
    <row r="248" spans="1:30" x14ac:dyDescent="0.35">
      <c r="A248" s="41">
        <v>467</v>
      </c>
      <c r="B248" s="41">
        <v>2911516</v>
      </c>
      <c r="C248" s="41">
        <v>29115169</v>
      </c>
      <c r="D248" s="41" t="s">
        <v>434</v>
      </c>
      <c r="E248" s="41" t="s">
        <v>605</v>
      </c>
      <c r="F248" s="41">
        <v>611100</v>
      </c>
      <c r="G248" s="41" t="s">
        <v>1972</v>
      </c>
      <c r="H248" s="41">
        <v>90541</v>
      </c>
      <c r="I248" s="41" t="s">
        <v>819</v>
      </c>
      <c r="J248" s="41">
        <v>18</v>
      </c>
      <c r="K248" s="41">
        <v>6</v>
      </c>
      <c r="L248" s="41">
        <v>0</v>
      </c>
      <c r="M248" s="41">
        <v>100</v>
      </c>
      <c r="N248" s="41">
        <v>74201.97</v>
      </c>
      <c r="O248" s="41">
        <v>11319.28</v>
      </c>
      <c r="P248" s="41">
        <v>3421.64</v>
      </c>
      <c r="Q248" s="41">
        <v>55000.95</v>
      </c>
      <c r="R248" s="41">
        <v>1330</v>
      </c>
      <c r="S248" s="41">
        <v>-6.2</v>
      </c>
      <c r="T248" s="41">
        <v>0</v>
      </c>
      <c r="U248" s="41">
        <v>6847.95</v>
      </c>
      <c r="V248" s="41">
        <v>550</v>
      </c>
      <c r="W248" s="41">
        <v>0</v>
      </c>
      <c r="X248" s="41">
        <v>46279.199999999997</v>
      </c>
      <c r="Y248" s="41">
        <v>4460.1000000000004</v>
      </c>
      <c r="Z248" s="41">
        <v>0</v>
      </c>
      <c r="AA248" s="41">
        <v>0</v>
      </c>
      <c r="AB248" s="41">
        <v>1611100</v>
      </c>
      <c r="AC248" s="41">
        <v>49</v>
      </c>
      <c r="AD248" s="41" t="s">
        <v>433</v>
      </c>
    </row>
    <row r="249" spans="1:30" x14ac:dyDescent="0.35">
      <c r="A249" s="41">
        <v>467</v>
      </c>
      <c r="B249" s="41">
        <v>2751111</v>
      </c>
      <c r="C249" s="41">
        <v>27511112</v>
      </c>
      <c r="D249" s="41" t="s">
        <v>434</v>
      </c>
      <c r="E249" s="41" t="s">
        <v>604</v>
      </c>
      <c r="F249" s="41">
        <v>611110</v>
      </c>
      <c r="G249" s="41" t="s">
        <v>1972</v>
      </c>
      <c r="H249" s="41">
        <v>90541</v>
      </c>
      <c r="I249" s="41" t="s">
        <v>819</v>
      </c>
      <c r="J249" s="41">
        <v>39</v>
      </c>
      <c r="K249" s="41">
        <v>3</v>
      </c>
      <c r="L249" s="41">
        <v>0</v>
      </c>
      <c r="M249" s="41">
        <v>100</v>
      </c>
      <c r="N249" s="41">
        <v>18767.73</v>
      </c>
      <c r="O249" s="41">
        <v>2618.66</v>
      </c>
      <c r="P249" s="41">
        <v>783.77</v>
      </c>
      <c r="Q249" s="41">
        <v>14291.2</v>
      </c>
      <c r="R249" s="41">
        <v>435.75</v>
      </c>
      <c r="S249" s="41">
        <v>0</v>
      </c>
      <c r="T249" s="41">
        <v>0</v>
      </c>
      <c r="U249" s="41">
        <v>2105.9499999999998</v>
      </c>
      <c r="V249" s="41">
        <v>525</v>
      </c>
      <c r="W249" s="41">
        <v>0</v>
      </c>
      <c r="X249" s="41">
        <v>11224.5</v>
      </c>
      <c r="Y249" s="41">
        <v>1074.0999999999999</v>
      </c>
      <c r="Z249" s="41">
        <v>0</v>
      </c>
      <c r="AA249" s="41">
        <v>0</v>
      </c>
      <c r="AB249" s="41">
        <v>1611110</v>
      </c>
      <c r="AC249" s="41">
        <v>49</v>
      </c>
      <c r="AD249" s="41" t="s">
        <v>433</v>
      </c>
    </row>
    <row r="250" spans="1:30" x14ac:dyDescent="0.35">
      <c r="A250" s="41">
        <v>467</v>
      </c>
      <c r="B250" s="41">
        <v>20788557</v>
      </c>
      <c r="C250" s="41">
        <v>207885575</v>
      </c>
      <c r="D250" s="41" t="s">
        <v>434</v>
      </c>
      <c r="E250" s="41" t="s">
        <v>1801</v>
      </c>
      <c r="F250" s="41">
        <v>611110</v>
      </c>
      <c r="G250" s="41" t="s">
        <v>1972</v>
      </c>
      <c r="H250" s="41">
        <v>90541</v>
      </c>
      <c r="I250" s="41" t="s">
        <v>819</v>
      </c>
      <c r="J250" s="41">
        <v>72</v>
      </c>
      <c r="K250" s="41">
        <v>35</v>
      </c>
      <c r="L250" s="41">
        <v>0</v>
      </c>
      <c r="M250" s="41">
        <v>100</v>
      </c>
      <c r="N250" s="41">
        <v>15716.46</v>
      </c>
      <c r="O250" s="41">
        <v>2160</v>
      </c>
      <c r="P250" s="41">
        <v>612.58000000000004</v>
      </c>
      <c r="Q250" s="41">
        <v>12038.73</v>
      </c>
      <c r="R250" s="41">
        <v>0</v>
      </c>
      <c r="S250" s="41">
        <v>6.56</v>
      </c>
      <c r="T250" s="41">
        <v>0</v>
      </c>
      <c r="U250" s="41">
        <v>2099.4899999999998</v>
      </c>
      <c r="V250" s="41">
        <v>261.45</v>
      </c>
      <c r="W250" s="41">
        <v>2315.52</v>
      </c>
      <c r="X250" s="41">
        <v>7355.71</v>
      </c>
      <c r="Y250" s="41">
        <v>905.15</v>
      </c>
      <c r="Z250" s="41">
        <v>0</v>
      </c>
      <c r="AA250" s="41">
        <v>0</v>
      </c>
      <c r="AB250" s="41">
        <v>1611110</v>
      </c>
      <c r="AC250" s="41">
        <v>49</v>
      </c>
      <c r="AD250" s="41" t="s">
        <v>433</v>
      </c>
    </row>
    <row r="251" spans="1:30" x14ac:dyDescent="0.35">
      <c r="A251" s="41">
        <v>467</v>
      </c>
      <c r="B251" s="41">
        <v>2478708</v>
      </c>
      <c r="C251" s="41">
        <v>24787087</v>
      </c>
      <c r="D251" s="41" t="s">
        <v>434</v>
      </c>
      <c r="E251" s="41" t="s">
        <v>1802</v>
      </c>
      <c r="F251" s="41">
        <v>613000</v>
      </c>
      <c r="G251" s="41" t="s">
        <v>1972</v>
      </c>
      <c r="H251" s="41">
        <v>90541</v>
      </c>
      <c r="I251" s="41" t="s">
        <v>819</v>
      </c>
      <c r="J251" s="41">
        <v>5</v>
      </c>
      <c r="K251" s="41">
        <v>5</v>
      </c>
      <c r="L251" s="41">
        <v>0</v>
      </c>
      <c r="M251" s="41">
        <v>100</v>
      </c>
      <c r="N251" s="41">
        <v>12208.21</v>
      </c>
      <c r="O251" s="41">
        <v>0</v>
      </c>
      <c r="P251" s="41">
        <v>523.55999999999995</v>
      </c>
      <c r="Q251" s="41">
        <v>10867.35</v>
      </c>
      <c r="R251" s="41">
        <v>0</v>
      </c>
      <c r="S251" s="41">
        <v>0</v>
      </c>
      <c r="T251" s="41">
        <v>0</v>
      </c>
      <c r="U251" s="41">
        <v>0</v>
      </c>
      <c r="V251" s="41">
        <v>261.45</v>
      </c>
      <c r="W251" s="41">
        <v>3203.25</v>
      </c>
      <c r="X251" s="41">
        <v>7402.65</v>
      </c>
      <c r="Y251" s="41">
        <v>817.3</v>
      </c>
      <c r="Z251" s="41">
        <v>0</v>
      </c>
      <c r="AA251" s="41">
        <v>0</v>
      </c>
      <c r="AB251" s="41">
        <v>1613000</v>
      </c>
      <c r="AC251" s="41">
        <v>49</v>
      </c>
      <c r="AD251" s="41" t="s">
        <v>433</v>
      </c>
    </row>
    <row r="252" spans="1:30" x14ac:dyDescent="0.35">
      <c r="A252" s="41">
        <v>467</v>
      </c>
      <c r="B252" s="41">
        <v>4046691</v>
      </c>
      <c r="C252" s="41">
        <v>40466914</v>
      </c>
      <c r="D252" s="41" t="s">
        <v>574</v>
      </c>
      <c r="E252" s="41" t="s">
        <v>603</v>
      </c>
      <c r="F252" s="41">
        <v>613000</v>
      </c>
      <c r="G252" s="41" t="s">
        <v>1972</v>
      </c>
      <c r="H252" s="41">
        <v>90541</v>
      </c>
      <c r="I252" s="41" t="s">
        <v>819</v>
      </c>
      <c r="J252" s="41">
        <v>5</v>
      </c>
      <c r="K252" s="41">
        <v>39</v>
      </c>
      <c r="L252" s="41">
        <v>0</v>
      </c>
      <c r="M252" s="41">
        <v>100</v>
      </c>
      <c r="N252" s="41">
        <v>15885.27</v>
      </c>
      <c r="O252" s="41">
        <v>1910.51</v>
      </c>
      <c r="P252" s="41">
        <v>642.19000000000005</v>
      </c>
      <c r="Q252" s="41">
        <v>12398.22</v>
      </c>
      <c r="R252" s="41">
        <v>0</v>
      </c>
      <c r="S252" s="41">
        <v>0</v>
      </c>
      <c r="T252" s="41">
        <v>0</v>
      </c>
      <c r="U252" s="41">
        <v>1101.1300000000001</v>
      </c>
      <c r="V252" s="41">
        <v>273.60000000000002</v>
      </c>
      <c r="W252" s="41">
        <v>2834.4</v>
      </c>
      <c r="X252" s="41">
        <v>8189.09</v>
      </c>
      <c r="Y252" s="41">
        <v>934.35</v>
      </c>
      <c r="Z252" s="41">
        <v>0</v>
      </c>
      <c r="AA252" s="41">
        <v>0</v>
      </c>
      <c r="AB252" s="41">
        <v>1613000</v>
      </c>
      <c r="AC252" s="41">
        <v>49</v>
      </c>
      <c r="AD252" s="41" t="s">
        <v>433</v>
      </c>
    </row>
    <row r="253" spans="1:30" x14ac:dyDescent="0.35">
      <c r="A253" s="41">
        <v>467</v>
      </c>
      <c r="B253" s="41">
        <v>30065188</v>
      </c>
      <c r="C253" s="41">
        <v>300651882</v>
      </c>
      <c r="D253" s="41" t="s">
        <v>1803</v>
      </c>
      <c r="E253" s="41" t="s">
        <v>1804</v>
      </c>
      <c r="F253" s="41">
        <v>613000</v>
      </c>
      <c r="G253" s="41" t="s">
        <v>1972</v>
      </c>
      <c r="H253" s="41">
        <v>90541</v>
      </c>
      <c r="I253" s="41" t="s">
        <v>819</v>
      </c>
      <c r="J253" s="41">
        <v>39</v>
      </c>
      <c r="K253" s="41">
        <v>3</v>
      </c>
      <c r="L253" s="41">
        <v>0</v>
      </c>
      <c r="M253" s="41">
        <v>100</v>
      </c>
      <c r="N253" s="41">
        <v>49634.75</v>
      </c>
      <c r="O253" s="41">
        <v>7481.93</v>
      </c>
      <c r="P253" s="41">
        <v>2583.4299999999998</v>
      </c>
      <c r="Q253" s="41">
        <v>36719.339999999997</v>
      </c>
      <c r="R253" s="41">
        <v>1245</v>
      </c>
      <c r="S253" s="41">
        <v>119.28</v>
      </c>
      <c r="T253" s="41">
        <v>0</v>
      </c>
      <c r="U253" s="41">
        <v>2693.06</v>
      </c>
      <c r="V253" s="41">
        <v>592</v>
      </c>
      <c r="W253" s="41">
        <v>0</v>
      </c>
      <c r="X253" s="41">
        <v>32070</v>
      </c>
      <c r="Y253" s="41">
        <v>2850.05</v>
      </c>
      <c r="Z253" s="41">
        <v>0</v>
      </c>
      <c r="AA253" s="41">
        <v>0</v>
      </c>
      <c r="AB253" s="41">
        <v>1613000</v>
      </c>
      <c r="AC253" s="41">
        <v>49</v>
      </c>
      <c r="AD253" s="41" t="s">
        <v>433</v>
      </c>
    </row>
    <row r="254" spans="1:30" x14ac:dyDescent="0.35">
      <c r="A254" s="41">
        <v>467</v>
      </c>
      <c r="B254" s="41">
        <v>3342661</v>
      </c>
      <c r="C254" s="41">
        <v>33426610</v>
      </c>
      <c r="D254" s="41" t="s">
        <v>434</v>
      </c>
      <c r="E254" s="41" t="s">
        <v>461</v>
      </c>
      <c r="F254" s="41">
        <v>615000</v>
      </c>
      <c r="G254" s="41" t="s">
        <v>1972</v>
      </c>
      <c r="H254" s="41">
        <v>90541</v>
      </c>
      <c r="I254" s="41" t="s">
        <v>819</v>
      </c>
      <c r="J254" s="41">
        <v>39</v>
      </c>
      <c r="K254" s="41">
        <v>3</v>
      </c>
      <c r="L254" s="41">
        <v>0</v>
      </c>
      <c r="M254" s="41">
        <v>100</v>
      </c>
      <c r="N254" s="41">
        <v>42527.25</v>
      </c>
      <c r="O254" s="41">
        <v>6516.89</v>
      </c>
      <c r="P254" s="41">
        <v>2140.58</v>
      </c>
      <c r="Q254" s="41">
        <v>31456.73</v>
      </c>
      <c r="R254" s="41">
        <v>1058.25</v>
      </c>
      <c r="S254" s="41">
        <v>105.55</v>
      </c>
      <c r="T254" s="41">
        <v>0</v>
      </c>
      <c r="U254" s="41">
        <v>2689.43</v>
      </c>
      <c r="V254" s="41">
        <v>344</v>
      </c>
      <c r="W254" s="41">
        <v>0</v>
      </c>
      <c r="X254" s="41">
        <v>27259.5</v>
      </c>
      <c r="Y254" s="41">
        <v>2413.0500000000002</v>
      </c>
      <c r="Z254" s="41">
        <v>0</v>
      </c>
      <c r="AA254" s="41">
        <v>0</v>
      </c>
      <c r="AB254" s="41">
        <v>1615000</v>
      </c>
      <c r="AC254" s="41">
        <v>49</v>
      </c>
      <c r="AD254" s="41" t="s">
        <v>433</v>
      </c>
    </row>
    <row r="255" spans="1:30" x14ac:dyDescent="0.35">
      <c r="A255" s="41">
        <v>467</v>
      </c>
      <c r="B255" s="41">
        <v>3393334</v>
      </c>
      <c r="C255" s="41">
        <v>33933342</v>
      </c>
      <c r="D255" s="41" t="s">
        <v>434</v>
      </c>
      <c r="E255" s="41" t="s">
        <v>525</v>
      </c>
      <c r="F255" s="41">
        <v>621200</v>
      </c>
      <c r="G255" s="41" t="s">
        <v>1972</v>
      </c>
      <c r="H255" s="41">
        <v>90541</v>
      </c>
      <c r="I255" s="41" t="s">
        <v>819</v>
      </c>
      <c r="J255" s="41">
        <v>5</v>
      </c>
      <c r="K255" s="41">
        <v>8</v>
      </c>
      <c r="L255" s="41">
        <v>0</v>
      </c>
      <c r="M255" s="41">
        <v>100</v>
      </c>
      <c r="N255" s="41">
        <v>12293.47</v>
      </c>
      <c r="O255" s="41">
        <v>1854.46</v>
      </c>
      <c r="P255" s="41">
        <v>406.74</v>
      </c>
      <c r="Q255" s="41">
        <v>9330.27</v>
      </c>
      <c r="R255" s="41">
        <v>0</v>
      </c>
      <c r="S255" s="41">
        <v>0</v>
      </c>
      <c r="T255" s="41">
        <v>0</v>
      </c>
      <c r="U255" s="41">
        <v>1182.74</v>
      </c>
      <c r="V255" s="41">
        <v>198.6</v>
      </c>
      <c r="W255" s="41">
        <v>0</v>
      </c>
      <c r="X255" s="41">
        <v>7948.93</v>
      </c>
      <c r="Y255" s="41">
        <v>702</v>
      </c>
      <c r="Z255" s="41">
        <v>0</v>
      </c>
      <c r="AA255" s="41">
        <v>0</v>
      </c>
      <c r="AB255" s="41">
        <v>1621200</v>
      </c>
      <c r="AC255" s="41">
        <v>49</v>
      </c>
      <c r="AD255" s="41" t="s">
        <v>433</v>
      </c>
    </row>
    <row r="256" spans="1:30" x14ac:dyDescent="0.35">
      <c r="A256" s="41">
        <v>467</v>
      </c>
      <c r="B256" s="41">
        <v>30097502</v>
      </c>
      <c r="C256" s="41">
        <v>300975026</v>
      </c>
      <c r="D256" s="41" t="s">
        <v>1806</v>
      </c>
      <c r="E256" s="41" t="s">
        <v>901</v>
      </c>
      <c r="F256" s="41">
        <v>621300</v>
      </c>
      <c r="G256" s="41" t="s">
        <v>1972</v>
      </c>
      <c r="H256" s="41">
        <v>90541</v>
      </c>
      <c r="I256" s="41" t="s">
        <v>819</v>
      </c>
      <c r="J256" s="41">
        <v>39</v>
      </c>
      <c r="K256" s="41">
        <v>3</v>
      </c>
      <c r="L256" s="41">
        <v>0</v>
      </c>
      <c r="M256" s="41">
        <v>100</v>
      </c>
      <c r="N256" s="41">
        <v>25491.37</v>
      </c>
      <c r="O256" s="41">
        <v>3410.79</v>
      </c>
      <c r="P256" s="41">
        <v>1173.44</v>
      </c>
      <c r="Q256" s="41">
        <v>19448.490000000002</v>
      </c>
      <c r="R256" s="41">
        <v>786.75</v>
      </c>
      <c r="S256" s="41">
        <v>0</v>
      </c>
      <c r="T256" s="41">
        <v>0</v>
      </c>
      <c r="U256" s="41">
        <v>1892.75</v>
      </c>
      <c r="V256" s="41">
        <v>974.75</v>
      </c>
      <c r="W256" s="41">
        <v>4569.74</v>
      </c>
      <c r="X256" s="41">
        <v>11224.5</v>
      </c>
      <c r="Y256" s="41">
        <v>1458.65</v>
      </c>
      <c r="Z256" s="41">
        <v>0</v>
      </c>
      <c r="AA256" s="41">
        <v>0</v>
      </c>
      <c r="AB256" s="41">
        <v>1621300</v>
      </c>
      <c r="AC256" s="41">
        <v>49</v>
      </c>
      <c r="AD256" s="41" t="s">
        <v>433</v>
      </c>
    </row>
    <row r="257" spans="1:30" x14ac:dyDescent="0.35">
      <c r="A257" s="41">
        <v>467</v>
      </c>
      <c r="B257" s="41">
        <v>30110715</v>
      </c>
      <c r="C257" s="41">
        <v>301107157</v>
      </c>
      <c r="D257" s="41" t="s">
        <v>526</v>
      </c>
      <c r="E257" s="41" t="s">
        <v>902</v>
      </c>
      <c r="F257" s="41">
        <v>621300</v>
      </c>
      <c r="G257" s="41" t="s">
        <v>1972</v>
      </c>
      <c r="H257" s="41">
        <v>90541</v>
      </c>
      <c r="I257" s="41" t="s">
        <v>819</v>
      </c>
      <c r="J257" s="41">
        <v>39</v>
      </c>
      <c r="K257" s="41">
        <v>3</v>
      </c>
      <c r="L257" s="41">
        <v>0</v>
      </c>
      <c r="M257" s="41">
        <v>100</v>
      </c>
      <c r="N257" s="41">
        <v>43847.07</v>
      </c>
      <c r="O257" s="41">
        <v>6571.55</v>
      </c>
      <c r="P257" s="41">
        <v>2227.73</v>
      </c>
      <c r="Q257" s="41">
        <v>32548.74</v>
      </c>
      <c r="R257" s="41">
        <v>1409.25</v>
      </c>
      <c r="S257" s="41">
        <v>105.43</v>
      </c>
      <c r="T257" s="41">
        <v>0</v>
      </c>
      <c r="U257" s="41">
        <v>2688.36</v>
      </c>
      <c r="V257" s="41">
        <v>1086.2</v>
      </c>
      <c r="W257" s="41">
        <v>0</v>
      </c>
      <c r="X257" s="41">
        <v>27259.5</v>
      </c>
      <c r="Y257" s="41">
        <v>2499.0500000000002</v>
      </c>
      <c r="Z257" s="41">
        <v>0</v>
      </c>
      <c r="AA257" s="41">
        <v>0</v>
      </c>
      <c r="AB257" s="41">
        <v>1621300</v>
      </c>
      <c r="AC257" s="41">
        <v>49</v>
      </c>
      <c r="AD257" s="41" t="s">
        <v>433</v>
      </c>
    </row>
    <row r="258" spans="1:30" x14ac:dyDescent="0.35">
      <c r="A258" s="41">
        <v>467</v>
      </c>
      <c r="B258" s="41">
        <v>3950209</v>
      </c>
      <c r="C258" s="41">
        <v>39502091</v>
      </c>
      <c r="D258" s="41" t="s">
        <v>540</v>
      </c>
      <c r="E258" s="41" t="s">
        <v>536</v>
      </c>
      <c r="F258" s="41">
        <v>623000</v>
      </c>
      <c r="G258" s="41" t="s">
        <v>1972</v>
      </c>
      <c r="H258" s="41">
        <v>90541</v>
      </c>
      <c r="I258" s="41" t="s">
        <v>819</v>
      </c>
      <c r="J258" s="41">
        <v>72</v>
      </c>
      <c r="K258" s="41">
        <v>35</v>
      </c>
      <c r="L258" s="41">
        <v>0</v>
      </c>
      <c r="M258" s="41">
        <v>100</v>
      </c>
      <c r="N258" s="41">
        <v>11342.81</v>
      </c>
      <c r="O258" s="41">
        <v>37.1</v>
      </c>
      <c r="P258" s="41">
        <v>461.98</v>
      </c>
      <c r="Q258" s="41">
        <v>10087.18</v>
      </c>
      <c r="R258" s="41">
        <v>0</v>
      </c>
      <c r="S258" s="41">
        <v>0</v>
      </c>
      <c r="T258" s="41">
        <v>0</v>
      </c>
      <c r="U258" s="41">
        <v>0</v>
      </c>
      <c r="V258" s="41">
        <v>533.65</v>
      </c>
      <c r="W258" s="41">
        <v>2138.5</v>
      </c>
      <c r="X258" s="41">
        <v>7415.03</v>
      </c>
      <c r="Y258" s="41">
        <v>756.55</v>
      </c>
      <c r="Z258" s="41">
        <v>0</v>
      </c>
      <c r="AA258" s="41">
        <v>0</v>
      </c>
      <c r="AB258" s="41">
        <v>1623000</v>
      </c>
      <c r="AC258" s="41">
        <v>49</v>
      </c>
      <c r="AD258" s="41" t="s">
        <v>433</v>
      </c>
    </row>
    <row r="259" spans="1:30" x14ac:dyDescent="0.35">
      <c r="A259" s="41">
        <v>467</v>
      </c>
      <c r="B259" s="41">
        <v>6124486</v>
      </c>
      <c r="C259" s="41">
        <v>61244869</v>
      </c>
      <c r="D259" s="41" t="s">
        <v>1807</v>
      </c>
      <c r="E259" s="41" t="s">
        <v>1808</v>
      </c>
      <c r="F259" s="41">
        <v>623000</v>
      </c>
      <c r="G259" s="41" t="s">
        <v>1972</v>
      </c>
      <c r="H259" s="41">
        <v>90541</v>
      </c>
      <c r="I259" s="41" t="s">
        <v>819</v>
      </c>
      <c r="J259" s="41">
        <v>5</v>
      </c>
      <c r="K259" s="41">
        <v>7</v>
      </c>
      <c r="L259" s="41">
        <v>0</v>
      </c>
      <c r="M259" s="41">
        <v>100</v>
      </c>
      <c r="N259" s="41">
        <v>14396.55</v>
      </c>
      <c r="O259" s="41">
        <v>1772.96</v>
      </c>
      <c r="P259" s="41">
        <v>550.99</v>
      </c>
      <c r="Q259" s="41">
        <v>11228.25</v>
      </c>
      <c r="R259" s="41">
        <v>0</v>
      </c>
      <c r="S259" s="41">
        <v>0</v>
      </c>
      <c r="T259" s="41">
        <v>0</v>
      </c>
      <c r="U259" s="41">
        <v>1094.83</v>
      </c>
      <c r="V259" s="41">
        <v>342.4</v>
      </c>
      <c r="W259" s="41">
        <v>2191.5</v>
      </c>
      <c r="X259" s="41">
        <v>7599.52</v>
      </c>
      <c r="Y259" s="41">
        <v>844.35</v>
      </c>
      <c r="Z259" s="41">
        <v>0</v>
      </c>
      <c r="AA259" s="41">
        <v>0</v>
      </c>
      <c r="AB259" s="41">
        <v>1623000</v>
      </c>
      <c r="AC259" s="41">
        <v>49</v>
      </c>
      <c r="AD259" s="41" t="s">
        <v>433</v>
      </c>
    </row>
    <row r="260" spans="1:30" x14ac:dyDescent="0.35">
      <c r="A260" s="41">
        <v>467</v>
      </c>
      <c r="B260" s="41">
        <v>20671688</v>
      </c>
      <c r="C260" s="41">
        <v>206716888</v>
      </c>
      <c r="D260" s="41" t="s">
        <v>434</v>
      </c>
      <c r="E260" s="41" t="s">
        <v>1809</v>
      </c>
      <c r="F260" s="41">
        <v>623000</v>
      </c>
      <c r="G260" s="41" t="s">
        <v>1972</v>
      </c>
      <c r="H260" s="41">
        <v>90541</v>
      </c>
      <c r="I260" s="41" t="s">
        <v>819</v>
      </c>
      <c r="J260" s="41">
        <v>5</v>
      </c>
      <c r="K260" s="41">
        <v>7</v>
      </c>
      <c r="L260" s="41">
        <v>0</v>
      </c>
      <c r="M260" s="41">
        <v>75</v>
      </c>
      <c r="N260" s="41">
        <v>10616.09</v>
      </c>
      <c r="O260" s="41">
        <v>1313.91</v>
      </c>
      <c r="P260" s="41">
        <v>331.67</v>
      </c>
      <c r="Q260" s="41">
        <v>8342.56</v>
      </c>
      <c r="R260" s="41">
        <v>441</v>
      </c>
      <c r="S260" s="41">
        <v>0</v>
      </c>
      <c r="T260" s="41">
        <v>0</v>
      </c>
      <c r="U260" s="41">
        <v>0</v>
      </c>
      <c r="V260" s="41">
        <v>173.45</v>
      </c>
      <c r="W260" s="41">
        <v>2096.21</v>
      </c>
      <c r="X260" s="41">
        <v>5631.9</v>
      </c>
      <c r="Y260" s="41">
        <v>627.95000000000005</v>
      </c>
      <c r="Z260" s="41">
        <v>0</v>
      </c>
      <c r="AA260" s="41">
        <v>0</v>
      </c>
      <c r="AB260" s="41">
        <v>1623000</v>
      </c>
      <c r="AC260" s="41">
        <v>49</v>
      </c>
      <c r="AD260" s="41" t="s">
        <v>433</v>
      </c>
    </row>
    <row r="261" spans="1:30" x14ac:dyDescent="0.35">
      <c r="A261" s="41">
        <v>467</v>
      </c>
      <c r="B261" s="41">
        <v>30072471</v>
      </c>
      <c r="C261" s="41">
        <v>300724713</v>
      </c>
      <c r="D261" s="41" t="s">
        <v>442</v>
      </c>
      <c r="E261" s="41" t="s">
        <v>440</v>
      </c>
      <c r="F261" s="41">
        <v>624000</v>
      </c>
      <c r="G261" s="41" t="s">
        <v>1972</v>
      </c>
      <c r="H261" s="41">
        <v>90541</v>
      </c>
      <c r="I261" s="41" t="s">
        <v>819</v>
      </c>
      <c r="J261" s="41">
        <v>72</v>
      </c>
      <c r="K261" s="41">
        <v>39</v>
      </c>
      <c r="L261" s="41">
        <v>0</v>
      </c>
      <c r="M261" s="41">
        <v>100</v>
      </c>
      <c r="N261" s="41">
        <v>18756.36</v>
      </c>
      <c r="O261" s="41">
        <v>2219.5500000000002</v>
      </c>
      <c r="P261" s="41">
        <v>816.69</v>
      </c>
      <c r="Q261" s="41">
        <v>14623.45</v>
      </c>
      <c r="R261" s="41">
        <v>588</v>
      </c>
      <c r="S261" s="41">
        <v>4.45</v>
      </c>
      <c r="T261" s="41">
        <v>0</v>
      </c>
      <c r="U261" s="41">
        <v>476</v>
      </c>
      <c r="V261" s="41">
        <v>185.6</v>
      </c>
      <c r="W261" s="41">
        <v>5464.02</v>
      </c>
      <c r="X261" s="41">
        <v>7905.38</v>
      </c>
      <c r="Y261" s="41">
        <v>1096.67</v>
      </c>
      <c r="Z261" s="41">
        <v>0</v>
      </c>
      <c r="AA261" s="41">
        <v>0</v>
      </c>
      <c r="AB261" s="41">
        <v>1624000</v>
      </c>
      <c r="AC261" s="41">
        <v>49</v>
      </c>
      <c r="AD261" s="41" t="s">
        <v>433</v>
      </c>
    </row>
    <row r="262" spans="1:30" x14ac:dyDescent="0.35">
      <c r="A262" s="41">
        <v>467</v>
      </c>
      <c r="B262" s="41">
        <v>2499095</v>
      </c>
      <c r="C262" s="41">
        <v>24990954</v>
      </c>
      <c r="D262" s="41" t="s">
        <v>1810</v>
      </c>
      <c r="E262" s="41" t="s">
        <v>1811</v>
      </c>
      <c r="F262" s="41">
        <v>711000</v>
      </c>
      <c r="G262" s="41" t="s">
        <v>1972</v>
      </c>
      <c r="H262" s="41">
        <v>90541</v>
      </c>
      <c r="I262" s="41" t="s">
        <v>819</v>
      </c>
      <c r="J262" s="41">
        <v>5</v>
      </c>
      <c r="K262" s="41">
        <v>6</v>
      </c>
      <c r="L262" s="41">
        <v>0</v>
      </c>
      <c r="M262" s="41">
        <v>75</v>
      </c>
      <c r="N262" s="41">
        <v>12152.59</v>
      </c>
      <c r="O262" s="41">
        <v>1297.3</v>
      </c>
      <c r="P262" s="41">
        <v>432.24</v>
      </c>
      <c r="Q262" s="41">
        <v>9695.85</v>
      </c>
      <c r="R262" s="41">
        <v>0</v>
      </c>
      <c r="S262" s="41">
        <v>0</v>
      </c>
      <c r="T262" s="41">
        <v>0</v>
      </c>
      <c r="U262" s="41">
        <v>2124.98</v>
      </c>
      <c r="V262" s="41">
        <v>293.8</v>
      </c>
      <c r="W262" s="41">
        <v>1716.4</v>
      </c>
      <c r="X262" s="41">
        <v>5560.67</v>
      </c>
      <c r="Y262" s="41">
        <v>727.2</v>
      </c>
      <c r="Z262" s="41">
        <v>0</v>
      </c>
      <c r="AA262" s="41">
        <v>0</v>
      </c>
      <c r="AB262" s="41">
        <v>1711000</v>
      </c>
      <c r="AC262" s="41">
        <v>49</v>
      </c>
      <c r="AD262" s="41" t="s">
        <v>433</v>
      </c>
    </row>
    <row r="263" spans="1:30" x14ac:dyDescent="0.35">
      <c r="A263" s="41">
        <v>467</v>
      </c>
      <c r="B263" s="41">
        <v>4348919</v>
      </c>
      <c r="C263" s="41">
        <v>43489194</v>
      </c>
      <c r="D263" s="41" t="s">
        <v>434</v>
      </c>
      <c r="E263" s="41" t="s">
        <v>1812</v>
      </c>
      <c r="F263" s="41">
        <v>711000</v>
      </c>
      <c r="G263" s="41" t="s">
        <v>1972</v>
      </c>
      <c r="H263" s="41">
        <v>90541</v>
      </c>
      <c r="I263" s="41" t="s">
        <v>821</v>
      </c>
      <c r="J263" s="41">
        <v>0</v>
      </c>
      <c r="K263" s="41">
        <v>0</v>
      </c>
      <c r="L263" s="41">
        <v>0</v>
      </c>
      <c r="M263" s="41">
        <v>0</v>
      </c>
      <c r="N263" s="41">
        <v>9682.74</v>
      </c>
      <c r="O263" s="41">
        <v>0</v>
      </c>
      <c r="P263" s="41">
        <v>496.53</v>
      </c>
      <c r="Q263" s="41">
        <v>8543.24</v>
      </c>
      <c r="R263" s="41">
        <v>0</v>
      </c>
      <c r="S263" s="41">
        <v>0</v>
      </c>
      <c r="T263" s="41">
        <v>0</v>
      </c>
      <c r="U263" s="41">
        <v>888</v>
      </c>
      <c r="V263" s="41">
        <v>137</v>
      </c>
      <c r="W263" s="41">
        <v>7518.24</v>
      </c>
      <c r="X263" s="41">
        <v>0</v>
      </c>
      <c r="Y263" s="41">
        <v>642.97</v>
      </c>
      <c r="Z263" s="41">
        <v>0</v>
      </c>
      <c r="AA263" s="41">
        <v>0</v>
      </c>
      <c r="AB263" s="41">
        <v>1711000</v>
      </c>
      <c r="AC263" s="41">
        <v>49</v>
      </c>
      <c r="AD263" s="41" t="s">
        <v>433</v>
      </c>
    </row>
    <row r="264" spans="1:30" x14ac:dyDescent="0.35">
      <c r="A264" s="41">
        <v>467</v>
      </c>
      <c r="B264" s="41">
        <v>4348919</v>
      </c>
      <c r="C264" s="41">
        <v>43489194</v>
      </c>
      <c r="D264" s="41" t="s">
        <v>434</v>
      </c>
      <c r="E264" s="41" t="s">
        <v>1812</v>
      </c>
      <c r="F264" s="41">
        <v>713000</v>
      </c>
      <c r="G264" s="41" t="s">
        <v>1972</v>
      </c>
      <c r="H264" s="41">
        <v>90541</v>
      </c>
      <c r="I264" s="41" t="s">
        <v>819</v>
      </c>
      <c r="J264" s="41">
        <v>5</v>
      </c>
      <c r="K264" s="41">
        <v>5</v>
      </c>
      <c r="L264" s="41">
        <v>0</v>
      </c>
      <c r="M264" s="41">
        <v>100</v>
      </c>
      <c r="N264" s="41">
        <v>9643.3799999999992</v>
      </c>
      <c r="O264" s="41">
        <v>1177.19</v>
      </c>
      <c r="P264" s="41">
        <v>432.8</v>
      </c>
      <c r="Q264" s="41">
        <v>7472.96</v>
      </c>
      <c r="R264" s="41">
        <v>0</v>
      </c>
      <c r="S264" s="41">
        <v>0</v>
      </c>
      <c r="T264" s="41">
        <v>0</v>
      </c>
      <c r="U264" s="41">
        <v>0</v>
      </c>
      <c r="V264" s="41">
        <v>36.450000000000003</v>
      </c>
      <c r="W264" s="41">
        <v>0</v>
      </c>
      <c r="X264" s="41">
        <v>7436.51</v>
      </c>
      <c r="Y264" s="41">
        <v>560.42999999999995</v>
      </c>
      <c r="Z264" s="41">
        <v>0</v>
      </c>
      <c r="AA264" s="41">
        <v>0</v>
      </c>
      <c r="AB264" s="41">
        <v>1713000</v>
      </c>
      <c r="AC264" s="41">
        <v>49</v>
      </c>
      <c r="AD264" s="41" t="s">
        <v>433</v>
      </c>
    </row>
    <row r="265" spans="1:30" x14ac:dyDescent="0.35">
      <c r="A265" s="41">
        <v>467</v>
      </c>
      <c r="B265" s="41">
        <v>5947614</v>
      </c>
      <c r="C265" s="41">
        <v>59476143</v>
      </c>
      <c r="D265" s="41" t="s">
        <v>442</v>
      </c>
      <c r="E265" s="41" t="s">
        <v>443</v>
      </c>
      <c r="F265" s="41">
        <v>722000</v>
      </c>
      <c r="G265" s="41" t="s">
        <v>1972</v>
      </c>
      <c r="H265" s="41">
        <v>90541</v>
      </c>
      <c r="I265" s="41" t="s">
        <v>819</v>
      </c>
      <c r="J265" s="41">
        <v>39</v>
      </c>
      <c r="K265" s="41">
        <v>3</v>
      </c>
      <c r="L265" s="41">
        <v>0</v>
      </c>
      <c r="M265" s="41">
        <v>100</v>
      </c>
      <c r="N265" s="41">
        <v>21134.57</v>
      </c>
      <c r="O265" s="41">
        <v>3117.37</v>
      </c>
      <c r="P265" s="41">
        <v>907.12</v>
      </c>
      <c r="Q265" s="41">
        <v>15914.28</v>
      </c>
      <c r="R265" s="41">
        <v>498</v>
      </c>
      <c r="S265" s="41">
        <v>31.7</v>
      </c>
      <c r="T265" s="41">
        <v>0</v>
      </c>
      <c r="U265" s="41">
        <v>2305.58</v>
      </c>
      <c r="V265" s="41">
        <v>251</v>
      </c>
      <c r="W265" s="41">
        <v>0</v>
      </c>
      <c r="X265" s="41">
        <v>12828</v>
      </c>
      <c r="Y265" s="41">
        <v>1195.8</v>
      </c>
      <c r="Z265" s="41">
        <v>0</v>
      </c>
      <c r="AA265" s="41">
        <v>0</v>
      </c>
      <c r="AB265" s="41">
        <v>1722000</v>
      </c>
      <c r="AC265" s="41">
        <v>49</v>
      </c>
      <c r="AD265" s="41" t="s">
        <v>433</v>
      </c>
    </row>
    <row r="266" spans="1:30" x14ac:dyDescent="0.35">
      <c r="A266" s="41">
        <v>467</v>
      </c>
      <c r="B266" s="41">
        <v>2825222</v>
      </c>
      <c r="C266" s="41">
        <v>28252229</v>
      </c>
      <c r="D266" s="41" t="s">
        <v>1813</v>
      </c>
      <c r="E266" s="41" t="s">
        <v>443</v>
      </c>
      <c r="F266" s="41">
        <v>722002</v>
      </c>
      <c r="G266" s="41" t="s">
        <v>1972</v>
      </c>
      <c r="H266" s="41">
        <v>90541</v>
      </c>
      <c r="I266" s="41" t="s">
        <v>819</v>
      </c>
      <c r="J266" s="41">
        <v>5</v>
      </c>
      <c r="K266" s="41">
        <v>6</v>
      </c>
      <c r="L266" s="41">
        <v>0</v>
      </c>
      <c r="M266" s="41">
        <v>100</v>
      </c>
      <c r="N266" s="41">
        <v>12661.68</v>
      </c>
      <c r="O266" s="41">
        <v>1753.45</v>
      </c>
      <c r="P266" s="41">
        <v>437.72</v>
      </c>
      <c r="Q266" s="41">
        <v>9737.91</v>
      </c>
      <c r="R266" s="41">
        <v>1930</v>
      </c>
      <c r="S266" s="41">
        <v>0</v>
      </c>
      <c r="T266" s="41">
        <v>0</v>
      </c>
      <c r="U266" s="41">
        <v>0</v>
      </c>
      <c r="V266" s="41">
        <v>381.53</v>
      </c>
      <c r="W266" s="41">
        <v>358.6</v>
      </c>
      <c r="X266" s="41">
        <v>7067.78</v>
      </c>
      <c r="Y266" s="41">
        <v>732.6</v>
      </c>
      <c r="Z266" s="41">
        <v>0</v>
      </c>
      <c r="AA266" s="41">
        <v>0</v>
      </c>
      <c r="AB266" s="41">
        <v>1722002</v>
      </c>
      <c r="AC266" s="41">
        <v>49</v>
      </c>
      <c r="AD266" s="41" t="s">
        <v>433</v>
      </c>
    </row>
    <row r="267" spans="1:30" x14ac:dyDescent="0.35">
      <c r="A267" s="41">
        <v>467</v>
      </c>
      <c r="B267" s="41">
        <v>20826233</v>
      </c>
      <c r="C267" s="41">
        <v>208262337</v>
      </c>
      <c r="D267" s="41" t="s">
        <v>538</v>
      </c>
      <c r="E267" s="41" t="s">
        <v>1815</v>
      </c>
      <c r="F267" s="41">
        <v>722002</v>
      </c>
      <c r="G267" s="41" t="s">
        <v>1972</v>
      </c>
      <c r="H267" s="41">
        <v>90541</v>
      </c>
      <c r="I267" s="41" t="s">
        <v>821</v>
      </c>
      <c r="J267" s="41">
        <v>0</v>
      </c>
      <c r="K267" s="41">
        <v>0</v>
      </c>
      <c r="L267" s="41">
        <v>0</v>
      </c>
      <c r="M267" s="41">
        <v>0</v>
      </c>
      <c r="N267" s="41">
        <v>14209.24</v>
      </c>
      <c r="O267" s="41">
        <v>0</v>
      </c>
      <c r="P267" s="41">
        <v>151.08000000000001</v>
      </c>
      <c r="Q267" s="41">
        <v>13835.91</v>
      </c>
      <c r="R267" s="41">
        <v>0</v>
      </c>
      <c r="S267" s="41">
        <v>2963.41</v>
      </c>
      <c r="T267" s="41">
        <v>0</v>
      </c>
      <c r="U267" s="41">
        <v>0</v>
      </c>
      <c r="V267" s="41">
        <v>0</v>
      </c>
      <c r="W267" s="41">
        <v>0</v>
      </c>
      <c r="X267" s="41">
        <v>10872.5</v>
      </c>
      <c r="Y267" s="41">
        <v>222.25</v>
      </c>
      <c r="Z267" s="41">
        <v>0</v>
      </c>
      <c r="AA267" s="41">
        <v>0</v>
      </c>
      <c r="AB267" s="41">
        <v>1722002</v>
      </c>
      <c r="AC267" s="41">
        <v>49</v>
      </c>
      <c r="AD267" s="41" t="s">
        <v>433</v>
      </c>
    </row>
    <row r="268" spans="1:30" x14ac:dyDescent="0.35">
      <c r="A268" s="41">
        <v>467</v>
      </c>
      <c r="B268" s="41">
        <v>3380259</v>
      </c>
      <c r="C268" s="41">
        <v>33802596</v>
      </c>
      <c r="D268" s="41" t="s">
        <v>442</v>
      </c>
      <c r="E268" s="41" t="s">
        <v>1817</v>
      </c>
      <c r="F268" s="41">
        <v>723100</v>
      </c>
      <c r="G268" s="41" t="s">
        <v>1972</v>
      </c>
      <c r="H268" s="41">
        <v>90541</v>
      </c>
      <c r="I268" s="41" t="s">
        <v>819</v>
      </c>
      <c r="J268" s="41">
        <v>5</v>
      </c>
      <c r="K268" s="41">
        <v>7</v>
      </c>
      <c r="L268" s="41">
        <v>0</v>
      </c>
      <c r="M268" s="41">
        <v>100</v>
      </c>
      <c r="N268" s="41">
        <v>13006.9</v>
      </c>
      <c r="O268" s="41">
        <v>1212.03</v>
      </c>
      <c r="P268" s="41">
        <v>483.06</v>
      </c>
      <c r="Q268" s="41">
        <v>10534.46</v>
      </c>
      <c r="R268" s="41">
        <v>200</v>
      </c>
      <c r="S268" s="41">
        <v>0</v>
      </c>
      <c r="T268" s="41">
        <v>0</v>
      </c>
      <c r="U268" s="41">
        <v>0</v>
      </c>
      <c r="V268" s="41">
        <v>185.6</v>
      </c>
      <c r="W268" s="41">
        <v>2492.29</v>
      </c>
      <c r="X268" s="41">
        <v>7656.57</v>
      </c>
      <c r="Y268" s="41">
        <v>777.35</v>
      </c>
      <c r="Z268" s="41">
        <v>0</v>
      </c>
      <c r="AA268" s="41">
        <v>0</v>
      </c>
      <c r="AB268" s="41">
        <v>1723100</v>
      </c>
      <c r="AC268" s="41">
        <v>49</v>
      </c>
      <c r="AD268" s="41" t="s">
        <v>433</v>
      </c>
    </row>
    <row r="269" spans="1:30" x14ac:dyDescent="0.35">
      <c r="A269" s="41">
        <v>467</v>
      </c>
      <c r="B269" s="41">
        <v>4170395</v>
      </c>
      <c r="C269" s="41">
        <v>41703950</v>
      </c>
      <c r="D269" s="41" t="s">
        <v>434</v>
      </c>
      <c r="E269" s="41" t="s">
        <v>903</v>
      </c>
      <c r="F269" s="41">
        <v>725000</v>
      </c>
      <c r="G269" s="41" t="s">
        <v>1972</v>
      </c>
      <c r="H269" s="41">
        <v>90541</v>
      </c>
      <c r="I269" s="41" t="s">
        <v>819</v>
      </c>
      <c r="J269" s="41">
        <v>3</v>
      </c>
      <c r="K269" s="41">
        <v>2</v>
      </c>
      <c r="L269" s="41">
        <v>0</v>
      </c>
      <c r="M269" s="41">
        <v>85</v>
      </c>
      <c r="N269" s="41">
        <v>12798.66</v>
      </c>
      <c r="O269" s="41">
        <v>2177.75</v>
      </c>
      <c r="P269" s="41">
        <v>416.77</v>
      </c>
      <c r="Q269" s="41">
        <v>9492.24</v>
      </c>
      <c r="R269" s="41">
        <v>0</v>
      </c>
      <c r="S269" s="41">
        <v>0</v>
      </c>
      <c r="T269" s="41">
        <v>0</v>
      </c>
      <c r="U269" s="41">
        <v>0</v>
      </c>
      <c r="V269" s="41">
        <v>157.66</v>
      </c>
      <c r="W269" s="41">
        <v>0</v>
      </c>
      <c r="X269" s="41">
        <v>9334.58</v>
      </c>
      <c r="Y269" s="41">
        <v>711.9</v>
      </c>
      <c r="Z269" s="41">
        <v>0</v>
      </c>
      <c r="AA269" s="41">
        <v>0</v>
      </c>
      <c r="AB269" s="41">
        <v>1725000</v>
      </c>
      <c r="AC269" s="41">
        <v>49</v>
      </c>
      <c r="AD269" s="41" t="s">
        <v>433</v>
      </c>
    </row>
    <row r="270" spans="1:30" x14ac:dyDescent="0.35">
      <c r="A270" s="41">
        <v>467</v>
      </c>
      <c r="B270" s="41">
        <v>20788878</v>
      </c>
      <c r="C270" s="41">
        <v>207888785</v>
      </c>
      <c r="D270" s="41" t="s">
        <v>490</v>
      </c>
      <c r="E270" s="41" t="s">
        <v>874</v>
      </c>
      <c r="F270" s="41">
        <v>725000</v>
      </c>
      <c r="G270" s="41" t="s">
        <v>1972</v>
      </c>
      <c r="H270" s="41">
        <v>90541</v>
      </c>
      <c r="I270" s="41" t="s">
        <v>1694</v>
      </c>
      <c r="J270" s="41">
        <v>5</v>
      </c>
      <c r="K270" s="41">
        <v>6</v>
      </c>
      <c r="L270" s="41">
        <v>0</v>
      </c>
      <c r="M270" s="41">
        <v>43</v>
      </c>
      <c r="N270" s="41">
        <v>4769.62</v>
      </c>
      <c r="O270" s="41">
        <v>0</v>
      </c>
      <c r="P270" s="41">
        <v>152.47</v>
      </c>
      <c r="Q270" s="41">
        <v>4295</v>
      </c>
      <c r="R270" s="41">
        <v>0</v>
      </c>
      <c r="S270" s="41">
        <v>0</v>
      </c>
      <c r="T270" s="41">
        <v>0</v>
      </c>
      <c r="U270" s="41">
        <v>0</v>
      </c>
      <c r="V270" s="41">
        <v>170</v>
      </c>
      <c r="W270" s="41">
        <v>0</v>
      </c>
      <c r="X270" s="41">
        <v>4125</v>
      </c>
      <c r="Y270" s="41">
        <v>322.14999999999998</v>
      </c>
      <c r="Z270" s="41">
        <v>0</v>
      </c>
      <c r="AA270" s="41">
        <v>0</v>
      </c>
      <c r="AB270" s="41">
        <v>1725000</v>
      </c>
      <c r="AC270" s="41">
        <v>43</v>
      </c>
      <c r="AD270" s="41" t="s">
        <v>433</v>
      </c>
    </row>
    <row r="271" spans="1:30" x14ac:dyDescent="0.35">
      <c r="A271" s="41">
        <v>467</v>
      </c>
      <c r="B271" s="41">
        <v>30072471</v>
      </c>
      <c r="C271" s="41">
        <v>300724713</v>
      </c>
      <c r="D271" s="41" t="s">
        <v>442</v>
      </c>
      <c r="E271" s="41" t="s">
        <v>440</v>
      </c>
      <c r="F271" s="41">
        <v>725000</v>
      </c>
      <c r="G271" s="41" t="s">
        <v>1972</v>
      </c>
      <c r="H271" s="41">
        <v>90541</v>
      </c>
      <c r="I271" s="41" t="s">
        <v>821</v>
      </c>
      <c r="J271" s="41">
        <v>0</v>
      </c>
      <c r="K271" s="41">
        <v>0</v>
      </c>
      <c r="L271" s="41">
        <v>0</v>
      </c>
      <c r="M271" s="41">
        <v>0</v>
      </c>
      <c r="N271" s="41">
        <v>580.96</v>
      </c>
      <c r="O271" s="41">
        <v>16.989999999999998</v>
      </c>
      <c r="P271" s="41">
        <v>27.94</v>
      </c>
      <c r="Q271" s="41">
        <v>498.55</v>
      </c>
      <c r="R271" s="41">
        <v>0</v>
      </c>
      <c r="S271" s="41">
        <v>0</v>
      </c>
      <c r="T271" s="41">
        <v>0</v>
      </c>
      <c r="U271" s="41">
        <v>498.55</v>
      </c>
      <c r="V271" s="41">
        <v>0</v>
      </c>
      <c r="W271" s="41">
        <v>0</v>
      </c>
      <c r="X271" s="41">
        <v>0</v>
      </c>
      <c r="Y271" s="41">
        <v>37.479999999999997</v>
      </c>
      <c r="Z271" s="41">
        <v>0</v>
      </c>
      <c r="AA271" s="41">
        <v>0</v>
      </c>
      <c r="AB271" s="41">
        <v>1725000</v>
      </c>
      <c r="AC271" s="41">
        <v>43</v>
      </c>
      <c r="AD271" s="41" t="s">
        <v>433</v>
      </c>
    </row>
    <row r="272" spans="1:30" x14ac:dyDescent="0.35">
      <c r="A272" s="41">
        <v>467</v>
      </c>
      <c r="B272" s="41">
        <v>30082811</v>
      </c>
      <c r="C272" s="41">
        <v>300828118</v>
      </c>
      <c r="D272" s="41" t="s">
        <v>434</v>
      </c>
      <c r="E272" s="41" t="s">
        <v>904</v>
      </c>
      <c r="F272" s="41">
        <v>725000</v>
      </c>
      <c r="G272" s="41" t="s">
        <v>1972</v>
      </c>
      <c r="H272" s="41">
        <v>90541</v>
      </c>
      <c r="I272" s="41" t="s">
        <v>819</v>
      </c>
      <c r="J272" s="41">
        <v>5</v>
      </c>
      <c r="K272" s="41">
        <v>5</v>
      </c>
      <c r="L272" s="41">
        <v>0</v>
      </c>
      <c r="M272" s="41">
        <v>85</v>
      </c>
      <c r="N272" s="41">
        <v>7765.33</v>
      </c>
      <c r="O272" s="41">
        <v>1315.19</v>
      </c>
      <c r="P272" s="41">
        <v>207.15</v>
      </c>
      <c r="Q272" s="41">
        <v>5805.34</v>
      </c>
      <c r="R272" s="41">
        <v>0</v>
      </c>
      <c r="S272" s="41">
        <v>0</v>
      </c>
      <c r="T272" s="41">
        <v>0</v>
      </c>
      <c r="U272" s="41">
        <v>0</v>
      </c>
      <c r="V272" s="41">
        <v>167.98</v>
      </c>
      <c r="W272" s="41">
        <v>0</v>
      </c>
      <c r="X272" s="41">
        <v>5637.36</v>
      </c>
      <c r="Y272" s="41">
        <v>437.65</v>
      </c>
      <c r="Z272" s="41">
        <v>0</v>
      </c>
      <c r="AA272" s="41">
        <v>0</v>
      </c>
      <c r="AB272" s="41">
        <v>1725000</v>
      </c>
      <c r="AC272" s="41">
        <v>43</v>
      </c>
      <c r="AD272" s="41" t="s">
        <v>433</v>
      </c>
    </row>
    <row r="273" spans="1:30" x14ac:dyDescent="0.35">
      <c r="A273" s="41">
        <v>467</v>
      </c>
      <c r="B273" s="41">
        <v>30808150</v>
      </c>
      <c r="C273" s="41">
        <v>308081504</v>
      </c>
      <c r="D273" s="41" t="s">
        <v>434</v>
      </c>
      <c r="E273" s="41" t="s">
        <v>443</v>
      </c>
      <c r="F273" s="41">
        <v>725000</v>
      </c>
      <c r="G273" s="41" t="s">
        <v>1972</v>
      </c>
      <c r="H273" s="41">
        <v>90541</v>
      </c>
      <c r="I273" s="41" t="s">
        <v>1694</v>
      </c>
      <c r="J273" s="41">
        <v>5</v>
      </c>
      <c r="K273" s="41">
        <v>5</v>
      </c>
      <c r="L273" s="41">
        <v>0</v>
      </c>
      <c r="M273" s="41">
        <v>36.9</v>
      </c>
      <c r="N273" s="41">
        <v>6291.01</v>
      </c>
      <c r="O273" s="41">
        <v>0</v>
      </c>
      <c r="P273" s="41">
        <v>201.11</v>
      </c>
      <c r="Q273" s="41">
        <v>5665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5665</v>
      </c>
      <c r="Y273" s="41">
        <v>424.9</v>
      </c>
      <c r="Z273" s="41">
        <v>0</v>
      </c>
      <c r="AA273" s="41">
        <v>0</v>
      </c>
      <c r="AB273" s="41">
        <v>1725000</v>
      </c>
      <c r="AC273" s="41">
        <v>36.9</v>
      </c>
      <c r="AD273" s="41" t="s">
        <v>433</v>
      </c>
    </row>
    <row r="274" spans="1:30" x14ac:dyDescent="0.35">
      <c r="A274" s="41">
        <v>467</v>
      </c>
      <c r="B274" s="41">
        <v>31359013</v>
      </c>
      <c r="C274" s="41">
        <v>313590135</v>
      </c>
      <c r="D274" s="41" t="s">
        <v>1818</v>
      </c>
      <c r="E274" s="41" t="s">
        <v>1819</v>
      </c>
      <c r="F274" s="41">
        <v>725004</v>
      </c>
      <c r="G274" s="41" t="s">
        <v>1972</v>
      </c>
      <c r="H274" s="41">
        <v>90541</v>
      </c>
      <c r="I274" s="41" t="s">
        <v>821</v>
      </c>
      <c r="J274" s="41">
        <v>0</v>
      </c>
      <c r="K274" s="41">
        <v>0</v>
      </c>
      <c r="L274" s="41">
        <v>0</v>
      </c>
      <c r="M274" s="41">
        <v>0</v>
      </c>
      <c r="N274" s="41">
        <v>2296.2600000000002</v>
      </c>
      <c r="O274" s="41">
        <v>2296.2600000000002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1725004</v>
      </c>
      <c r="AC274" s="41">
        <v>36.9</v>
      </c>
      <c r="AD274" s="41" t="s">
        <v>433</v>
      </c>
    </row>
    <row r="275" spans="1:30" x14ac:dyDescent="0.35">
      <c r="A275" s="41">
        <v>467</v>
      </c>
      <c r="B275" s="41">
        <v>5726898</v>
      </c>
      <c r="C275" s="41">
        <v>57268989</v>
      </c>
      <c r="D275" s="41" t="s">
        <v>1821</v>
      </c>
      <c r="E275" s="41" t="s">
        <v>1822</v>
      </c>
      <c r="F275" s="41">
        <v>731000</v>
      </c>
      <c r="G275" s="41" t="s">
        <v>1972</v>
      </c>
      <c r="H275" s="41">
        <v>90541</v>
      </c>
      <c r="I275" s="41" t="s">
        <v>819</v>
      </c>
      <c r="J275" s="41">
        <v>39</v>
      </c>
      <c r="K275" s="41">
        <v>3</v>
      </c>
      <c r="L275" s="41">
        <v>0</v>
      </c>
      <c r="M275" s="41">
        <v>100</v>
      </c>
      <c r="N275" s="41">
        <v>42709.53</v>
      </c>
      <c r="O275" s="41">
        <v>6528.45</v>
      </c>
      <c r="P275" s="41">
        <v>2161.6799999999998</v>
      </c>
      <c r="Q275" s="41">
        <v>31585.55</v>
      </c>
      <c r="R275" s="41">
        <v>1058.25</v>
      </c>
      <c r="S275" s="41">
        <v>0</v>
      </c>
      <c r="T275" s="41">
        <v>0</v>
      </c>
      <c r="U275" s="41">
        <v>2692.55</v>
      </c>
      <c r="V275" s="41">
        <v>575.25</v>
      </c>
      <c r="W275" s="41">
        <v>0</v>
      </c>
      <c r="X275" s="41">
        <v>27259.5</v>
      </c>
      <c r="Y275" s="41">
        <v>2433.85</v>
      </c>
      <c r="Z275" s="41">
        <v>0</v>
      </c>
      <c r="AA275" s="41">
        <v>0</v>
      </c>
      <c r="AB275" s="41">
        <v>1731000</v>
      </c>
      <c r="AC275" s="41">
        <v>36.9</v>
      </c>
      <c r="AD275" s="41" t="s">
        <v>433</v>
      </c>
    </row>
    <row r="276" spans="1:30" x14ac:dyDescent="0.35">
      <c r="A276" s="41">
        <v>467</v>
      </c>
      <c r="B276" s="41">
        <v>31897784</v>
      </c>
      <c r="C276" s="41">
        <v>318977840</v>
      </c>
      <c r="D276" s="41" t="s">
        <v>434</v>
      </c>
      <c r="E276" s="41" t="s">
        <v>898</v>
      </c>
      <c r="F276" s="41">
        <v>731000</v>
      </c>
      <c r="G276" s="41" t="s">
        <v>1972</v>
      </c>
      <c r="H276" s="41">
        <v>90541</v>
      </c>
      <c r="I276" s="41" t="s">
        <v>819</v>
      </c>
      <c r="J276" s="41">
        <v>77</v>
      </c>
      <c r="K276" s="41">
        <v>38</v>
      </c>
      <c r="L276" s="41">
        <v>0</v>
      </c>
      <c r="M276" s="41">
        <v>100</v>
      </c>
      <c r="N276" s="41">
        <v>11746.34</v>
      </c>
      <c r="O276" s="41">
        <v>1212.52</v>
      </c>
      <c r="P276" s="41">
        <v>411.02</v>
      </c>
      <c r="Q276" s="41">
        <v>9416.5499999999993</v>
      </c>
      <c r="R276" s="41">
        <v>0</v>
      </c>
      <c r="S276" s="41">
        <v>0</v>
      </c>
      <c r="T276" s="41">
        <v>0</v>
      </c>
      <c r="U276" s="41">
        <v>1445.72</v>
      </c>
      <c r="V276" s="41">
        <v>545.79999999999995</v>
      </c>
      <c r="W276" s="41">
        <v>0</v>
      </c>
      <c r="X276" s="41">
        <v>7425.03</v>
      </c>
      <c r="Y276" s="41">
        <v>706.25</v>
      </c>
      <c r="Z276" s="41">
        <v>0</v>
      </c>
      <c r="AA276" s="41">
        <v>0</v>
      </c>
      <c r="AB276" s="41">
        <v>1731000</v>
      </c>
      <c r="AC276" s="41">
        <v>36.9</v>
      </c>
      <c r="AD276" s="41" t="s">
        <v>433</v>
      </c>
    </row>
    <row r="277" spans="1:30" x14ac:dyDescent="0.35">
      <c r="A277" s="41">
        <v>467</v>
      </c>
      <c r="B277" s="41">
        <v>2921459</v>
      </c>
      <c r="C277" s="41">
        <v>29214590</v>
      </c>
      <c r="D277" s="41" t="s">
        <v>601</v>
      </c>
      <c r="E277" s="41" t="s">
        <v>443</v>
      </c>
      <c r="F277" s="41">
        <v>741000</v>
      </c>
      <c r="G277" s="41" t="s">
        <v>1972</v>
      </c>
      <c r="H277" s="41">
        <v>90541</v>
      </c>
      <c r="I277" s="41" t="s">
        <v>819</v>
      </c>
      <c r="J277" s="41">
        <v>5</v>
      </c>
      <c r="K277" s="41">
        <v>8</v>
      </c>
      <c r="L277" s="41">
        <v>0</v>
      </c>
      <c r="M277" s="41">
        <v>100</v>
      </c>
      <c r="N277" s="41">
        <v>12489.81</v>
      </c>
      <c r="O277" s="41">
        <v>1848.4</v>
      </c>
      <c r="P277" s="41">
        <v>420.1</v>
      </c>
      <c r="Q277" s="41">
        <v>9506.11</v>
      </c>
      <c r="R277" s="41">
        <v>0</v>
      </c>
      <c r="S277" s="41">
        <v>0</v>
      </c>
      <c r="T277" s="41">
        <v>0</v>
      </c>
      <c r="U277" s="41">
        <v>0</v>
      </c>
      <c r="V277" s="41">
        <v>185.6</v>
      </c>
      <c r="W277" s="41">
        <v>1397.58</v>
      </c>
      <c r="X277" s="41">
        <v>7922.93</v>
      </c>
      <c r="Y277" s="41">
        <v>715.2</v>
      </c>
      <c r="Z277" s="41">
        <v>0</v>
      </c>
      <c r="AA277" s="41">
        <v>0</v>
      </c>
      <c r="AB277" s="41">
        <v>1741000</v>
      </c>
      <c r="AC277" s="41">
        <v>36.9</v>
      </c>
      <c r="AD277" s="41" t="s">
        <v>433</v>
      </c>
    </row>
    <row r="278" spans="1:30" x14ac:dyDescent="0.35">
      <c r="A278" s="41">
        <v>467</v>
      </c>
      <c r="B278" s="41">
        <v>4348919</v>
      </c>
      <c r="C278" s="41">
        <v>43489194</v>
      </c>
      <c r="D278" s="41" t="s">
        <v>434</v>
      </c>
      <c r="E278" s="41" t="s">
        <v>1812</v>
      </c>
      <c r="F278" s="41">
        <v>741000</v>
      </c>
      <c r="G278" s="41" t="s">
        <v>1972</v>
      </c>
      <c r="H278" s="41">
        <v>90541</v>
      </c>
      <c r="I278" s="41" t="s">
        <v>821</v>
      </c>
      <c r="J278" s="41">
        <v>0</v>
      </c>
      <c r="K278" s="41">
        <v>0</v>
      </c>
      <c r="L278" s="41">
        <v>0</v>
      </c>
      <c r="M278" s="41">
        <v>0</v>
      </c>
      <c r="N278" s="41">
        <v>913.6</v>
      </c>
      <c r="O278" s="41">
        <v>0</v>
      </c>
      <c r="P278" s="41">
        <v>46.81</v>
      </c>
      <c r="Q278" s="41">
        <v>806.24</v>
      </c>
      <c r="R278" s="41">
        <v>0</v>
      </c>
      <c r="S278" s="41">
        <v>0</v>
      </c>
      <c r="T278" s="41">
        <v>0</v>
      </c>
      <c r="U278" s="41">
        <v>806.24</v>
      </c>
      <c r="V278" s="41">
        <v>0</v>
      </c>
      <c r="W278" s="41">
        <v>0</v>
      </c>
      <c r="X278" s="41">
        <v>0</v>
      </c>
      <c r="Y278" s="41">
        <v>60.55</v>
      </c>
      <c r="Z278" s="41">
        <v>0</v>
      </c>
      <c r="AA278" s="41">
        <v>0</v>
      </c>
      <c r="AB278" s="41">
        <v>1741000</v>
      </c>
      <c r="AC278" s="41">
        <v>36.9</v>
      </c>
      <c r="AD278" s="41" t="s">
        <v>433</v>
      </c>
    </row>
    <row r="279" spans="1:30" x14ac:dyDescent="0.35">
      <c r="A279" s="41">
        <v>467</v>
      </c>
      <c r="B279" s="41">
        <v>2644431</v>
      </c>
      <c r="C279" s="41">
        <v>26444315</v>
      </c>
      <c r="D279" s="41" t="s">
        <v>448</v>
      </c>
      <c r="E279" s="41" t="s">
        <v>469</v>
      </c>
      <c r="F279" s="41">
        <v>747200</v>
      </c>
      <c r="G279" s="41" t="s">
        <v>1972</v>
      </c>
      <c r="H279" s="41">
        <v>90541</v>
      </c>
      <c r="I279" s="41" t="s">
        <v>1694</v>
      </c>
      <c r="J279" s="41">
        <v>5</v>
      </c>
      <c r="K279" s="41">
        <v>6</v>
      </c>
      <c r="L279" s="41">
        <v>0</v>
      </c>
      <c r="M279" s="41">
        <v>98.4</v>
      </c>
      <c r="N279" s="41">
        <v>7367.18</v>
      </c>
      <c r="O279" s="41">
        <v>918.73</v>
      </c>
      <c r="P279" s="41">
        <v>207.1</v>
      </c>
      <c r="Q279" s="41">
        <v>5803.8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5803.8</v>
      </c>
      <c r="Y279" s="41">
        <v>437.55</v>
      </c>
      <c r="Z279" s="41">
        <v>0</v>
      </c>
      <c r="AA279" s="41">
        <v>0</v>
      </c>
      <c r="AB279" s="41">
        <v>1747200</v>
      </c>
      <c r="AC279" s="41">
        <v>98.4</v>
      </c>
      <c r="AD279" s="41" t="s">
        <v>433</v>
      </c>
    </row>
    <row r="280" spans="1:30" x14ac:dyDescent="0.35">
      <c r="A280" s="41">
        <v>467</v>
      </c>
      <c r="B280" s="41">
        <v>3339705</v>
      </c>
      <c r="C280" s="41">
        <v>33397050</v>
      </c>
      <c r="D280" s="41" t="s">
        <v>490</v>
      </c>
      <c r="E280" s="41" t="s">
        <v>573</v>
      </c>
      <c r="F280" s="41">
        <v>747200</v>
      </c>
      <c r="G280" s="41" t="s">
        <v>1972</v>
      </c>
      <c r="H280" s="41">
        <v>90541</v>
      </c>
      <c r="I280" s="41" t="s">
        <v>821</v>
      </c>
      <c r="J280" s="41">
        <v>0</v>
      </c>
      <c r="K280" s="41">
        <v>0</v>
      </c>
      <c r="L280" s="41">
        <v>0</v>
      </c>
      <c r="M280" s="41">
        <v>0</v>
      </c>
      <c r="N280" s="41">
        <v>10569.43</v>
      </c>
      <c r="O280" s="41">
        <v>1141.51</v>
      </c>
      <c r="P280" s="41">
        <v>337.99</v>
      </c>
      <c r="Q280" s="41">
        <v>8455.73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8455.73</v>
      </c>
      <c r="X280" s="41">
        <v>0</v>
      </c>
      <c r="Y280" s="41">
        <v>634.20000000000005</v>
      </c>
      <c r="Z280" s="41">
        <v>0</v>
      </c>
      <c r="AA280" s="41">
        <v>0</v>
      </c>
      <c r="AB280" s="41">
        <v>1747200</v>
      </c>
      <c r="AC280" s="41">
        <v>98.4</v>
      </c>
      <c r="AD280" s="41" t="s">
        <v>433</v>
      </c>
    </row>
    <row r="281" spans="1:30" x14ac:dyDescent="0.35">
      <c r="A281" s="41">
        <v>467</v>
      </c>
      <c r="B281" s="41">
        <v>5940787</v>
      </c>
      <c r="C281" s="41">
        <v>59407874</v>
      </c>
      <c r="D281" s="41" t="s">
        <v>599</v>
      </c>
      <c r="E281" s="41" t="s">
        <v>443</v>
      </c>
      <c r="F281" s="41">
        <v>747200</v>
      </c>
      <c r="G281" s="41" t="s">
        <v>1972</v>
      </c>
      <c r="H281" s="41">
        <v>90541</v>
      </c>
      <c r="I281" s="41" t="s">
        <v>821</v>
      </c>
      <c r="J281" s="41">
        <v>0</v>
      </c>
      <c r="K281" s="41">
        <v>0</v>
      </c>
      <c r="L281" s="41">
        <v>0</v>
      </c>
      <c r="M281" s="41">
        <v>0</v>
      </c>
      <c r="N281" s="41">
        <v>4186.2</v>
      </c>
      <c r="O281" s="41">
        <v>453.73</v>
      </c>
      <c r="P281" s="41">
        <v>119.32</v>
      </c>
      <c r="Q281" s="41">
        <v>3361.05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3361.05</v>
      </c>
      <c r="X281" s="41">
        <v>0</v>
      </c>
      <c r="Y281" s="41">
        <v>252.1</v>
      </c>
      <c r="Z281" s="41">
        <v>0</v>
      </c>
      <c r="AA281" s="41">
        <v>0</v>
      </c>
      <c r="AB281" s="41">
        <v>1747200</v>
      </c>
      <c r="AC281" s="41">
        <v>98.4</v>
      </c>
      <c r="AD281" s="41" t="s">
        <v>433</v>
      </c>
    </row>
    <row r="282" spans="1:30" x14ac:dyDescent="0.35">
      <c r="A282" s="41">
        <v>467</v>
      </c>
      <c r="B282" s="41">
        <v>5584867</v>
      </c>
      <c r="C282" s="41">
        <v>55848675</v>
      </c>
      <c r="D282" s="41" t="s">
        <v>434</v>
      </c>
      <c r="E282" s="41" t="s">
        <v>503</v>
      </c>
      <c r="F282" s="41">
        <v>811000</v>
      </c>
      <c r="G282" s="41" t="s">
        <v>1972</v>
      </c>
      <c r="H282" s="41">
        <v>90541</v>
      </c>
      <c r="I282" s="41" t="s">
        <v>819</v>
      </c>
      <c r="J282" s="41">
        <v>44</v>
      </c>
      <c r="K282" s="41">
        <v>2</v>
      </c>
      <c r="L282" s="41">
        <v>1</v>
      </c>
      <c r="M282" s="41">
        <v>100</v>
      </c>
      <c r="N282" s="41">
        <v>29462.39</v>
      </c>
      <c r="O282" s="41">
        <v>3798.95</v>
      </c>
      <c r="P282" s="41">
        <v>1430.71</v>
      </c>
      <c r="Q282" s="41">
        <v>22520.23</v>
      </c>
      <c r="R282" s="41">
        <v>0</v>
      </c>
      <c r="S282" s="41">
        <v>120.68</v>
      </c>
      <c r="T282" s="41">
        <v>0</v>
      </c>
      <c r="U282" s="41">
        <v>2649.75</v>
      </c>
      <c r="V282" s="41">
        <v>422</v>
      </c>
      <c r="W282" s="41">
        <v>1479.6</v>
      </c>
      <c r="X282" s="41">
        <v>17848.2</v>
      </c>
      <c r="Y282" s="41">
        <v>1712.5</v>
      </c>
      <c r="Z282" s="41">
        <v>0</v>
      </c>
      <c r="AA282" s="41">
        <v>0</v>
      </c>
      <c r="AB282" s="41">
        <v>1811000</v>
      </c>
      <c r="AC282" s="41">
        <v>98.4</v>
      </c>
      <c r="AD282" s="41" t="s">
        <v>433</v>
      </c>
    </row>
    <row r="283" spans="1:30" x14ac:dyDescent="0.35">
      <c r="A283" s="41">
        <v>467</v>
      </c>
      <c r="B283" s="41">
        <v>2312838</v>
      </c>
      <c r="C283" s="41">
        <v>23128382</v>
      </c>
      <c r="D283" s="41" t="s">
        <v>1824</v>
      </c>
      <c r="E283" s="41" t="s">
        <v>598</v>
      </c>
      <c r="F283" s="41">
        <v>811100</v>
      </c>
      <c r="G283" s="41" t="s">
        <v>1972</v>
      </c>
      <c r="H283" s="41">
        <v>90541</v>
      </c>
      <c r="I283" s="41" t="s">
        <v>819</v>
      </c>
      <c r="J283" s="41">
        <v>46</v>
      </c>
      <c r="K283" s="41">
        <v>3</v>
      </c>
      <c r="L283" s="41">
        <v>2</v>
      </c>
      <c r="M283" s="41">
        <v>100</v>
      </c>
      <c r="N283" s="41">
        <v>29963.54</v>
      </c>
      <c r="O283" s="41">
        <v>4328.3</v>
      </c>
      <c r="P283" s="41">
        <v>1420.8</v>
      </c>
      <c r="Q283" s="41">
        <v>22511.69</v>
      </c>
      <c r="R283" s="41">
        <v>0</v>
      </c>
      <c r="S283" s="41">
        <v>120.4</v>
      </c>
      <c r="T283" s="41">
        <v>0</v>
      </c>
      <c r="U283" s="41">
        <v>2049.9</v>
      </c>
      <c r="V283" s="41">
        <v>1216.25</v>
      </c>
      <c r="W283" s="41">
        <v>2659.72</v>
      </c>
      <c r="X283" s="41">
        <v>16465.419999999998</v>
      </c>
      <c r="Y283" s="41">
        <v>1702.75</v>
      </c>
      <c r="Z283" s="41">
        <v>0</v>
      </c>
      <c r="AA283" s="41">
        <v>0</v>
      </c>
      <c r="AB283" s="41">
        <v>1811000</v>
      </c>
      <c r="AC283" s="41">
        <v>98.4</v>
      </c>
      <c r="AD283" s="41" t="s">
        <v>433</v>
      </c>
    </row>
    <row r="284" spans="1:30" x14ac:dyDescent="0.35">
      <c r="A284" s="41">
        <v>467</v>
      </c>
      <c r="B284" s="41">
        <v>30530290</v>
      </c>
      <c r="C284" s="41">
        <v>305302903</v>
      </c>
      <c r="D284" s="41" t="s">
        <v>434</v>
      </c>
      <c r="E284" s="41" t="s">
        <v>897</v>
      </c>
      <c r="F284" s="41">
        <v>811100</v>
      </c>
      <c r="G284" s="41" t="s">
        <v>1972</v>
      </c>
      <c r="H284" s="41">
        <v>90541</v>
      </c>
      <c r="I284" s="41" t="s">
        <v>819</v>
      </c>
      <c r="J284" s="41">
        <v>3</v>
      </c>
      <c r="K284" s="41">
        <v>2</v>
      </c>
      <c r="L284" s="41">
        <v>0</v>
      </c>
      <c r="M284" s="41">
        <v>100</v>
      </c>
      <c r="N284" s="41">
        <v>17159.04</v>
      </c>
      <c r="O284" s="41">
        <v>2255.16</v>
      </c>
      <c r="P284" s="41">
        <v>701.55</v>
      </c>
      <c r="Q284" s="41">
        <v>13209.38</v>
      </c>
      <c r="R284" s="41">
        <v>351</v>
      </c>
      <c r="S284" s="41">
        <v>0</v>
      </c>
      <c r="T284" s="41">
        <v>0</v>
      </c>
      <c r="U284" s="41">
        <v>791.44</v>
      </c>
      <c r="V284" s="41">
        <v>161.30000000000001</v>
      </c>
      <c r="W284" s="41">
        <v>3189.19</v>
      </c>
      <c r="X284" s="41">
        <v>8716.4500000000007</v>
      </c>
      <c r="Y284" s="41">
        <v>992.95</v>
      </c>
      <c r="Z284" s="41">
        <v>0</v>
      </c>
      <c r="AA284" s="41">
        <v>0</v>
      </c>
      <c r="AB284" s="41">
        <v>1811000</v>
      </c>
      <c r="AC284" s="41">
        <v>98.4</v>
      </c>
      <c r="AD284" s="41" t="s">
        <v>433</v>
      </c>
    </row>
    <row r="285" spans="1:30" x14ac:dyDescent="0.35">
      <c r="A285" s="41">
        <v>467</v>
      </c>
      <c r="B285" s="41">
        <v>2156304</v>
      </c>
      <c r="C285" s="41">
        <v>21563044</v>
      </c>
      <c r="D285" s="41" t="s">
        <v>439</v>
      </c>
      <c r="E285" s="41" t="s">
        <v>547</v>
      </c>
      <c r="F285" s="41">
        <v>812312</v>
      </c>
      <c r="G285" s="41" t="s">
        <v>1972</v>
      </c>
      <c r="H285" s="41">
        <v>90541</v>
      </c>
      <c r="I285" s="41" t="s">
        <v>821</v>
      </c>
      <c r="J285" s="41">
        <v>0</v>
      </c>
      <c r="K285" s="41">
        <v>0</v>
      </c>
      <c r="L285" s="41">
        <v>0</v>
      </c>
      <c r="M285" s="41">
        <v>0</v>
      </c>
      <c r="N285" s="41">
        <v>1889.38</v>
      </c>
      <c r="O285" s="41">
        <v>328.02</v>
      </c>
      <c r="P285" s="41">
        <v>49.91</v>
      </c>
      <c r="Q285" s="41">
        <v>1406</v>
      </c>
      <c r="R285" s="41">
        <v>0</v>
      </c>
      <c r="S285" s="41">
        <v>0</v>
      </c>
      <c r="T285" s="41">
        <v>0</v>
      </c>
      <c r="U285" s="41">
        <v>0</v>
      </c>
      <c r="V285" s="41">
        <v>0</v>
      </c>
      <c r="W285" s="41">
        <v>0</v>
      </c>
      <c r="X285" s="41">
        <v>1406</v>
      </c>
      <c r="Y285" s="41">
        <v>105.45</v>
      </c>
      <c r="Z285" s="41">
        <v>0</v>
      </c>
      <c r="AA285" s="41">
        <v>0</v>
      </c>
      <c r="AB285" s="41">
        <v>1812312</v>
      </c>
      <c r="AC285" s="41">
        <v>98.4</v>
      </c>
      <c r="AD285" s="41" t="s">
        <v>433</v>
      </c>
    </row>
    <row r="286" spans="1:30" x14ac:dyDescent="0.35">
      <c r="A286" s="41">
        <v>467</v>
      </c>
      <c r="B286" s="41">
        <v>2590860</v>
      </c>
      <c r="C286" s="41">
        <v>25908609</v>
      </c>
      <c r="D286" s="41" t="s">
        <v>434</v>
      </c>
      <c r="E286" s="41" t="s">
        <v>544</v>
      </c>
      <c r="F286" s="41">
        <v>812312</v>
      </c>
      <c r="G286" s="41" t="s">
        <v>1972</v>
      </c>
      <c r="H286" s="41">
        <v>90541</v>
      </c>
      <c r="I286" s="41" t="s">
        <v>821</v>
      </c>
      <c r="J286" s="41">
        <v>0</v>
      </c>
      <c r="K286" s="41">
        <v>0</v>
      </c>
      <c r="L286" s="41">
        <v>0</v>
      </c>
      <c r="M286" s="41">
        <v>0</v>
      </c>
      <c r="N286" s="41">
        <v>2119.13</v>
      </c>
      <c r="O286" s="41">
        <v>363.94</v>
      </c>
      <c r="P286" s="41">
        <v>78.2</v>
      </c>
      <c r="Q286" s="41">
        <v>1560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1560</v>
      </c>
      <c r="Y286" s="41">
        <v>116.99</v>
      </c>
      <c r="Z286" s="41">
        <v>0</v>
      </c>
      <c r="AA286" s="41">
        <v>0</v>
      </c>
      <c r="AB286" s="41">
        <v>1812312</v>
      </c>
      <c r="AC286" s="41">
        <v>98.4</v>
      </c>
      <c r="AD286" s="41" t="s">
        <v>433</v>
      </c>
    </row>
    <row r="287" spans="1:30" x14ac:dyDescent="0.35">
      <c r="A287" s="41">
        <v>467</v>
      </c>
      <c r="B287" s="41">
        <v>2616750</v>
      </c>
      <c r="C287" s="41">
        <v>26167502</v>
      </c>
      <c r="D287" s="41" t="s">
        <v>442</v>
      </c>
      <c r="E287" s="41" t="s">
        <v>558</v>
      </c>
      <c r="F287" s="41">
        <v>812312</v>
      </c>
      <c r="G287" s="41" t="s">
        <v>1972</v>
      </c>
      <c r="H287" s="41">
        <v>90541</v>
      </c>
      <c r="I287" s="41" t="s">
        <v>821</v>
      </c>
      <c r="J287" s="41">
        <v>0</v>
      </c>
      <c r="K287" s="41">
        <v>0</v>
      </c>
      <c r="L287" s="41">
        <v>0</v>
      </c>
      <c r="M287" s="41">
        <v>0</v>
      </c>
      <c r="N287" s="41">
        <v>1301.08</v>
      </c>
      <c r="O287" s="41">
        <v>224.43</v>
      </c>
      <c r="P287" s="41">
        <v>42.51</v>
      </c>
      <c r="Q287" s="41">
        <v>962</v>
      </c>
      <c r="R287" s="41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0</v>
      </c>
      <c r="X287" s="41">
        <v>962</v>
      </c>
      <c r="Y287" s="41">
        <v>72.14</v>
      </c>
      <c r="Z287" s="41">
        <v>0</v>
      </c>
      <c r="AA287" s="41">
        <v>0</v>
      </c>
      <c r="AB287" s="41">
        <v>1812312</v>
      </c>
      <c r="AC287" s="41">
        <v>98.4</v>
      </c>
      <c r="AD287" s="41" t="s">
        <v>433</v>
      </c>
    </row>
    <row r="288" spans="1:30" x14ac:dyDescent="0.35">
      <c r="A288" s="41">
        <v>467</v>
      </c>
      <c r="B288" s="41">
        <v>2618322</v>
      </c>
      <c r="C288" s="41">
        <v>26183228</v>
      </c>
      <c r="D288" s="41" t="s">
        <v>434</v>
      </c>
      <c r="E288" s="41" t="s">
        <v>597</v>
      </c>
      <c r="F288" s="41">
        <v>812312</v>
      </c>
      <c r="G288" s="41" t="s">
        <v>1972</v>
      </c>
      <c r="H288" s="41">
        <v>90541</v>
      </c>
      <c r="I288" s="41" t="s">
        <v>821</v>
      </c>
      <c r="J288" s="41">
        <v>0</v>
      </c>
      <c r="K288" s="41">
        <v>0</v>
      </c>
      <c r="L288" s="41">
        <v>0</v>
      </c>
      <c r="M288" s="41">
        <v>0</v>
      </c>
      <c r="N288" s="41">
        <v>2199.4299999999998</v>
      </c>
      <c r="O288" s="41">
        <v>377.93</v>
      </c>
      <c r="P288" s="41">
        <v>80.010000000000005</v>
      </c>
      <c r="Q288" s="41">
        <v>1620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1620</v>
      </c>
      <c r="Y288" s="41">
        <v>121.49</v>
      </c>
      <c r="Z288" s="41">
        <v>0</v>
      </c>
      <c r="AA288" s="41">
        <v>0</v>
      </c>
      <c r="AB288" s="41">
        <v>1812312</v>
      </c>
      <c r="AC288" s="41">
        <v>98.4</v>
      </c>
      <c r="AD288" s="41" t="s">
        <v>433</v>
      </c>
    </row>
    <row r="289" spans="1:30" x14ac:dyDescent="0.35">
      <c r="A289" s="41">
        <v>467</v>
      </c>
      <c r="B289" s="41">
        <v>2625853</v>
      </c>
      <c r="C289" s="41">
        <v>26258533</v>
      </c>
      <c r="D289" s="41" t="s">
        <v>448</v>
      </c>
      <c r="E289" s="41" t="s">
        <v>473</v>
      </c>
      <c r="F289" s="41">
        <v>812312</v>
      </c>
      <c r="G289" s="41" t="s">
        <v>1972</v>
      </c>
      <c r="H289" s="41">
        <v>90541</v>
      </c>
      <c r="I289" s="41" t="s">
        <v>821</v>
      </c>
      <c r="J289" s="41">
        <v>0</v>
      </c>
      <c r="K289" s="41">
        <v>0</v>
      </c>
      <c r="L289" s="41">
        <v>0</v>
      </c>
      <c r="M289" s="41">
        <v>0</v>
      </c>
      <c r="N289" s="41">
        <v>1353.71</v>
      </c>
      <c r="O289" s="41">
        <v>233.06</v>
      </c>
      <c r="P289" s="41">
        <v>46.73</v>
      </c>
      <c r="Q289" s="41">
        <v>999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999</v>
      </c>
      <c r="Y289" s="41">
        <v>74.92</v>
      </c>
      <c r="Z289" s="41">
        <v>0</v>
      </c>
      <c r="AA289" s="41">
        <v>0</v>
      </c>
      <c r="AB289" s="41">
        <v>1812312</v>
      </c>
      <c r="AC289" s="41">
        <v>98.4</v>
      </c>
      <c r="AD289" s="41" t="s">
        <v>433</v>
      </c>
    </row>
    <row r="290" spans="1:30" x14ac:dyDescent="0.35">
      <c r="A290" s="41">
        <v>467</v>
      </c>
      <c r="B290" s="41">
        <v>2635647</v>
      </c>
      <c r="C290" s="41">
        <v>26356477</v>
      </c>
      <c r="D290" s="41" t="s">
        <v>448</v>
      </c>
      <c r="E290" s="41" t="s">
        <v>1701</v>
      </c>
      <c r="F290" s="41">
        <v>812312</v>
      </c>
      <c r="G290" s="41" t="s">
        <v>1972</v>
      </c>
      <c r="H290" s="41">
        <v>90541</v>
      </c>
      <c r="I290" s="41" t="s">
        <v>821</v>
      </c>
      <c r="J290" s="41">
        <v>0</v>
      </c>
      <c r="K290" s="41">
        <v>0</v>
      </c>
      <c r="L290" s="41">
        <v>0</v>
      </c>
      <c r="M290" s="41">
        <v>0</v>
      </c>
      <c r="N290" s="41">
        <v>2726.36</v>
      </c>
      <c r="O290" s="41">
        <v>428.38</v>
      </c>
      <c r="P290" s="41">
        <v>104.99</v>
      </c>
      <c r="Q290" s="41">
        <v>2040</v>
      </c>
      <c r="R290" s="41">
        <v>0</v>
      </c>
      <c r="S290" s="41">
        <v>0</v>
      </c>
      <c r="T290" s="41">
        <v>0</v>
      </c>
      <c r="U290" s="41">
        <v>0</v>
      </c>
      <c r="V290" s="41">
        <v>0</v>
      </c>
      <c r="W290" s="41">
        <v>0</v>
      </c>
      <c r="X290" s="41">
        <v>2040</v>
      </c>
      <c r="Y290" s="41">
        <v>152.99</v>
      </c>
      <c r="Z290" s="41">
        <v>0</v>
      </c>
      <c r="AA290" s="41">
        <v>0</v>
      </c>
      <c r="AB290" s="41">
        <v>1812312</v>
      </c>
      <c r="AC290" s="41">
        <v>98.4</v>
      </c>
      <c r="AD290" s="41" t="s">
        <v>433</v>
      </c>
    </row>
    <row r="291" spans="1:30" x14ac:dyDescent="0.35">
      <c r="A291" s="41">
        <v>467</v>
      </c>
      <c r="B291" s="41">
        <v>2750507</v>
      </c>
      <c r="C291" s="41">
        <v>27505072</v>
      </c>
      <c r="D291" s="41" t="s">
        <v>935</v>
      </c>
      <c r="E291" s="41" t="s">
        <v>578</v>
      </c>
      <c r="F291" s="41">
        <v>812312</v>
      </c>
      <c r="G291" s="41" t="s">
        <v>1972</v>
      </c>
      <c r="H291" s="41">
        <v>90541</v>
      </c>
      <c r="I291" s="41" t="s">
        <v>821</v>
      </c>
      <c r="J291" s="41">
        <v>0</v>
      </c>
      <c r="K291" s="41">
        <v>0</v>
      </c>
      <c r="L291" s="41">
        <v>0</v>
      </c>
      <c r="M291" s="41">
        <v>0</v>
      </c>
      <c r="N291" s="41">
        <v>975.28</v>
      </c>
      <c r="O291" s="41">
        <v>167.96</v>
      </c>
      <c r="P291" s="41">
        <v>33.32</v>
      </c>
      <c r="Q291" s="41">
        <v>720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41">
        <v>720</v>
      </c>
      <c r="Y291" s="41">
        <v>54</v>
      </c>
      <c r="Z291" s="41">
        <v>0</v>
      </c>
      <c r="AA291" s="41">
        <v>0</v>
      </c>
      <c r="AB291" s="41">
        <v>1812312</v>
      </c>
      <c r="AC291" s="41">
        <v>98.4</v>
      </c>
      <c r="AD291" s="41" t="s">
        <v>433</v>
      </c>
    </row>
    <row r="292" spans="1:30" x14ac:dyDescent="0.35">
      <c r="A292" s="41">
        <v>467</v>
      </c>
      <c r="B292" s="41">
        <v>2984367</v>
      </c>
      <c r="C292" s="41">
        <v>29843679</v>
      </c>
      <c r="D292" s="41" t="s">
        <v>448</v>
      </c>
      <c r="E292" s="41" t="s">
        <v>834</v>
      </c>
      <c r="F292" s="41">
        <v>812312</v>
      </c>
      <c r="G292" s="41" t="s">
        <v>1972</v>
      </c>
      <c r="H292" s="41">
        <v>90541</v>
      </c>
      <c r="I292" s="41" t="s">
        <v>821</v>
      </c>
      <c r="J292" s="41">
        <v>0</v>
      </c>
      <c r="K292" s="41">
        <v>0</v>
      </c>
      <c r="L292" s="41">
        <v>0</v>
      </c>
      <c r="M292" s="41">
        <v>0</v>
      </c>
      <c r="N292" s="41">
        <v>1051.97</v>
      </c>
      <c r="O292" s="41">
        <v>181.26</v>
      </c>
      <c r="P292" s="41">
        <v>35.44</v>
      </c>
      <c r="Q292" s="41">
        <v>777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777</v>
      </c>
      <c r="Y292" s="41">
        <v>58.27</v>
      </c>
      <c r="Z292" s="41">
        <v>0</v>
      </c>
      <c r="AA292" s="41">
        <v>0</v>
      </c>
      <c r="AB292" s="41">
        <v>1812312</v>
      </c>
      <c r="AC292" s="41">
        <v>98.4</v>
      </c>
      <c r="AD292" s="41" t="s">
        <v>433</v>
      </c>
    </row>
    <row r="293" spans="1:30" x14ac:dyDescent="0.35">
      <c r="A293" s="41">
        <v>467</v>
      </c>
      <c r="B293" s="41">
        <v>3145202</v>
      </c>
      <c r="C293" s="41">
        <v>31452022</v>
      </c>
      <c r="D293" s="41" t="s">
        <v>538</v>
      </c>
      <c r="E293" s="41" t="s">
        <v>937</v>
      </c>
      <c r="F293" s="41">
        <v>812312</v>
      </c>
      <c r="G293" s="41" t="s">
        <v>1972</v>
      </c>
      <c r="H293" s="41">
        <v>90541</v>
      </c>
      <c r="I293" s="41" t="s">
        <v>821</v>
      </c>
      <c r="J293" s="41">
        <v>0</v>
      </c>
      <c r="K293" s="41">
        <v>0</v>
      </c>
      <c r="L293" s="41">
        <v>0</v>
      </c>
      <c r="M293" s="41">
        <v>0</v>
      </c>
      <c r="N293" s="41">
        <v>1352.51</v>
      </c>
      <c r="O293" s="41">
        <v>233.06</v>
      </c>
      <c r="P293" s="41">
        <v>45.53</v>
      </c>
      <c r="Q293" s="41">
        <v>999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999</v>
      </c>
      <c r="Y293" s="41">
        <v>74.92</v>
      </c>
      <c r="Z293" s="41">
        <v>0</v>
      </c>
      <c r="AA293" s="41">
        <v>0</v>
      </c>
      <c r="AB293" s="41">
        <v>1812312</v>
      </c>
      <c r="AC293" s="41">
        <v>98.4</v>
      </c>
      <c r="AD293" s="41" t="s">
        <v>433</v>
      </c>
    </row>
    <row r="294" spans="1:30" x14ac:dyDescent="0.35">
      <c r="A294" s="41">
        <v>467</v>
      </c>
      <c r="B294" s="41">
        <v>3159446</v>
      </c>
      <c r="C294" s="41">
        <v>31594468</v>
      </c>
      <c r="D294" s="41" t="s">
        <v>434</v>
      </c>
      <c r="E294" s="41" t="s">
        <v>588</v>
      </c>
      <c r="F294" s="41">
        <v>812312</v>
      </c>
      <c r="G294" s="41" t="s">
        <v>1972</v>
      </c>
      <c r="H294" s="41">
        <v>90541</v>
      </c>
      <c r="I294" s="41" t="s">
        <v>821</v>
      </c>
      <c r="J294" s="41">
        <v>0</v>
      </c>
      <c r="K294" s="41">
        <v>0</v>
      </c>
      <c r="L294" s="41">
        <v>0</v>
      </c>
      <c r="M294" s="41">
        <v>0</v>
      </c>
      <c r="N294" s="41">
        <v>1458.21</v>
      </c>
      <c r="O294" s="41">
        <v>250.32</v>
      </c>
      <c r="P294" s="41">
        <v>54.42</v>
      </c>
      <c r="Q294" s="41">
        <v>1073</v>
      </c>
      <c r="R294" s="41">
        <v>0</v>
      </c>
      <c r="S294" s="41">
        <v>0</v>
      </c>
      <c r="T294" s="41">
        <v>0</v>
      </c>
      <c r="U294" s="41">
        <v>0</v>
      </c>
      <c r="V294" s="41">
        <v>0</v>
      </c>
      <c r="W294" s="41">
        <v>0</v>
      </c>
      <c r="X294" s="41">
        <v>1073</v>
      </c>
      <c r="Y294" s="41">
        <v>80.47</v>
      </c>
      <c r="Z294" s="41">
        <v>0</v>
      </c>
      <c r="AA294" s="41">
        <v>0</v>
      </c>
      <c r="AB294" s="41">
        <v>1812312</v>
      </c>
      <c r="AC294" s="41">
        <v>98.4</v>
      </c>
      <c r="AD294" s="41" t="s">
        <v>433</v>
      </c>
    </row>
    <row r="295" spans="1:30" x14ac:dyDescent="0.35">
      <c r="A295" s="41">
        <v>467</v>
      </c>
      <c r="B295" s="41">
        <v>3159568</v>
      </c>
      <c r="C295" s="41">
        <v>31595689</v>
      </c>
      <c r="D295" s="41" t="s">
        <v>434</v>
      </c>
      <c r="E295" s="41" t="s">
        <v>567</v>
      </c>
      <c r="F295" s="41">
        <v>812312</v>
      </c>
      <c r="G295" s="41" t="s">
        <v>1972</v>
      </c>
      <c r="H295" s="41">
        <v>90541</v>
      </c>
      <c r="I295" s="41" t="s">
        <v>821</v>
      </c>
      <c r="J295" s="41">
        <v>0</v>
      </c>
      <c r="K295" s="41">
        <v>0</v>
      </c>
      <c r="L295" s="41">
        <v>0</v>
      </c>
      <c r="M295" s="41">
        <v>0</v>
      </c>
      <c r="N295" s="41">
        <v>1204.95</v>
      </c>
      <c r="O295" s="41">
        <v>207.15</v>
      </c>
      <c r="P295" s="41">
        <v>43.2</v>
      </c>
      <c r="Q295" s="41">
        <v>888</v>
      </c>
      <c r="R295" s="41">
        <v>0</v>
      </c>
      <c r="S295" s="41">
        <v>0</v>
      </c>
      <c r="T295" s="41">
        <v>0</v>
      </c>
      <c r="U295" s="41">
        <v>0</v>
      </c>
      <c r="V295" s="41">
        <v>0</v>
      </c>
      <c r="W295" s="41">
        <v>0</v>
      </c>
      <c r="X295" s="41">
        <v>888</v>
      </c>
      <c r="Y295" s="41">
        <v>66.599999999999994</v>
      </c>
      <c r="Z295" s="41">
        <v>0</v>
      </c>
      <c r="AA295" s="41">
        <v>0</v>
      </c>
      <c r="AB295" s="41">
        <v>1812312</v>
      </c>
      <c r="AC295" s="41">
        <v>98.4</v>
      </c>
      <c r="AD295" s="41" t="s">
        <v>433</v>
      </c>
    </row>
    <row r="296" spans="1:30" x14ac:dyDescent="0.35">
      <c r="A296" s="41">
        <v>467</v>
      </c>
      <c r="B296" s="41">
        <v>3252139</v>
      </c>
      <c r="C296" s="41">
        <v>32521395</v>
      </c>
      <c r="D296" s="41" t="s">
        <v>954</v>
      </c>
      <c r="E296" s="41" t="s">
        <v>581</v>
      </c>
      <c r="F296" s="41">
        <v>812312</v>
      </c>
      <c r="G296" s="41" t="s">
        <v>1972</v>
      </c>
      <c r="H296" s="41">
        <v>90541</v>
      </c>
      <c r="I296" s="41" t="s">
        <v>821</v>
      </c>
      <c r="J296" s="41">
        <v>0</v>
      </c>
      <c r="K296" s="41">
        <v>0</v>
      </c>
      <c r="L296" s="41">
        <v>0</v>
      </c>
      <c r="M296" s="41">
        <v>0</v>
      </c>
      <c r="N296" s="41">
        <v>1350.75</v>
      </c>
      <c r="O296" s="41">
        <v>233.05</v>
      </c>
      <c r="P296" s="41">
        <v>43.78</v>
      </c>
      <c r="Q296" s="41">
        <v>999</v>
      </c>
      <c r="R296" s="41">
        <v>0</v>
      </c>
      <c r="S296" s="41">
        <v>0</v>
      </c>
      <c r="T296" s="41">
        <v>0</v>
      </c>
      <c r="U296" s="41">
        <v>0</v>
      </c>
      <c r="V296" s="41">
        <v>0</v>
      </c>
      <c r="W296" s="41">
        <v>0</v>
      </c>
      <c r="X296" s="41">
        <v>999</v>
      </c>
      <c r="Y296" s="41">
        <v>74.92</v>
      </c>
      <c r="Z296" s="41">
        <v>0</v>
      </c>
      <c r="AA296" s="41">
        <v>0</v>
      </c>
      <c r="AB296" s="41">
        <v>1812312</v>
      </c>
      <c r="AC296" s="41">
        <v>98.4</v>
      </c>
      <c r="AD296" s="41" t="s">
        <v>433</v>
      </c>
    </row>
    <row r="297" spans="1:30" x14ac:dyDescent="0.35">
      <c r="A297" s="41">
        <v>467</v>
      </c>
      <c r="B297" s="41">
        <v>3252342</v>
      </c>
      <c r="C297" s="41">
        <v>32523425</v>
      </c>
      <c r="D297" s="41" t="s">
        <v>486</v>
      </c>
      <c r="E297" s="41" t="s">
        <v>578</v>
      </c>
      <c r="F297" s="41">
        <v>812312</v>
      </c>
      <c r="G297" s="41" t="s">
        <v>1972</v>
      </c>
      <c r="H297" s="41">
        <v>90541</v>
      </c>
      <c r="I297" s="41" t="s">
        <v>821</v>
      </c>
      <c r="J297" s="41">
        <v>0</v>
      </c>
      <c r="K297" s="41">
        <v>0</v>
      </c>
      <c r="L297" s="41">
        <v>0</v>
      </c>
      <c r="M297" s="41">
        <v>0</v>
      </c>
      <c r="N297" s="41">
        <v>850.84</v>
      </c>
      <c r="O297" s="41">
        <v>146.74</v>
      </c>
      <c r="P297" s="41">
        <v>27.93</v>
      </c>
      <c r="Q297" s="41">
        <v>629</v>
      </c>
      <c r="R297" s="41">
        <v>0</v>
      </c>
      <c r="S297" s="41">
        <v>0</v>
      </c>
      <c r="T297" s="41">
        <v>0</v>
      </c>
      <c r="U297" s="41">
        <v>0</v>
      </c>
      <c r="V297" s="41">
        <v>0</v>
      </c>
      <c r="W297" s="41">
        <v>0</v>
      </c>
      <c r="X297" s="41">
        <v>629</v>
      </c>
      <c r="Y297" s="41">
        <v>47.17</v>
      </c>
      <c r="Z297" s="41">
        <v>0</v>
      </c>
      <c r="AA297" s="41">
        <v>0</v>
      </c>
      <c r="AB297" s="41">
        <v>1812312</v>
      </c>
      <c r="AC297" s="41">
        <v>98.4</v>
      </c>
      <c r="AD297" s="41" t="s">
        <v>433</v>
      </c>
    </row>
    <row r="298" spans="1:30" x14ac:dyDescent="0.35">
      <c r="A298" s="41">
        <v>467</v>
      </c>
      <c r="B298" s="41">
        <v>3342606</v>
      </c>
      <c r="C298" s="41">
        <v>33426065</v>
      </c>
      <c r="D298" s="41" t="s">
        <v>486</v>
      </c>
      <c r="E298" s="41" t="s">
        <v>582</v>
      </c>
      <c r="F298" s="41">
        <v>812312</v>
      </c>
      <c r="G298" s="41" t="s">
        <v>1972</v>
      </c>
      <c r="H298" s="41">
        <v>90541</v>
      </c>
      <c r="I298" s="41" t="s">
        <v>821</v>
      </c>
      <c r="J298" s="41">
        <v>0</v>
      </c>
      <c r="K298" s="41">
        <v>0</v>
      </c>
      <c r="L298" s="41">
        <v>0</v>
      </c>
      <c r="M298" s="41">
        <v>0</v>
      </c>
      <c r="N298" s="41">
        <v>1455.59</v>
      </c>
      <c r="O298" s="41">
        <v>250.32</v>
      </c>
      <c r="P298" s="41">
        <v>51.8</v>
      </c>
      <c r="Q298" s="41">
        <v>1073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1073</v>
      </c>
      <c r="Y298" s="41">
        <v>80.47</v>
      </c>
      <c r="Z298" s="41">
        <v>0</v>
      </c>
      <c r="AA298" s="41">
        <v>0</v>
      </c>
      <c r="AB298" s="41">
        <v>1812312</v>
      </c>
      <c r="AC298" s="41">
        <v>98.4</v>
      </c>
      <c r="AD298" s="41" t="s">
        <v>433</v>
      </c>
    </row>
    <row r="299" spans="1:30" x14ac:dyDescent="0.35">
      <c r="A299" s="41">
        <v>467</v>
      </c>
      <c r="B299" s="41">
        <v>3344483</v>
      </c>
      <c r="C299" s="41">
        <v>33444837</v>
      </c>
      <c r="D299" s="41" t="s">
        <v>434</v>
      </c>
      <c r="E299" s="41" t="s">
        <v>587</v>
      </c>
      <c r="F299" s="41">
        <v>812312</v>
      </c>
      <c r="G299" s="41" t="s">
        <v>1972</v>
      </c>
      <c r="H299" s="41">
        <v>90541</v>
      </c>
      <c r="I299" s="41" t="s">
        <v>821</v>
      </c>
      <c r="J299" s="41">
        <v>0</v>
      </c>
      <c r="K299" s="41">
        <v>0</v>
      </c>
      <c r="L299" s="41">
        <v>0</v>
      </c>
      <c r="M299" s="41">
        <v>0</v>
      </c>
      <c r="N299" s="41">
        <v>3100.82</v>
      </c>
      <c r="O299" s="41">
        <v>531.91999999999996</v>
      </c>
      <c r="P299" s="41">
        <v>117.91</v>
      </c>
      <c r="Q299" s="41">
        <v>2280</v>
      </c>
      <c r="R299" s="41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41">
        <v>2280</v>
      </c>
      <c r="Y299" s="41">
        <v>170.99</v>
      </c>
      <c r="Z299" s="41">
        <v>0</v>
      </c>
      <c r="AA299" s="41">
        <v>0</v>
      </c>
      <c r="AB299" s="41">
        <v>1812312</v>
      </c>
      <c r="AC299" s="41">
        <v>98.4</v>
      </c>
      <c r="AD299" s="41" t="s">
        <v>433</v>
      </c>
    </row>
    <row r="300" spans="1:30" x14ac:dyDescent="0.35">
      <c r="A300" s="41">
        <v>467</v>
      </c>
      <c r="B300" s="41">
        <v>3380069</v>
      </c>
      <c r="C300" s="41">
        <v>33800699</v>
      </c>
      <c r="D300" s="41" t="s">
        <v>448</v>
      </c>
      <c r="E300" s="41" t="s">
        <v>580</v>
      </c>
      <c r="F300" s="41">
        <v>812312</v>
      </c>
      <c r="G300" s="41" t="s">
        <v>1972</v>
      </c>
      <c r="H300" s="41">
        <v>90541</v>
      </c>
      <c r="I300" s="41" t="s">
        <v>821</v>
      </c>
      <c r="J300" s="41">
        <v>0</v>
      </c>
      <c r="K300" s="41">
        <v>0</v>
      </c>
      <c r="L300" s="41">
        <v>0</v>
      </c>
      <c r="M300" s="41">
        <v>0</v>
      </c>
      <c r="N300" s="41">
        <v>399</v>
      </c>
      <c r="O300" s="41">
        <v>69.05</v>
      </c>
      <c r="P300" s="41">
        <v>11.76</v>
      </c>
      <c r="Q300" s="41">
        <v>296</v>
      </c>
      <c r="R300" s="41">
        <v>0</v>
      </c>
      <c r="S300" s="41">
        <v>0</v>
      </c>
      <c r="T300" s="41">
        <v>0</v>
      </c>
      <c r="U300" s="41">
        <v>0</v>
      </c>
      <c r="V300" s="41">
        <v>0</v>
      </c>
      <c r="W300" s="41">
        <v>0</v>
      </c>
      <c r="X300" s="41">
        <v>296</v>
      </c>
      <c r="Y300" s="41">
        <v>22.19</v>
      </c>
      <c r="Z300" s="41">
        <v>0</v>
      </c>
      <c r="AA300" s="41">
        <v>0</v>
      </c>
      <c r="AB300" s="41">
        <v>1812312</v>
      </c>
      <c r="AC300" s="41">
        <v>98.4</v>
      </c>
      <c r="AD300" s="41" t="s">
        <v>433</v>
      </c>
    </row>
    <row r="301" spans="1:30" x14ac:dyDescent="0.35">
      <c r="A301" s="41">
        <v>467</v>
      </c>
      <c r="B301" s="41">
        <v>3639199</v>
      </c>
      <c r="C301" s="41">
        <v>36391993</v>
      </c>
      <c r="D301" s="41" t="s">
        <v>835</v>
      </c>
      <c r="E301" s="41" t="s">
        <v>836</v>
      </c>
      <c r="F301" s="41">
        <v>812312</v>
      </c>
      <c r="G301" s="41" t="s">
        <v>1972</v>
      </c>
      <c r="H301" s="41">
        <v>90541</v>
      </c>
      <c r="I301" s="41" t="s">
        <v>821</v>
      </c>
      <c r="J301" s="41">
        <v>0</v>
      </c>
      <c r="K301" s="41">
        <v>0</v>
      </c>
      <c r="L301" s="41">
        <v>0</v>
      </c>
      <c r="M301" s="41">
        <v>0</v>
      </c>
      <c r="N301" s="41">
        <v>1466.05</v>
      </c>
      <c r="O301" s="41">
        <v>250.29</v>
      </c>
      <c r="P301" s="41">
        <v>62.29</v>
      </c>
      <c r="Q301" s="41">
        <v>1073</v>
      </c>
      <c r="R301" s="41">
        <v>0</v>
      </c>
      <c r="S301" s="41">
        <v>0</v>
      </c>
      <c r="T301" s="41">
        <v>0</v>
      </c>
      <c r="U301" s="41">
        <v>0</v>
      </c>
      <c r="V301" s="41">
        <v>0</v>
      </c>
      <c r="W301" s="41">
        <v>0</v>
      </c>
      <c r="X301" s="41">
        <v>1073</v>
      </c>
      <c r="Y301" s="41">
        <v>80.47</v>
      </c>
      <c r="Z301" s="41">
        <v>0</v>
      </c>
      <c r="AA301" s="41">
        <v>0</v>
      </c>
      <c r="AB301" s="41">
        <v>1812312</v>
      </c>
      <c r="AC301" s="41">
        <v>98.4</v>
      </c>
      <c r="AD301" s="41" t="s">
        <v>433</v>
      </c>
    </row>
    <row r="302" spans="1:30" x14ac:dyDescent="0.35">
      <c r="A302" s="41">
        <v>467</v>
      </c>
      <c r="B302" s="41">
        <v>3648233</v>
      </c>
      <c r="C302" s="41">
        <v>36482339</v>
      </c>
      <c r="D302" s="41" t="s">
        <v>942</v>
      </c>
      <c r="E302" s="41" t="s">
        <v>485</v>
      </c>
      <c r="F302" s="41">
        <v>812312</v>
      </c>
      <c r="G302" s="41" t="s">
        <v>1972</v>
      </c>
      <c r="H302" s="41">
        <v>90541</v>
      </c>
      <c r="I302" s="41" t="s">
        <v>821</v>
      </c>
      <c r="J302" s="41">
        <v>0</v>
      </c>
      <c r="K302" s="41">
        <v>0</v>
      </c>
      <c r="L302" s="41">
        <v>0</v>
      </c>
      <c r="M302" s="41">
        <v>0</v>
      </c>
      <c r="N302" s="41">
        <v>1351.61</v>
      </c>
      <c r="O302" s="41">
        <v>233.06</v>
      </c>
      <c r="P302" s="41">
        <v>44.63</v>
      </c>
      <c r="Q302" s="41">
        <v>999</v>
      </c>
      <c r="R302" s="41">
        <v>0</v>
      </c>
      <c r="S302" s="41">
        <v>0</v>
      </c>
      <c r="T302" s="41">
        <v>0</v>
      </c>
      <c r="U302" s="41">
        <v>0</v>
      </c>
      <c r="V302" s="41">
        <v>0</v>
      </c>
      <c r="W302" s="41">
        <v>0</v>
      </c>
      <c r="X302" s="41">
        <v>999</v>
      </c>
      <c r="Y302" s="41">
        <v>74.92</v>
      </c>
      <c r="Z302" s="41">
        <v>0</v>
      </c>
      <c r="AA302" s="41">
        <v>0</v>
      </c>
      <c r="AB302" s="41">
        <v>1812312</v>
      </c>
      <c r="AC302" s="41">
        <v>98.4</v>
      </c>
      <c r="AD302" s="41" t="s">
        <v>433</v>
      </c>
    </row>
    <row r="303" spans="1:30" x14ac:dyDescent="0.35">
      <c r="A303" s="41">
        <v>467</v>
      </c>
      <c r="B303" s="41">
        <v>3741266</v>
      </c>
      <c r="C303" s="41">
        <v>37412665</v>
      </c>
      <c r="D303" s="41" t="s">
        <v>434</v>
      </c>
      <c r="E303" s="41" t="s">
        <v>582</v>
      </c>
      <c r="F303" s="41">
        <v>812312</v>
      </c>
      <c r="G303" s="41" t="s">
        <v>1972</v>
      </c>
      <c r="H303" s="41">
        <v>90541</v>
      </c>
      <c r="I303" s="41" t="s">
        <v>821</v>
      </c>
      <c r="J303" s="41">
        <v>0</v>
      </c>
      <c r="K303" s="41">
        <v>0</v>
      </c>
      <c r="L303" s="41">
        <v>0</v>
      </c>
      <c r="M303" s="41">
        <v>0</v>
      </c>
      <c r="N303" s="41">
        <v>2116.2600000000002</v>
      </c>
      <c r="O303" s="41">
        <v>363.93</v>
      </c>
      <c r="P303" s="41">
        <v>75.33</v>
      </c>
      <c r="Q303" s="41">
        <v>1560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1560</v>
      </c>
      <c r="Y303" s="41">
        <v>117</v>
      </c>
      <c r="Z303" s="41">
        <v>0</v>
      </c>
      <c r="AA303" s="41">
        <v>0</v>
      </c>
      <c r="AB303" s="41">
        <v>1812312</v>
      </c>
      <c r="AC303" s="41">
        <v>98.4</v>
      </c>
      <c r="AD303" s="41" t="s">
        <v>433</v>
      </c>
    </row>
    <row r="304" spans="1:30" x14ac:dyDescent="0.35">
      <c r="A304" s="41">
        <v>467</v>
      </c>
      <c r="B304" s="41">
        <v>3800364</v>
      </c>
      <c r="C304" s="41">
        <v>38003646</v>
      </c>
      <c r="D304" s="41" t="s">
        <v>434</v>
      </c>
      <c r="E304" s="41" t="s">
        <v>575</v>
      </c>
      <c r="F304" s="41">
        <v>812312</v>
      </c>
      <c r="G304" s="41" t="s">
        <v>1972</v>
      </c>
      <c r="H304" s="41">
        <v>90541</v>
      </c>
      <c r="I304" s="41" t="s">
        <v>821</v>
      </c>
      <c r="J304" s="41">
        <v>0</v>
      </c>
      <c r="K304" s="41">
        <v>0</v>
      </c>
      <c r="L304" s="41">
        <v>0</v>
      </c>
      <c r="M304" s="41">
        <v>0</v>
      </c>
      <c r="N304" s="41">
        <v>450.01</v>
      </c>
      <c r="O304" s="41">
        <v>77.680000000000007</v>
      </c>
      <c r="P304" s="41">
        <v>14.36</v>
      </c>
      <c r="Q304" s="41">
        <v>333</v>
      </c>
      <c r="R304" s="41">
        <v>0</v>
      </c>
      <c r="S304" s="41">
        <v>0</v>
      </c>
      <c r="T304" s="41">
        <v>0</v>
      </c>
      <c r="U304" s="41">
        <v>0</v>
      </c>
      <c r="V304" s="41">
        <v>0</v>
      </c>
      <c r="W304" s="41">
        <v>0</v>
      </c>
      <c r="X304" s="41">
        <v>333</v>
      </c>
      <c r="Y304" s="41">
        <v>24.97</v>
      </c>
      <c r="Z304" s="41">
        <v>0</v>
      </c>
      <c r="AA304" s="41">
        <v>0</v>
      </c>
      <c r="AB304" s="41">
        <v>1812312</v>
      </c>
      <c r="AC304" s="41">
        <v>98.4</v>
      </c>
      <c r="AD304" s="41" t="s">
        <v>433</v>
      </c>
    </row>
    <row r="305" spans="1:30" x14ac:dyDescent="0.35">
      <c r="A305" s="41">
        <v>467</v>
      </c>
      <c r="B305" s="41">
        <v>3912939</v>
      </c>
      <c r="C305" s="41">
        <v>39129390</v>
      </c>
      <c r="D305" s="41" t="s">
        <v>484</v>
      </c>
      <c r="E305" s="41" t="s">
        <v>438</v>
      </c>
      <c r="F305" s="41">
        <v>812312</v>
      </c>
      <c r="G305" s="41" t="s">
        <v>1972</v>
      </c>
      <c r="H305" s="41">
        <v>90541</v>
      </c>
      <c r="I305" s="41" t="s">
        <v>821</v>
      </c>
      <c r="J305" s="41">
        <v>0</v>
      </c>
      <c r="K305" s="41">
        <v>0</v>
      </c>
      <c r="L305" s="41">
        <v>0</v>
      </c>
      <c r="M305" s="41">
        <v>0</v>
      </c>
      <c r="N305" s="41">
        <v>1351.67</v>
      </c>
      <c r="O305" s="41">
        <v>233.06</v>
      </c>
      <c r="P305" s="41">
        <v>44.69</v>
      </c>
      <c r="Q305" s="41">
        <v>999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999</v>
      </c>
      <c r="Y305" s="41">
        <v>74.92</v>
      </c>
      <c r="Z305" s="41">
        <v>0</v>
      </c>
      <c r="AA305" s="41">
        <v>0</v>
      </c>
      <c r="AB305" s="41">
        <v>1812312</v>
      </c>
      <c r="AC305" s="41">
        <v>98.4</v>
      </c>
      <c r="AD305" s="41" t="s">
        <v>433</v>
      </c>
    </row>
    <row r="306" spans="1:30" x14ac:dyDescent="0.35">
      <c r="A306" s="41">
        <v>467</v>
      </c>
      <c r="B306" s="41">
        <v>4046639</v>
      </c>
      <c r="C306" s="41">
        <v>40466393</v>
      </c>
      <c r="D306" s="41" t="s">
        <v>434</v>
      </c>
      <c r="E306" s="41" t="s">
        <v>544</v>
      </c>
      <c r="F306" s="41">
        <v>812312</v>
      </c>
      <c r="G306" s="41" t="s">
        <v>1972</v>
      </c>
      <c r="H306" s="41">
        <v>90541</v>
      </c>
      <c r="I306" s="41" t="s">
        <v>821</v>
      </c>
      <c r="J306" s="41">
        <v>0</v>
      </c>
      <c r="K306" s="41">
        <v>0</v>
      </c>
      <c r="L306" s="41">
        <v>0</v>
      </c>
      <c r="M306" s="41">
        <v>0</v>
      </c>
      <c r="N306" s="41">
        <v>1300.99</v>
      </c>
      <c r="O306" s="41">
        <v>224.42</v>
      </c>
      <c r="P306" s="41">
        <v>42.43</v>
      </c>
      <c r="Q306" s="41">
        <v>962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962</v>
      </c>
      <c r="Y306" s="41">
        <v>72.14</v>
      </c>
      <c r="Z306" s="41">
        <v>0</v>
      </c>
      <c r="AA306" s="41">
        <v>0</v>
      </c>
      <c r="AB306" s="41">
        <v>1812312</v>
      </c>
      <c r="AC306" s="41">
        <v>98.4</v>
      </c>
      <c r="AD306" s="41" t="s">
        <v>433</v>
      </c>
    </row>
    <row r="307" spans="1:30" x14ac:dyDescent="0.35">
      <c r="A307" s="41">
        <v>467</v>
      </c>
      <c r="B307" s="41">
        <v>4081065</v>
      </c>
      <c r="C307" s="41">
        <v>40810657</v>
      </c>
      <c r="D307" s="41" t="s">
        <v>837</v>
      </c>
      <c r="E307" s="41" t="s">
        <v>838</v>
      </c>
      <c r="F307" s="41">
        <v>812312</v>
      </c>
      <c r="G307" s="41" t="s">
        <v>1972</v>
      </c>
      <c r="H307" s="41">
        <v>90541</v>
      </c>
      <c r="I307" s="41" t="s">
        <v>821</v>
      </c>
      <c r="J307" s="41">
        <v>0</v>
      </c>
      <c r="K307" s="41">
        <v>0</v>
      </c>
      <c r="L307" s="41">
        <v>0</v>
      </c>
      <c r="M307" s="41">
        <v>0</v>
      </c>
      <c r="N307" s="41">
        <v>1601.97</v>
      </c>
      <c r="O307" s="41">
        <v>276.22000000000003</v>
      </c>
      <c r="P307" s="41">
        <v>52.96</v>
      </c>
      <c r="Q307" s="41">
        <v>1184</v>
      </c>
      <c r="R307" s="41">
        <v>0</v>
      </c>
      <c r="S307" s="41">
        <v>0</v>
      </c>
      <c r="T307" s="41">
        <v>0</v>
      </c>
      <c r="U307" s="41">
        <v>0</v>
      </c>
      <c r="V307" s="41">
        <v>0</v>
      </c>
      <c r="W307" s="41">
        <v>0</v>
      </c>
      <c r="X307" s="41">
        <v>1184</v>
      </c>
      <c r="Y307" s="41">
        <v>88.79</v>
      </c>
      <c r="Z307" s="41">
        <v>0</v>
      </c>
      <c r="AA307" s="41">
        <v>0</v>
      </c>
      <c r="AB307" s="41">
        <v>1812312</v>
      </c>
      <c r="AC307" s="41">
        <v>98.4</v>
      </c>
      <c r="AD307" s="41" t="s">
        <v>433</v>
      </c>
    </row>
    <row r="308" spans="1:30" x14ac:dyDescent="0.35">
      <c r="A308" s="41">
        <v>467</v>
      </c>
      <c r="B308" s="41">
        <v>4346996</v>
      </c>
      <c r="C308" s="41">
        <v>43469964</v>
      </c>
      <c r="D308" s="41" t="s">
        <v>448</v>
      </c>
      <c r="E308" s="41" t="s">
        <v>483</v>
      </c>
      <c r="F308" s="41">
        <v>812312</v>
      </c>
      <c r="G308" s="41" t="s">
        <v>1972</v>
      </c>
      <c r="H308" s="41">
        <v>90541</v>
      </c>
      <c r="I308" s="41" t="s">
        <v>821</v>
      </c>
      <c r="J308" s="41">
        <v>0</v>
      </c>
      <c r="K308" s="41">
        <v>0</v>
      </c>
      <c r="L308" s="41">
        <v>0</v>
      </c>
      <c r="M308" s="41">
        <v>0</v>
      </c>
      <c r="N308" s="41">
        <v>1200.92</v>
      </c>
      <c r="O308" s="41">
        <v>207.16</v>
      </c>
      <c r="P308" s="41">
        <v>39.17</v>
      </c>
      <c r="Q308" s="41">
        <v>888</v>
      </c>
      <c r="R308" s="41">
        <v>0</v>
      </c>
      <c r="S308" s="41">
        <v>0</v>
      </c>
      <c r="T308" s="41">
        <v>0</v>
      </c>
      <c r="U308" s="41">
        <v>0</v>
      </c>
      <c r="V308" s="41">
        <v>0</v>
      </c>
      <c r="W308" s="41">
        <v>0</v>
      </c>
      <c r="X308" s="41">
        <v>888</v>
      </c>
      <c r="Y308" s="41">
        <v>66.59</v>
      </c>
      <c r="Z308" s="41">
        <v>0</v>
      </c>
      <c r="AA308" s="41">
        <v>0</v>
      </c>
      <c r="AB308" s="41">
        <v>1812312</v>
      </c>
      <c r="AC308" s="41">
        <v>98.4</v>
      </c>
      <c r="AD308" s="41" t="s">
        <v>433</v>
      </c>
    </row>
    <row r="309" spans="1:30" x14ac:dyDescent="0.35">
      <c r="A309" s="41">
        <v>467</v>
      </c>
      <c r="B309" s="41">
        <v>6126737</v>
      </c>
      <c r="C309" s="41">
        <v>61267373</v>
      </c>
      <c r="D309" s="41" t="s">
        <v>545</v>
      </c>
      <c r="E309" s="41" t="s">
        <v>824</v>
      </c>
      <c r="F309" s="41">
        <v>812312</v>
      </c>
      <c r="G309" s="41" t="s">
        <v>1972</v>
      </c>
      <c r="H309" s="41">
        <v>90541</v>
      </c>
      <c r="I309" s="41" t="s">
        <v>821</v>
      </c>
      <c r="J309" s="41">
        <v>0</v>
      </c>
      <c r="K309" s="41">
        <v>0</v>
      </c>
      <c r="L309" s="41">
        <v>0</v>
      </c>
      <c r="M309" s="41">
        <v>0</v>
      </c>
      <c r="N309" s="41">
        <v>1450.38</v>
      </c>
      <c r="O309" s="41">
        <v>250.32</v>
      </c>
      <c r="P309" s="41">
        <v>46.59</v>
      </c>
      <c r="Q309" s="41">
        <v>1073</v>
      </c>
      <c r="R309" s="41">
        <v>0</v>
      </c>
      <c r="S309" s="41">
        <v>0</v>
      </c>
      <c r="T309" s="41">
        <v>0</v>
      </c>
      <c r="U309" s="41">
        <v>0</v>
      </c>
      <c r="V309" s="41">
        <v>0</v>
      </c>
      <c r="W309" s="41">
        <v>0</v>
      </c>
      <c r="X309" s="41">
        <v>1073</v>
      </c>
      <c r="Y309" s="41">
        <v>80.47</v>
      </c>
      <c r="Z309" s="41">
        <v>0</v>
      </c>
      <c r="AA309" s="41">
        <v>0</v>
      </c>
      <c r="AB309" s="41">
        <v>1812312</v>
      </c>
      <c r="AC309" s="41">
        <v>98.4</v>
      </c>
      <c r="AD309" s="41" t="s">
        <v>433</v>
      </c>
    </row>
    <row r="310" spans="1:30" x14ac:dyDescent="0.35">
      <c r="A310" s="41">
        <v>467</v>
      </c>
      <c r="B310" s="41">
        <v>6129721</v>
      </c>
      <c r="C310" s="41">
        <v>61297214</v>
      </c>
      <c r="D310" s="41" t="s">
        <v>464</v>
      </c>
      <c r="E310" s="41" t="s">
        <v>1705</v>
      </c>
      <c r="F310" s="41">
        <v>812312</v>
      </c>
      <c r="G310" s="41" t="s">
        <v>1972</v>
      </c>
      <c r="H310" s="41">
        <v>90541</v>
      </c>
      <c r="I310" s="41" t="s">
        <v>821</v>
      </c>
      <c r="J310" s="41">
        <v>0</v>
      </c>
      <c r="K310" s="41">
        <v>0</v>
      </c>
      <c r="L310" s="41">
        <v>0</v>
      </c>
      <c r="M310" s="41">
        <v>0</v>
      </c>
      <c r="N310" s="41">
        <v>1147.6300000000001</v>
      </c>
      <c r="O310" s="41">
        <v>198.53</v>
      </c>
      <c r="P310" s="41">
        <v>34.28</v>
      </c>
      <c r="Q310" s="41">
        <v>851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851</v>
      </c>
      <c r="Y310" s="41">
        <v>63.82</v>
      </c>
      <c r="Z310" s="41">
        <v>0</v>
      </c>
      <c r="AA310" s="41">
        <v>0</v>
      </c>
      <c r="AB310" s="41">
        <v>1812312</v>
      </c>
      <c r="AC310" s="41">
        <v>98.4</v>
      </c>
      <c r="AD310" s="41" t="s">
        <v>433</v>
      </c>
    </row>
    <row r="311" spans="1:30" x14ac:dyDescent="0.35">
      <c r="A311" s="41">
        <v>467</v>
      </c>
      <c r="B311" s="41">
        <v>20092663</v>
      </c>
      <c r="C311" s="41">
        <v>200926632</v>
      </c>
      <c r="D311" s="41" t="s">
        <v>446</v>
      </c>
      <c r="E311" s="41" t="s">
        <v>1791</v>
      </c>
      <c r="F311" s="41">
        <v>812312</v>
      </c>
      <c r="G311" s="41" t="s">
        <v>1972</v>
      </c>
      <c r="H311" s="41">
        <v>90541</v>
      </c>
      <c r="I311" s="41" t="s">
        <v>821</v>
      </c>
      <c r="J311" s="41">
        <v>0</v>
      </c>
      <c r="K311" s="41">
        <v>0</v>
      </c>
      <c r="L311" s="41">
        <v>0</v>
      </c>
      <c r="M311" s="41">
        <v>0</v>
      </c>
      <c r="N311" s="41">
        <v>940.88</v>
      </c>
      <c r="O311" s="41">
        <v>163.29</v>
      </c>
      <c r="P311" s="41">
        <v>25.09</v>
      </c>
      <c r="Q311" s="41">
        <v>700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  <c r="X311" s="41">
        <v>700</v>
      </c>
      <c r="Y311" s="41">
        <v>52.5</v>
      </c>
      <c r="Z311" s="41">
        <v>0</v>
      </c>
      <c r="AA311" s="41">
        <v>0</v>
      </c>
      <c r="AB311" s="41">
        <v>1812312</v>
      </c>
      <c r="AC311" s="41">
        <v>98.4</v>
      </c>
      <c r="AD311" s="41" t="s">
        <v>433</v>
      </c>
    </row>
    <row r="312" spans="1:30" x14ac:dyDescent="0.35">
      <c r="A312" s="41">
        <v>467</v>
      </c>
      <c r="B312" s="41">
        <v>20391422</v>
      </c>
      <c r="C312" s="41">
        <v>203914221</v>
      </c>
      <c r="D312" s="41" t="s">
        <v>506</v>
      </c>
      <c r="E312" s="41" t="s">
        <v>910</v>
      </c>
      <c r="F312" s="41">
        <v>812312</v>
      </c>
      <c r="G312" s="41" t="s">
        <v>1972</v>
      </c>
      <c r="H312" s="41">
        <v>90541</v>
      </c>
      <c r="I312" s="41" t="s">
        <v>821</v>
      </c>
      <c r="J312" s="41">
        <v>0</v>
      </c>
      <c r="K312" s="41">
        <v>0</v>
      </c>
      <c r="L312" s="41">
        <v>0</v>
      </c>
      <c r="M312" s="41">
        <v>0</v>
      </c>
      <c r="N312" s="41">
        <v>1522.57</v>
      </c>
      <c r="O312" s="41">
        <v>189.96</v>
      </c>
      <c r="P312" s="41">
        <v>42.61</v>
      </c>
      <c r="Q312" s="41">
        <v>1200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1200</v>
      </c>
      <c r="Y312" s="41">
        <v>90</v>
      </c>
      <c r="Z312" s="41">
        <v>0</v>
      </c>
      <c r="AA312" s="41">
        <v>0</v>
      </c>
      <c r="AB312" s="41">
        <v>1812312</v>
      </c>
      <c r="AC312" s="41">
        <v>98.4</v>
      </c>
      <c r="AD312" s="41" t="s">
        <v>433</v>
      </c>
    </row>
    <row r="313" spans="1:30" x14ac:dyDescent="0.35">
      <c r="A313" s="41">
        <v>467</v>
      </c>
      <c r="B313" s="41">
        <v>20413777</v>
      </c>
      <c r="C313" s="41">
        <v>204137772</v>
      </c>
      <c r="D313" s="41" t="s">
        <v>448</v>
      </c>
      <c r="E313" s="41" t="s">
        <v>822</v>
      </c>
      <c r="F313" s="41">
        <v>812312</v>
      </c>
      <c r="G313" s="41" t="s">
        <v>1972</v>
      </c>
      <c r="H313" s="41">
        <v>90541</v>
      </c>
      <c r="I313" s="41" t="s">
        <v>821</v>
      </c>
      <c r="J313" s="41">
        <v>0</v>
      </c>
      <c r="K313" s="41">
        <v>0</v>
      </c>
      <c r="L313" s="41">
        <v>0</v>
      </c>
      <c r="M313" s="41">
        <v>0</v>
      </c>
      <c r="N313" s="41">
        <v>2159</v>
      </c>
      <c r="O313" s="41">
        <v>273.89999999999998</v>
      </c>
      <c r="P313" s="41">
        <v>73.12</v>
      </c>
      <c r="Q313" s="41">
        <v>1680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1680</v>
      </c>
      <c r="Y313" s="41">
        <v>126</v>
      </c>
      <c r="Z313" s="41">
        <v>0</v>
      </c>
      <c r="AA313" s="41">
        <v>5.98</v>
      </c>
      <c r="AB313" s="41">
        <v>1812312</v>
      </c>
      <c r="AC313" s="41">
        <v>98.4</v>
      </c>
      <c r="AD313" s="41" t="s">
        <v>433</v>
      </c>
    </row>
    <row r="314" spans="1:30" x14ac:dyDescent="0.35">
      <c r="A314" s="41">
        <v>467</v>
      </c>
      <c r="B314" s="41">
        <v>20429725</v>
      </c>
      <c r="C314" s="41">
        <v>204297253</v>
      </c>
      <c r="D314" s="41" t="s">
        <v>434</v>
      </c>
      <c r="E314" s="41" t="s">
        <v>825</v>
      </c>
      <c r="F314" s="41">
        <v>812312</v>
      </c>
      <c r="G314" s="41" t="s">
        <v>1972</v>
      </c>
      <c r="H314" s="41">
        <v>90541</v>
      </c>
      <c r="I314" s="41" t="s">
        <v>821</v>
      </c>
      <c r="J314" s="41">
        <v>0</v>
      </c>
      <c r="K314" s="41">
        <v>0</v>
      </c>
      <c r="L314" s="41">
        <v>0</v>
      </c>
      <c r="M314" s="41">
        <v>0</v>
      </c>
      <c r="N314" s="41">
        <v>1149.7</v>
      </c>
      <c r="O314" s="41">
        <v>198.53</v>
      </c>
      <c r="P314" s="41">
        <v>36.35</v>
      </c>
      <c r="Q314" s="41">
        <v>851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851</v>
      </c>
      <c r="Y314" s="41">
        <v>63.82</v>
      </c>
      <c r="Z314" s="41">
        <v>0</v>
      </c>
      <c r="AA314" s="41">
        <v>0</v>
      </c>
      <c r="AB314" s="41">
        <v>1812312</v>
      </c>
      <c r="AC314" s="41">
        <v>98.4</v>
      </c>
      <c r="AD314" s="41" t="s">
        <v>433</v>
      </c>
    </row>
    <row r="315" spans="1:30" x14ac:dyDescent="0.35">
      <c r="A315" s="41">
        <v>467</v>
      </c>
      <c r="B315" s="41">
        <v>20567815</v>
      </c>
      <c r="C315" s="41">
        <v>205678154</v>
      </c>
      <c r="D315" s="41" t="s">
        <v>434</v>
      </c>
      <c r="E315" s="41" t="s">
        <v>1706</v>
      </c>
      <c r="F315" s="41">
        <v>812312</v>
      </c>
      <c r="G315" s="41" t="s">
        <v>1972</v>
      </c>
      <c r="H315" s="41">
        <v>90541</v>
      </c>
      <c r="I315" s="41" t="s">
        <v>821</v>
      </c>
      <c r="J315" s="41">
        <v>0</v>
      </c>
      <c r="K315" s="41">
        <v>0</v>
      </c>
      <c r="L315" s="41">
        <v>0</v>
      </c>
      <c r="M315" s="41">
        <v>0</v>
      </c>
      <c r="N315" s="41">
        <v>750.16</v>
      </c>
      <c r="O315" s="41">
        <v>129.47</v>
      </c>
      <c r="P315" s="41">
        <v>24.07</v>
      </c>
      <c r="Q315" s="41">
        <v>555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555</v>
      </c>
      <c r="Y315" s="41">
        <v>41.62</v>
      </c>
      <c r="Z315" s="41">
        <v>0</v>
      </c>
      <c r="AA315" s="41">
        <v>0</v>
      </c>
      <c r="AB315" s="41">
        <v>1812312</v>
      </c>
      <c r="AC315" s="41">
        <v>98.4</v>
      </c>
      <c r="AD315" s="41" t="s">
        <v>433</v>
      </c>
    </row>
    <row r="316" spans="1:30" x14ac:dyDescent="0.35">
      <c r="A316" s="41">
        <v>467</v>
      </c>
      <c r="B316" s="41">
        <v>20576010</v>
      </c>
      <c r="C316" s="41">
        <v>205760101</v>
      </c>
      <c r="D316" s="41" t="s">
        <v>434</v>
      </c>
      <c r="E316" s="41" t="s">
        <v>479</v>
      </c>
      <c r="F316" s="41">
        <v>812312</v>
      </c>
      <c r="G316" s="41" t="s">
        <v>1972</v>
      </c>
      <c r="H316" s="41">
        <v>90541</v>
      </c>
      <c r="I316" s="41" t="s">
        <v>821</v>
      </c>
      <c r="J316" s="41">
        <v>0</v>
      </c>
      <c r="K316" s="41">
        <v>0</v>
      </c>
      <c r="L316" s="41">
        <v>0</v>
      </c>
      <c r="M316" s="41">
        <v>0</v>
      </c>
      <c r="N316" s="41">
        <v>1049.75</v>
      </c>
      <c r="O316" s="41">
        <v>181.26</v>
      </c>
      <c r="P316" s="41">
        <v>33.22</v>
      </c>
      <c r="Q316" s="41">
        <v>777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777</v>
      </c>
      <c r="Y316" s="41">
        <v>58.27</v>
      </c>
      <c r="Z316" s="41">
        <v>0</v>
      </c>
      <c r="AA316" s="41">
        <v>0</v>
      </c>
      <c r="AB316" s="41">
        <v>1812312</v>
      </c>
      <c r="AC316" s="41">
        <v>98.4</v>
      </c>
      <c r="AD316" s="41" t="s">
        <v>433</v>
      </c>
    </row>
    <row r="317" spans="1:30" x14ac:dyDescent="0.35">
      <c r="A317" s="41">
        <v>467</v>
      </c>
      <c r="B317" s="41">
        <v>20576402</v>
      </c>
      <c r="C317" s="41">
        <v>205764020</v>
      </c>
      <c r="D317" s="41" t="s">
        <v>439</v>
      </c>
      <c r="E317" s="41" t="s">
        <v>584</v>
      </c>
      <c r="F317" s="41">
        <v>812312</v>
      </c>
      <c r="G317" s="41" t="s">
        <v>1972</v>
      </c>
      <c r="H317" s="41">
        <v>90541</v>
      </c>
      <c r="I317" s="41" t="s">
        <v>821</v>
      </c>
      <c r="J317" s="41">
        <v>0</v>
      </c>
      <c r="K317" s="41">
        <v>0</v>
      </c>
      <c r="L317" s="41">
        <v>0</v>
      </c>
      <c r="M317" s="41">
        <v>0</v>
      </c>
      <c r="N317" s="41">
        <v>1454.06</v>
      </c>
      <c r="O317" s="41">
        <v>250.32</v>
      </c>
      <c r="P317" s="41">
        <v>50.27</v>
      </c>
      <c r="Q317" s="41">
        <v>1073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0</v>
      </c>
      <c r="X317" s="41">
        <v>1073</v>
      </c>
      <c r="Y317" s="41">
        <v>80.47</v>
      </c>
      <c r="Z317" s="41">
        <v>0</v>
      </c>
      <c r="AA317" s="41">
        <v>0</v>
      </c>
      <c r="AB317" s="41">
        <v>1812312</v>
      </c>
      <c r="AC317" s="41">
        <v>98.4</v>
      </c>
      <c r="AD317" s="41" t="s">
        <v>433</v>
      </c>
    </row>
    <row r="318" spans="1:30" x14ac:dyDescent="0.35">
      <c r="A318" s="41">
        <v>467</v>
      </c>
      <c r="B318" s="41">
        <v>20576664</v>
      </c>
      <c r="C318" s="41">
        <v>205766645</v>
      </c>
      <c r="D318" s="41" t="s">
        <v>442</v>
      </c>
      <c r="E318" s="41" t="s">
        <v>470</v>
      </c>
      <c r="F318" s="41">
        <v>812312</v>
      </c>
      <c r="G318" s="41" t="s">
        <v>1972</v>
      </c>
      <c r="H318" s="41">
        <v>90541</v>
      </c>
      <c r="I318" s="41" t="s">
        <v>821</v>
      </c>
      <c r="J318" s="41">
        <v>0</v>
      </c>
      <c r="K318" s="41">
        <v>0</v>
      </c>
      <c r="L318" s="41">
        <v>0</v>
      </c>
      <c r="M318" s="41">
        <v>0</v>
      </c>
      <c r="N318" s="41">
        <v>1314.48</v>
      </c>
      <c r="O318" s="41">
        <v>164</v>
      </c>
      <c r="P318" s="41">
        <v>36.78</v>
      </c>
      <c r="Q318" s="41">
        <v>1036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1036</v>
      </c>
      <c r="Y318" s="41">
        <v>77.7</v>
      </c>
      <c r="Z318" s="41">
        <v>0</v>
      </c>
      <c r="AA318" s="41">
        <v>0</v>
      </c>
      <c r="AB318" s="41">
        <v>1812312</v>
      </c>
      <c r="AC318" s="41">
        <v>98.4</v>
      </c>
      <c r="AD318" s="41" t="s">
        <v>433</v>
      </c>
    </row>
    <row r="319" spans="1:30" x14ac:dyDescent="0.35">
      <c r="A319" s="41">
        <v>467</v>
      </c>
      <c r="B319" s="41">
        <v>20576675</v>
      </c>
      <c r="C319" s="41">
        <v>205766751</v>
      </c>
      <c r="D319" s="41" t="s">
        <v>442</v>
      </c>
      <c r="E319" s="41" t="s">
        <v>1698</v>
      </c>
      <c r="F319" s="41">
        <v>812312</v>
      </c>
      <c r="G319" s="41" t="s">
        <v>1972</v>
      </c>
      <c r="H319" s="41">
        <v>90541</v>
      </c>
      <c r="I319" s="41" t="s">
        <v>821</v>
      </c>
      <c r="J319" s="41">
        <v>0</v>
      </c>
      <c r="K319" s="41">
        <v>0</v>
      </c>
      <c r="L319" s="41">
        <v>0</v>
      </c>
      <c r="M319" s="41">
        <v>0</v>
      </c>
      <c r="N319" s="41">
        <v>1561.36</v>
      </c>
      <c r="O319" s="41">
        <v>0</v>
      </c>
      <c r="P319" s="41">
        <v>49.91</v>
      </c>
      <c r="Q319" s="41">
        <v>1406</v>
      </c>
      <c r="R319" s="41">
        <v>0</v>
      </c>
      <c r="S319" s="41">
        <v>0</v>
      </c>
      <c r="T319" s="41">
        <v>0</v>
      </c>
      <c r="U319" s="41">
        <v>0</v>
      </c>
      <c r="V319" s="41">
        <v>0</v>
      </c>
      <c r="W319" s="41">
        <v>0</v>
      </c>
      <c r="X319" s="41">
        <v>1406</v>
      </c>
      <c r="Y319" s="41">
        <v>105.45</v>
      </c>
      <c r="Z319" s="41">
        <v>0</v>
      </c>
      <c r="AA319" s="41">
        <v>0</v>
      </c>
      <c r="AB319" s="41">
        <v>1812312</v>
      </c>
      <c r="AC319" s="41">
        <v>98.4</v>
      </c>
      <c r="AD319" s="41" t="s">
        <v>433</v>
      </c>
    </row>
    <row r="320" spans="1:30" x14ac:dyDescent="0.35">
      <c r="A320" s="41">
        <v>467</v>
      </c>
      <c r="B320" s="41">
        <v>20576827</v>
      </c>
      <c r="C320" s="41">
        <v>205768278</v>
      </c>
      <c r="D320" s="41" t="s">
        <v>434</v>
      </c>
      <c r="E320" s="41" t="s">
        <v>1708</v>
      </c>
      <c r="F320" s="41">
        <v>812312</v>
      </c>
      <c r="G320" s="41" t="s">
        <v>1972</v>
      </c>
      <c r="H320" s="41">
        <v>90541</v>
      </c>
      <c r="I320" s="41" t="s">
        <v>1694</v>
      </c>
      <c r="J320" s="41">
        <v>5</v>
      </c>
      <c r="K320" s="41">
        <v>5</v>
      </c>
      <c r="L320" s="41">
        <v>0</v>
      </c>
      <c r="M320" s="41">
        <v>85.3</v>
      </c>
      <c r="N320" s="41">
        <v>6685.21</v>
      </c>
      <c r="O320" s="41">
        <v>0</v>
      </c>
      <c r="P320" s="41">
        <v>213.71</v>
      </c>
      <c r="Q320" s="41">
        <v>6020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6020</v>
      </c>
      <c r="Y320" s="41">
        <v>451.5</v>
      </c>
      <c r="Z320" s="41">
        <v>0</v>
      </c>
      <c r="AA320" s="41">
        <v>0</v>
      </c>
      <c r="AB320" s="41">
        <v>1812312</v>
      </c>
      <c r="AC320" s="41">
        <v>85.3</v>
      </c>
      <c r="AD320" s="41" t="s">
        <v>433</v>
      </c>
    </row>
    <row r="321" spans="1:30" x14ac:dyDescent="0.35">
      <c r="A321" s="41">
        <v>467</v>
      </c>
      <c r="B321" s="41">
        <v>20604348</v>
      </c>
      <c r="C321" s="41">
        <v>206043481</v>
      </c>
      <c r="D321" s="41" t="s">
        <v>1709</v>
      </c>
      <c r="E321" s="41" t="s">
        <v>543</v>
      </c>
      <c r="F321" s="41">
        <v>812312</v>
      </c>
      <c r="G321" s="41" t="s">
        <v>1972</v>
      </c>
      <c r="H321" s="41">
        <v>90541</v>
      </c>
      <c r="I321" s="41" t="s">
        <v>821</v>
      </c>
      <c r="J321" s="41">
        <v>0</v>
      </c>
      <c r="K321" s="41">
        <v>0</v>
      </c>
      <c r="L321" s="41">
        <v>0</v>
      </c>
      <c r="M321" s="41">
        <v>0</v>
      </c>
      <c r="N321" s="41">
        <v>2398.6799999999998</v>
      </c>
      <c r="O321" s="41">
        <v>0</v>
      </c>
      <c r="P321" s="41">
        <v>76.680000000000007</v>
      </c>
      <c r="Q321" s="41">
        <v>2160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2160</v>
      </c>
      <c r="Y321" s="41">
        <v>162</v>
      </c>
      <c r="Z321" s="41">
        <v>0</v>
      </c>
      <c r="AA321" s="41">
        <v>0</v>
      </c>
      <c r="AB321" s="41">
        <v>1812312</v>
      </c>
      <c r="AC321" s="41">
        <v>85.3</v>
      </c>
      <c r="AD321" s="41" t="s">
        <v>433</v>
      </c>
    </row>
    <row r="322" spans="1:30" x14ac:dyDescent="0.35">
      <c r="A322" s="41">
        <v>467</v>
      </c>
      <c r="B322" s="41">
        <v>20635620</v>
      </c>
      <c r="C322" s="41">
        <v>206356206</v>
      </c>
      <c r="D322" s="41" t="s">
        <v>1709</v>
      </c>
      <c r="E322" s="41" t="s">
        <v>1710</v>
      </c>
      <c r="F322" s="41">
        <v>812312</v>
      </c>
      <c r="G322" s="41" t="s">
        <v>1972</v>
      </c>
      <c r="H322" s="41">
        <v>90541</v>
      </c>
      <c r="I322" s="41" t="s">
        <v>821</v>
      </c>
      <c r="J322" s="41">
        <v>0</v>
      </c>
      <c r="K322" s="41">
        <v>0</v>
      </c>
      <c r="L322" s="41">
        <v>0</v>
      </c>
      <c r="M322" s="41">
        <v>0</v>
      </c>
      <c r="N322" s="41">
        <v>410.88</v>
      </c>
      <c r="O322" s="41">
        <v>0</v>
      </c>
      <c r="P322" s="41">
        <v>13.13</v>
      </c>
      <c r="Q322" s="41">
        <v>370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370</v>
      </c>
      <c r="Y322" s="41">
        <v>27.75</v>
      </c>
      <c r="Z322" s="41">
        <v>0</v>
      </c>
      <c r="AA322" s="41">
        <v>0</v>
      </c>
      <c r="AB322" s="41">
        <v>1812312</v>
      </c>
      <c r="AC322" s="41">
        <v>85.3</v>
      </c>
      <c r="AD322" s="41" t="s">
        <v>433</v>
      </c>
    </row>
    <row r="323" spans="1:30" x14ac:dyDescent="0.35">
      <c r="A323" s="41">
        <v>467</v>
      </c>
      <c r="B323" s="41">
        <v>20660112</v>
      </c>
      <c r="C323" s="41">
        <v>206601122</v>
      </c>
      <c r="D323" s="41" t="s">
        <v>434</v>
      </c>
      <c r="E323" s="41" t="s">
        <v>1711</v>
      </c>
      <c r="F323" s="41">
        <v>812312</v>
      </c>
      <c r="G323" s="41" t="s">
        <v>1972</v>
      </c>
      <c r="H323" s="41">
        <v>90541</v>
      </c>
      <c r="I323" s="41" t="s">
        <v>1694</v>
      </c>
      <c r="J323" s="41">
        <v>5</v>
      </c>
      <c r="K323" s="41">
        <v>5</v>
      </c>
      <c r="L323" s="41">
        <v>0</v>
      </c>
      <c r="M323" s="41">
        <v>17.8</v>
      </c>
      <c r="N323" s="41">
        <v>1203.78</v>
      </c>
      <c r="O323" s="41">
        <v>0</v>
      </c>
      <c r="P323" s="41">
        <v>38.479999999999997</v>
      </c>
      <c r="Q323" s="41">
        <v>1084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1084</v>
      </c>
      <c r="Y323" s="41">
        <v>81.3</v>
      </c>
      <c r="Z323" s="41">
        <v>0</v>
      </c>
      <c r="AA323" s="41">
        <v>0</v>
      </c>
      <c r="AB323" s="41">
        <v>1812312</v>
      </c>
      <c r="AC323" s="41">
        <v>17.8</v>
      </c>
      <c r="AD323" s="41" t="s">
        <v>433</v>
      </c>
    </row>
    <row r="324" spans="1:30" x14ac:dyDescent="0.35">
      <c r="A324" s="41">
        <v>467</v>
      </c>
      <c r="B324" s="41">
        <v>20671687</v>
      </c>
      <c r="C324" s="41">
        <v>206716870</v>
      </c>
      <c r="D324" s="41" t="s">
        <v>1709</v>
      </c>
      <c r="E324" s="41" t="s">
        <v>1713</v>
      </c>
      <c r="F324" s="41">
        <v>812312</v>
      </c>
      <c r="G324" s="41" t="s">
        <v>1972</v>
      </c>
      <c r="H324" s="41">
        <v>90541</v>
      </c>
      <c r="I324" s="41" t="s">
        <v>821</v>
      </c>
      <c r="J324" s="41">
        <v>0</v>
      </c>
      <c r="K324" s="41">
        <v>0</v>
      </c>
      <c r="L324" s="41">
        <v>0</v>
      </c>
      <c r="M324" s="41">
        <v>0</v>
      </c>
      <c r="N324" s="41">
        <v>2740.59</v>
      </c>
      <c r="O324" s="41">
        <v>341.92</v>
      </c>
      <c r="P324" s="41">
        <v>76.67</v>
      </c>
      <c r="Q324" s="41">
        <v>2160</v>
      </c>
      <c r="R324" s="41">
        <v>0</v>
      </c>
      <c r="S324" s="41">
        <v>0</v>
      </c>
      <c r="T324" s="41">
        <v>0</v>
      </c>
      <c r="U324" s="41">
        <v>0</v>
      </c>
      <c r="V324" s="41">
        <v>0</v>
      </c>
      <c r="W324" s="41">
        <v>0</v>
      </c>
      <c r="X324" s="41">
        <v>2160</v>
      </c>
      <c r="Y324" s="41">
        <v>162</v>
      </c>
      <c r="Z324" s="41">
        <v>0</v>
      </c>
      <c r="AA324" s="41">
        <v>0</v>
      </c>
      <c r="AB324" s="41">
        <v>1812312</v>
      </c>
      <c r="AC324" s="41">
        <v>17.8</v>
      </c>
      <c r="AD324" s="41" t="s">
        <v>433</v>
      </c>
    </row>
    <row r="325" spans="1:30" x14ac:dyDescent="0.35">
      <c r="A325" s="41">
        <v>467</v>
      </c>
      <c r="B325" s="41">
        <v>20688558</v>
      </c>
      <c r="C325" s="41">
        <v>206885584</v>
      </c>
      <c r="D325" s="41" t="s">
        <v>434</v>
      </c>
      <c r="E325" s="41" t="s">
        <v>887</v>
      </c>
      <c r="F325" s="41">
        <v>812312</v>
      </c>
      <c r="G325" s="41" t="s">
        <v>1972</v>
      </c>
      <c r="H325" s="41">
        <v>90541</v>
      </c>
      <c r="I325" s="41" t="s">
        <v>821</v>
      </c>
      <c r="J325" s="41">
        <v>0</v>
      </c>
      <c r="K325" s="41">
        <v>0</v>
      </c>
      <c r="L325" s="41">
        <v>0</v>
      </c>
      <c r="M325" s="41">
        <v>0</v>
      </c>
      <c r="N325" s="41">
        <v>2436.1</v>
      </c>
      <c r="O325" s="41">
        <v>303.94</v>
      </c>
      <c r="P325" s="41">
        <v>68.16</v>
      </c>
      <c r="Q325" s="41">
        <v>1920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1920</v>
      </c>
      <c r="Y325" s="41">
        <v>144</v>
      </c>
      <c r="Z325" s="41">
        <v>0</v>
      </c>
      <c r="AA325" s="41">
        <v>0</v>
      </c>
      <c r="AB325" s="41">
        <v>1812312</v>
      </c>
      <c r="AC325" s="41">
        <v>17.8</v>
      </c>
      <c r="AD325" s="41" t="s">
        <v>433</v>
      </c>
    </row>
    <row r="326" spans="1:30" x14ac:dyDescent="0.35">
      <c r="A326" s="41">
        <v>467</v>
      </c>
      <c r="B326" s="41">
        <v>20751219</v>
      </c>
      <c r="C326" s="41">
        <v>207512195</v>
      </c>
      <c r="D326" s="41" t="s">
        <v>442</v>
      </c>
      <c r="E326" s="41" t="s">
        <v>1826</v>
      </c>
      <c r="F326" s="41">
        <v>812312</v>
      </c>
      <c r="G326" s="41" t="s">
        <v>1972</v>
      </c>
      <c r="H326" s="41">
        <v>90541</v>
      </c>
      <c r="I326" s="41" t="s">
        <v>1694</v>
      </c>
      <c r="J326" s="41">
        <v>5</v>
      </c>
      <c r="K326" s="41">
        <v>5</v>
      </c>
      <c r="L326" s="41">
        <v>0</v>
      </c>
      <c r="M326" s="41">
        <v>15.3</v>
      </c>
      <c r="N326" s="41">
        <v>1314.83</v>
      </c>
      <c r="O326" s="41">
        <v>0</v>
      </c>
      <c r="P326" s="41">
        <v>42.03</v>
      </c>
      <c r="Q326" s="41">
        <v>1184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1184</v>
      </c>
      <c r="Y326" s="41">
        <v>88.8</v>
      </c>
      <c r="Z326" s="41">
        <v>0</v>
      </c>
      <c r="AA326" s="41">
        <v>0</v>
      </c>
      <c r="AB326" s="41">
        <v>1812312</v>
      </c>
      <c r="AC326" s="41">
        <v>15.3</v>
      </c>
      <c r="AD326" s="41" t="s">
        <v>433</v>
      </c>
    </row>
    <row r="327" spans="1:30" x14ac:dyDescent="0.35">
      <c r="A327" s="41">
        <v>467</v>
      </c>
      <c r="B327" s="41">
        <v>20807668</v>
      </c>
      <c r="C327" s="41">
        <v>208076687</v>
      </c>
      <c r="D327" s="41" t="s">
        <v>434</v>
      </c>
      <c r="E327" s="41" t="s">
        <v>872</v>
      </c>
      <c r="F327" s="41">
        <v>812312</v>
      </c>
      <c r="G327" s="41" t="s">
        <v>1972</v>
      </c>
      <c r="H327" s="41">
        <v>90541</v>
      </c>
      <c r="I327" s="41" t="s">
        <v>821</v>
      </c>
      <c r="J327" s="41">
        <v>0</v>
      </c>
      <c r="K327" s="41">
        <v>0</v>
      </c>
      <c r="L327" s="41">
        <v>0</v>
      </c>
      <c r="M327" s="41">
        <v>0</v>
      </c>
      <c r="N327" s="41">
        <v>2892.86</v>
      </c>
      <c r="O327" s="41">
        <v>360.92</v>
      </c>
      <c r="P327" s="41">
        <v>80.94</v>
      </c>
      <c r="Q327" s="41">
        <v>2280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2280</v>
      </c>
      <c r="Y327" s="41">
        <v>171</v>
      </c>
      <c r="Z327" s="41">
        <v>0</v>
      </c>
      <c r="AA327" s="41">
        <v>0</v>
      </c>
      <c r="AB327" s="41">
        <v>1812312</v>
      </c>
      <c r="AC327" s="41">
        <v>15.3</v>
      </c>
      <c r="AD327" s="41" t="s">
        <v>433</v>
      </c>
    </row>
    <row r="328" spans="1:30" x14ac:dyDescent="0.35">
      <c r="A328" s="41">
        <v>467</v>
      </c>
      <c r="B328" s="41">
        <v>20954690</v>
      </c>
      <c r="C328" s="41">
        <v>209546902</v>
      </c>
      <c r="D328" s="41" t="s">
        <v>434</v>
      </c>
      <c r="E328" s="41" t="s">
        <v>542</v>
      </c>
      <c r="F328" s="41">
        <v>812312</v>
      </c>
      <c r="G328" s="41" t="s">
        <v>1972</v>
      </c>
      <c r="H328" s="41">
        <v>90541</v>
      </c>
      <c r="I328" s="41" t="s">
        <v>821</v>
      </c>
      <c r="J328" s="41">
        <v>0</v>
      </c>
      <c r="K328" s="41">
        <v>0</v>
      </c>
      <c r="L328" s="41">
        <v>0</v>
      </c>
      <c r="M328" s="41">
        <v>0</v>
      </c>
      <c r="N328" s="41">
        <v>897.59</v>
      </c>
      <c r="O328" s="41">
        <v>155.36000000000001</v>
      </c>
      <c r="P328" s="41">
        <v>26.29</v>
      </c>
      <c r="Q328" s="41">
        <v>666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666</v>
      </c>
      <c r="Y328" s="41">
        <v>49.94</v>
      </c>
      <c r="Z328" s="41">
        <v>0</v>
      </c>
      <c r="AA328" s="41">
        <v>0</v>
      </c>
      <c r="AB328" s="41">
        <v>1812312</v>
      </c>
      <c r="AC328" s="41">
        <v>15.3</v>
      </c>
      <c r="AD328" s="41" t="s">
        <v>433</v>
      </c>
    </row>
    <row r="329" spans="1:30" x14ac:dyDescent="0.35">
      <c r="A329" s="41">
        <v>467</v>
      </c>
      <c r="B329" s="41">
        <v>21132029</v>
      </c>
      <c r="C329" s="41">
        <v>211320296</v>
      </c>
      <c r="D329" s="41" t="s">
        <v>515</v>
      </c>
      <c r="E329" s="41" t="s">
        <v>449</v>
      </c>
      <c r="F329" s="41">
        <v>812312</v>
      </c>
      <c r="G329" s="41" t="s">
        <v>1972</v>
      </c>
      <c r="H329" s="41">
        <v>90541</v>
      </c>
      <c r="I329" s="41" t="s">
        <v>1694</v>
      </c>
      <c r="J329" s="41">
        <v>5</v>
      </c>
      <c r="K329" s="41">
        <v>5</v>
      </c>
      <c r="L329" s="41">
        <v>0</v>
      </c>
      <c r="M329" s="41">
        <v>20.100000000000001</v>
      </c>
      <c r="N329" s="41">
        <v>1321.5</v>
      </c>
      <c r="O329" s="41">
        <v>0</v>
      </c>
      <c r="P329" s="41">
        <v>42.25</v>
      </c>
      <c r="Q329" s="41">
        <v>1190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1190</v>
      </c>
      <c r="Y329" s="41">
        <v>89.25</v>
      </c>
      <c r="Z329" s="41">
        <v>0</v>
      </c>
      <c r="AA329" s="41">
        <v>0</v>
      </c>
      <c r="AB329" s="41">
        <v>1812312</v>
      </c>
      <c r="AC329" s="41">
        <v>20.100000000000001</v>
      </c>
      <c r="AD329" s="41" t="s">
        <v>433</v>
      </c>
    </row>
    <row r="330" spans="1:30" x14ac:dyDescent="0.35">
      <c r="A330" s="41">
        <v>467</v>
      </c>
      <c r="B330" s="41">
        <v>21132228</v>
      </c>
      <c r="C330" s="41">
        <v>211322284</v>
      </c>
      <c r="D330" s="41" t="s">
        <v>434</v>
      </c>
      <c r="E330" s="41" t="s">
        <v>917</v>
      </c>
      <c r="F330" s="41">
        <v>812312</v>
      </c>
      <c r="G330" s="41" t="s">
        <v>1972</v>
      </c>
      <c r="H330" s="41">
        <v>90541</v>
      </c>
      <c r="I330" s="41" t="s">
        <v>1694</v>
      </c>
      <c r="J330" s="41">
        <v>5</v>
      </c>
      <c r="K330" s="41">
        <v>5</v>
      </c>
      <c r="L330" s="41">
        <v>0</v>
      </c>
      <c r="M330" s="41">
        <v>18.399999999999999</v>
      </c>
      <c r="N330" s="41">
        <v>1314.83</v>
      </c>
      <c r="O330" s="41">
        <v>0</v>
      </c>
      <c r="P330" s="41">
        <v>42.03</v>
      </c>
      <c r="Q330" s="41">
        <v>1184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1184</v>
      </c>
      <c r="Y330" s="41">
        <v>88.8</v>
      </c>
      <c r="Z330" s="41">
        <v>0</v>
      </c>
      <c r="AA330" s="41">
        <v>0</v>
      </c>
      <c r="AB330" s="41">
        <v>1812312</v>
      </c>
      <c r="AC330" s="41">
        <v>18.399999999999999</v>
      </c>
      <c r="AD330" s="41" t="s">
        <v>433</v>
      </c>
    </row>
    <row r="331" spans="1:30" x14ac:dyDescent="0.35">
      <c r="A331" s="41">
        <v>467</v>
      </c>
      <c r="B331" s="41">
        <v>21141021</v>
      </c>
      <c r="C331" s="41">
        <v>211410212</v>
      </c>
      <c r="D331" s="41" t="s">
        <v>434</v>
      </c>
      <c r="E331" s="41" t="s">
        <v>872</v>
      </c>
      <c r="F331" s="41">
        <v>812312</v>
      </c>
      <c r="G331" s="41" t="s">
        <v>1972</v>
      </c>
      <c r="H331" s="41">
        <v>90541</v>
      </c>
      <c r="I331" s="41" t="s">
        <v>1694</v>
      </c>
      <c r="J331" s="41">
        <v>5</v>
      </c>
      <c r="K331" s="41">
        <v>5</v>
      </c>
      <c r="L331" s="41">
        <v>0</v>
      </c>
      <c r="M331" s="41">
        <v>21.9</v>
      </c>
      <c r="N331" s="41">
        <v>2531.94</v>
      </c>
      <c r="O331" s="41">
        <v>0</v>
      </c>
      <c r="P331" s="41">
        <v>80.94</v>
      </c>
      <c r="Q331" s="41">
        <v>2280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2280</v>
      </c>
      <c r="Y331" s="41">
        <v>171</v>
      </c>
      <c r="Z331" s="41">
        <v>0</v>
      </c>
      <c r="AA331" s="41">
        <v>0</v>
      </c>
      <c r="AB331" s="41">
        <v>1812312</v>
      </c>
      <c r="AC331" s="41">
        <v>21.9</v>
      </c>
      <c r="AD331" s="41" t="s">
        <v>433</v>
      </c>
    </row>
    <row r="332" spans="1:30" x14ac:dyDescent="0.35">
      <c r="A332" s="41">
        <v>467</v>
      </c>
      <c r="B332" s="41">
        <v>21449994</v>
      </c>
      <c r="C332" s="41">
        <v>214499949</v>
      </c>
      <c r="D332" s="41" t="s">
        <v>1720</v>
      </c>
      <c r="E332" s="41" t="s">
        <v>470</v>
      </c>
      <c r="F332" s="41">
        <v>812312</v>
      </c>
      <c r="G332" s="41" t="s">
        <v>1972</v>
      </c>
      <c r="H332" s="41">
        <v>90541</v>
      </c>
      <c r="I332" s="41" t="s">
        <v>1694</v>
      </c>
      <c r="J332" s="41">
        <v>5</v>
      </c>
      <c r="K332" s="41">
        <v>5</v>
      </c>
      <c r="L332" s="41">
        <v>0</v>
      </c>
      <c r="M332" s="41">
        <v>34.4</v>
      </c>
      <c r="N332" s="41">
        <v>2287.4</v>
      </c>
      <c r="O332" s="41">
        <v>0</v>
      </c>
      <c r="P332" s="41">
        <v>73.11</v>
      </c>
      <c r="Q332" s="41">
        <v>2059.8000000000002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  <c r="X332" s="41">
        <v>2059.8000000000002</v>
      </c>
      <c r="Y332" s="41">
        <v>154.49</v>
      </c>
      <c r="Z332" s="41">
        <v>0</v>
      </c>
      <c r="AA332" s="41">
        <v>0</v>
      </c>
      <c r="AB332" s="41">
        <v>1812312</v>
      </c>
      <c r="AC332" s="41">
        <v>34.4</v>
      </c>
      <c r="AD332" s="41" t="s">
        <v>433</v>
      </c>
    </row>
    <row r="333" spans="1:30" x14ac:dyDescent="0.35">
      <c r="A333" s="41">
        <v>467</v>
      </c>
      <c r="B333" s="41">
        <v>30082610</v>
      </c>
      <c r="C333" s="41">
        <v>300826104</v>
      </c>
      <c r="D333" s="41" t="s">
        <v>434</v>
      </c>
      <c r="E333" s="41" t="s">
        <v>852</v>
      </c>
      <c r="F333" s="41">
        <v>812312</v>
      </c>
      <c r="G333" s="41" t="s">
        <v>1972</v>
      </c>
      <c r="H333" s="41">
        <v>90541</v>
      </c>
      <c r="I333" s="41" t="s">
        <v>821</v>
      </c>
      <c r="J333" s="41">
        <v>0</v>
      </c>
      <c r="K333" s="41">
        <v>0</v>
      </c>
      <c r="L333" s="41">
        <v>0</v>
      </c>
      <c r="M333" s="41">
        <v>0</v>
      </c>
      <c r="N333" s="41">
        <v>1479.19</v>
      </c>
      <c r="O333" s="41">
        <v>0</v>
      </c>
      <c r="P333" s="41">
        <v>47.29</v>
      </c>
      <c r="Q333" s="41">
        <v>1332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1332</v>
      </c>
      <c r="Y333" s="41">
        <v>99.9</v>
      </c>
      <c r="Z333" s="41">
        <v>0</v>
      </c>
      <c r="AA333" s="41">
        <v>0</v>
      </c>
      <c r="AB333" s="41">
        <v>1812312</v>
      </c>
      <c r="AC333" s="41">
        <v>34.4</v>
      </c>
      <c r="AD333" s="41" t="s">
        <v>433</v>
      </c>
    </row>
    <row r="334" spans="1:30" x14ac:dyDescent="0.35">
      <c r="A334" s="41">
        <v>467</v>
      </c>
      <c r="B334" s="41">
        <v>30140720</v>
      </c>
      <c r="C334" s="41">
        <v>301407201</v>
      </c>
      <c r="D334" s="41" t="s">
        <v>434</v>
      </c>
      <c r="E334" s="41" t="s">
        <v>544</v>
      </c>
      <c r="F334" s="41">
        <v>812312</v>
      </c>
      <c r="G334" s="41" t="s">
        <v>1972</v>
      </c>
      <c r="H334" s="41">
        <v>90541</v>
      </c>
      <c r="I334" s="41" t="s">
        <v>1694</v>
      </c>
      <c r="J334" s="41">
        <v>0</v>
      </c>
      <c r="K334" s="41">
        <v>0</v>
      </c>
      <c r="L334" s="41">
        <v>0</v>
      </c>
      <c r="M334" s="41">
        <v>41.5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1812312</v>
      </c>
      <c r="AC334" s="41">
        <v>41.5</v>
      </c>
      <c r="AD334" s="41" t="s">
        <v>433</v>
      </c>
    </row>
    <row r="335" spans="1:30" x14ac:dyDescent="0.35">
      <c r="A335" s="41">
        <v>467</v>
      </c>
      <c r="B335" s="41">
        <v>30525534</v>
      </c>
      <c r="C335" s="41">
        <v>305255341</v>
      </c>
      <c r="D335" s="41" t="s">
        <v>486</v>
      </c>
      <c r="E335" s="41" t="s">
        <v>841</v>
      </c>
      <c r="F335" s="41">
        <v>812312</v>
      </c>
      <c r="G335" s="41" t="s">
        <v>1972</v>
      </c>
      <c r="H335" s="41">
        <v>90541</v>
      </c>
      <c r="I335" s="41" t="s">
        <v>821</v>
      </c>
      <c r="J335" s="41">
        <v>0</v>
      </c>
      <c r="K335" s="41">
        <v>0</v>
      </c>
      <c r="L335" s="41">
        <v>0</v>
      </c>
      <c r="M335" s="41">
        <v>0</v>
      </c>
      <c r="N335" s="41">
        <v>1452.93</v>
      </c>
      <c r="O335" s="41">
        <v>250.32</v>
      </c>
      <c r="P335" s="41">
        <v>49.14</v>
      </c>
      <c r="Q335" s="41">
        <v>1073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1073</v>
      </c>
      <c r="Y335" s="41">
        <v>80.47</v>
      </c>
      <c r="Z335" s="41">
        <v>0</v>
      </c>
      <c r="AA335" s="41">
        <v>0</v>
      </c>
      <c r="AB335" s="41">
        <v>1812312</v>
      </c>
      <c r="AC335" s="41">
        <v>41.5</v>
      </c>
      <c r="AD335" s="41" t="s">
        <v>433</v>
      </c>
    </row>
    <row r="336" spans="1:30" x14ac:dyDescent="0.35">
      <c r="A336" s="41">
        <v>467</v>
      </c>
      <c r="B336" s="41">
        <v>31242919</v>
      </c>
      <c r="C336" s="41">
        <v>312429194</v>
      </c>
      <c r="D336" s="41" t="s">
        <v>1727</v>
      </c>
      <c r="E336" s="41" t="s">
        <v>909</v>
      </c>
      <c r="F336" s="41">
        <v>812312</v>
      </c>
      <c r="G336" s="41" t="s">
        <v>1972</v>
      </c>
      <c r="H336" s="41">
        <v>90541</v>
      </c>
      <c r="I336" s="41" t="s">
        <v>1694</v>
      </c>
      <c r="J336" s="41">
        <v>5</v>
      </c>
      <c r="K336" s="41">
        <v>5</v>
      </c>
      <c r="L336" s="41">
        <v>0</v>
      </c>
      <c r="M336" s="41">
        <v>87.6</v>
      </c>
      <c r="N336" s="41">
        <v>5742.38</v>
      </c>
      <c r="O336" s="41">
        <v>0</v>
      </c>
      <c r="P336" s="41">
        <v>184.53</v>
      </c>
      <c r="Q336" s="41">
        <v>5168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  <c r="X336" s="41">
        <v>5168</v>
      </c>
      <c r="Y336" s="41">
        <v>389.85</v>
      </c>
      <c r="Z336" s="41">
        <v>0</v>
      </c>
      <c r="AA336" s="41">
        <v>0</v>
      </c>
      <c r="AB336" s="41">
        <v>1812312</v>
      </c>
      <c r="AC336" s="41">
        <v>87.6</v>
      </c>
      <c r="AD336" s="41" t="s">
        <v>433</v>
      </c>
    </row>
    <row r="337" spans="1:30" x14ac:dyDescent="0.35">
      <c r="A337" s="41">
        <v>467</v>
      </c>
      <c r="B337" s="41">
        <v>31405780</v>
      </c>
      <c r="C337" s="41">
        <v>314057803</v>
      </c>
      <c r="D337" s="41" t="s">
        <v>921</v>
      </c>
      <c r="E337" s="41" t="s">
        <v>438</v>
      </c>
      <c r="F337" s="41">
        <v>812312</v>
      </c>
      <c r="G337" s="41" t="s">
        <v>1972</v>
      </c>
      <c r="H337" s="41">
        <v>90541</v>
      </c>
      <c r="I337" s="41" t="s">
        <v>1694</v>
      </c>
      <c r="J337" s="41">
        <v>5</v>
      </c>
      <c r="K337" s="41">
        <v>5</v>
      </c>
      <c r="L337" s="41">
        <v>0</v>
      </c>
      <c r="M337" s="41">
        <v>6.9</v>
      </c>
      <c r="N337" s="41">
        <v>913.53</v>
      </c>
      <c r="O337" s="41">
        <v>113.97</v>
      </c>
      <c r="P337" s="41">
        <v>25.56</v>
      </c>
      <c r="Q337" s="41">
        <v>720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720</v>
      </c>
      <c r="Y337" s="41">
        <v>54</v>
      </c>
      <c r="Z337" s="41">
        <v>0</v>
      </c>
      <c r="AA337" s="41">
        <v>0</v>
      </c>
      <c r="AB337" s="41">
        <v>1812312</v>
      </c>
      <c r="AC337" s="41">
        <v>6.9</v>
      </c>
      <c r="AD337" s="41" t="s">
        <v>433</v>
      </c>
    </row>
    <row r="338" spans="1:30" x14ac:dyDescent="0.35">
      <c r="A338" s="41">
        <v>467</v>
      </c>
      <c r="B338" s="41">
        <v>31520162</v>
      </c>
      <c r="C338" s="41">
        <v>315201624</v>
      </c>
      <c r="D338" s="41" t="s">
        <v>434</v>
      </c>
      <c r="E338" s="41" t="s">
        <v>1833</v>
      </c>
      <c r="F338" s="41">
        <v>812312</v>
      </c>
      <c r="G338" s="41" t="s">
        <v>1972</v>
      </c>
      <c r="H338" s="41">
        <v>90541</v>
      </c>
      <c r="I338" s="41" t="s">
        <v>821</v>
      </c>
      <c r="J338" s="41">
        <v>0</v>
      </c>
      <c r="K338" s="41">
        <v>0</v>
      </c>
      <c r="L338" s="41">
        <v>0</v>
      </c>
      <c r="M338" s="41">
        <v>0</v>
      </c>
      <c r="N338" s="41">
        <v>2418.8200000000002</v>
      </c>
      <c r="O338" s="41">
        <v>419.92</v>
      </c>
      <c r="P338" s="41">
        <v>63.9</v>
      </c>
      <c r="Q338" s="41">
        <v>1800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1">
        <v>1800</v>
      </c>
      <c r="Y338" s="41">
        <v>135</v>
      </c>
      <c r="Z338" s="41">
        <v>0</v>
      </c>
      <c r="AA338" s="41">
        <v>0</v>
      </c>
      <c r="AB338" s="41">
        <v>1812312</v>
      </c>
      <c r="AC338" s="41">
        <v>6.9</v>
      </c>
      <c r="AD338" s="41" t="s">
        <v>433</v>
      </c>
    </row>
    <row r="339" spans="1:30" x14ac:dyDescent="0.35">
      <c r="A339" s="41">
        <v>467</v>
      </c>
      <c r="B339" s="41">
        <v>31522773</v>
      </c>
      <c r="C339" s="41">
        <v>315227736</v>
      </c>
      <c r="D339" s="41" t="s">
        <v>442</v>
      </c>
      <c r="E339" s="41" t="s">
        <v>922</v>
      </c>
      <c r="F339" s="41">
        <v>812312</v>
      </c>
      <c r="G339" s="41" t="s">
        <v>1972</v>
      </c>
      <c r="H339" s="41">
        <v>90541</v>
      </c>
      <c r="I339" s="41" t="s">
        <v>1694</v>
      </c>
      <c r="J339" s="41">
        <v>5</v>
      </c>
      <c r="K339" s="41">
        <v>5</v>
      </c>
      <c r="L339" s="41">
        <v>0</v>
      </c>
      <c r="M339" s="41">
        <v>55.2</v>
      </c>
      <c r="N339" s="41">
        <v>4136.0600000000004</v>
      </c>
      <c r="O339" s="41">
        <v>515.61</v>
      </c>
      <c r="P339" s="41">
        <v>116.7</v>
      </c>
      <c r="Q339" s="41">
        <v>3257.2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3257.2</v>
      </c>
      <c r="Y339" s="41">
        <v>246.55</v>
      </c>
      <c r="Z339" s="41">
        <v>0</v>
      </c>
      <c r="AA339" s="41">
        <v>0</v>
      </c>
      <c r="AB339" s="41">
        <v>1812312</v>
      </c>
      <c r="AC339" s="41">
        <v>55.2</v>
      </c>
      <c r="AD339" s="41" t="s">
        <v>433</v>
      </c>
    </row>
    <row r="340" spans="1:30" x14ac:dyDescent="0.35">
      <c r="A340" s="41">
        <v>467</v>
      </c>
      <c r="B340" s="41">
        <v>31617072</v>
      </c>
      <c r="C340" s="41">
        <v>316170729</v>
      </c>
      <c r="D340" s="41" t="s">
        <v>434</v>
      </c>
      <c r="E340" s="41" t="s">
        <v>842</v>
      </c>
      <c r="F340" s="41">
        <v>812312</v>
      </c>
      <c r="G340" s="41" t="s">
        <v>1972</v>
      </c>
      <c r="H340" s="41">
        <v>90541</v>
      </c>
      <c r="I340" s="41" t="s">
        <v>821</v>
      </c>
      <c r="J340" s="41">
        <v>0</v>
      </c>
      <c r="K340" s="41">
        <v>0</v>
      </c>
      <c r="L340" s="41">
        <v>0</v>
      </c>
      <c r="M340" s="41">
        <v>0</v>
      </c>
      <c r="N340" s="41">
        <v>1453.17</v>
      </c>
      <c r="O340" s="41">
        <v>250.32</v>
      </c>
      <c r="P340" s="41">
        <v>49.38</v>
      </c>
      <c r="Q340" s="41">
        <v>1073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1073</v>
      </c>
      <c r="Y340" s="41">
        <v>80.47</v>
      </c>
      <c r="Z340" s="41">
        <v>0</v>
      </c>
      <c r="AA340" s="41">
        <v>0</v>
      </c>
      <c r="AB340" s="41">
        <v>1812312</v>
      </c>
      <c r="AC340" s="41">
        <v>55.2</v>
      </c>
      <c r="AD340" s="41" t="s">
        <v>433</v>
      </c>
    </row>
    <row r="341" spans="1:30" x14ac:dyDescent="0.35">
      <c r="A341" s="41">
        <v>467</v>
      </c>
      <c r="B341" s="41">
        <v>31645834</v>
      </c>
      <c r="C341" s="41">
        <v>316458348</v>
      </c>
      <c r="D341" s="41" t="s">
        <v>434</v>
      </c>
      <c r="E341" s="41" t="s">
        <v>830</v>
      </c>
      <c r="F341" s="41">
        <v>812312</v>
      </c>
      <c r="G341" s="41" t="s">
        <v>1972</v>
      </c>
      <c r="H341" s="41">
        <v>90541</v>
      </c>
      <c r="I341" s="41" t="s">
        <v>821</v>
      </c>
      <c r="J341" s="41">
        <v>0</v>
      </c>
      <c r="K341" s="41">
        <v>0</v>
      </c>
      <c r="L341" s="41">
        <v>0</v>
      </c>
      <c r="M341" s="41">
        <v>0</v>
      </c>
      <c r="N341" s="41">
        <v>1352.79</v>
      </c>
      <c r="O341" s="41">
        <v>233.06</v>
      </c>
      <c r="P341" s="41">
        <v>45.81</v>
      </c>
      <c r="Q341" s="41">
        <v>999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999</v>
      </c>
      <c r="Y341" s="41">
        <v>74.92</v>
      </c>
      <c r="Z341" s="41">
        <v>0</v>
      </c>
      <c r="AA341" s="41">
        <v>0</v>
      </c>
      <c r="AB341" s="41">
        <v>1812312</v>
      </c>
      <c r="AC341" s="41">
        <v>55.2</v>
      </c>
      <c r="AD341" s="41" t="s">
        <v>433</v>
      </c>
    </row>
    <row r="342" spans="1:30" x14ac:dyDescent="0.35">
      <c r="A342" s="41">
        <v>467</v>
      </c>
      <c r="B342" s="41">
        <v>32816328</v>
      </c>
      <c r="C342" s="41">
        <v>328163282</v>
      </c>
      <c r="D342" s="41" t="s">
        <v>442</v>
      </c>
      <c r="E342" s="41" t="s">
        <v>1731</v>
      </c>
      <c r="F342" s="41">
        <v>812312</v>
      </c>
      <c r="G342" s="41" t="s">
        <v>1972</v>
      </c>
      <c r="H342" s="41">
        <v>90541</v>
      </c>
      <c r="I342" s="41" t="s">
        <v>1694</v>
      </c>
      <c r="J342" s="41">
        <v>5</v>
      </c>
      <c r="K342" s="41">
        <v>5</v>
      </c>
      <c r="L342" s="41">
        <v>0</v>
      </c>
      <c r="M342" s="41">
        <v>36.9</v>
      </c>
      <c r="N342" s="41">
        <v>2429.77</v>
      </c>
      <c r="O342" s="41">
        <v>0</v>
      </c>
      <c r="P342" s="41">
        <v>77.67</v>
      </c>
      <c r="Q342" s="41">
        <v>2188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2188</v>
      </c>
      <c r="Y342" s="41">
        <v>164.1</v>
      </c>
      <c r="Z342" s="41">
        <v>0</v>
      </c>
      <c r="AA342" s="41">
        <v>0</v>
      </c>
      <c r="AB342" s="41">
        <v>1812312</v>
      </c>
      <c r="AC342" s="41">
        <v>36.9</v>
      </c>
      <c r="AD342" s="41" t="s">
        <v>433</v>
      </c>
    </row>
    <row r="343" spans="1:30" x14ac:dyDescent="0.35">
      <c r="A343" s="41">
        <v>467</v>
      </c>
      <c r="B343" s="41">
        <v>2312554</v>
      </c>
      <c r="C343" s="41">
        <v>23125545</v>
      </c>
      <c r="D343" s="41" t="s">
        <v>563</v>
      </c>
      <c r="E343" s="41" t="s">
        <v>562</v>
      </c>
      <c r="F343" s="41">
        <v>813230</v>
      </c>
      <c r="G343" s="41" t="s">
        <v>1972</v>
      </c>
      <c r="H343" s="41">
        <v>90541</v>
      </c>
      <c r="I343" s="41" t="s">
        <v>819</v>
      </c>
      <c r="J343" s="41">
        <v>5</v>
      </c>
      <c r="K343" s="41">
        <v>11</v>
      </c>
      <c r="L343" s="41">
        <v>0</v>
      </c>
      <c r="M343" s="41">
        <v>100</v>
      </c>
      <c r="N343" s="41">
        <v>16993.21</v>
      </c>
      <c r="O343" s="41">
        <v>2660.15</v>
      </c>
      <c r="P343" s="41">
        <v>674.91</v>
      </c>
      <c r="Q343" s="41">
        <v>12705.3</v>
      </c>
      <c r="R343" s="41">
        <v>0</v>
      </c>
      <c r="S343" s="41">
        <v>0</v>
      </c>
      <c r="T343" s="41">
        <v>0</v>
      </c>
      <c r="U343" s="41">
        <v>0</v>
      </c>
      <c r="V343" s="41">
        <v>48.6</v>
      </c>
      <c r="W343" s="41">
        <v>0</v>
      </c>
      <c r="X343" s="41">
        <v>12656.7</v>
      </c>
      <c r="Y343" s="41">
        <v>952.85</v>
      </c>
      <c r="Z343" s="41">
        <v>0</v>
      </c>
      <c r="AA343" s="41">
        <v>0</v>
      </c>
      <c r="AB343" s="41">
        <v>1813230</v>
      </c>
      <c r="AC343" s="41">
        <v>36.9</v>
      </c>
      <c r="AD343" s="41" t="s">
        <v>433</v>
      </c>
    </row>
    <row r="344" spans="1:30" x14ac:dyDescent="0.35">
      <c r="A344" s="41">
        <v>467</v>
      </c>
      <c r="B344" s="41">
        <v>2759563</v>
      </c>
      <c r="C344" s="41">
        <v>27595636</v>
      </c>
      <c r="D344" s="41" t="s">
        <v>506</v>
      </c>
      <c r="E344" s="41" t="s">
        <v>569</v>
      </c>
      <c r="F344" s="41">
        <v>813230</v>
      </c>
      <c r="G344" s="41" t="s">
        <v>1972</v>
      </c>
      <c r="H344" s="41">
        <v>90541</v>
      </c>
      <c r="I344" s="41" t="s">
        <v>821</v>
      </c>
      <c r="J344" s="41">
        <v>0</v>
      </c>
      <c r="K344" s="41">
        <v>0</v>
      </c>
      <c r="L344" s="41">
        <v>0</v>
      </c>
      <c r="M344" s="41">
        <v>0</v>
      </c>
      <c r="N344" s="41">
        <v>-3452.88</v>
      </c>
      <c r="O344" s="41">
        <v>-591.52</v>
      </c>
      <c r="P344" s="41">
        <v>-90.45</v>
      </c>
      <c r="Q344" s="41">
        <v>-2579.77</v>
      </c>
      <c r="R344" s="41">
        <v>0</v>
      </c>
      <c r="S344" s="41">
        <v>0</v>
      </c>
      <c r="T344" s="41">
        <v>0</v>
      </c>
      <c r="U344" s="41">
        <v>0</v>
      </c>
      <c r="V344" s="41">
        <v>312</v>
      </c>
      <c r="W344" s="41">
        <v>0</v>
      </c>
      <c r="X344" s="41">
        <v>-2891.77</v>
      </c>
      <c r="Y344" s="41">
        <v>-191.14</v>
      </c>
      <c r="Z344" s="41">
        <v>0</v>
      </c>
      <c r="AA344" s="41">
        <v>0</v>
      </c>
      <c r="AB344" s="41">
        <v>1813230</v>
      </c>
      <c r="AC344" s="41">
        <v>36.9</v>
      </c>
      <c r="AD344" s="41" t="s">
        <v>433</v>
      </c>
    </row>
    <row r="345" spans="1:30" x14ac:dyDescent="0.35">
      <c r="A345" s="41">
        <v>467</v>
      </c>
      <c r="B345" s="41">
        <v>2979093</v>
      </c>
      <c r="C345" s="41">
        <v>29790938</v>
      </c>
      <c r="D345" s="41" t="s">
        <v>434</v>
      </c>
      <c r="E345" s="41" t="s">
        <v>568</v>
      </c>
      <c r="F345" s="41">
        <v>813230</v>
      </c>
      <c r="G345" s="41" t="s">
        <v>1972</v>
      </c>
      <c r="H345" s="41">
        <v>90541</v>
      </c>
      <c r="I345" s="41" t="s">
        <v>819</v>
      </c>
      <c r="J345" s="41">
        <v>49</v>
      </c>
      <c r="K345" s="41">
        <v>2</v>
      </c>
      <c r="L345" s="41">
        <v>3</v>
      </c>
      <c r="M345" s="41">
        <v>90</v>
      </c>
      <c r="N345" s="41">
        <v>13731.81</v>
      </c>
      <c r="O345" s="41">
        <v>2290.96</v>
      </c>
      <c r="P345" s="41">
        <v>472.88</v>
      </c>
      <c r="Q345" s="41">
        <v>10200.67</v>
      </c>
      <c r="R345" s="41">
        <v>0</v>
      </c>
      <c r="S345" s="41">
        <v>0</v>
      </c>
      <c r="T345" s="41">
        <v>0</v>
      </c>
      <c r="U345" s="41">
        <v>0</v>
      </c>
      <c r="V345" s="41">
        <v>180.74</v>
      </c>
      <c r="W345" s="41">
        <v>200</v>
      </c>
      <c r="X345" s="41">
        <v>9819.93</v>
      </c>
      <c r="Y345" s="41">
        <v>767.3</v>
      </c>
      <c r="Z345" s="41">
        <v>0</v>
      </c>
      <c r="AA345" s="41">
        <v>0</v>
      </c>
      <c r="AB345" s="41">
        <v>1813230</v>
      </c>
      <c r="AC345" s="41">
        <v>36.9</v>
      </c>
      <c r="AD345" s="41" t="s">
        <v>433</v>
      </c>
    </row>
    <row r="346" spans="1:30" x14ac:dyDescent="0.35">
      <c r="A346" s="41">
        <v>467</v>
      </c>
      <c r="B346" s="41">
        <v>3159568</v>
      </c>
      <c r="C346" s="41">
        <v>31595689</v>
      </c>
      <c r="D346" s="41" t="s">
        <v>434</v>
      </c>
      <c r="E346" s="41" t="s">
        <v>567</v>
      </c>
      <c r="F346" s="41">
        <v>813230</v>
      </c>
      <c r="G346" s="41" t="s">
        <v>1972</v>
      </c>
      <c r="H346" s="41">
        <v>90541</v>
      </c>
      <c r="I346" s="41" t="s">
        <v>821</v>
      </c>
      <c r="J346" s="41">
        <v>0</v>
      </c>
      <c r="K346" s="41">
        <v>0</v>
      </c>
      <c r="L346" s="41">
        <v>0</v>
      </c>
      <c r="M346" s="41">
        <v>0</v>
      </c>
      <c r="N346" s="41">
        <v>749.86</v>
      </c>
      <c r="O346" s="41">
        <v>101.87</v>
      </c>
      <c r="P346" s="41">
        <v>29.37</v>
      </c>
      <c r="Q346" s="41">
        <v>573.36</v>
      </c>
      <c r="R346" s="41">
        <v>0</v>
      </c>
      <c r="S346" s="41">
        <v>0</v>
      </c>
      <c r="T346" s="41">
        <v>0</v>
      </c>
      <c r="U346" s="41">
        <v>0</v>
      </c>
      <c r="V346" s="41">
        <v>137</v>
      </c>
      <c r="W346" s="41">
        <v>0</v>
      </c>
      <c r="X346" s="41">
        <v>436.36</v>
      </c>
      <c r="Y346" s="41">
        <v>45.26</v>
      </c>
      <c r="Z346" s="41">
        <v>0</v>
      </c>
      <c r="AA346" s="41">
        <v>0</v>
      </c>
      <c r="AB346" s="41">
        <v>1813230</v>
      </c>
      <c r="AC346" s="41">
        <v>36.9</v>
      </c>
      <c r="AD346" s="41" t="s">
        <v>433</v>
      </c>
    </row>
    <row r="347" spans="1:30" x14ac:dyDescent="0.35">
      <c r="A347" s="41">
        <v>467</v>
      </c>
      <c r="B347" s="41">
        <v>3726403</v>
      </c>
      <c r="C347" s="41">
        <v>37264033</v>
      </c>
      <c r="D347" s="41" t="s">
        <v>434</v>
      </c>
      <c r="E347" s="41" t="s">
        <v>554</v>
      </c>
      <c r="F347" s="41">
        <v>813230</v>
      </c>
      <c r="G347" s="41" t="s">
        <v>1972</v>
      </c>
      <c r="H347" s="41">
        <v>90541</v>
      </c>
      <c r="I347" s="41" t="s">
        <v>819</v>
      </c>
      <c r="J347" s="41">
        <v>49</v>
      </c>
      <c r="K347" s="41">
        <v>2</v>
      </c>
      <c r="L347" s="41">
        <v>3</v>
      </c>
      <c r="M347" s="41">
        <v>80</v>
      </c>
      <c r="N347" s="41">
        <v>10051.14</v>
      </c>
      <c r="O347" s="41">
        <v>1679.7</v>
      </c>
      <c r="P347" s="41">
        <v>287.77999999999997</v>
      </c>
      <c r="Q347" s="41">
        <v>7519.68</v>
      </c>
      <c r="R347" s="41">
        <v>280.8</v>
      </c>
      <c r="S347" s="41">
        <v>0</v>
      </c>
      <c r="T347" s="41">
        <v>0</v>
      </c>
      <c r="U347" s="41">
        <v>0</v>
      </c>
      <c r="V347" s="41">
        <v>38.880000000000003</v>
      </c>
      <c r="W347" s="41">
        <v>0</v>
      </c>
      <c r="X347" s="41">
        <v>7200</v>
      </c>
      <c r="Y347" s="41">
        <v>563.98</v>
      </c>
      <c r="Z347" s="41">
        <v>0</v>
      </c>
      <c r="AA347" s="41">
        <v>0</v>
      </c>
      <c r="AB347" s="41">
        <v>1813230</v>
      </c>
      <c r="AC347" s="41">
        <v>36.9</v>
      </c>
      <c r="AD347" s="41" t="s">
        <v>433</v>
      </c>
    </row>
    <row r="348" spans="1:30" x14ac:dyDescent="0.35">
      <c r="A348" s="41">
        <v>467</v>
      </c>
      <c r="B348" s="41">
        <v>3800085</v>
      </c>
      <c r="C348" s="41">
        <v>38000857</v>
      </c>
      <c r="D348" s="41" t="s">
        <v>434</v>
      </c>
      <c r="E348" s="41" t="s">
        <v>1841</v>
      </c>
      <c r="F348" s="41">
        <v>813230</v>
      </c>
      <c r="G348" s="41" t="s">
        <v>1972</v>
      </c>
      <c r="H348" s="41">
        <v>90541</v>
      </c>
      <c r="I348" s="41" t="s">
        <v>1694</v>
      </c>
      <c r="J348" s="41">
        <v>0</v>
      </c>
      <c r="K348" s="41">
        <v>0</v>
      </c>
      <c r="L348" s="41">
        <v>0</v>
      </c>
      <c r="M348" s="41">
        <v>64.3</v>
      </c>
      <c r="N348" s="41">
        <v>5102.25</v>
      </c>
      <c r="O348" s="41">
        <v>885.23</v>
      </c>
      <c r="P348" s="41">
        <v>135.77000000000001</v>
      </c>
      <c r="Q348" s="41">
        <v>3794.4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3794.4</v>
      </c>
      <c r="Y348" s="41">
        <v>286.85000000000002</v>
      </c>
      <c r="Z348" s="41">
        <v>0</v>
      </c>
      <c r="AA348" s="41">
        <v>0</v>
      </c>
      <c r="AB348" s="41">
        <v>1813230</v>
      </c>
      <c r="AC348" s="41">
        <v>64.3</v>
      </c>
      <c r="AD348" s="41" t="s">
        <v>433</v>
      </c>
    </row>
    <row r="349" spans="1:30" x14ac:dyDescent="0.35">
      <c r="A349" s="41">
        <v>467</v>
      </c>
      <c r="B349" s="41">
        <v>4080964</v>
      </c>
      <c r="C349" s="41">
        <v>40809642</v>
      </c>
      <c r="D349" s="41" t="s">
        <v>925</v>
      </c>
      <c r="E349" s="41" t="s">
        <v>566</v>
      </c>
      <c r="F349" s="41">
        <v>813230</v>
      </c>
      <c r="G349" s="41" t="s">
        <v>1972</v>
      </c>
      <c r="H349" s="41">
        <v>90541</v>
      </c>
      <c r="I349" s="41" t="s">
        <v>819</v>
      </c>
      <c r="J349" s="41">
        <v>49</v>
      </c>
      <c r="K349" s="41">
        <v>2</v>
      </c>
      <c r="L349" s="41">
        <v>3</v>
      </c>
      <c r="M349" s="41">
        <v>80</v>
      </c>
      <c r="N349" s="41">
        <v>11233.17</v>
      </c>
      <c r="O349" s="41">
        <v>1909.63</v>
      </c>
      <c r="P349" s="41">
        <v>333.07</v>
      </c>
      <c r="Q349" s="41">
        <v>8361.1200000000008</v>
      </c>
      <c r="R349" s="41">
        <v>0</v>
      </c>
      <c r="S349" s="41">
        <v>0</v>
      </c>
      <c r="T349" s="41">
        <v>0</v>
      </c>
      <c r="U349" s="41">
        <v>0</v>
      </c>
      <c r="V349" s="41">
        <v>175.88</v>
      </c>
      <c r="W349" s="41">
        <v>0</v>
      </c>
      <c r="X349" s="41">
        <v>8185.24</v>
      </c>
      <c r="Y349" s="41">
        <v>629.35</v>
      </c>
      <c r="Z349" s="41">
        <v>0</v>
      </c>
      <c r="AA349" s="41">
        <v>0</v>
      </c>
      <c r="AB349" s="41">
        <v>1813230</v>
      </c>
      <c r="AC349" s="41">
        <v>64.3</v>
      </c>
      <c r="AD349" s="41" t="s">
        <v>433</v>
      </c>
    </row>
    <row r="350" spans="1:30" x14ac:dyDescent="0.35">
      <c r="A350" s="41">
        <v>467</v>
      </c>
      <c r="B350" s="41">
        <v>5947892</v>
      </c>
      <c r="C350" s="41">
        <v>59478925</v>
      </c>
      <c r="D350" s="41" t="s">
        <v>565</v>
      </c>
      <c r="E350" s="41" t="s">
        <v>564</v>
      </c>
      <c r="F350" s="41">
        <v>813230</v>
      </c>
      <c r="G350" s="41" t="s">
        <v>1972</v>
      </c>
      <c r="H350" s="41">
        <v>90541</v>
      </c>
      <c r="I350" s="41" t="s">
        <v>819</v>
      </c>
      <c r="J350" s="41">
        <v>5</v>
      </c>
      <c r="K350" s="41">
        <v>7</v>
      </c>
      <c r="L350" s="41">
        <v>0</v>
      </c>
      <c r="M350" s="41">
        <v>100</v>
      </c>
      <c r="N350" s="41">
        <v>15855.53</v>
      </c>
      <c r="O350" s="41">
        <v>1933.13</v>
      </c>
      <c r="P350" s="41">
        <v>636.74</v>
      </c>
      <c r="Q350" s="41">
        <v>12356.66</v>
      </c>
      <c r="R350" s="41">
        <v>0</v>
      </c>
      <c r="S350" s="41">
        <v>0</v>
      </c>
      <c r="T350" s="41">
        <v>0</v>
      </c>
      <c r="U350" s="41">
        <v>0</v>
      </c>
      <c r="V350" s="41">
        <v>185.6</v>
      </c>
      <c r="W350" s="41">
        <v>3884.95</v>
      </c>
      <c r="X350" s="41">
        <v>8286.11</v>
      </c>
      <c r="Y350" s="41">
        <v>929</v>
      </c>
      <c r="Z350" s="41">
        <v>0</v>
      </c>
      <c r="AA350" s="41">
        <v>0</v>
      </c>
      <c r="AB350" s="41">
        <v>1813230</v>
      </c>
      <c r="AC350" s="41">
        <v>64.3</v>
      </c>
      <c r="AD350" s="41" t="s">
        <v>433</v>
      </c>
    </row>
    <row r="351" spans="1:30" x14ac:dyDescent="0.35">
      <c r="A351" s="41">
        <v>467</v>
      </c>
      <c r="B351" s="41">
        <v>6046395</v>
      </c>
      <c r="C351" s="41">
        <v>60463957</v>
      </c>
      <c r="D351" s="41" t="s">
        <v>442</v>
      </c>
      <c r="E351" s="41" t="s">
        <v>441</v>
      </c>
      <c r="F351" s="41">
        <v>813230</v>
      </c>
      <c r="G351" s="41" t="s">
        <v>1972</v>
      </c>
      <c r="H351" s="41">
        <v>90541</v>
      </c>
      <c r="I351" s="41" t="s">
        <v>821</v>
      </c>
      <c r="J351" s="41">
        <v>0</v>
      </c>
      <c r="K351" s="41">
        <v>0</v>
      </c>
      <c r="L351" s="41">
        <v>0</v>
      </c>
      <c r="M351" s="41">
        <v>0</v>
      </c>
      <c r="N351" s="41">
        <v>968.85</v>
      </c>
      <c r="O351" s="41">
        <v>235.01</v>
      </c>
      <c r="P351" s="41">
        <v>27.02</v>
      </c>
      <c r="Q351" s="41">
        <v>655.39</v>
      </c>
      <c r="R351" s="41">
        <v>0</v>
      </c>
      <c r="S351" s="41">
        <v>0</v>
      </c>
      <c r="T351" s="41">
        <v>0</v>
      </c>
      <c r="U351" s="41">
        <v>0</v>
      </c>
      <c r="V351" s="41">
        <v>137</v>
      </c>
      <c r="W351" s="41">
        <v>0</v>
      </c>
      <c r="X351" s="41">
        <v>518.39</v>
      </c>
      <c r="Y351" s="41">
        <v>51.43</v>
      </c>
      <c r="Z351" s="41">
        <v>0</v>
      </c>
      <c r="AA351" s="41">
        <v>0</v>
      </c>
      <c r="AB351" s="41">
        <v>1813230</v>
      </c>
      <c r="AC351" s="41">
        <v>64.3</v>
      </c>
      <c r="AD351" s="41" t="s">
        <v>433</v>
      </c>
    </row>
    <row r="352" spans="1:30" x14ac:dyDescent="0.35">
      <c r="A352" s="41">
        <v>467</v>
      </c>
      <c r="B352" s="41">
        <v>20688558</v>
      </c>
      <c r="C352" s="41">
        <v>206885584</v>
      </c>
      <c r="D352" s="41" t="s">
        <v>434</v>
      </c>
      <c r="E352" s="41" t="s">
        <v>887</v>
      </c>
      <c r="F352" s="41">
        <v>813251</v>
      </c>
      <c r="G352" s="41" t="s">
        <v>1972</v>
      </c>
      <c r="H352" s="41">
        <v>90541</v>
      </c>
      <c r="I352" s="41" t="s">
        <v>1694</v>
      </c>
      <c r="J352" s="41">
        <v>5</v>
      </c>
      <c r="K352" s="41">
        <v>5</v>
      </c>
      <c r="L352" s="41">
        <v>0</v>
      </c>
      <c r="M352" s="41">
        <v>62.3</v>
      </c>
      <c r="N352" s="41">
        <v>3278.57</v>
      </c>
      <c r="O352" s="41">
        <v>409.04</v>
      </c>
      <c r="P352" s="41">
        <v>91.73</v>
      </c>
      <c r="Q352" s="41">
        <v>2584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2584</v>
      </c>
      <c r="Y352" s="41">
        <v>193.8</v>
      </c>
      <c r="Z352" s="41">
        <v>0</v>
      </c>
      <c r="AA352" s="41">
        <v>0</v>
      </c>
      <c r="AB352" s="41">
        <v>1813251</v>
      </c>
      <c r="AC352" s="41">
        <v>62.3</v>
      </c>
      <c r="AD352" s="41" t="s">
        <v>433</v>
      </c>
    </row>
    <row r="353" spans="1:30" x14ac:dyDescent="0.35">
      <c r="A353" s="41">
        <v>467</v>
      </c>
      <c r="B353" s="41">
        <v>20751323</v>
      </c>
      <c r="C353" s="41">
        <v>207513235</v>
      </c>
      <c r="D353" s="41" t="s">
        <v>434</v>
      </c>
      <c r="E353" s="41" t="s">
        <v>1842</v>
      </c>
      <c r="F353" s="41">
        <v>813251</v>
      </c>
      <c r="G353" s="41" t="s">
        <v>1972</v>
      </c>
      <c r="H353" s="41">
        <v>90541</v>
      </c>
      <c r="I353" s="41" t="s">
        <v>1694</v>
      </c>
      <c r="J353" s="41">
        <v>5</v>
      </c>
      <c r="K353" s="41">
        <v>5</v>
      </c>
      <c r="L353" s="41">
        <v>0</v>
      </c>
      <c r="M353" s="41">
        <v>115.3</v>
      </c>
      <c r="N353" s="41">
        <v>7554.72</v>
      </c>
      <c r="O353" s="41">
        <v>0</v>
      </c>
      <c r="P353" s="41">
        <v>242.47</v>
      </c>
      <c r="Q353" s="41">
        <v>6800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6800</v>
      </c>
      <c r="Y353" s="41">
        <v>512.25</v>
      </c>
      <c r="Z353" s="41">
        <v>0</v>
      </c>
      <c r="AA353" s="41">
        <v>0</v>
      </c>
      <c r="AB353" s="41">
        <v>1813251</v>
      </c>
      <c r="AC353" s="41">
        <v>115.3</v>
      </c>
      <c r="AD353" s="41" t="s">
        <v>433</v>
      </c>
    </row>
    <row r="354" spans="1:30" x14ac:dyDescent="0.35">
      <c r="A354" s="41">
        <v>467</v>
      </c>
      <c r="B354" s="41">
        <v>2155753</v>
      </c>
      <c r="C354" s="41">
        <v>21557533</v>
      </c>
      <c r="D354" s="41" t="s">
        <v>1747</v>
      </c>
      <c r="E354" s="41" t="s">
        <v>443</v>
      </c>
      <c r="F354" s="41">
        <v>815220</v>
      </c>
      <c r="G354" s="41" t="s">
        <v>1972</v>
      </c>
      <c r="H354" s="41">
        <v>90541</v>
      </c>
      <c r="I354" s="41" t="s">
        <v>821</v>
      </c>
      <c r="J354" s="41">
        <v>0</v>
      </c>
      <c r="K354" s="41">
        <v>0</v>
      </c>
      <c r="L354" s="41">
        <v>0</v>
      </c>
      <c r="M354" s="41">
        <v>0</v>
      </c>
      <c r="N354" s="41">
        <v>4286.34</v>
      </c>
      <c r="O354" s="41">
        <v>530.27</v>
      </c>
      <c r="P354" s="41">
        <v>155.05000000000001</v>
      </c>
      <c r="Q354" s="41">
        <v>3349.8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3349.8</v>
      </c>
      <c r="Y354" s="41">
        <v>251.22</v>
      </c>
      <c r="Z354" s="41">
        <v>0</v>
      </c>
      <c r="AA354" s="41">
        <v>0</v>
      </c>
      <c r="AB354" s="41">
        <v>1815220</v>
      </c>
      <c r="AC354" s="41">
        <v>115.3</v>
      </c>
      <c r="AD354" s="41" t="s">
        <v>433</v>
      </c>
    </row>
    <row r="355" spans="1:30" x14ac:dyDescent="0.35">
      <c r="A355" s="41">
        <v>467</v>
      </c>
      <c r="B355" s="41">
        <v>4093226</v>
      </c>
      <c r="C355" s="41">
        <v>40932261</v>
      </c>
      <c r="D355" s="41" t="s">
        <v>1754</v>
      </c>
      <c r="E355" s="41" t="s">
        <v>1755</v>
      </c>
      <c r="F355" s="41">
        <v>815220</v>
      </c>
      <c r="G355" s="41" t="s">
        <v>1972</v>
      </c>
      <c r="H355" s="41">
        <v>90541</v>
      </c>
      <c r="I355" s="41" t="s">
        <v>821</v>
      </c>
      <c r="J355" s="41">
        <v>0</v>
      </c>
      <c r="K355" s="41">
        <v>0</v>
      </c>
      <c r="L355" s="41">
        <v>0</v>
      </c>
      <c r="M355" s="41">
        <v>0</v>
      </c>
      <c r="N355" s="41">
        <v>4306.47</v>
      </c>
      <c r="O355" s="41">
        <v>765.85</v>
      </c>
      <c r="P355" s="41">
        <v>142.77000000000001</v>
      </c>
      <c r="Q355" s="41">
        <v>3160.8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3160.8</v>
      </c>
      <c r="Y355" s="41">
        <v>237.05</v>
      </c>
      <c r="Z355" s="41">
        <v>0</v>
      </c>
      <c r="AA355" s="41">
        <v>0</v>
      </c>
      <c r="AB355" s="41">
        <v>1815220</v>
      </c>
      <c r="AC355" s="41">
        <v>115.3</v>
      </c>
      <c r="AD355" s="41" t="s">
        <v>433</v>
      </c>
    </row>
    <row r="356" spans="1:30" x14ac:dyDescent="0.35">
      <c r="A356" s="41">
        <v>467</v>
      </c>
      <c r="B356" s="41">
        <v>6605595</v>
      </c>
      <c r="C356" s="41">
        <v>66055955</v>
      </c>
      <c r="D356" s="41" t="s">
        <v>866</v>
      </c>
      <c r="E356" s="41" t="s">
        <v>867</v>
      </c>
      <c r="F356" s="41">
        <v>815220</v>
      </c>
      <c r="G356" s="41" t="s">
        <v>1972</v>
      </c>
      <c r="H356" s="41">
        <v>90541</v>
      </c>
      <c r="I356" s="41" t="s">
        <v>821</v>
      </c>
      <c r="J356" s="41">
        <v>0</v>
      </c>
      <c r="K356" s="41">
        <v>0</v>
      </c>
      <c r="L356" s="41">
        <v>0</v>
      </c>
      <c r="M356" s="41">
        <v>0</v>
      </c>
      <c r="N356" s="41">
        <v>2157.7800000000002</v>
      </c>
      <c r="O356" s="41">
        <v>379.29</v>
      </c>
      <c r="P356" s="41">
        <v>92.64</v>
      </c>
      <c r="Q356" s="41">
        <v>1565.4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1565.4</v>
      </c>
      <c r="Y356" s="41">
        <v>117.4</v>
      </c>
      <c r="Z356" s="41">
        <v>0</v>
      </c>
      <c r="AA356" s="41">
        <v>3.05</v>
      </c>
      <c r="AB356" s="41">
        <v>1815220</v>
      </c>
      <c r="AC356" s="41">
        <v>115.3</v>
      </c>
      <c r="AD356" s="41" t="s">
        <v>433</v>
      </c>
    </row>
    <row r="357" spans="1:30" x14ac:dyDescent="0.35">
      <c r="A357" s="41">
        <v>467</v>
      </c>
      <c r="B357" s="41">
        <v>30026960</v>
      </c>
      <c r="C357" s="41">
        <v>300269602</v>
      </c>
      <c r="D357" s="41" t="s">
        <v>499</v>
      </c>
      <c r="E357" s="41" t="s">
        <v>884</v>
      </c>
      <c r="F357" s="41">
        <v>815220</v>
      </c>
      <c r="G357" s="41" t="s">
        <v>1972</v>
      </c>
      <c r="H357" s="41">
        <v>90541</v>
      </c>
      <c r="I357" s="41" t="s">
        <v>821</v>
      </c>
      <c r="J357" s="41">
        <v>0</v>
      </c>
      <c r="K357" s="41">
        <v>0</v>
      </c>
      <c r="L357" s="41">
        <v>0</v>
      </c>
      <c r="M357" s="41">
        <v>0</v>
      </c>
      <c r="N357" s="41">
        <v>1441.28</v>
      </c>
      <c r="O357" s="41">
        <v>253.19</v>
      </c>
      <c r="P357" s="41">
        <v>62.73</v>
      </c>
      <c r="Q357" s="41">
        <v>1045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1045</v>
      </c>
      <c r="Y357" s="41">
        <v>78.37</v>
      </c>
      <c r="Z357" s="41">
        <v>0</v>
      </c>
      <c r="AA357" s="41">
        <v>1.99</v>
      </c>
      <c r="AB357" s="41">
        <v>1815220</v>
      </c>
      <c r="AC357" s="41">
        <v>115.3</v>
      </c>
      <c r="AD357" s="41" t="s">
        <v>433</v>
      </c>
    </row>
    <row r="358" spans="1:30" x14ac:dyDescent="0.35">
      <c r="A358" s="41">
        <v>467</v>
      </c>
      <c r="B358" s="41">
        <v>30264991</v>
      </c>
      <c r="C358" s="41">
        <v>302649918</v>
      </c>
      <c r="D358" s="41" t="s">
        <v>442</v>
      </c>
      <c r="E358" s="41" t="s">
        <v>500</v>
      </c>
      <c r="F358" s="41">
        <v>815220</v>
      </c>
      <c r="G358" s="41" t="s">
        <v>1972</v>
      </c>
      <c r="H358" s="41">
        <v>90541</v>
      </c>
      <c r="I358" s="41" t="s">
        <v>821</v>
      </c>
      <c r="J358" s="41">
        <v>0</v>
      </c>
      <c r="K358" s="41">
        <v>0</v>
      </c>
      <c r="L358" s="41">
        <v>0</v>
      </c>
      <c r="M358" s="41">
        <v>0</v>
      </c>
      <c r="N358" s="41">
        <v>1703.1</v>
      </c>
      <c r="O358" s="41">
        <v>299.18</v>
      </c>
      <c r="P358" s="41">
        <v>74.44</v>
      </c>
      <c r="Q358" s="41">
        <v>1234.8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1234.8</v>
      </c>
      <c r="Y358" s="41">
        <v>92.61</v>
      </c>
      <c r="Z358" s="41">
        <v>0</v>
      </c>
      <c r="AA358" s="41">
        <v>2.0699999999999998</v>
      </c>
      <c r="AB358" s="41">
        <v>1815220</v>
      </c>
      <c r="AC358" s="41">
        <v>115.3</v>
      </c>
      <c r="AD358" s="41" t="s">
        <v>433</v>
      </c>
    </row>
    <row r="359" spans="1:30" x14ac:dyDescent="0.35">
      <c r="A359" s="41">
        <v>467</v>
      </c>
      <c r="B359" s="41">
        <v>4170363</v>
      </c>
      <c r="C359" s="41">
        <v>41703638</v>
      </c>
      <c r="D359" s="41" t="s">
        <v>448</v>
      </c>
      <c r="E359" s="41" t="s">
        <v>580</v>
      </c>
      <c r="F359" s="41">
        <v>817600</v>
      </c>
      <c r="G359" s="41" t="s">
        <v>1972</v>
      </c>
      <c r="H359" s="41">
        <v>90541</v>
      </c>
      <c r="I359" s="41" t="s">
        <v>819</v>
      </c>
      <c r="J359" s="41">
        <v>3</v>
      </c>
      <c r="K359" s="41">
        <v>1</v>
      </c>
      <c r="L359" s="41">
        <v>0</v>
      </c>
      <c r="M359" s="41">
        <v>50</v>
      </c>
      <c r="N359" s="41">
        <v>6741.29</v>
      </c>
      <c r="O359" s="41">
        <v>1011.59</v>
      </c>
      <c r="P359" s="41">
        <v>207.7</v>
      </c>
      <c r="Q359" s="41">
        <v>5134.71</v>
      </c>
      <c r="R359" s="41">
        <v>0</v>
      </c>
      <c r="S359" s="41">
        <v>0</v>
      </c>
      <c r="T359" s="41">
        <v>0</v>
      </c>
      <c r="U359" s="41">
        <v>650.08000000000004</v>
      </c>
      <c r="V359" s="41">
        <v>149.15</v>
      </c>
      <c r="W359" s="41">
        <v>0</v>
      </c>
      <c r="X359" s="41">
        <v>4335.4799999999996</v>
      </c>
      <c r="Y359" s="41">
        <v>387.29</v>
      </c>
      <c r="Z359" s="41">
        <v>0</v>
      </c>
      <c r="AA359" s="41">
        <v>0</v>
      </c>
      <c r="AB359" s="41">
        <v>1817600</v>
      </c>
      <c r="AC359" s="41">
        <v>115.3</v>
      </c>
      <c r="AD359" s="41" t="s">
        <v>433</v>
      </c>
    </row>
    <row r="360" spans="1:30" x14ac:dyDescent="0.35">
      <c r="A360" s="41">
        <v>467</v>
      </c>
      <c r="B360" s="41">
        <v>4170363</v>
      </c>
      <c r="C360" s="41">
        <v>41703638</v>
      </c>
      <c r="D360" s="41" t="s">
        <v>448</v>
      </c>
      <c r="E360" s="41" t="s">
        <v>580</v>
      </c>
      <c r="F360" s="41">
        <v>817602</v>
      </c>
      <c r="G360" s="41" t="s">
        <v>1972</v>
      </c>
      <c r="H360" s="41">
        <v>90541</v>
      </c>
      <c r="I360" s="41" t="s">
        <v>819</v>
      </c>
      <c r="J360" s="41">
        <v>3</v>
      </c>
      <c r="K360" s="41">
        <v>1</v>
      </c>
      <c r="L360" s="41">
        <v>0</v>
      </c>
      <c r="M360" s="41">
        <v>33</v>
      </c>
      <c r="N360" s="41">
        <v>4476.17</v>
      </c>
      <c r="O360" s="41">
        <v>737.19</v>
      </c>
      <c r="P360" s="41">
        <v>134.97</v>
      </c>
      <c r="Q360" s="41">
        <v>3352.5</v>
      </c>
      <c r="R360" s="41">
        <v>0</v>
      </c>
      <c r="S360" s="41">
        <v>0</v>
      </c>
      <c r="T360" s="41">
        <v>0</v>
      </c>
      <c r="U360" s="41">
        <v>184.08</v>
      </c>
      <c r="V360" s="41">
        <v>8.02</v>
      </c>
      <c r="W360" s="41">
        <v>0</v>
      </c>
      <c r="X360" s="41">
        <v>3160.4</v>
      </c>
      <c r="Y360" s="41">
        <v>251.51</v>
      </c>
      <c r="Z360" s="41">
        <v>0</v>
      </c>
      <c r="AA360" s="41">
        <v>0</v>
      </c>
      <c r="AB360" s="41">
        <v>1817602</v>
      </c>
      <c r="AC360" s="41">
        <v>115.3</v>
      </c>
      <c r="AD360" s="41" t="s">
        <v>433</v>
      </c>
    </row>
    <row r="361" spans="1:30" x14ac:dyDescent="0.35">
      <c r="A361" s="41">
        <v>467</v>
      </c>
      <c r="B361" s="41">
        <v>20807668</v>
      </c>
      <c r="C361" s="41">
        <v>208076687</v>
      </c>
      <c r="D361" s="41" t="s">
        <v>434</v>
      </c>
      <c r="E361" s="41" t="s">
        <v>872</v>
      </c>
      <c r="F361" s="41">
        <v>817602</v>
      </c>
      <c r="G361" s="41" t="s">
        <v>1972</v>
      </c>
      <c r="H361" s="41">
        <v>90541</v>
      </c>
      <c r="I361" s="41" t="s">
        <v>1694</v>
      </c>
      <c r="J361" s="41">
        <v>5</v>
      </c>
      <c r="K361" s="41">
        <v>5</v>
      </c>
      <c r="L361" s="41">
        <v>0</v>
      </c>
      <c r="M361" s="41">
        <v>21.9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1817602</v>
      </c>
      <c r="AC361" s="41">
        <v>21.9</v>
      </c>
      <c r="AD361" s="41" t="s">
        <v>433</v>
      </c>
    </row>
    <row r="362" spans="1:30" x14ac:dyDescent="0.35">
      <c r="A362" s="41">
        <v>467</v>
      </c>
      <c r="B362" s="41">
        <v>30843594</v>
      </c>
      <c r="C362" s="41">
        <v>308435940</v>
      </c>
      <c r="D362" s="41" t="s">
        <v>1872</v>
      </c>
      <c r="E362" s="41" t="s">
        <v>1873</v>
      </c>
      <c r="F362" s="41">
        <v>817602</v>
      </c>
      <c r="G362" s="41" t="s">
        <v>1972</v>
      </c>
      <c r="H362" s="41">
        <v>90541</v>
      </c>
      <c r="I362" s="41" t="s">
        <v>821</v>
      </c>
      <c r="J362" s="41">
        <v>0</v>
      </c>
      <c r="K362" s="41">
        <v>0</v>
      </c>
      <c r="L362" s="41">
        <v>0</v>
      </c>
      <c r="M362" s="41">
        <v>0</v>
      </c>
      <c r="N362" s="41">
        <v>2021.11</v>
      </c>
      <c r="O362" s="41">
        <v>0</v>
      </c>
      <c r="P362" s="41">
        <v>64.61</v>
      </c>
      <c r="Q362" s="41">
        <v>1820</v>
      </c>
      <c r="R362" s="41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41">
        <v>1820</v>
      </c>
      <c r="Y362" s="41">
        <v>136.5</v>
      </c>
      <c r="Z362" s="41">
        <v>0</v>
      </c>
      <c r="AA362" s="41">
        <v>0</v>
      </c>
      <c r="AB362" s="41">
        <v>1817602</v>
      </c>
      <c r="AC362" s="41">
        <v>21.9</v>
      </c>
      <c r="AD362" s="41" t="s">
        <v>433</v>
      </c>
    </row>
    <row r="363" spans="1:30" x14ac:dyDescent="0.35">
      <c r="A363" s="41">
        <v>467</v>
      </c>
      <c r="B363" s="41">
        <v>20621340</v>
      </c>
      <c r="C363" s="41">
        <v>206213407</v>
      </c>
      <c r="D363" s="41" t="s">
        <v>538</v>
      </c>
      <c r="E363" s="41" t="s">
        <v>1849</v>
      </c>
      <c r="F363" s="41">
        <v>817610</v>
      </c>
      <c r="G363" s="41" t="s">
        <v>1972</v>
      </c>
      <c r="H363" s="41">
        <v>90541</v>
      </c>
      <c r="I363" s="41" t="s">
        <v>1694</v>
      </c>
      <c r="J363" s="41">
        <v>5</v>
      </c>
      <c r="K363" s="41">
        <v>5</v>
      </c>
      <c r="L363" s="41">
        <v>0</v>
      </c>
      <c r="M363" s="41">
        <v>39.200000000000003</v>
      </c>
      <c r="N363" s="41">
        <v>4890.47</v>
      </c>
      <c r="O363" s="41">
        <v>1009.16</v>
      </c>
      <c r="P363" s="41">
        <v>226.31</v>
      </c>
      <c r="Q363" s="41">
        <v>3400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  <c r="X363" s="41">
        <v>3400</v>
      </c>
      <c r="Y363" s="41">
        <v>255</v>
      </c>
      <c r="Z363" s="41">
        <v>0</v>
      </c>
      <c r="AA363" s="41">
        <v>0</v>
      </c>
      <c r="AB363" s="41">
        <v>1817610</v>
      </c>
      <c r="AC363" s="41">
        <v>39.200000000000003</v>
      </c>
      <c r="AD363" s="41" t="s">
        <v>433</v>
      </c>
    </row>
    <row r="364" spans="1:30" x14ac:dyDescent="0.35">
      <c r="A364" s="41">
        <v>467</v>
      </c>
      <c r="B364" s="41">
        <v>20715477</v>
      </c>
      <c r="C364" s="41">
        <v>207154774</v>
      </c>
      <c r="D364" s="41" t="s">
        <v>434</v>
      </c>
      <c r="E364" s="41" t="s">
        <v>550</v>
      </c>
      <c r="F364" s="41">
        <v>817610</v>
      </c>
      <c r="G364" s="41" t="s">
        <v>1972</v>
      </c>
      <c r="H364" s="41">
        <v>90541</v>
      </c>
      <c r="I364" s="41" t="s">
        <v>1694</v>
      </c>
      <c r="J364" s="41">
        <v>5</v>
      </c>
      <c r="K364" s="41">
        <v>5</v>
      </c>
      <c r="L364" s="41">
        <v>0</v>
      </c>
      <c r="M364" s="41">
        <v>43.2</v>
      </c>
      <c r="N364" s="41">
        <v>4758</v>
      </c>
      <c r="O364" s="41">
        <v>593.62</v>
      </c>
      <c r="P364" s="41">
        <v>133.13</v>
      </c>
      <c r="Q364" s="41">
        <v>3750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3750</v>
      </c>
      <c r="Y364" s="41">
        <v>281.25</v>
      </c>
      <c r="Z364" s="41">
        <v>0</v>
      </c>
      <c r="AA364" s="41">
        <v>0</v>
      </c>
      <c r="AB364" s="41">
        <v>1817610</v>
      </c>
      <c r="AC364" s="41">
        <v>43.2</v>
      </c>
      <c r="AD364" s="41" t="s">
        <v>433</v>
      </c>
    </row>
    <row r="365" spans="1:30" x14ac:dyDescent="0.35">
      <c r="A365" s="41">
        <v>467</v>
      </c>
      <c r="B365" s="41">
        <v>20604348</v>
      </c>
      <c r="C365" s="41">
        <v>206043481</v>
      </c>
      <c r="D365" s="41" t="s">
        <v>1709</v>
      </c>
      <c r="E365" s="41" t="s">
        <v>543</v>
      </c>
      <c r="F365" s="41">
        <v>817720</v>
      </c>
      <c r="G365" s="41" t="s">
        <v>1972</v>
      </c>
      <c r="H365" s="41">
        <v>90541</v>
      </c>
      <c r="I365" s="41" t="s">
        <v>1694</v>
      </c>
      <c r="J365" s="41">
        <v>5</v>
      </c>
      <c r="K365" s="41">
        <v>6</v>
      </c>
      <c r="L365" s="41">
        <v>0</v>
      </c>
      <c r="M365" s="41">
        <v>20.7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1817720</v>
      </c>
      <c r="AC365" s="41">
        <v>20.7</v>
      </c>
      <c r="AD365" s="41" t="s">
        <v>433</v>
      </c>
    </row>
    <row r="366" spans="1:30" x14ac:dyDescent="0.35">
      <c r="A366" s="41">
        <v>467</v>
      </c>
      <c r="B366" s="41">
        <v>20859139</v>
      </c>
      <c r="C366" s="41">
        <v>208591396</v>
      </c>
      <c r="D366" s="41" t="s">
        <v>434</v>
      </c>
      <c r="E366" s="41" t="s">
        <v>449</v>
      </c>
      <c r="F366" s="41">
        <v>817720</v>
      </c>
      <c r="G366" s="41" t="s">
        <v>1972</v>
      </c>
      <c r="H366" s="41">
        <v>90541</v>
      </c>
      <c r="I366" s="41" t="s">
        <v>1694</v>
      </c>
      <c r="J366" s="41">
        <v>5</v>
      </c>
      <c r="K366" s="41">
        <v>6</v>
      </c>
      <c r="L366" s="41">
        <v>0</v>
      </c>
      <c r="M366" s="41">
        <v>48.4</v>
      </c>
      <c r="N366" s="41">
        <v>5596.92</v>
      </c>
      <c r="O366" s="41">
        <v>0</v>
      </c>
      <c r="P366" s="41">
        <v>178.92</v>
      </c>
      <c r="Q366" s="41">
        <v>5040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  <c r="X366" s="41">
        <v>5040</v>
      </c>
      <c r="Y366" s="41">
        <v>378</v>
      </c>
      <c r="Z366" s="41">
        <v>0</v>
      </c>
      <c r="AA366" s="41">
        <v>0</v>
      </c>
      <c r="AB366" s="41">
        <v>1817720</v>
      </c>
      <c r="AC366" s="41">
        <v>48.4</v>
      </c>
      <c r="AD366" s="41" t="s">
        <v>433</v>
      </c>
    </row>
    <row r="367" spans="1:30" x14ac:dyDescent="0.35">
      <c r="A367" s="41">
        <v>467</v>
      </c>
      <c r="B367" s="41">
        <v>20458187</v>
      </c>
      <c r="C367" s="41">
        <v>204581870</v>
      </c>
      <c r="D367" s="41" t="s">
        <v>442</v>
      </c>
      <c r="E367" s="41" t="s">
        <v>480</v>
      </c>
      <c r="F367" s="41">
        <v>817900</v>
      </c>
      <c r="G367" s="41" t="s">
        <v>1972</v>
      </c>
      <c r="H367" s="41">
        <v>90541</v>
      </c>
      <c r="I367" s="41" t="s">
        <v>821</v>
      </c>
      <c r="J367" s="41">
        <v>0</v>
      </c>
      <c r="K367" s="41">
        <v>0</v>
      </c>
      <c r="L367" s="41">
        <v>0</v>
      </c>
      <c r="M367" s="41">
        <v>0</v>
      </c>
      <c r="N367" s="41">
        <v>2812.8</v>
      </c>
      <c r="O367" s="41">
        <v>494.28</v>
      </c>
      <c r="P367" s="41">
        <v>121.78</v>
      </c>
      <c r="Q367" s="41">
        <v>2040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2040</v>
      </c>
      <c r="Y367" s="41">
        <v>153</v>
      </c>
      <c r="Z367" s="41">
        <v>0</v>
      </c>
      <c r="AA367" s="41">
        <v>3.74</v>
      </c>
      <c r="AB367" s="41">
        <v>1817900</v>
      </c>
      <c r="AC367" s="41">
        <v>48.4</v>
      </c>
      <c r="AD367" s="41" t="s">
        <v>433</v>
      </c>
    </row>
    <row r="368" spans="1:30" x14ac:dyDescent="0.35">
      <c r="A368" s="41">
        <v>467</v>
      </c>
      <c r="B368" s="41">
        <v>20595792</v>
      </c>
      <c r="C368" s="41">
        <v>205957921</v>
      </c>
      <c r="D368" s="41" t="s">
        <v>875</v>
      </c>
      <c r="E368" s="41" t="s">
        <v>876</v>
      </c>
      <c r="F368" s="41">
        <v>817900</v>
      </c>
      <c r="G368" s="41" t="s">
        <v>1972</v>
      </c>
      <c r="H368" s="41">
        <v>90541</v>
      </c>
      <c r="I368" s="41" t="s">
        <v>821</v>
      </c>
      <c r="J368" s="41">
        <v>0</v>
      </c>
      <c r="K368" s="41">
        <v>0</v>
      </c>
      <c r="L368" s="41">
        <v>0</v>
      </c>
      <c r="M368" s="41">
        <v>0</v>
      </c>
      <c r="N368" s="41">
        <v>700.63</v>
      </c>
      <c r="O368" s="41">
        <v>123.56</v>
      </c>
      <c r="P368" s="41">
        <v>27.61</v>
      </c>
      <c r="Q368" s="41">
        <v>510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510</v>
      </c>
      <c r="Y368" s="41">
        <v>38.24</v>
      </c>
      <c r="Z368" s="41">
        <v>0</v>
      </c>
      <c r="AA368" s="41">
        <v>1.22</v>
      </c>
      <c r="AB368" s="41">
        <v>1817900</v>
      </c>
      <c r="AC368" s="41">
        <v>48.4</v>
      </c>
      <c r="AD368" s="41" t="s">
        <v>433</v>
      </c>
    </row>
    <row r="369" spans="1:30" x14ac:dyDescent="0.35">
      <c r="A369" s="41">
        <v>467</v>
      </c>
      <c r="B369" s="41">
        <v>30818307</v>
      </c>
      <c r="C369" s="41">
        <v>308183078</v>
      </c>
      <c r="D369" s="41" t="s">
        <v>442</v>
      </c>
      <c r="E369" s="41" t="s">
        <v>1874</v>
      </c>
      <c r="F369" s="41">
        <v>817900</v>
      </c>
      <c r="G369" s="41" t="s">
        <v>1972</v>
      </c>
      <c r="H369" s="41">
        <v>90541</v>
      </c>
      <c r="I369" s="41" t="s">
        <v>1694</v>
      </c>
      <c r="J369" s="41">
        <v>5</v>
      </c>
      <c r="K369" s="41">
        <v>5</v>
      </c>
      <c r="L369" s="41">
        <v>0</v>
      </c>
      <c r="M369" s="41">
        <v>46.1</v>
      </c>
      <c r="N369" s="41">
        <v>5330.4</v>
      </c>
      <c r="O369" s="41">
        <v>0</v>
      </c>
      <c r="P369" s="41">
        <v>170.4</v>
      </c>
      <c r="Q369" s="41">
        <v>4800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4800</v>
      </c>
      <c r="Y369" s="41">
        <v>360</v>
      </c>
      <c r="Z369" s="41">
        <v>0</v>
      </c>
      <c r="AA369" s="41">
        <v>0</v>
      </c>
      <c r="AB369" s="41">
        <v>1817900</v>
      </c>
      <c r="AC369" s="41">
        <v>46.1</v>
      </c>
      <c r="AD369" s="41" t="s">
        <v>433</v>
      </c>
    </row>
    <row r="370" spans="1:30" x14ac:dyDescent="0.35">
      <c r="A370" s="41">
        <v>467</v>
      </c>
      <c r="B370" s="41">
        <v>30853540</v>
      </c>
      <c r="C370" s="41">
        <v>308535400</v>
      </c>
      <c r="D370" s="41" t="s">
        <v>442</v>
      </c>
      <c r="E370" s="41" t="s">
        <v>946</v>
      </c>
      <c r="F370" s="41">
        <v>817900</v>
      </c>
      <c r="G370" s="41" t="s">
        <v>1972</v>
      </c>
      <c r="H370" s="41">
        <v>90541</v>
      </c>
      <c r="I370" s="41" t="s">
        <v>821</v>
      </c>
      <c r="J370" s="41">
        <v>0</v>
      </c>
      <c r="K370" s="41">
        <v>0</v>
      </c>
      <c r="L370" s="41">
        <v>0</v>
      </c>
      <c r="M370" s="41">
        <v>0</v>
      </c>
      <c r="N370" s="41">
        <v>1132.71</v>
      </c>
      <c r="O370" s="41">
        <v>0</v>
      </c>
      <c r="P370" s="41">
        <v>36.21</v>
      </c>
      <c r="Q370" s="41">
        <v>1020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1020</v>
      </c>
      <c r="Y370" s="41">
        <v>76.5</v>
      </c>
      <c r="Z370" s="41">
        <v>0</v>
      </c>
      <c r="AA370" s="41">
        <v>0</v>
      </c>
      <c r="AB370" s="41">
        <v>1817900</v>
      </c>
      <c r="AC370" s="41">
        <v>46.1</v>
      </c>
      <c r="AD370" s="41" t="s">
        <v>433</v>
      </c>
    </row>
    <row r="371" spans="1:30" x14ac:dyDescent="0.35">
      <c r="A371" s="41">
        <v>467</v>
      </c>
      <c r="B371" s="41">
        <v>2342237</v>
      </c>
      <c r="C371" s="41">
        <v>23422371</v>
      </c>
      <c r="D371" s="41" t="s">
        <v>1875</v>
      </c>
      <c r="E371" s="41" t="s">
        <v>1876</v>
      </c>
      <c r="F371" s="41">
        <v>817905</v>
      </c>
      <c r="G371" s="41" t="s">
        <v>1972</v>
      </c>
      <c r="H371" s="41">
        <v>90541</v>
      </c>
      <c r="I371" s="41" t="s">
        <v>1694</v>
      </c>
      <c r="J371" s="41">
        <v>5</v>
      </c>
      <c r="K371" s="41">
        <v>6</v>
      </c>
      <c r="L371" s="41">
        <v>0</v>
      </c>
      <c r="M371" s="41">
        <v>31.7</v>
      </c>
      <c r="N371" s="41">
        <v>3664.65</v>
      </c>
      <c r="O371" s="41">
        <v>0</v>
      </c>
      <c r="P371" s="41">
        <v>117.15</v>
      </c>
      <c r="Q371" s="41">
        <v>3300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3300</v>
      </c>
      <c r="Y371" s="41">
        <v>247.5</v>
      </c>
      <c r="Z371" s="41">
        <v>0</v>
      </c>
      <c r="AA371" s="41">
        <v>0</v>
      </c>
      <c r="AB371" s="41">
        <v>1817905</v>
      </c>
      <c r="AC371" s="41">
        <v>31.7</v>
      </c>
      <c r="AD371" s="41" t="s">
        <v>433</v>
      </c>
    </row>
    <row r="372" spans="1:30" x14ac:dyDescent="0.35">
      <c r="A372" s="41">
        <v>467</v>
      </c>
      <c r="B372" s="41">
        <v>2751662</v>
      </c>
      <c r="C372" s="41">
        <v>27516624</v>
      </c>
      <c r="D372" s="41" t="s">
        <v>957</v>
      </c>
      <c r="E372" s="41" t="s">
        <v>958</v>
      </c>
      <c r="F372" s="41">
        <v>817905</v>
      </c>
      <c r="G372" s="41" t="s">
        <v>1972</v>
      </c>
      <c r="H372" s="41">
        <v>90541</v>
      </c>
      <c r="I372" s="41" t="s">
        <v>1694</v>
      </c>
      <c r="J372" s="41">
        <v>5</v>
      </c>
      <c r="K372" s="41">
        <v>5</v>
      </c>
      <c r="L372" s="41">
        <v>0</v>
      </c>
      <c r="M372" s="41">
        <v>43.2</v>
      </c>
      <c r="N372" s="41">
        <v>24371.69</v>
      </c>
      <c r="O372" s="41">
        <v>4155.63</v>
      </c>
      <c r="P372" s="41">
        <v>776.06</v>
      </c>
      <c r="Q372" s="41">
        <v>18083.7</v>
      </c>
      <c r="R372" s="41">
        <v>0</v>
      </c>
      <c r="S372" s="41">
        <v>0</v>
      </c>
      <c r="T372" s="41">
        <v>0</v>
      </c>
      <c r="U372" s="41">
        <v>0</v>
      </c>
      <c r="V372" s="41">
        <v>271.2</v>
      </c>
      <c r="W372" s="41">
        <v>0</v>
      </c>
      <c r="X372" s="41">
        <v>17812.5</v>
      </c>
      <c r="Y372" s="41">
        <v>1356.3</v>
      </c>
      <c r="Z372" s="41">
        <v>0</v>
      </c>
      <c r="AA372" s="41">
        <v>0</v>
      </c>
      <c r="AB372" s="41">
        <v>1817905</v>
      </c>
      <c r="AC372" s="41">
        <v>43.2</v>
      </c>
      <c r="AD372" s="41" t="s">
        <v>433</v>
      </c>
    </row>
    <row r="373" spans="1:30" x14ac:dyDescent="0.35">
      <c r="A373" s="41">
        <v>467</v>
      </c>
      <c r="B373" s="41">
        <v>3982792</v>
      </c>
      <c r="C373" s="41">
        <v>39827928</v>
      </c>
      <c r="D373" s="41" t="s">
        <v>434</v>
      </c>
      <c r="E373" s="41" t="s">
        <v>955</v>
      </c>
      <c r="F373" s="41">
        <v>817905</v>
      </c>
      <c r="G373" s="41" t="s">
        <v>1972</v>
      </c>
      <c r="H373" s="41">
        <v>90541</v>
      </c>
      <c r="I373" s="41" t="s">
        <v>1694</v>
      </c>
      <c r="J373" s="41">
        <v>0</v>
      </c>
      <c r="K373" s="41">
        <v>0</v>
      </c>
      <c r="L373" s="41">
        <v>0</v>
      </c>
      <c r="M373" s="41">
        <v>46.1</v>
      </c>
      <c r="N373" s="41">
        <v>5330.4</v>
      </c>
      <c r="O373" s="41">
        <v>0</v>
      </c>
      <c r="P373" s="41">
        <v>170.4</v>
      </c>
      <c r="Q373" s="41">
        <v>4800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4800</v>
      </c>
      <c r="Y373" s="41">
        <v>360</v>
      </c>
      <c r="Z373" s="41">
        <v>0</v>
      </c>
      <c r="AA373" s="41">
        <v>0</v>
      </c>
      <c r="AB373" s="41">
        <v>1817905</v>
      </c>
      <c r="AC373" s="41">
        <v>46.1</v>
      </c>
      <c r="AD373" s="41" t="s">
        <v>433</v>
      </c>
    </row>
    <row r="374" spans="1:30" x14ac:dyDescent="0.35">
      <c r="A374" s="41">
        <v>467</v>
      </c>
      <c r="B374" s="41">
        <v>5625916</v>
      </c>
      <c r="C374" s="41">
        <v>56259161</v>
      </c>
      <c r="D374" s="41" t="s">
        <v>1877</v>
      </c>
      <c r="E374" s="41" t="s">
        <v>948</v>
      </c>
      <c r="F374" s="41">
        <v>817905</v>
      </c>
      <c r="G374" s="41" t="s">
        <v>1972</v>
      </c>
      <c r="H374" s="41">
        <v>90541</v>
      </c>
      <c r="I374" s="41" t="s">
        <v>1694</v>
      </c>
      <c r="J374" s="41">
        <v>5</v>
      </c>
      <c r="K374" s="41">
        <v>6</v>
      </c>
      <c r="L374" s="41">
        <v>0</v>
      </c>
      <c r="M374" s="41">
        <v>15.8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1817905</v>
      </c>
      <c r="AC374" s="41">
        <v>15.8</v>
      </c>
      <c r="AD374" s="41" t="s">
        <v>433</v>
      </c>
    </row>
    <row r="375" spans="1:30" x14ac:dyDescent="0.35">
      <c r="A375" s="41">
        <v>467</v>
      </c>
      <c r="B375" s="41">
        <v>5897713</v>
      </c>
      <c r="C375" s="41">
        <v>58977133</v>
      </c>
      <c r="D375" s="41" t="s">
        <v>448</v>
      </c>
      <c r="E375" s="41" t="s">
        <v>447</v>
      </c>
      <c r="F375" s="41">
        <v>817905</v>
      </c>
      <c r="G375" s="41" t="s">
        <v>1972</v>
      </c>
      <c r="H375" s="41">
        <v>90541</v>
      </c>
      <c r="I375" s="41" t="s">
        <v>1694</v>
      </c>
      <c r="J375" s="41">
        <v>5</v>
      </c>
      <c r="K375" s="41">
        <v>5</v>
      </c>
      <c r="L375" s="41">
        <v>0</v>
      </c>
      <c r="M375" s="41">
        <v>103.8</v>
      </c>
      <c r="N375" s="41">
        <v>8379.5300000000007</v>
      </c>
      <c r="O375" s="41">
        <v>1427.79</v>
      </c>
      <c r="P375" s="41">
        <v>223.19</v>
      </c>
      <c r="Q375" s="41">
        <v>6257</v>
      </c>
      <c r="R375" s="41">
        <v>0</v>
      </c>
      <c r="S375" s="41">
        <v>0</v>
      </c>
      <c r="T375" s="41">
        <v>0</v>
      </c>
      <c r="U375" s="41">
        <v>0</v>
      </c>
      <c r="V375" s="41">
        <v>137</v>
      </c>
      <c r="W375" s="41">
        <v>0</v>
      </c>
      <c r="X375" s="41">
        <v>6120</v>
      </c>
      <c r="Y375" s="41">
        <v>471.55</v>
      </c>
      <c r="Z375" s="41">
        <v>0</v>
      </c>
      <c r="AA375" s="41">
        <v>0</v>
      </c>
      <c r="AB375" s="41">
        <v>1817905</v>
      </c>
      <c r="AC375" s="41">
        <v>103.8</v>
      </c>
      <c r="AD375" s="41" t="s">
        <v>433</v>
      </c>
    </row>
    <row r="376" spans="1:30" x14ac:dyDescent="0.35">
      <c r="A376" s="41">
        <v>467</v>
      </c>
      <c r="B376" s="41">
        <v>20419589</v>
      </c>
      <c r="C376" s="41">
        <v>204195895</v>
      </c>
      <c r="D376" s="41" t="s">
        <v>434</v>
      </c>
      <c r="E376" s="41" t="s">
        <v>523</v>
      </c>
      <c r="F376" s="41">
        <v>817905</v>
      </c>
      <c r="G376" s="41" t="s">
        <v>1972</v>
      </c>
      <c r="H376" s="41">
        <v>90541</v>
      </c>
      <c r="I376" s="41" t="s">
        <v>1694</v>
      </c>
      <c r="J376" s="41">
        <v>5</v>
      </c>
      <c r="K376" s="41">
        <v>5</v>
      </c>
      <c r="L376" s="41">
        <v>0</v>
      </c>
      <c r="M376" s="41">
        <v>76.7</v>
      </c>
      <c r="N376" s="41">
        <v>7105.28</v>
      </c>
      <c r="O376" s="41">
        <v>886.48</v>
      </c>
      <c r="P376" s="41">
        <v>198.8</v>
      </c>
      <c r="Q376" s="41">
        <v>5600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5600</v>
      </c>
      <c r="Y376" s="41">
        <v>420</v>
      </c>
      <c r="Z376" s="41">
        <v>0</v>
      </c>
      <c r="AA376" s="41">
        <v>0</v>
      </c>
      <c r="AB376" s="41">
        <v>1817905</v>
      </c>
      <c r="AC376" s="41">
        <v>76.7</v>
      </c>
      <c r="AD376" s="41" t="s">
        <v>433</v>
      </c>
    </row>
    <row r="377" spans="1:30" x14ac:dyDescent="0.35">
      <c r="A377" s="41">
        <v>467</v>
      </c>
      <c r="B377" s="41">
        <v>20627408</v>
      </c>
      <c r="C377" s="41">
        <v>206274086</v>
      </c>
      <c r="D377" s="41" t="s">
        <v>434</v>
      </c>
      <c r="E377" s="41" t="s">
        <v>1878</v>
      </c>
      <c r="F377" s="41">
        <v>817905</v>
      </c>
      <c r="G377" s="41" t="s">
        <v>1972</v>
      </c>
      <c r="H377" s="41">
        <v>90541</v>
      </c>
      <c r="I377" s="41" t="s">
        <v>1694</v>
      </c>
      <c r="J377" s="41">
        <v>5</v>
      </c>
      <c r="K377" s="41">
        <v>5</v>
      </c>
      <c r="L377" s="41">
        <v>0</v>
      </c>
      <c r="M377" s="41">
        <v>47.6</v>
      </c>
      <c r="N377" s="41">
        <v>3664.65</v>
      </c>
      <c r="O377" s="41">
        <v>0</v>
      </c>
      <c r="P377" s="41">
        <v>117.15</v>
      </c>
      <c r="Q377" s="41">
        <v>3300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3300</v>
      </c>
      <c r="Y377" s="41">
        <v>247.5</v>
      </c>
      <c r="Z377" s="41">
        <v>0</v>
      </c>
      <c r="AA377" s="41">
        <v>0</v>
      </c>
      <c r="AB377" s="41">
        <v>1817905</v>
      </c>
      <c r="AC377" s="41">
        <v>47.6</v>
      </c>
      <c r="AD377" s="41" t="s">
        <v>433</v>
      </c>
    </row>
    <row r="378" spans="1:30" x14ac:dyDescent="0.35">
      <c r="A378" s="41">
        <v>467</v>
      </c>
      <c r="B378" s="41">
        <v>20635908</v>
      </c>
      <c r="C378" s="41">
        <v>206359085</v>
      </c>
      <c r="D378" s="41" t="s">
        <v>434</v>
      </c>
      <c r="E378" s="41" t="s">
        <v>845</v>
      </c>
      <c r="F378" s="41">
        <v>817905</v>
      </c>
      <c r="G378" s="41" t="s">
        <v>1972</v>
      </c>
      <c r="H378" s="41">
        <v>90541</v>
      </c>
      <c r="I378" s="41" t="s">
        <v>1694</v>
      </c>
      <c r="J378" s="41">
        <v>5</v>
      </c>
      <c r="K378" s="41">
        <v>6</v>
      </c>
      <c r="L378" s="41">
        <v>0</v>
      </c>
      <c r="M378" s="41">
        <v>21.3</v>
      </c>
      <c r="N378" s="41">
        <v>2054.4299999999998</v>
      </c>
      <c r="O378" s="41">
        <v>0</v>
      </c>
      <c r="P378" s="41">
        <v>65.680000000000007</v>
      </c>
      <c r="Q378" s="41">
        <v>1850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1850</v>
      </c>
      <c r="Y378" s="41">
        <v>138.75</v>
      </c>
      <c r="Z378" s="41">
        <v>0</v>
      </c>
      <c r="AA378" s="41">
        <v>0</v>
      </c>
      <c r="AB378" s="41">
        <v>1817905</v>
      </c>
      <c r="AC378" s="41">
        <v>21.3</v>
      </c>
      <c r="AD378" s="41" t="s">
        <v>433</v>
      </c>
    </row>
    <row r="379" spans="1:30" x14ac:dyDescent="0.35">
      <c r="A379" s="41">
        <v>467</v>
      </c>
      <c r="B379" s="41">
        <v>20671695</v>
      </c>
      <c r="C379" s="41">
        <v>206716953</v>
      </c>
      <c r="D379" s="41" t="s">
        <v>448</v>
      </c>
      <c r="E379" s="41" t="s">
        <v>963</v>
      </c>
      <c r="F379" s="41">
        <v>817905</v>
      </c>
      <c r="G379" s="41" t="s">
        <v>1972</v>
      </c>
      <c r="H379" s="41">
        <v>90541</v>
      </c>
      <c r="I379" s="41" t="s">
        <v>1694</v>
      </c>
      <c r="J379" s="41">
        <v>72</v>
      </c>
      <c r="K379" s="41">
        <v>37</v>
      </c>
      <c r="L379" s="41">
        <v>0</v>
      </c>
      <c r="M379" s="41">
        <v>38</v>
      </c>
      <c r="N379" s="41">
        <v>5476.92</v>
      </c>
      <c r="O379" s="41">
        <v>923.86</v>
      </c>
      <c r="P379" s="41">
        <v>146.51</v>
      </c>
      <c r="Q379" s="41">
        <v>4097</v>
      </c>
      <c r="R379" s="41">
        <v>0</v>
      </c>
      <c r="S379" s="41">
        <v>0</v>
      </c>
      <c r="T379" s="41">
        <v>0</v>
      </c>
      <c r="U379" s="41">
        <v>0</v>
      </c>
      <c r="V379" s="41">
        <v>137</v>
      </c>
      <c r="W379" s="41">
        <v>0</v>
      </c>
      <c r="X379" s="41">
        <v>3960</v>
      </c>
      <c r="Y379" s="41">
        <v>309.55</v>
      </c>
      <c r="Z379" s="41">
        <v>0</v>
      </c>
      <c r="AA379" s="41">
        <v>0</v>
      </c>
      <c r="AB379" s="41">
        <v>1817905</v>
      </c>
      <c r="AC379" s="41">
        <v>38</v>
      </c>
      <c r="AD379" s="41" t="s">
        <v>433</v>
      </c>
    </row>
    <row r="380" spans="1:30" x14ac:dyDescent="0.35">
      <c r="A380" s="41">
        <v>467</v>
      </c>
      <c r="B380" s="41">
        <v>20671797</v>
      </c>
      <c r="C380" s="41">
        <v>206717977</v>
      </c>
      <c r="D380" s="41" t="s">
        <v>442</v>
      </c>
      <c r="E380" s="41" t="s">
        <v>443</v>
      </c>
      <c r="F380" s="41">
        <v>817905</v>
      </c>
      <c r="G380" s="41" t="s">
        <v>1972</v>
      </c>
      <c r="H380" s="41">
        <v>90541</v>
      </c>
      <c r="I380" s="41" t="s">
        <v>1694</v>
      </c>
      <c r="J380" s="41">
        <v>5</v>
      </c>
      <c r="K380" s="41">
        <v>5</v>
      </c>
      <c r="L380" s="41">
        <v>0</v>
      </c>
      <c r="M380" s="41">
        <v>37.5</v>
      </c>
      <c r="N380" s="41">
        <v>631.29999999999995</v>
      </c>
      <c r="O380" s="41">
        <v>631.29999999999995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1817905</v>
      </c>
      <c r="AC380" s="41">
        <v>37.5</v>
      </c>
      <c r="AD380" s="41" t="s">
        <v>433</v>
      </c>
    </row>
    <row r="381" spans="1:30" x14ac:dyDescent="0.35">
      <c r="A381" s="41">
        <v>467</v>
      </c>
      <c r="B381" s="41">
        <v>20680561</v>
      </c>
      <c r="C381" s="41">
        <v>206805616</v>
      </c>
      <c r="D381" s="41" t="s">
        <v>434</v>
      </c>
      <c r="E381" s="41" t="s">
        <v>1768</v>
      </c>
      <c r="F381" s="41">
        <v>817905</v>
      </c>
      <c r="G381" s="41" t="s">
        <v>1972</v>
      </c>
      <c r="H381" s="41">
        <v>90541</v>
      </c>
      <c r="I381" s="41" t="s">
        <v>821</v>
      </c>
      <c r="J381" s="41">
        <v>0</v>
      </c>
      <c r="K381" s="41">
        <v>0</v>
      </c>
      <c r="L381" s="41">
        <v>0</v>
      </c>
      <c r="M381" s="41">
        <v>0</v>
      </c>
      <c r="N381" s="41">
        <v>3049.28</v>
      </c>
      <c r="O381" s="41">
        <v>379.91</v>
      </c>
      <c r="P381" s="41">
        <v>89.38</v>
      </c>
      <c r="Q381" s="41">
        <v>2400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2400</v>
      </c>
      <c r="Y381" s="41">
        <v>179.99</v>
      </c>
      <c r="Z381" s="41">
        <v>0</v>
      </c>
      <c r="AA381" s="41">
        <v>0</v>
      </c>
      <c r="AB381" s="41">
        <v>1817905</v>
      </c>
      <c r="AC381" s="41">
        <v>37.5</v>
      </c>
      <c r="AD381" s="41" t="s">
        <v>433</v>
      </c>
    </row>
    <row r="382" spans="1:30" x14ac:dyDescent="0.35">
      <c r="A382" s="41">
        <v>467</v>
      </c>
      <c r="B382" s="41">
        <v>20954532</v>
      </c>
      <c r="C382" s="41">
        <v>209545326</v>
      </c>
      <c r="D382" s="41" t="s">
        <v>846</v>
      </c>
      <c r="E382" s="41" t="s">
        <v>443</v>
      </c>
      <c r="F382" s="41">
        <v>817905</v>
      </c>
      <c r="G382" s="41" t="s">
        <v>1972</v>
      </c>
      <c r="H382" s="41">
        <v>90541</v>
      </c>
      <c r="I382" s="41" t="s">
        <v>1694</v>
      </c>
      <c r="J382" s="41">
        <v>5</v>
      </c>
      <c r="K382" s="41">
        <v>5</v>
      </c>
      <c r="L382" s="41">
        <v>0</v>
      </c>
      <c r="M382" s="41">
        <v>34.6</v>
      </c>
      <c r="N382" s="41">
        <v>6663</v>
      </c>
      <c r="O382" s="41">
        <v>0</v>
      </c>
      <c r="P382" s="41">
        <v>213</v>
      </c>
      <c r="Q382" s="41">
        <v>6000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6000</v>
      </c>
      <c r="Y382" s="41">
        <v>450</v>
      </c>
      <c r="Z382" s="41">
        <v>0</v>
      </c>
      <c r="AA382" s="41">
        <v>0</v>
      </c>
      <c r="AB382" s="41">
        <v>1817905</v>
      </c>
      <c r="AC382" s="41">
        <v>34.6</v>
      </c>
      <c r="AD382" s="41" t="s">
        <v>433</v>
      </c>
    </row>
    <row r="383" spans="1:30" x14ac:dyDescent="0.35">
      <c r="A383" s="41">
        <v>467</v>
      </c>
      <c r="B383" s="41">
        <v>21585736</v>
      </c>
      <c r="C383" s="41">
        <v>215857368</v>
      </c>
      <c r="D383" s="41" t="s">
        <v>442</v>
      </c>
      <c r="E383" s="41" t="s">
        <v>1879</v>
      </c>
      <c r="F383" s="41">
        <v>817905</v>
      </c>
      <c r="G383" s="41" t="s">
        <v>1972</v>
      </c>
      <c r="H383" s="41">
        <v>90541</v>
      </c>
      <c r="I383" s="41" t="s">
        <v>1694</v>
      </c>
      <c r="J383" s="41">
        <v>5</v>
      </c>
      <c r="K383" s="41">
        <v>5</v>
      </c>
      <c r="L383" s="41">
        <v>0</v>
      </c>
      <c r="M383" s="41">
        <v>80.7</v>
      </c>
      <c r="N383" s="41">
        <v>5441.45</v>
      </c>
      <c r="O383" s="41">
        <v>0</v>
      </c>
      <c r="P383" s="41">
        <v>173.95</v>
      </c>
      <c r="Q383" s="41">
        <v>4900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4900</v>
      </c>
      <c r="Y383" s="41">
        <v>367.5</v>
      </c>
      <c r="Z383" s="41">
        <v>0</v>
      </c>
      <c r="AA383" s="41">
        <v>0</v>
      </c>
      <c r="AB383" s="41">
        <v>1817905</v>
      </c>
      <c r="AC383" s="41">
        <v>80.7</v>
      </c>
      <c r="AD383" s="41" t="s">
        <v>433</v>
      </c>
    </row>
    <row r="384" spans="1:30" x14ac:dyDescent="0.35">
      <c r="A384" s="41">
        <v>467</v>
      </c>
      <c r="B384" s="41">
        <v>30082093</v>
      </c>
      <c r="C384" s="41">
        <v>300820933</v>
      </c>
      <c r="D384" s="41" t="s">
        <v>495</v>
      </c>
      <c r="E384" s="41" t="s">
        <v>1880</v>
      </c>
      <c r="F384" s="41">
        <v>817905</v>
      </c>
      <c r="G384" s="41" t="s">
        <v>1972</v>
      </c>
      <c r="H384" s="41">
        <v>90541</v>
      </c>
      <c r="I384" s="41" t="s">
        <v>1694</v>
      </c>
      <c r="J384" s="41">
        <v>5</v>
      </c>
      <c r="K384" s="41">
        <v>5</v>
      </c>
      <c r="L384" s="41">
        <v>0</v>
      </c>
      <c r="M384" s="41">
        <v>58.2</v>
      </c>
      <c r="N384" s="41">
        <v>4486.42</v>
      </c>
      <c r="O384" s="41">
        <v>0</v>
      </c>
      <c r="P384" s="41">
        <v>143.41999999999999</v>
      </c>
      <c r="Q384" s="41">
        <v>4040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4040</v>
      </c>
      <c r="Y384" s="41">
        <v>303</v>
      </c>
      <c r="Z384" s="41">
        <v>0</v>
      </c>
      <c r="AA384" s="41">
        <v>0</v>
      </c>
      <c r="AB384" s="41">
        <v>1817905</v>
      </c>
      <c r="AC384" s="41">
        <v>58.2</v>
      </c>
      <c r="AD384" s="41" t="s">
        <v>433</v>
      </c>
    </row>
    <row r="385" spans="1:30" x14ac:dyDescent="0.35">
      <c r="A385" s="41">
        <v>467</v>
      </c>
      <c r="B385" s="41">
        <v>30140859</v>
      </c>
      <c r="C385" s="41">
        <v>301408597</v>
      </c>
      <c r="D385" s="41" t="s">
        <v>462</v>
      </c>
      <c r="E385" s="41" t="s">
        <v>1881</v>
      </c>
      <c r="F385" s="41">
        <v>817905</v>
      </c>
      <c r="G385" s="41" t="s">
        <v>1972</v>
      </c>
      <c r="H385" s="41">
        <v>90541</v>
      </c>
      <c r="I385" s="41" t="s">
        <v>1694</v>
      </c>
      <c r="J385" s="41">
        <v>5</v>
      </c>
      <c r="K385" s="41">
        <v>6</v>
      </c>
      <c r="L385" s="41">
        <v>0</v>
      </c>
      <c r="M385" s="41">
        <v>15</v>
      </c>
      <c r="N385" s="41">
        <v>5240.82</v>
      </c>
      <c r="O385" s="41">
        <v>909.87</v>
      </c>
      <c r="P385" s="41">
        <v>138.44999999999999</v>
      </c>
      <c r="Q385" s="41">
        <v>3900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0</v>
      </c>
      <c r="X385" s="41">
        <v>3900</v>
      </c>
      <c r="Y385" s="41">
        <v>292.5</v>
      </c>
      <c r="Z385" s="41">
        <v>0</v>
      </c>
      <c r="AA385" s="41">
        <v>0</v>
      </c>
      <c r="AB385" s="41">
        <v>1817905</v>
      </c>
      <c r="AC385" s="41">
        <v>15</v>
      </c>
      <c r="AD385" s="41" t="s">
        <v>433</v>
      </c>
    </row>
    <row r="386" spans="1:30" x14ac:dyDescent="0.35">
      <c r="A386" s="41">
        <v>467</v>
      </c>
      <c r="B386" s="41">
        <v>30149254</v>
      </c>
      <c r="C386" s="41">
        <v>301492542</v>
      </c>
      <c r="D386" s="41" t="s">
        <v>495</v>
      </c>
      <c r="E386" s="41" t="s">
        <v>494</v>
      </c>
      <c r="F386" s="41">
        <v>817905</v>
      </c>
      <c r="G386" s="41" t="s">
        <v>1972</v>
      </c>
      <c r="H386" s="41">
        <v>90541</v>
      </c>
      <c r="I386" s="41" t="s">
        <v>1694</v>
      </c>
      <c r="J386" s="41">
        <v>5</v>
      </c>
      <c r="K386" s="41">
        <v>5</v>
      </c>
      <c r="L386" s="41">
        <v>0</v>
      </c>
      <c r="M386" s="41">
        <v>33.4</v>
      </c>
      <c r="N386" s="41">
        <v>2645.4</v>
      </c>
      <c r="O386" s="41">
        <v>459.26</v>
      </c>
      <c r="P386" s="41">
        <v>69.89</v>
      </c>
      <c r="Q386" s="41">
        <v>1968.6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1968.6</v>
      </c>
      <c r="Y386" s="41">
        <v>147.65</v>
      </c>
      <c r="Z386" s="41">
        <v>0</v>
      </c>
      <c r="AA386" s="41">
        <v>0</v>
      </c>
      <c r="AB386" s="41">
        <v>1817905</v>
      </c>
      <c r="AC386" s="41">
        <v>33.4</v>
      </c>
      <c r="AD386" s="41" t="s">
        <v>433</v>
      </c>
    </row>
    <row r="387" spans="1:30" x14ac:dyDescent="0.35">
      <c r="A387" s="41">
        <v>467</v>
      </c>
      <c r="B387" s="41">
        <v>30314750</v>
      </c>
      <c r="C387" s="41">
        <v>303147508</v>
      </c>
      <c r="D387" s="41" t="s">
        <v>434</v>
      </c>
      <c r="E387" s="41" t="s">
        <v>909</v>
      </c>
      <c r="F387" s="41">
        <v>817905</v>
      </c>
      <c r="G387" s="41" t="s">
        <v>1972</v>
      </c>
      <c r="H387" s="41">
        <v>90541</v>
      </c>
      <c r="I387" s="41" t="s">
        <v>1694</v>
      </c>
      <c r="J387" s="41">
        <v>5</v>
      </c>
      <c r="K387" s="41">
        <v>5</v>
      </c>
      <c r="L387" s="41">
        <v>0</v>
      </c>
      <c r="M387" s="41">
        <v>12.1</v>
      </c>
      <c r="N387" s="41">
        <v>2332.0500000000002</v>
      </c>
      <c r="O387" s="41">
        <v>0</v>
      </c>
      <c r="P387" s="41">
        <v>74.55</v>
      </c>
      <c r="Q387" s="41">
        <v>2100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2100</v>
      </c>
      <c r="Y387" s="41">
        <v>157.5</v>
      </c>
      <c r="Z387" s="41">
        <v>0</v>
      </c>
      <c r="AA387" s="41">
        <v>0</v>
      </c>
      <c r="AB387" s="41">
        <v>1817905</v>
      </c>
      <c r="AC387" s="41">
        <v>12.1</v>
      </c>
      <c r="AD387" s="41" t="s">
        <v>433</v>
      </c>
    </row>
    <row r="388" spans="1:30" x14ac:dyDescent="0.35">
      <c r="A388" s="41">
        <v>467</v>
      </c>
      <c r="B388" s="41">
        <v>30853540</v>
      </c>
      <c r="C388" s="41">
        <v>308535400</v>
      </c>
      <c r="D388" s="41" t="s">
        <v>442</v>
      </c>
      <c r="E388" s="41" t="s">
        <v>946</v>
      </c>
      <c r="F388" s="41">
        <v>817905</v>
      </c>
      <c r="G388" s="41" t="s">
        <v>1972</v>
      </c>
      <c r="H388" s="41">
        <v>90541</v>
      </c>
      <c r="I388" s="41" t="s">
        <v>1694</v>
      </c>
      <c r="J388" s="41">
        <v>5</v>
      </c>
      <c r="K388" s="41">
        <v>5</v>
      </c>
      <c r="L388" s="41">
        <v>0</v>
      </c>
      <c r="M388" s="41">
        <v>6.9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1817905</v>
      </c>
      <c r="AC388" s="41">
        <v>6.9</v>
      </c>
      <c r="AD388" s="41" t="s">
        <v>433</v>
      </c>
    </row>
    <row r="389" spans="1:30" x14ac:dyDescent="0.35">
      <c r="A389" s="41">
        <v>467</v>
      </c>
      <c r="B389" s="41">
        <v>31505465</v>
      </c>
      <c r="C389" s="41">
        <v>315054650</v>
      </c>
      <c r="D389" s="41" t="s">
        <v>434</v>
      </c>
      <c r="E389" s="41" t="s">
        <v>558</v>
      </c>
      <c r="F389" s="41">
        <v>817905</v>
      </c>
      <c r="G389" s="41" t="s">
        <v>1972</v>
      </c>
      <c r="H389" s="41">
        <v>90541</v>
      </c>
      <c r="I389" s="41" t="s">
        <v>1694</v>
      </c>
      <c r="J389" s="41">
        <v>5</v>
      </c>
      <c r="K389" s="41">
        <v>5</v>
      </c>
      <c r="L389" s="41">
        <v>0</v>
      </c>
      <c r="M389" s="41">
        <v>27.4</v>
      </c>
      <c r="N389" s="41">
        <v>2109.9499999999998</v>
      </c>
      <c r="O389" s="41">
        <v>0</v>
      </c>
      <c r="P389" s="41">
        <v>67.45</v>
      </c>
      <c r="Q389" s="41">
        <v>1900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1900</v>
      </c>
      <c r="Y389" s="41">
        <v>142.5</v>
      </c>
      <c r="Z389" s="41">
        <v>0</v>
      </c>
      <c r="AA389" s="41">
        <v>0</v>
      </c>
      <c r="AB389" s="41">
        <v>1817905</v>
      </c>
      <c r="AC389" s="41">
        <v>27.4</v>
      </c>
      <c r="AD389" s="41" t="s">
        <v>433</v>
      </c>
    </row>
    <row r="390" spans="1:30" x14ac:dyDescent="0.35">
      <c r="A390" s="41">
        <v>467</v>
      </c>
      <c r="B390" s="41">
        <v>31897879</v>
      </c>
      <c r="C390" s="41">
        <v>318978798</v>
      </c>
      <c r="D390" s="41" t="s">
        <v>434</v>
      </c>
      <c r="E390" s="41" t="s">
        <v>829</v>
      </c>
      <c r="F390" s="41">
        <v>817905</v>
      </c>
      <c r="G390" s="41" t="s">
        <v>1972</v>
      </c>
      <c r="H390" s="41">
        <v>90541</v>
      </c>
      <c r="I390" s="41" t="s">
        <v>1694</v>
      </c>
      <c r="J390" s="41">
        <v>5</v>
      </c>
      <c r="K390" s="41">
        <v>5</v>
      </c>
      <c r="L390" s="41">
        <v>0</v>
      </c>
      <c r="M390" s="41">
        <v>26.5</v>
      </c>
      <c r="N390" s="41">
        <v>2918.24</v>
      </c>
      <c r="O390" s="41">
        <v>364.09</v>
      </c>
      <c r="P390" s="41">
        <v>81.650000000000006</v>
      </c>
      <c r="Q390" s="41">
        <v>2300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0</v>
      </c>
      <c r="X390" s="41">
        <v>2300</v>
      </c>
      <c r="Y390" s="41">
        <v>172.5</v>
      </c>
      <c r="Z390" s="41">
        <v>0</v>
      </c>
      <c r="AA390" s="41">
        <v>0</v>
      </c>
      <c r="AB390" s="41">
        <v>1817905</v>
      </c>
      <c r="AC390" s="41">
        <v>26.5</v>
      </c>
      <c r="AD390" s="41" t="s">
        <v>433</v>
      </c>
    </row>
    <row r="391" spans="1:30" x14ac:dyDescent="0.35">
      <c r="A391" s="41">
        <v>467</v>
      </c>
      <c r="B391" s="41">
        <v>32714770</v>
      </c>
      <c r="C391" s="41">
        <v>327147708</v>
      </c>
      <c r="D391" s="41" t="s">
        <v>1882</v>
      </c>
      <c r="E391" s="41" t="s">
        <v>575</v>
      </c>
      <c r="F391" s="41">
        <v>817905</v>
      </c>
      <c r="G391" s="41" t="s">
        <v>1972</v>
      </c>
      <c r="H391" s="41">
        <v>90541</v>
      </c>
      <c r="I391" s="41" t="s">
        <v>1694</v>
      </c>
      <c r="J391" s="41">
        <v>5</v>
      </c>
      <c r="K391" s="41">
        <v>5</v>
      </c>
      <c r="L391" s="41">
        <v>0</v>
      </c>
      <c r="M391" s="41">
        <v>78.2</v>
      </c>
      <c r="N391" s="41">
        <v>5857.3</v>
      </c>
      <c r="O391" s="41">
        <v>730.35</v>
      </c>
      <c r="P391" s="41">
        <v>164.85</v>
      </c>
      <c r="Q391" s="41">
        <v>4613.8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4613.8</v>
      </c>
      <c r="Y391" s="41">
        <v>348.3</v>
      </c>
      <c r="Z391" s="41">
        <v>0</v>
      </c>
      <c r="AA391" s="41">
        <v>0</v>
      </c>
      <c r="AB391" s="41">
        <v>1817905</v>
      </c>
      <c r="AC391" s="41">
        <v>78.2</v>
      </c>
      <c r="AD391" s="41" t="s">
        <v>433</v>
      </c>
    </row>
    <row r="392" spans="1:30" x14ac:dyDescent="0.35">
      <c r="A392" s="41">
        <v>467</v>
      </c>
      <c r="B392" s="41">
        <v>32920122</v>
      </c>
      <c r="C392" s="41">
        <v>329201222</v>
      </c>
      <c r="D392" s="41" t="s">
        <v>442</v>
      </c>
      <c r="E392" s="41" t="s">
        <v>443</v>
      </c>
      <c r="F392" s="41">
        <v>817905</v>
      </c>
      <c r="G392" s="41" t="s">
        <v>1972</v>
      </c>
      <c r="H392" s="41">
        <v>90541</v>
      </c>
      <c r="I392" s="41" t="s">
        <v>1694</v>
      </c>
      <c r="J392" s="41">
        <v>5</v>
      </c>
      <c r="K392" s="41">
        <v>6</v>
      </c>
      <c r="L392" s="41">
        <v>0</v>
      </c>
      <c r="M392" s="41">
        <v>61.4</v>
      </c>
      <c r="N392" s="41">
        <v>2931.75</v>
      </c>
      <c r="O392" s="41">
        <v>0</v>
      </c>
      <c r="P392" s="41">
        <v>93.73</v>
      </c>
      <c r="Q392" s="41">
        <v>2640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2640</v>
      </c>
      <c r="Y392" s="41">
        <v>198.02</v>
      </c>
      <c r="Z392" s="41">
        <v>0</v>
      </c>
      <c r="AA392" s="41">
        <v>0</v>
      </c>
      <c r="AB392" s="41">
        <v>1817905</v>
      </c>
      <c r="AC392" s="41">
        <v>61.4</v>
      </c>
      <c r="AD392" s="41" t="s">
        <v>433</v>
      </c>
    </row>
    <row r="393" spans="1:30" x14ac:dyDescent="0.35">
      <c r="A393" s="41">
        <v>467</v>
      </c>
      <c r="B393" s="41">
        <v>2157802</v>
      </c>
      <c r="C393" s="41">
        <v>21578026</v>
      </c>
      <c r="D393" s="41" t="s">
        <v>434</v>
      </c>
      <c r="E393" s="41" t="s">
        <v>453</v>
      </c>
      <c r="F393" s="41">
        <v>817906</v>
      </c>
      <c r="G393" s="41" t="s">
        <v>1972</v>
      </c>
      <c r="H393" s="41">
        <v>90541</v>
      </c>
      <c r="I393" s="41" t="s">
        <v>821</v>
      </c>
      <c r="J393" s="41">
        <v>0</v>
      </c>
      <c r="K393" s="41">
        <v>0</v>
      </c>
      <c r="L393" s="41">
        <v>0</v>
      </c>
      <c r="M393" s="41">
        <v>0</v>
      </c>
      <c r="N393" s="41">
        <v>2809.12</v>
      </c>
      <c r="O393" s="41">
        <v>120.58</v>
      </c>
      <c r="P393" s="41">
        <v>95.77</v>
      </c>
      <c r="Q393" s="41">
        <v>2411.88</v>
      </c>
      <c r="R393" s="41">
        <v>0</v>
      </c>
      <c r="S393" s="41">
        <v>2411.88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180.89</v>
      </c>
      <c r="Z393" s="41">
        <v>0</v>
      </c>
      <c r="AA393" s="41">
        <v>0</v>
      </c>
      <c r="AB393" s="41">
        <v>1817900</v>
      </c>
      <c r="AC393" s="41">
        <v>61.4</v>
      </c>
      <c r="AD393" s="41" t="s">
        <v>433</v>
      </c>
    </row>
    <row r="394" spans="1:30" x14ac:dyDescent="0.35">
      <c r="A394" s="41">
        <v>467</v>
      </c>
      <c r="B394" s="41">
        <v>3252455</v>
      </c>
      <c r="C394" s="41">
        <v>32524555</v>
      </c>
      <c r="D394" s="41" t="s">
        <v>442</v>
      </c>
      <c r="E394" s="41" t="s">
        <v>961</v>
      </c>
      <c r="F394" s="41">
        <v>817906</v>
      </c>
      <c r="G394" s="41" t="s">
        <v>1972</v>
      </c>
      <c r="H394" s="41">
        <v>90541</v>
      </c>
      <c r="I394" s="41" t="s">
        <v>1694</v>
      </c>
      <c r="J394" s="41">
        <v>5</v>
      </c>
      <c r="K394" s="41">
        <v>5</v>
      </c>
      <c r="L394" s="41">
        <v>0</v>
      </c>
      <c r="M394" s="41">
        <v>38.9</v>
      </c>
      <c r="N394" s="41">
        <v>3.33</v>
      </c>
      <c r="O394" s="41">
        <v>0</v>
      </c>
      <c r="P394" s="41">
        <v>1.07</v>
      </c>
      <c r="Q394" s="41">
        <v>0</v>
      </c>
      <c r="R394" s="41">
        <v>0</v>
      </c>
      <c r="S394" s="41">
        <v>0</v>
      </c>
      <c r="T394" s="41">
        <v>0</v>
      </c>
      <c r="U394" s="41">
        <v>0</v>
      </c>
      <c r="V394" s="41">
        <v>0</v>
      </c>
      <c r="W394" s="41">
        <v>0</v>
      </c>
      <c r="X394" s="41">
        <v>0</v>
      </c>
      <c r="Y394" s="41">
        <v>2.2599999999999998</v>
      </c>
      <c r="Z394" s="41">
        <v>0</v>
      </c>
      <c r="AA394" s="41">
        <v>0</v>
      </c>
      <c r="AB394" s="41">
        <v>1817900</v>
      </c>
      <c r="AC394" s="41">
        <v>38.9</v>
      </c>
      <c r="AD394" s="41" t="s">
        <v>433</v>
      </c>
    </row>
    <row r="395" spans="1:30" x14ac:dyDescent="0.35">
      <c r="A395" s="41">
        <v>467</v>
      </c>
      <c r="B395" s="41">
        <v>3982664</v>
      </c>
      <c r="C395" s="41">
        <v>39826649</v>
      </c>
      <c r="D395" s="41" t="s">
        <v>495</v>
      </c>
      <c r="E395" s="41" t="s">
        <v>1825</v>
      </c>
      <c r="F395" s="41">
        <v>817906</v>
      </c>
      <c r="G395" s="41" t="s">
        <v>1972</v>
      </c>
      <c r="H395" s="41">
        <v>90541</v>
      </c>
      <c r="I395" s="41" t="s">
        <v>1694</v>
      </c>
      <c r="J395" s="41">
        <v>5</v>
      </c>
      <c r="K395" s="41">
        <v>5</v>
      </c>
      <c r="L395" s="41">
        <v>0</v>
      </c>
      <c r="M395" s="41">
        <v>52.5</v>
      </c>
      <c r="N395" s="41">
        <v>6117.6</v>
      </c>
      <c r="O395" s="41">
        <v>1061.51</v>
      </c>
      <c r="P395" s="41">
        <v>162.59</v>
      </c>
      <c r="Q395" s="41">
        <v>4550</v>
      </c>
      <c r="R395" s="41">
        <v>0</v>
      </c>
      <c r="S395" s="41">
        <v>0</v>
      </c>
      <c r="T395" s="41">
        <v>0</v>
      </c>
      <c r="U395" s="41">
        <v>0</v>
      </c>
      <c r="V395" s="41">
        <v>0</v>
      </c>
      <c r="W395" s="41">
        <v>0</v>
      </c>
      <c r="X395" s="41">
        <v>4550</v>
      </c>
      <c r="Y395" s="41">
        <v>343.5</v>
      </c>
      <c r="Z395" s="41">
        <v>0</v>
      </c>
      <c r="AA395" s="41">
        <v>0</v>
      </c>
      <c r="AB395" s="41">
        <v>1817900</v>
      </c>
      <c r="AC395" s="41">
        <v>52.5</v>
      </c>
      <c r="AD395" s="41" t="s">
        <v>433</v>
      </c>
    </row>
    <row r="396" spans="1:30" x14ac:dyDescent="0.35">
      <c r="A396" s="41">
        <v>467</v>
      </c>
      <c r="B396" s="41">
        <v>30027164</v>
      </c>
      <c r="C396" s="41">
        <v>300271640</v>
      </c>
      <c r="D396" s="41" t="s">
        <v>448</v>
      </c>
      <c r="E396" s="41" t="s">
        <v>827</v>
      </c>
      <c r="F396" s="41">
        <v>817906</v>
      </c>
      <c r="G396" s="41" t="s">
        <v>1972</v>
      </c>
      <c r="H396" s="41">
        <v>90541</v>
      </c>
      <c r="I396" s="41" t="s">
        <v>1694</v>
      </c>
      <c r="J396" s="41">
        <v>5</v>
      </c>
      <c r="K396" s="41">
        <v>5</v>
      </c>
      <c r="L396" s="41">
        <v>0</v>
      </c>
      <c r="M396" s="41">
        <v>56.2</v>
      </c>
      <c r="N396" s="41">
        <v>6554.35</v>
      </c>
      <c r="O396" s="41">
        <v>1137.32</v>
      </c>
      <c r="P396" s="41">
        <v>174.13</v>
      </c>
      <c r="Q396" s="41">
        <v>4875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4875</v>
      </c>
      <c r="Y396" s="41">
        <v>367.9</v>
      </c>
      <c r="Z396" s="41">
        <v>0</v>
      </c>
      <c r="AA396" s="41">
        <v>0</v>
      </c>
      <c r="AB396" s="41">
        <v>1817900</v>
      </c>
      <c r="AC396" s="41">
        <v>56.2</v>
      </c>
      <c r="AD396" s="41" t="s">
        <v>433</v>
      </c>
    </row>
    <row r="397" spans="1:30" x14ac:dyDescent="0.35">
      <c r="A397" s="41">
        <v>467</v>
      </c>
      <c r="B397" s="41">
        <v>31520162</v>
      </c>
      <c r="C397" s="41">
        <v>315201624</v>
      </c>
      <c r="D397" s="41" t="s">
        <v>434</v>
      </c>
      <c r="E397" s="41" t="s">
        <v>1833</v>
      </c>
      <c r="F397" s="41">
        <v>817906</v>
      </c>
      <c r="G397" s="41" t="s">
        <v>1972</v>
      </c>
      <c r="H397" s="41">
        <v>90541</v>
      </c>
      <c r="I397" s="41" t="s">
        <v>1694</v>
      </c>
      <c r="J397" s="41">
        <v>5</v>
      </c>
      <c r="K397" s="41">
        <v>6</v>
      </c>
      <c r="L397" s="41">
        <v>0</v>
      </c>
      <c r="M397" s="41">
        <v>71.2</v>
      </c>
      <c r="N397" s="41">
        <v>6285.61</v>
      </c>
      <c r="O397" s="41">
        <v>1090.68</v>
      </c>
      <c r="P397" s="41">
        <v>167.03</v>
      </c>
      <c r="Q397" s="41">
        <v>4675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4675</v>
      </c>
      <c r="Y397" s="41">
        <v>352.9</v>
      </c>
      <c r="Z397" s="41">
        <v>0</v>
      </c>
      <c r="AA397" s="41">
        <v>0</v>
      </c>
      <c r="AB397" s="41">
        <v>1817900</v>
      </c>
      <c r="AC397" s="41">
        <v>71.2</v>
      </c>
      <c r="AD397" s="41" t="s">
        <v>433</v>
      </c>
    </row>
    <row r="398" spans="1:30" x14ac:dyDescent="0.35">
      <c r="A398" s="41">
        <v>467</v>
      </c>
      <c r="B398" s="41">
        <v>3691853</v>
      </c>
      <c r="C398" s="41">
        <v>36918530</v>
      </c>
      <c r="D398" s="41" t="s">
        <v>954</v>
      </c>
      <c r="E398" s="41" t="s">
        <v>443</v>
      </c>
      <c r="F398" s="41">
        <v>817913</v>
      </c>
      <c r="G398" s="41" t="s">
        <v>1972</v>
      </c>
      <c r="H398" s="41">
        <v>90541</v>
      </c>
      <c r="I398" s="41" t="s">
        <v>819</v>
      </c>
      <c r="J398" s="41">
        <v>3</v>
      </c>
      <c r="K398" s="41">
        <v>1</v>
      </c>
      <c r="L398" s="41">
        <v>0</v>
      </c>
      <c r="M398" s="41">
        <v>100</v>
      </c>
      <c r="N398" s="41">
        <v>19648.37</v>
      </c>
      <c r="O398" s="41">
        <v>2887.86</v>
      </c>
      <c r="P398" s="41">
        <v>822.16</v>
      </c>
      <c r="Q398" s="41">
        <v>14826.35</v>
      </c>
      <c r="R398" s="41">
        <v>0</v>
      </c>
      <c r="S398" s="41">
        <v>0</v>
      </c>
      <c r="T398" s="41">
        <v>0</v>
      </c>
      <c r="U398" s="41">
        <v>551.21</v>
      </c>
      <c r="V398" s="41">
        <v>137</v>
      </c>
      <c r="W398" s="41">
        <v>4488.2299999999996</v>
      </c>
      <c r="X398" s="41">
        <v>9649.91</v>
      </c>
      <c r="Y398" s="41">
        <v>1112</v>
      </c>
      <c r="Z398" s="41">
        <v>0</v>
      </c>
      <c r="AA398" s="41">
        <v>0</v>
      </c>
      <c r="AB398" s="41">
        <v>1817913</v>
      </c>
      <c r="AC398" s="41">
        <v>71.2</v>
      </c>
      <c r="AD398" s="41" t="s">
        <v>433</v>
      </c>
    </row>
    <row r="399" spans="1:30" x14ac:dyDescent="0.35">
      <c r="A399" s="41">
        <v>467</v>
      </c>
      <c r="B399" s="41">
        <v>6591799</v>
      </c>
      <c r="C399" s="41">
        <v>65917999</v>
      </c>
      <c r="D399" s="41" t="s">
        <v>1883</v>
      </c>
      <c r="E399" s="41" t="s">
        <v>443</v>
      </c>
      <c r="F399" s="41">
        <v>817913</v>
      </c>
      <c r="G399" s="41" t="s">
        <v>1972</v>
      </c>
      <c r="H399" s="41">
        <v>90541</v>
      </c>
      <c r="I399" s="41" t="s">
        <v>1694</v>
      </c>
      <c r="J399" s="41">
        <v>5</v>
      </c>
      <c r="K399" s="41">
        <v>6</v>
      </c>
      <c r="L399" s="41">
        <v>0</v>
      </c>
      <c r="M399" s="41">
        <v>27.9</v>
      </c>
      <c r="N399" s="41">
        <v>7117.14</v>
      </c>
      <c r="O399" s="41">
        <v>1165.32</v>
      </c>
      <c r="P399" s="41">
        <v>191.22</v>
      </c>
      <c r="Q399" s="41">
        <v>5356.6</v>
      </c>
      <c r="R399" s="41">
        <v>0</v>
      </c>
      <c r="S399" s="41">
        <v>0</v>
      </c>
      <c r="T399" s="41">
        <v>0</v>
      </c>
      <c r="U399" s="41">
        <v>0</v>
      </c>
      <c r="V399" s="41">
        <v>361.6</v>
      </c>
      <c r="W399" s="41">
        <v>0</v>
      </c>
      <c r="X399" s="41">
        <v>4995</v>
      </c>
      <c r="Y399" s="41">
        <v>404</v>
      </c>
      <c r="Z399" s="41">
        <v>0</v>
      </c>
      <c r="AA399" s="41">
        <v>0</v>
      </c>
      <c r="AB399" s="41">
        <v>1817913</v>
      </c>
      <c r="AC399" s="41">
        <v>27.9</v>
      </c>
      <c r="AD399" s="41" t="s">
        <v>433</v>
      </c>
    </row>
    <row r="400" spans="1:30" x14ac:dyDescent="0.35">
      <c r="A400" s="41">
        <v>467</v>
      </c>
      <c r="B400" s="41">
        <v>20376094</v>
      </c>
      <c r="C400" s="41">
        <v>203760947</v>
      </c>
      <c r="D400" s="41" t="s">
        <v>1884</v>
      </c>
      <c r="E400" s="41" t="s">
        <v>449</v>
      </c>
      <c r="F400" s="41">
        <v>817913</v>
      </c>
      <c r="G400" s="41" t="s">
        <v>1972</v>
      </c>
      <c r="H400" s="41">
        <v>90541</v>
      </c>
      <c r="I400" s="41" t="s">
        <v>1694</v>
      </c>
      <c r="J400" s="41">
        <v>15</v>
      </c>
      <c r="K400" s="41">
        <v>4</v>
      </c>
      <c r="L400" s="41">
        <v>2</v>
      </c>
      <c r="M400" s="41">
        <v>25.9</v>
      </c>
      <c r="N400" s="41">
        <v>7887.37</v>
      </c>
      <c r="O400" s="41">
        <v>1307.6300000000001</v>
      </c>
      <c r="P400" s="41">
        <v>210.34</v>
      </c>
      <c r="Q400" s="41">
        <v>5925</v>
      </c>
      <c r="R400" s="41">
        <v>0</v>
      </c>
      <c r="S400" s="41">
        <v>0</v>
      </c>
      <c r="T400" s="41">
        <v>0</v>
      </c>
      <c r="U400" s="41">
        <v>0</v>
      </c>
      <c r="V400" s="41">
        <v>320</v>
      </c>
      <c r="W400" s="41">
        <v>0</v>
      </c>
      <c r="X400" s="41">
        <v>5605</v>
      </c>
      <c r="Y400" s="41">
        <v>444.4</v>
      </c>
      <c r="Z400" s="41">
        <v>0</v>
      </c>
      <c r="AA400" s="41">
        <v>0</v>
      </c>
      <c r="AB400" s="41">
        <v>1817913</v>
      </c>
      <c r="AC400" s="41">
        <v>25.9</v>
      </c>
      <c r="AD400" s="41" t="s">
        <v>433</v>
      </c>
    </row>
    <row r="401" spans="1:30" x14ac:dyDescent="0.35">
      <c r="A401" s="41">
        <v>467</v>
      </c>
      <c r="B401" s="41">
        <v>20822222</v>
      </c>
      <c r="C401" s="41">
        <v>208222224</v>
      </c>
      <c r="D401" s="41" t="s">
        <v>444</v>
      </c>
      <c r="E401" s="41" t="s">
        <v>844</v>
      </c>
      <c r="F401" s="41">
        <v>817913</v>
      </c>
      <c r="G401" s="41" t="s">
        <v>1972</v>
      </c>
      <c r="H401" s="41">
        <v>90541</v>
      </c>
      <c r="I401" s="41" t="s">
        <v>1694</v>
      </c>
      <c r="J401" s="41">
        <v>5</v>
      </c>
      <c r="K401" s="41">
        <v>6</v>
      </c>
      <c r="L401" s="41">
        <v>0</v>
      </c>
      <c r="M401" s="41">
        <v>35.1</v>
      </c>
      <c r="N401" s="41">
        <v>10327.67</v>
      </c>
      <c r="O401" s="41">
        <v>1721.75</v>
      </c>
      <c r="P401" s="41">
        <v>283.72000000000003</v>
      </c>
      <c r="Q401" s="41">
        <v>7741.6</v>
      </c>
      <c r="R401" s="41">
        <v>0</v>
      </c>
      <c r="S401" s="41">
        <v>0</v>
      </c>
      <c r="T401" s="41">
        <v>0</v>
      </c>
      <c r="U401" s="41">
        <v>0</v>
      </c>
      <c r="V401" s="41">
        <v>361.6</v>
      </c>
      <c r="W401" s="41">
        <v>0</v>
      </c>
      <c r="X401" s="41">
        <v>7380</v>
      </c>
      <c r="Y401" s="41">
        <v>580.6</v>
      </c>
      <c r="Z401" s="41">
        <v>0</v>
      </c>
      <c r="AA401" s="41">
        <v>0</v>
      </c>
      <c r="AB401" s="41">
        <v>1817913</v>
      </c>
      <c r="AC401" s="41">
        <v>35.1</v>
      </c>
      <c r="AD401" s="41" t="s">
        <v>433</v>
      </c>
    </row>
    <row r="402" spans="1:30" x14ac:dyDescent="0.35">
      <c r="A402" s="41">
        <v>467</v>
      </c>
      <c r="B402" s="41">
        <v>30157844</v>
      </c>
      <c r="C402" s="41">
        <v>301578449</v>
      </c>
      <c r="D402" s="41" t="s">
        <v>1885</v>
      </c>
      <c r="E402" s="41" t="s">
        <v>1865</v>
      </c>
      <c r="F402" s="41">
        <v>817913</v>
      </c>
      <c r="G402" s="41" t="s">
        <v>1972</v>
      </c>
      <c r="H402" s="41">
        <v>90541</v>
      </c>
      <c r="I402" s="41" t="s">
        <v>1694</v>
      </c>
      <c r="J402" s="41">
        <v>5</v>
      </c>
      <c r="K402" s="41">
        <v>5</v>
      </c>
      <c r="L402" s="41">
        <v>0</v>
      </c>
      <c r="M402" s="41">
        <v>5.7</v>
      </c>
      <c r="N402" s="41">
        <v>3080.34</v>
      </c>
      <c r="O402" s="41">
        <v>480.01</v>
      </c>
      <c r="P402" s="41">
        <v>83.13</v>
      </c>
      <c r="Q402" s="41">
        <v>2341.6</v>
      </c>
      <c r="R402" s="41">
        <v>0</v>
      </c>
      <c r="S402" s="41">
        <v>0</v>
      </c>
      <c r="T402" s="41">
        <v>0</v>
      </c>
      <c r="U402" s="41">
        <v>0</v>
      </c>
      <c r="V402" s="41">
        <v>361.6</v>
      </c>
      <c r="W402" s="41">
        <v>0</v>
      </c>
      <c r="X402" s="41">
        <v>1980</v>
      </c>
      <c r="Y402" s="41">
        <v>175.6</v>
      </c>
      <c r="Z402" s="41">
        <v>0</v>
      </c>
      <c r="AA402" s="41">
        <v>0</v>
      </c>
      <c r="AB402" s="41">
        <v>1817913</v>
      </c>
      <c r="AC402" s="41">
        <v>5.7</v>
      </c>
      <c r="AD402" s="41" t="s">
        <v>433</v>
      </c>
    </row>
    <row r="403" spans="1:30" x14ac:dyDescent="0.35">
      <c r="A403" s="41">
        <v>467</v>
      </c>
      <c r="B403" s="41">
        <v>31380604</v>
      </c>
      <c r="C403" s="41">
        <v>313806044</v>
      </c>
      <c r="D403" s="41" t="s">
        <v>486</v>
      </c>
      <c r="E403" s="41" t="s">
        <v>907</v>
      </c>
      <c r="F403" s="41">
        <v>817913</v>
      </c>
      <c r="G403" s="41" t="s">
        <v>1972</v>
      </c>
      <c r="H403" s="41">
        <v>90541</v>
      </c>
      <c r="I403" s="41" t="s">
        <v>819</v>
      </c>
      <c r="J403" s="41">
        <v>15</v>
      </c>
      <c r="K403" s="41">
        <v>3</v>
      </c>
      <c r="L403" s="41">
        <v>2</v>
      </c>
      <c r="M403" s="41">
        <v>75</v>
      </c>
      <c r="N403" s="41">
        <v>10988.51</v>
      </c>
      <c r="O403" s="41">
        <v>1530.57</v>
      </c>
      <c r="P403" s="41">
        <v>341.96</v>
      </c>
      <c r="Q403" s="41">
        <v>8477.8799999999992</v>
      </c>
      <c r="R403" s="41">
        <v>0</v>
      </c>
      <c r="S403" s="41">
        <v>0</v>
      </c>
      <c r="T403" s="41">
        <v>0</v>
      </c>
      <c r="U403" s="41">
        <v>1578.31</v>
      </c>
      <c r="V403" s="41">
        <v>339</v>
      </c>
      <c r="W403" s="41">
        <v>0</v>
      </c>
      <c r="X403" s="41">
        <v>6560.57</v>
      </c>
      <c r="Y403" s="41">
        <v>638.1</v>
      </c>
      <c r="Z403" s="41">
        <v>0</v>
      </c>
      <c r="AA403" s="41">
        <v>0</v>
      </c>
      <c r="AB403" s="41">
        <v>1817913</v>
      </c>
      <c r="AC403" s="41">
        <v>5.7</v>
      </c>
      <c r="AD403" s="41" t="s">
        <v>433</v>
      </c>
    </row>
    <row r="404" spans="1:30" x14ac:dyDescent="0.35">
      <c r="A404" s="41">
        <v>467</v>
      </c>
      <c r="B404" s="41">
        <v>31581612</v>
      </c>
      <c r="C404" s="41">
        <v>315816124</v>
      </c>
      <c r="D404" s="41" t="s">
        <v>846</v>
      </c>
      <c r="E404" s="41" t="s">
        <v>847</v>
      </c>
      <c r="F404" s="41">
        <v>817913</v>
      </c>
      <c r="G404" s="41" t="s">
        <v>1972</v>
      </c>
      <c r="H404" s="41">
        <v>90541</v>
      </c>
      <c r="I404" s="41" t="s">
        <v>1694</v>
      </c>
      <c r="J404" s="41">
        <v>0</v>
      </c>
      <c r="K404" s="41">
        <v>0</v>
      </c>
      <c r="L404" s="41">
        <v>0</v>
      </c>
      <c r="M404" s="41">
        <v>28.2</v>
      </c>
      <c r="N404" s="41">
        <v>5369.43</v>
      </c>
      <c r="O404" s="41">
        <v>895.87</v>
      </c>
      <c r="P404" s="41">
        <v>145.71</v>
      </c>
      <c r="Q404" s="41">
        <v>4020</v>
      </c>
      <c r="R404" s="41">
        <v>0</v>
      </c>
      <c r="S404" s="41">
        <v>0</v>
      </c>
      <c r="T404" s="41">
        <v>0</v>
      </c>
      <c r="U404" s="41">
        <v>0</v>
      </c>
      <c r="V404" s="41">
        <v>180</v>
      </c>
      <c r="W404" s="41">
        <v>0</v>
      </c>
      <c r="X404" s="41">
        <v>3840</v>
      </c>
      <c r="Y404" s="41">
        <v>307.85000000000002</v>
      </c>
      <c r="Z404" s="41">
        <v>0</v>
      </c>
      <c r="AA404" s="41">
        <v>0</v>
      </c>
      <c r="AB404" s="41">
        <v>1817913</v>
      </c>
      <c r="AC404" s="41">
        <v>28.2</v>
      </c>
      <c r="AD404" s="41" t="s">
        <v>433</v>
      </c>
    </row>
    <row r="405" spans="1:30" x14ac:dyDescent="0.35">
      <c r="A405" s="41">
        <v>467</v>
      </c>
      <c r="B405" s="41">
        <v>3671125</v>
      </c>
      <c r="C405" s="41">
        <v>36711257</v>
      </c>
      <c r="D405" s="41" t="s">
        <v>442</v>
      </c>
      <c r="E405" s="41" t="s">
        <v>492</v>
      </c>
      <c r="F405" s="41">
        <v>817916</v>
      </c>
      <c r="G405" s="41" t="s">
        <v>1972</v>
      </c>
      <c r="H405" s="41">
        <v>90541</v>
      </c>
      <c r="I405" s="41" t="s">
        <v>1694</v>
      </c>
      <c r="J405" s="41">
        <v>5</v>
      </c>
      <c r="K405" s="41">
        <v>5</v>
      </c>
      <c r="L405" s="41">
        <v>0</v>
      </c>
      <c r="M405" s="41">
        <v>39.200000000000003</v>
      </c>
      <c r="N405" s="41">
        <v>6070.66</v>
      </c>
      <c r="O405" s="41">
        <v>1053.26</v>
      </c>
      <c r="P405" s="41">
        <v>265.89999999999998</v>
      </c>
      <c r="Q405" s="41">
        <v>4420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1">
        <v>4420</v>
      </c>
      <c r="Y405" s="41">
        <v>331.5</v>
      </c>
      <c r="Z405" s="41">
        <v>0</v>
      </c>
      <c r="AA405" s="41">
        <v>0</v>
      </c>
      <c r="AB405" s="41">
        <v>1817916</v>
      </c>
      <c r="AC405" s="41">
        <v>39.200000000000003</v>
      </c>
      <c r="AD405" s="41" t="s">
        <v>433</v>
      </c>
    </row>
    <row r="406" spans="1:30" x14ac:dyDescent="0.35">
      <c r="A406" s="41">
        <v>467</v>
      </c>
      <c r="B406" s="41">
        <v>20641821</v>
      </c>
      <c r="C406" s="41">
        <v>206418212</v>
      </c>
      <c r="D406" s="41" t="s">
        <v>434</v>
      </c>
      <c r="E406" s="41" t="s">
        <v>950</v>
      </c>
      <c r="F406" s="41">
        <v>817916</v>
      </c>
      <c r="G406" s="41" t="s">
        <v>1972</v>
      </c>
      <c r="H406" s="41">
        <v>90541</v>
      </c>
      <c r="I406" s="41" t="s">
        <v>1694</v>
      </c>
      <c r="J406" s="41">
        <v>5</v>
      </c>
      <c r="K406" s="41">
        <v>5</v>
      </c>
      <c r="L406" s="41">
        <v>0</v>
      </c>
      <c r="M406" s="41">
        <v>19.899999999999999</v>
      </c>
      <c r="N406" s="41">
        <v>4303.22</v>
      </c>
      <c r="O406" s="41">
        <v>0</v>
      </c>
      <c r="P406" s="41">
        <v>137.57</v>
      </c>
      <c r="Q406" s="41">
        <v>3875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3875</v>
      </c>
      <c r="Y406" s="41">
        <v>290.64999999999998</v>
      </c>
      <c r="Z406" s="41">
        <v>0</v>
      </c>
      <c r="AA406" s="41">
        <v>0</v>
      </c>
      <c r="AB406" s="41">
        <v>1817916</v>
      </c>
      <c r="AC406" s="41">
        <v>19.899999999999999</v>
      </c>
      <c r="AD406" s="41" t="s">
        <v>433</v>
      </c>
    </row>
    <row r="407" spans="1:30" x14ac:dyDescent="0.35">
      <c r="A407" s="41">
        <v>467</v>
      </c>
      <c r="B407" s="41">
        <v>20680534</v>
      </c>
      <c r="C407" s="41">
        <v>206805343</v>
      </c>
      <c r="D407" s="41" t="s">
        <v>442</v>
      </c>
      <c r="E407" s="41" t="s">
        <v>443</v>
      </c>
      <c r="F407" s="41">
        <v>817916</v>
      </c>
      <c r="G407" s="41" t="s">
        <v>1972</v>
      </c>
      <c r="H407" s="41">
        <v>90541</v>
      </c>
      <c r="I407" s="41" t="s">
        <v>1694</v>
      </c>
      <c r="J407" s="41">
        <v>5</v>
      </c>
      <c r="K407" s="41">
        <v>6</v>
      </c>
      <c r="L407" s="41">
        <v>0</v>
      </c>
      <c r="M407" s="41">
        <v>37.5</v>
      </c>
      <c r="N407" s="41">
        <v>3609.13</v>
      </c>
      <c r="O407" s="41">
        <v>0</v>
      </c>
      <c r="P407" s="41">
        <v>115.38</v>
      </c>
      <c r="Q407" s="41">
        <v>3250</v>
      </c>
      <c r="R407" s="41">
        <v>0</v>
      </c>
      <c r="S407" s="41">
        <v>0</v>
      </c>
      <c r="T407" s="41">
        <v>0</v>
      </c>
      <c r="U407" s="41">
        <v>0</v>
      </c>
      <c r="V407" s="41">
        <v>0</v>
      </c>
      <c r="W407" s="41">
        <v>0</v>
      </c>
      <c r="X407" s="41">
        <v>3250</v>
      </c>
      <c r="Y407" s="41">
        <v>243.75</v>
      </c>
      <c r="Z407" s="41">
        <v>0</v>
      </c>
      <c r="AA407" s="41">
        <v>0</v>
      </c>
      <c r="AB407" s="41">
        <v>1817916</v>
      </c>
      <c r="AC407" s="41">
        <v>37.5</v>
      </c>
      <c r="AD407" s="41" t="s">
        <v>433</v>
      </c>
    </row>
    <row r="408" spans="1:30" x14ac:dyDescent="0.35">
      <c r="A408" s="41">
        <v>467</v>
      </c>
      <c r="B408" s="41">
        <v>20680561</v>
      </c>
      <c r="C408" s="41">
        <v>206805616</v>
      </c>
      <c r="D408" s="41" t="s">
        <v>434</v>
      </c>
      <c r="E408" s="41" t="s">
        <v>1768</v>
      </c>
      <c r="F408" s="41">
        <v>817916</v>
      </c>
      <c r="G408" s="41" t="s">
        <v>1972</v>
      </c>
      <c r="H408" s="41">
        <v>90541</v>
      </c>
      <c r="I408" s="41" t="s">
        <v>1694</v>
      </c>
      <c r="J408" s="41">
        <v>5</v>
      </c>
      <c r="K408" s="41">
        <v>6</v>
      </c>
      <c r="L408" s="41">
        <v>0</v>
      </c>
      <c r="M408" s="41">
        <v>50.7</v>
      </c>
      <c r="N408" s="41">
        <v>2079.02</v>
      </c>
      <c r="O408" s="41">
        <v>221.61</v>
      </c>
      <c r="P408" s="41">
        <v>62.19</v>
      </c>
      <c r="Q408" s="41">
        <v>1670</v>
      </c>
      <c r="R408" s="41">
        <v>0</v>
      </c>
      <c r="S408" s="41">
        <v>0</v>
      </c>
      <c r="T408" s="41">
        <v>0</v>
      </c>
      <c r="U408" s="41">
        <v>0</v>
      </c>
      <c r="V408" s="41">
        <v>270</v>
      </c>
      <c r="W408" s="41">
        <v>0</v>
      </c>
      <c r="X408" s="41">
        <v>1400</v>
      </c>
      <c r="Y408" s="41">
        <v>125.22</v>
      </c>
      <c r="Z408" s="41">
        <v>0</v>
      </c>
      <c r="AA408" s="41">
        <v>0</v>
      </c>
      <c r="AB408" s="41">
        <v>1817916</v>
      </c>
      <c r="AC408" s="41">
        <v>50.7</v>
      </c>
      <c r="AD408" s="41" t="s">
        <v>433</v>
      </c>
    </row>
    <row r="409" spans="1:30" x14ac:dyDescent="0.35">
      <c r="A409" s="41">
        <v>467</v>
      </c>
      <c r="B409" s="41">
        <v>20715386</v>
      </c>
      <c r="C409" s="41">
        <v>207153867</v>
      </c>
      <c r="D409" s="41" t="s">
        <v>545</v>
      </c>
      <c r="E409" s="41" t="s">
        <v>478</v>
      </c>
      <c r="F409" s="41">
        <v>817916</v>
      </c>
      <c r="G409" s="41" t="s">
        <v>1972</v>
      </c>
      <c r="H409" s="41">
        <v>90541</v>
      </c>
      <c r="I409" s="41" t="s">
        <v>1694</v>
      </c>
      <c r="J409" s="41">
        <v>5</v>
      </c>
      <c r="K409" s="41">
        <v>5</v>
      </c>
      <c r="L409" s="41">
        <v>0</v>
      </c>
      <c r="M409" s="41">
        <v>12.1</v>
      </c>
      <c r="N409" s="41">
        <v>1166.03</v>
      </c>
      <c r="O409" s="41">
        <v>0</v>
      </c>
      <c r="P409" s="41">
        <v>37.28</v>
      </c>
      <c r="Q409" s="41">
        <v>1050</v>
      </c>
      <c r="R409" s="41">
        <v>0</v>
      </c>
      <c r="S409" s="41">
        <v>0</v>
      </c>
      <c r="T409" s="41">
        <v>0</v>
      </c>
      <c r="U409" s="41">
        <v>0</v>
      </c>
      <c r="V409" s="41">
        <v>0</v>
      </c>
      <c r="W409" s="41">
        <v>0</v>
      </c>
      <c r="X409" s="41">
        <v>1050</v>
      </c>
      <c r="Y409" s="41">
        <v>78.75</v>
      </c>
      <c r="Z409" s="41">
        <v>0</v>
      </c>
      <c r="AA409" s="41">
        <v>0</v>
      </c>
      <c r="AB409" s="41">
        <v>1817916</v>
      </c>
      <c r="AC409" s="41">
        <v>12.1</v>
      </c>
      <c r="AD409" s="41" t="s">
        <v>433</v>
      </c>
    </row>
    <row r="410" spans="1:30" x14ac:dyDescent="0.35">
      <c r="A410" s="41">
        <v>467</v>
      </c>
      <c r="B410" s="41">
        <v>30849933</v>
      </c>
      <c r="C410" s="41">
        <v>308499334</v>
      </c>
      <c r="D410" s="41" t="s">
        <v>1744</v>
      </c>
      <c r="E410" s="41" t="s">
        <v>918</v>
      </c>
      <c r="F410" s="41">
        <v>817916</v>
      </c>
      <c r="G410" s="41" t="s">
        <v>1972</v>
      </c>
      <c r="H410" s="41">
        <v>90541</v>
      </c>
      <c r="I410" s="41" t="s">
        <v>1694</v>
      </c>
      <c r="J410" s="41">
        <v>5</v>
      </c>
      <c r="K410" s="41">
        <v>5</v>
      </c>
      <c r="L410" s="41">
        <v>0</v>
      </c>
      <c r="M410" s="41">
        <v>31.1</v>
      </c>
      <c r="N410" s="41">
        <v>4720.05</v>
      </c>
      <c r="O410" s="41">
        <v>818.88</v>
      </c>
      <c r="P410" s="41">
        <v>125.67</v>
      </c>
      <c r="Q410" s="41">
        <v>3510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  <c r="X410" s="41">
        <v>3510</v>
      </c>
      <c r="Y410" s="41">
        <v>265.5</v>
      </c>
      <c r="Z410" s="41">
        <v>0</v>
      </c>
      <c r="AA410" s="41">
        <v>0</v>
      </c>
      <c r="AB410" s="41">
        <v>1817916</v>
      </c>
      <c r="AC410" s="41">
        <v>31.1</v>
      </c>
      <c r="AD410" s="41" t="s">
        <v>433</v>
      </c>
    </row>
    <row r="411" spans="1:30" x14ac:dyDescent="0.35">
      <c r="A411" s="41">
        <v>467</v>
      </c>
      <c r="B411" s="41">
        <v>32920122</v>
      </c>
      <c r="C411" s="41">
        <v>329201222</v>
      </c>
      <c r="D411" s="41" t="s">
        <v>442</v>
      </c>
      <c r="E411" s="41" t="s">
        <v>443</v>
      </c>
      <c r="F411" s="41">
        <v>817916</v>
      </c>
      <c r="G411" s="41" t="s">
        <v>1972</v>
      </c>
      <c r="H411" s="41">
        <v>90541</v>
      </c>
      <c r="I411" s="41" t="s">
        <v>821</v>
      </c>
      <c r="J411" s="41">
        <v>0</v>
      </c>
      <c r="K411" s="41">
        <v>0</v>
      </c>
      <c r="L411" s="41">
        <v>0</v>
      </c>
      <c r="M411" s="41">
        <v>0</v>
      </c>
      <c r="N411" s="41">
        <v>2248.7600000000002</v>
      </c>
      <c r="O411" s="41">
        <v>0</v>
      </c>
      <c r="P411" s="41">
        <v>71.88</v>
      </c>
      <c r="Q411" s="41">
        <v>2025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2025</v>
      </c>
      <c r="Y411" s="41">
        <v>151.88</v>
      </c>
      <c r="Z411" s="41">
        <v>0</v>
      </c>
      <c r="AA411" s="41">
        <v>0</v>
      </c>
      <c r="AB411" s="41">
        <v>1817916</v>
      </c>
      <c r="AC411" s="41">
        <v>31.1</v>
      </c>
      <c r="AD411" s="41" t="s">
        <v>433</v>
      </c>
    </row>
    <row r="412" spans="1:30" x14ac:dyDescent="0.35">
      <c r="A412" s="41">
        <v>467</v>
      </c>
      <c r="B412" s="41">
        <v>2156406</v>
      </c>
      <c r="C412" s="41">
        <v>21564067</v>
      </c>
      <c r="D412" s="41" t="s">
        <v>442</v>
      </c>
      <c r="E412" s="41" t="s">
        <v>493</v>
      </c>
      <c r="F412" s="41">
        <v>817917</v>
      </c>
      <c r="G412" s="41" t="s">
        <v>1972</v>
      </c>
      <c r="H412" s="41">
        <v>90541</v>
      </c>
      <c r="I412" s="41" t="s">
        <v>1694</v>
      </c>
      <c r="J412" s="41">
        <v>5</v>
      </c>
      <c r="K412" s="41">
        <v>5</v>
      </c>
      <c r="L412" s="41">
        <v>0</v>
      </c>
      <c r="M412" s="41">
        <v>9.1999999999999993</v>
      </c>
      <c r="N412" s="41">
        <v>4155.45</v>
      </c>
      <c r="O412" s="41">
        <v>724.41</v>
      </c>
      <c r="P412" s="41">
        <v>163.05000000000001</v>
      </c>
      <c r="Q412" s="41">
        <v>3040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3040</v>
      </c>
      <c r="Y412" s="41">
        <v>227.99</v>
      </c>
      <c r="Z412" s="41">
        <v>0</v>
      </c>
      <c r="AA412" s="41">
        <v>0</v>
      </c>
      <c r="AB412" s="41">
        <v>1817917</v>
      </c>
      <c r="AC412" s="41">
        <v>9.1999999999999993</v>
      </c>
      <c r="AD412" s="41" t="s">
        <v>433</v>
      </c>
    </row>
    <row r="413" spans="1:30" x14ac:dyDescent="0.35">
      <c r="A413" s="41">
        <v>467</v>
      </c>
      <c r="B413" s="41">
        <v>2186203</v>
      </c>
      <c r="C413" s="41">
        <v>21862032</v>
      </c>
      <c r="D413" s="41" t="s">
        <v>894</v>
      </c>
      <c r="E413" s="41" t="s">
        <v>895</v>
      </c>
      <c r="F413" s="41">
        <v>817917</v>
      </c>
      <c r="G413" s="41" t="s">
        <v>1972</v>
      </c>
      <c r="H413" s="41">
        <v>90541</v>
      </c>
      <c r="I413" s="41" t="s">
        <v>821</v>
      </c>
      <c r="J413" s="41">
        <v>0</v>
      </c>
      <c r="K413" s="41">
        <v>0</v>
      </c>
      <c r="L413" s="41">
        <v>0</v>
      </c>
      <c r="M413" s="41">
        <v>0</v>
      </c>
      <c r="N413" s="41">
        <v>4689.51</v>
      </c>
      <c r="O413" s="41">
        <v>814.97</v>
      </c>
      <c r="P413" s="41">
        <v>198.04</v>
      </c>
      <c r="Q413" s="41">
        <v>3420</v>
      </c>
      <c r="R413" s="41">
        <v>0</v>
      </c>
      <c r="S413" s="41">
        <v>0</v>
      </c>
      <c r="T413" s="41">
        <v>0</v>
      </c>
      <c r="U413" s="41">
        <v>0</v>
      </c>
      <c r="V413" s="41">
        <v>0</v>
      </c>
      <c r="W413" s="41">
        <v>0</v>
      </c>
      <c r="X413" s="41">
        <v>3420</v>
      </c>
      <c r="Y413" s="41">
        <v>256.5</v>
      </c>
      <c r="Z413" s="41">
        <v>0</v>
      </c>
      <c r="AA413" s="41">
        <v>0</v>
      </c>
      <c r="AB413" s="41">
        <v>1817917</v>
      </c>
      <c r="AC413" s="41">
        <v>9.1999999999999993</v>
      </c>
      <c r="AD413" s="41" t="s">
        <v>433</v>
      </c>
    </row>
    <row r="414" spans="1:30" x14ac:dyDescent="0.35">
      <c r="A414" s="41">
        <v>467</v>
      </c>
      <c r="B414" s="41">
        <v>3671125</v>
      </c>
      <c r="C414" s="41">
        <v>36711257</v>
      </c>
      <c r="D414" s="41" t="s">
        <v>442</v>
      </c>
      <c r="E414" s="41" t="s">
        <v>492</v>
      </c>
      <c r="F414" s="41">
        <v>817917</v>
      </c>
      <c r="G414" s="41" t="s">
        <v>1972</v>
      </c>
      <c r="H414" s="41">
        <v>90541</v>
      </c>
      <c r="I414" s="41" t="s">
        <v>1694</v>
      </c>
      <c r="J414" s="41">
        <v>5</v>
      </c>
      <c r="K414" s="41">
        <v>5</v>
      </c>
      <c r="L414" s="41">
        <v>0</v>
      </c>
      <c r="M414" s="41">
        <v>16.100000000000001</v>
      </c>
      <c r="N414" s="41">
        <v>7306.77</v>
      </c>
      <c r="O414" s="41">
        <v>1267.73</v>
      </c>
      <c r="P414" s="41">
        <v>320.04000000000002</v>
      </c>
      <c r="Q414" s="41">
        <v>5320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5320</v>
      </c>
      <c r="Y414" s="41">
        <v>399</v>
      </c>
      <c r="Z414" s="41">
        <v>0</v>
      </c>
      <c r="AA414" s="41">
        <v>0</v>
      </c>
      <c r="AB414" s="41">
        <v>1817917</v>
      </c>
      <c r="AC414" s="41">
        <v>16.100000000000001</v>
      </c>
      <c r="AD414" s="41" t="s">
        <v>433</v>
      </c>
    </row>
    <row r="415" spans="1:30" x14ac:dyDescent="0.35">
      <c r="A415" s="41">
        <v>467</v>
      </c>
      <c r="B415" s="41">
        <v>4007066</v>
      </c>
      <c r="C415" s="41">
        <v>40070666</v>
      </c>
      <c r="D415" s="41" t="s">
        <v>1886</v>
      </c>
      <c r="E415" s="41" t="s">
        <v>1887</v>
      </c>
      <c r="F415" s="41">
        <v>817917</v>
      </c>
      <c r="G415" s="41" t="s">
        <v>1972</v>
      </c>
      <c r="H415" s="41">
        <v>90541</v>
      </c>
      <c r="I415" s="41" t="s">
        <v>1694</v>
      </c>
      <c r="J415" s="41">
        <v>5</v>
      </c>
      <c r="K415" s="41">
        <v>6</v>
      </c>
      <c r="L415" s="41">
        <v>0</v>
      </c>
      <c r="M415" s="41">
        <v>2.8</v>
      </c>
      <c r="N415" s="41">
        <v>499.73</v>
      </c>
      <c r="O415" s="41">
        <v>0</v>
      </c>
      <c r="P415" s="41">
        <v>15.98</v>
      </c>
      <c r="Q415" s="41">
        <v>450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450</v>
      </c>
      <c r="Y415" s="41">
        <v>33.75</v>
      </c>
      <c r="Z415" s="41">
        <v>0</v>
      </c>
      <c r="AA415" s="41">
        <v>0</v>
      </c>
      <c r="AB415" s="41">
        <v>1817917</v>
      </c>
      <c r="AC415" s="41">
        <v>2.8</v>
      </c>
      <c r="AD415" s="41" t="s">
        <v>433</v>
      </c>
    </row>
    <row r="416" spans="1:30" x14ac:dyDescent="0.35">
      <c r="A416" s="41">
        <v>467</v>
      </c>
      <c r="B416" s="41">
        <v>5998538</v>
      </c>
      <c r="C416" s="41">
        <v>59985382</v>
      </c>
      <c r="D416" s="41" t="s">
        <v>1787</v>
      </c>
      <c r="E416" s="41" t="s">
        <v>1788</v>
      </c>
      <c r="F416" s="41">
        <v>817917</v>
      </c>
      <c r="G416" s="41" t="s">
        <v>1972</v>
      </c>
      <c r="H416" s="41">
        <v>90541</v>
      </c>
      <c r="I416" s="41" t="s">
        <v>821</v>
      </c>
      <c r="J416" s="41">
        <v>0</v>
      </c>
      <c r="K416" s="41">
        <v>0</v>
      </c>
      <c r="L416" s="41">
        <v>0</v>
      </c>
      <c r="M416" s="41">
        <v>0</v>
      </c>
      <c r="N416" s="41">
        <v>1980.87</v>
      </c>
      <c r="O416" s="41">
        <v>343.13</v>
      </c>
      <c r="P416" s="41">
        <v>89.75</v>
      </c>
      <c r="Q416" s="41">
        <v>1440</v>
      </c>
      <c r="R416" s="41">
        <v>0</v>
      </c>
      <c r="S416" s="41">
        <v>0</v>
      </c>
      <c r="T416" s="41">
        <v>0</v>
      </c>
      <c r="U416" s="41">
        <v>0</v>
      </c>
      <c r="V416" s="41">
        <v>0</v>
      </c>
      <c r="W416" s="41">
        <v>0</v>
      </c>
      <c r="X416" s="41">
        <v>1440</v>
      </c>
      <c r="Y416" s="41">
        <v>107.99</v>
      </c>
      <c r="Z416" s="41">
        <v>0</v>
      </c>
      <c r="AA416" s="41">
        <v>0</v>
      </c>
      <c r="AB416" s="41">
        <v>1817917</v>
      </c>
      <c r="AC416" s="41">
        <v>2.8</v>
      </c>
      <c r="AD416" s="41" t="s">
        <v>433</v>
      </c>
    </row>
    <row r="417" spans="1:30" x14ac:dyDescent="0.35">
      <c r="A417" s="41">
        <v>467</v>
      </c>
      <c r="B417" s="41">
        <v>30220665</v>
      </c>
      <c r="C417" s="41">
        <v>302206651</v>
      </c>
      <c r="D417" s="41" t="s">
        <v>1888</v>
      </c>
      <c r="E417" s="41" t="s">
        <v>1889</v>
      </c>
      <c r="F417" s="41">
        <v>817917</v>
      </c>
      <c r="G417" s="41" t="s">
        <v>1972</v>
      </c>
      <c r="H417" s="41">
        <v>90541</v>
      </c>
      <c r="I417" s="41" t="s">
        <v>1694</v>
      </c>
      <c r="J417" s="41">
        <v>5</v>
      </c>
      <c r="K417" s="41">
        <v>6</v>
      </c>
      <c r="L417" s="41">
        <v>0</v>
      </c>
      <c r="M417" s="41">
        <v>12.1</v>
      </c>
      <c r="N417" s="41">
        <v>4430.8999999999996</v>
      </c>
      <c r="O417" s="41">
        <v>0</v>
      </c>
      <c r="P417" s="41">
        <v>141.65</v>
      </c>
      <c r="Q417" s="41">
        <v>3990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3990</v>
      </c>
      <c r="Y417" s="41">
        <v>299.25</v>
      </c>
      <c r="Z417" s="41">
        <v>0</v>
      </c>
      <c r="AA417" s="41">
        <v>0</v>
      </c>
      <c r="AB417" s="41">
        <v>1817917</v>
      </c>
      <c r="AC417" s="41">
        <v>12.1</v>
      </c>
      <c r="AD417" s="41" t="s">
        <v>433</v>
      </c>
    </row>
    <row r="418" spans="1:30" x14ac:dyDescent="0.35">
      <c r="A418" s="41">
        <v>467</v>
      </c>
      <c r="B418" s="41">
        <v>2157802</v>
      </c>
      <c r="C418" s="41">
        <v>21578026</v>
      </c>
      <c r="D418" s="41" t="s">
        <v>434</v>
      </c>
      <c r="E418" s="41" t="s">
        <v>453</v>
      </c>
      <c r="F418" s="41">
        <v>817920</v>
      </c>
      <c r="G418" s="41" t="s">
        <v>1972</v>
      </c>
      <c r="H418" s="41">
        <v>90541</v>
      </c>
      <c r="I418" s="41" t="s">
        <v>1694</v>
      </c>
      <c r="J418" s="41">
        <v>5</v>
      </c>
      <c r="K418" s="41">
        <v>5</v>
      </c>
      <c r="L418" s="41">
        <v>0</v>
      </c>
      <c r="M418" s="41">
        <v>43.2</v>
      </c>
      <c r="N418" s="41">
        <v>9102.5</v>
      </c>
      <c r="O418" s="41">
        <v>1574.77</v>
      </c>
      <c r="P418" s="41">
        <v>269.22000000000003</v>
      </c>
      <c r="Q418" s="41">
        <v>6750</v>
      </c>
      <c r="R418" s="41">
        <v>0</v>
      </c>
      <c r="S418" s="41">
        <v>0</v>
      </c>
      <c r="T418" s="41">
        <v>0</v>
      </c>
      <c r="U418" s="41">
        <v>0</v>
      </c>
      <c r="V418" s="41">
        <v>0</v>
      </c>
      <c r="W418" s="41">
        <v>0</v>
      </c>
      <c r="X418" s="41">
        <v>6750</v>
      </c>
      <c r="Y418" s="41">
        <v>508.51</v>
      </c>
      <c r="Z418" s="41">
        <v>0</v>
      </c>
      <c r="AA418" s="41">
        <v>0</v>
      </c>
      <c r="AB418" s="41">
        <v>1817920</v>
      </c>
      <c r="AC418" s="41">
        <v>43.2</v>
      </c>
      <c r="AD418" s="41" t="s">
        <v>433</v>
      </c>
    </row>
    <row r="419" spans="1:30" x14ac:dyDescent="0.35">
      <c r="A419" s="41">
        <v>467</v>
      </c>
      <c r="B419" s="41">
        <v>3252455</v>
      </c>
      <c r="C419" s="41">
        <v>32524555</v>
      </c>
      <c r="D419" s="41" t="s">
        <v>442</v>
      </c>
      <c r="E419" s="41" t="s">
        <v>961</v>
      </c>
      <c r="F419" s="41">
        <v>817920</v>
      </c>
      <c r="G419" s="41" t="s">
        <v>1972</v>
      </c>
      <c r="H419" s="41">
        <v>90541</v>
      </c>
      <c r="I419" s="41" t="s">
        <v>821</v>
      </c>
      <c r="J419" s="41">
        <v>0</v>
      </c>
      <c r="K419" s="41">
        <v>0</v>
      </c>
      <c r="L419" s="41">
        <v>0</v>
      </c>
      <c r="M419" s="41">
        <v>0</v>
      </c>
      <c r="N419" s="41">
        <v>4535.32</v>
      </c>
      <c r="O419" s="41">
        <v>787.37</v>
      </c>
      <c r="P419" s="41">
        <v>119.81</v>
      </c>
      <c r="Q419" s="41">
        <v>3375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3375</v>
      </c>
      <c r="Y419" s="41">
        <v>253.14</v>
      </c>
      <c r="Z419" s="41">
        <v>0</v>
      </c>
      <c r="AA419" s="41">
        <v>0</v>
      </c>
      <c r="AB419" s="41">
        <v>1817920</v>
      </c>
      <c r="AC419" s="41">
        <v>43.2</v>
      </c>
      <c r="AD419" s="41" t="s">
        <v>433</v>
      </c>
    </row>
    <row r="420" spans="1:30" x14ac:dyDescent="0.35">
      <c r="A420" s="41">
        <v>467</v>
      </c>
      <c r="B420" s="41">
        <v>3665503</v>
      </c>
      <c r="C420" s="41">
        <v>36655033</v>
      </c>
      <c r="D420" s="41" t="s">
        <v>456</v>
      </c>
      <c r="E420" s="41" t="s">
        <v>1890</v>
      </c>
      <c r="F420" s="41">
        <v>823000</v>
      </c>
      <c r="G420" s="41" t="s">
        <v>1972</v>
      </c>
      <c r="H420" s="41">
        <v>90541</v>
      </c>
      <c r="I420" s="41" t="s">
        <v>819</v>
      </c>
      <c r="J420" s="41">
        <v>72</v>
      </c>
      <c r="K420" s="41">
        <v>39</v>
      </c>
      <c r="L420" s="41">
        <v>0</v>
      </c>
      <c r="M420" s="41">
        <v>100</v>
      </c>
      <c r="N420" s="41">
        <v>11203.88</v>
      </c>
      <c r="O420" s="41">
        <v>1890.74</v>
      </c>
      <c r="P420" s="41">
        <v>332.4</v>
      </c>
      <c r="Q420" s="41">
        <v>8352.09</v>
      </c>
      <c r="R420" s="41">
        <v>0</v>
      </c>
      <c r="S420" s="41">
        <v>0</v>
      </c>
      <c r="T420" s="41">
        <v>0</v>
      </c>
      <c r="U420" s="41">
        <v>0</v>
      </c>
      <c r="V420" s="41">
        <v>528.6</v>
      </c>
      <c r="W420" s="41">
        <v>0</v>
      </c>
      <c r="X420" s="41">
        <v>7823.49</v>
      </c>
      <c r="Y420" s="41">
        <v>628.65</v>
      </c>
      <c r="Z420" s="41">
        <v>0</v>
      </c>
      <c r="AA420" s="41">
        <v>0</v>
      </c>
      <c r="AB420" s="41">
        <v>1823000</v>
      </c>
      <c r="AC420" s="41">
        <v>43.2</v>
      </c>
      <c r="AD420" s="41" t="s">
        <v>433</v>
      </c>
    </row>
    <row r="421" spans="1:30" x14ac:dyDescent="0.35">
      <c r="A421" s="41">
        <v>467</v>
      </c>
      <c r="B421" s="41">
        <v>2156362</v>
      </c>
      <c r="C421" s="41">
        <v>21563622</v>
      </c>
      <c r="D421" s="41" t="s">
        <v>490</v>
      </c>
      <c r="E421" s="41" t="s">
        <v>443</v>
      </c>
      <c r="F421" s="41">
        <v>824030</v>
      </c>
      <c r="G421" s="41" t="s">
        <v>1972</v>
      </c>
      <c r="H421" s="41">
        <v>90541</v>
      </c>
      <c r="I421" s="41" t="s">
        <v>819</v>
      </c>
      <c r="J421" s="41">
        <v>55</v>
      </c>
      <c r="K421" s="41">
        <v>6</v>
      </c>
      <c r="L421" s="41">
        <v>3</v>
      </c>
      <c r="M421" s="41">
        <v>100</v>
      </c>
      <c r="N421" s="41">
        <v>17785.45</v>
      </c>
      <c r="O421" s="41">
        <v>1964.6</v>
      </c>
      <c r="P421" s="41">
        <v>760.12</v>
      </c>
      <c r="Q421" s="41">
        <v>14009.98</v>
      </c>
      <c r="R421" s="41">
        <v>0</v>
      </c>
      <c r="S421" s="41">
        <v>0</v>
      </c>
      <c r="T421" s="41">
        <v>0</v>
      </c>
      <c r="U421" s="41">
        <v>2060.88</v>
      </c>
      <c r="V421" s="41">
        <v>286.60000000000002</v>
      </c>
      <c r="W421" s="41">
        <v>3241.5</v>
      </c>
      <c r="X421" s="41">
        <v>8421</v>
      </c>
      <c r="Y421" s="41">
        <v>1050.75</v>
      </c>
      <c r="Z421" s="41">
        <v>0</v>
      </c>
      <c r="AA421" s="41">
        <v>0</v>
      </c>
      <c r="AB421" s="41">
        <v>1824030</v>
      </c>
      <c r="AC421" s="41">
        <v>43.2</v>
      </c>
      <c r="AD421" s="41" t="s">
        <v>433</v>
      </c>
    </row>
    <row r="422" spans="1:30" x14ac:dyDescent="0.35">
      <c r="A422" s="41">
        <v>467</v>
      </c>
      <c r="B422" s="41">
        <v>30843594</v>
      </c>
      <c r="C422" s="41">
        <v>308435940</v>
      </c>
      <c r="D422" s="41" t="s">
        <v>1872</v>
      </c>
      <c r="E422" s="41" t="s">
        <v>1873</v>
      </c>
      <c r="F422" s="41">
        <v>824035</v>
      </c>
      <c r="G422" s="41" t="s">
        <v>1972</v>
      </c>
      <c r="H422" s="41">
        <v>90541</v>
      </c>
      <c r="I422" s="41" t="s">
        <v>1694</v>
      </c>
      <c r="J422" s="41">
        <v>5</v>
      </c>
      <c r="K422" s="41">
        <v>6</v>
      </c>
      <c r="L422" s="41">
        <v>0</v>
      </c>
      <c r="M422" s="41">
        <v>16.100000000000001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1824035</v>
      </c>
      <c r="AC422" s="41">
        <v>16.100000000000001</v>
      </c>
      <c r="AD422" s="41" t="s">
        <v>433</v>
      </c>
    </row>
    <row r="423" spans="1:30" x14ac:dyDescent="0.35">
      <c r="A423" s="41">
        <v>467</v>
      </c>
      <c r="B423" s="41">
        <v>2156285</v>
      </c>
      <c r="C423" s="41">
        <v>21562855</v>
      </c>
      <c r="D423" s="41" t="s">
        <v>962</v>
      </c>
      <c r="E423" s="41" t="s">
        <v>440</v>
      </c>
      <c r="F423" s="41">
        <v>828100</v>
      </c>
      <c r="G423" s="41" t="s">
        <v>1972</v>
      </c>
      <c r="H423" s="41">
        <v>90541</v>
      </c>
      <c r="I423" s="41" t="s">
        <v>819</v>
      </c>
      <c r="J423" s="41">
        <v>3</v>
      </c>
      <c r="K423" s="41">
        <v>1</v>
      </c>
      <c r="L423" s="41">
        <v>0</v>
      </c>
      <c r="M423" s="41">
        <v>100</v>
      </c>
      <c r="N423" s="41">
        <v>23467.7</v>
      </c>
      <c r="O423" s="41">
        <v>1860.76</v>
      </c>
      <c r="P423" s="41">
        <v>1144.1400000000001</v>
      </c>
      <c r="Q423" s="41">
        <v>19033.05</v>
      </c>
      <c r="R423" s="41">
        <v>0</v>
      </c>
      <c r="S423" s="41">
        <v>79.38</v>
      </c>
      <c r="T423" s="41">
        <v>0</v>
      </c>
      <c r="U423" s="41">
        <v>3362.05</v>
      </c>
      <c r="V423" s="41">
        <v>365</v>
      </c>
      <c r="W423" s="41">
        <v>3471.93</v>
      </c>
      <c r="X423" s="41">
        <v>11754.69</v>
      </c>
      <c r="Y423" s="41">
        <v>1429.75</v>
      </c>
      <c r="Z423" s="41">
        <v>0</v>
      </c>
      <c r="AA423" s="41">
        <v>0</v>
      </c>
      <c r="AB423" s="41">
        <v>1828100</v>
      </c>
      <c r="AC423" s="41">
        <v>16.100000000000001</v>
      </c>
      <c r="AD423" s="41" t="s">
        <v>433</v>
      </c>
    </row>
    <row r="424" spans="1:30" x14ac:dyDescent="0.35">
      <c r="A424" s="41">
        <v>467</v>
      </c>
      <c r="B424" s="41">
        <v>3483068</v>
      </c>
      <c r="C424" s="41">
        <v>34830687</v>
      </c>
      <c r="D424" s="41" t="s">
        <v>448</v>
      </c>
      <c r="E424" s="41" t="s">
        <v>510</v>
      </c>
      <c r="F424" s="41">
        <v>828100</v>
      </c>
      <c r="G424" s="41" t="s">
        <v>1972</v>
      </c>
      <c r="H424" s="41">
        <v>90541</v>
      </c>
      <c r="I424" s="41" t="s">
        <v>819</v>
      </c>
      <c r="J424" s="41">
        <v>5</v>
      </c>
      <c r="K424" s="41">
        <v>7</v>
      </c>
      <c r="L424" s="41">
        <v>0</v>
      </c>
      <c r="M424" s="41">
        <v>50</v>
      </c>
      <c r="N424" s="41">
        <v>4948.91</v>
      </c>
      <c r="O424" s="41">
        <v>604.83000000000004</v>
      </c>
      <c r="P424" s="41">
        <v>19.309999999999999</v>
      </c>
      <c r="Q424" s="41">
        <v>4023.02</v>
      </c>
      <c r="R424" s="41">
        <v>0</v>
      </c>
      <c r="S424" s="41">
        <v>0</v>
      </c>
      <c r="T424" s="41">
        <v>0</v>
      </c>
      <c r="U424" s="41">
        <v>0</v>
      </c>
      <c r="V424" s="41">
        <v>295.5</v>
      </c>
      <c r="W424" s="41">
        <v>0</v>
      </c>
      <c r="X424" s="41">
        <v>3727.52</v>
      </c>
      <c r="Y424" s="41">
        <v>301.75</v>
      </c>
      <c r="Z424" s="41">
        <v>0</v>
      </c>
      <c r="AA424" s="41">
        <v>0</v>
      </c>
      <c r="AB424" s="41">
        <v>1828100</v>
      </c>
      <c r="AC424" s="41">
        <v>16.100000000000001</v>
      </c>
      <c r="AD424" s="41" t="s">
        <v>433</v>
      </c>
    </row>
    <row r="425" spans="1:30" x14ac:dyDescent="0.35">
      <c r="A425" s="41">
        <v>467</v>
      </c>
      <c r="B425" s="41">
        <v>20715230</v>
      </c>
      <c r="C425" s="41">
        <v>207152307</v>
      </c>
      <c r="D425" s="41" t="s">
        <v>442</v>
      </c>
      <c r="E425" s="41" t="s">
        <v>914</v>
      </c>
      <c r="F425" s="41">
        <v>828100</v>
      </c>
      <c r="G425" s="41" t="s">
        <v>1972</v>
      </c>
      <c r="H425" s="41">
        <v>90541</v>
      </c>
      <c r="I425" s="41" t="s">
        <v>821</v>
      </c>
      <c r="J425" s="41">
        <v>0</v>
      </c>
      <c r="K425" s="41">
        <v>0</v>
      </c>
      <c r="L425" s="41">
        <v>0</v>
      </c>
      <c r="M425" s="41">
        <v>0</v>
      </c>
      <c r="N425" s="41">
        <v>1070.54</v>
      </c>
      <c r="O425" s="41">
        <v>1066.01</v>
      </c>
      <c r="P425" s="41">
        <v>2.2799999999999998</v>
      </c>
      <c r="Q425" s="41">
        <v>0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2.25</v>
      </c>
      <c r="Z425" s="41">
        <v>0</v>
      </c>
      <c r="AA425" s="41">
        <v>0</v>
      </c>
      <c r="AB425" s="41">
        <v>1828100</v>
      </c>
      <c r="AC425" s="41">
        <v>16.100000000000001</v>
      </c>
      <c r="AD425" s="41" t="s">
        <v>433</v>
      </c>
    </row>
    <row r="426" spans="1:30" x14ac:dyDescent="0.35">
      <c r="A426" s="41">
        <v>467</v>
      </c>
      <c r="B426" s="41">
        <v>30264905</v>
      </c>
      <c r="C426" s="41">
        <v>302649058</v>
      </c>
      <c r="D426" s="41" t="s">
        <v>964</v>
      </c>
      <c r="E426" s="41" t="s">
        <v>965</v>
      </c>
      <c r="F426" s="41">
        <v>828100</v>
      </c>
      <c r="G426" s="41" t="s">
        <v>1972</v>
      </c>
      <c r="H426" s="41">
        <v>90541</v>
      </c>
      <c r="I426" s="41" t="s">
        <v>819</v>
      </c>
      <c r="J426" s="41">
        <v>3</v>
      </c>
      <c r="K426" s="41">
        <v>2</v>
      </c>
      <c r="L426" s="41">
        <v>0</v>
      </c>
      <c r="M426" s="41">
        <v>100</v>
      </c>
      <c r="N426" s="41">
        <v>3777.86</v>
      </c>
      <c r="O426" s="41">
        <v>556.53</v>
      </c>
      <c r="P426" s="41">
        <v>103.94</v>
      </c>
      <c r="Q426" s="41">
        <v>2897.79</v>
      </c>
      <c r="R426" s="41">
        <v>351</v>
      </c>
      <c r="S426" s="41">
        <v>0</v>
      </c>
      <c r="T426" s="41">
        <v>0</v>
      </c>
      <c r="U426" s="41">
        <v>0</v>
      </c>
      <c r="V426" s="41">
        <v>161.30000000000001</v>
      </c>
      <c r="W426" s="41">
        <v>0</v>
      </c>
      <c r="X426" s="41">
        <v>2385.4899999999998</v>
      </c>
      <c r="Y426" s="41">
        <v>219.6</v>
      </c>
      <c r="Z426" s="41">
        <v>0</v>
      </c>
      <c r="AA426" s="41">
        <v>0</v>
      </c>
      <c r="AB426" s="41">
        <v>1828100</v>
      </c>
      <c r="AC426" s="41">
        <v>16.100000000000001</v>
      </c>
      <c r="AD426" s="41" t="s">
        <v>433</v>
      </c>
    </row>
    <row r="427" spans="1:30" x14ac:dyDescent="0.35">
      <c r="A427" s="41">
        <v>467</v>
      </c>
      <c r="B427" s="41">
        <v>30316866</v>
      </c>
      <c r="C427" s="41">
        <v>303168660</v>
      </c>
      <c r="D427" s="41" t="s">
        <v>434</v>
      </c>
      <c r="E427" s="41" t="s">
        <v>966</v>
      </c>
      <c r="F427" s="41">
        <v>828100</v>
      </c>
      <c r="G427" s="41" t="s">
        <v>1972</v>
      </c>
      <c r="H427" s="41">
        <v>90541</v>
      </c>
      <c r="I427" s="41" t="s">
        <v>819</v>
      </c>
      <c r="J427" s="41">
        <v>3</v>
      </c>
      <c r="K427" s="41">
        <v>2</v>
      </c>
      <c r="L427" s="41">
        <v>0</v>
      </c>
      <c r="M427" s="41">
        <v>50</v>
      </c>
      <c r="N427" s="41">
        <v>5840.46</v>
      </c>
      <c r="O427" s="41">
        <v>1013.39</v>
      </c>
      <c r="P427" s="41">
        <v>155.27000000000001</v>
      </c>
      <c r="Q427" s="41">
        <v>4343.75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4343.75</v>
      </c>
      <c r="Y427" s="41">
        <v>328.05</v>
      </c>
      <c r="Z427" s="41">
        <v>0</v>
      </c>
      <c r="AA427" s="41">
        <v>0</v>
      </c>
      <c r="AB427" s="41">
        <v>1828100</v>
      </c>
      <c r="AC427" s="41">
        <v>16.100000000000001</v>
      </c>
      <c r="AD427" s="41" t="s">
        <v>433</v>
      </c>
    </row>
    <row r="428" spans="1:30" x14ac:dyDescent="0.35">
      <c r="A428" s="41">
        <v>467</v>
      </c>
      <c r="B428" s="41">
        <v>2643787</v>
      </c>
      <c r="C428" s="41">
        <v>26437871</v>
      </c>
      <c r="D428" s="41" t="s">
        <v>442</v>
      </c>
      <c r="E428" s="41" t="s">
        <v>468</v>
      </c>
      <c r="F428" s="41">
        <v>828300</v>
      </c>
      <c r="G428" s="41" t="s">
        <v>1972</v>
      </c>
      <c r="H428" s="41">
        <v>90541</v>
      </c>
      <c r="I428" s="41" t="s">
        <v>1694</v>
      </c>
      <c r="J428" s="41">
        <v>0</v>
      </c>
      <c r="K428" s="41">
        <v>0</v>
      </c>
      <c r="L428" s="41">
        <v>0</v>
      </c>
      <c r="M428" s="41">
        <v>45</v>
      </c>
      <c r="N428" s="41">
        <v>4612.54</v>
      </c>
      <c r="O428" s="41">
        <v>800.21</v>
      </c>
      <c r="P428" s="41">
        <v>122.83</v>
      </c>
      <c r="Q428" s="41">
        <v>3430</v>
      </c>
      <c r="R428" s="41">
        <v>0</v>
      </c>
      <c r="S428" s="41">
        <v>0</v>
      </c>
      <c r="T428" s="41">
        <v>0</v>
      </c>
      <c r="U428" s="41">
        <v>0</v>
      </c>
      <c r="V428" s="41">
        <v>0</v>
      </c>
      <c r="W428" s="41">
        <v>0</v>
      </c>
      <c r="X428" s="41">
        <v>3430</v>
      </c>
      <c r="Y428" s="41">
        <v>259.5</v>
      </c>
      <c r="Z428" s="41">
        <v>0</v>
      </c>
      <c r="AA428" s="41">
        <v>0</v>
      </c>
      <c r="AB428" s="41">
        <v>1828300</v>
      </c>
      <c r="AC428" s="41">
        <v>45</v>
      </c>
      <c r="AD428" s="41" t="s">
        <v>433</v>
      </c>
    </row>
    <row r="429" spans="1:30" x14ac:dyDescent="0.35">
      <c r="A429" s="41">
        <v>467</v>
      </c>
      <c r="B429" s="41">
        <v>3169320</v>
      </c>
      <c r="C429" s="41">
        <v>31693203</v>
      </c>
      <c r="D429" s="41" t="s">
        <v>490</v>
      </c>
      <c r="E429" s="41" t="s">
        <v>1799</v>
      </c>
      <c r="F429" s="41">
        <v>829200</v>
      </c>
      <c r="G429" s="41" t="s">
        <v>1972</v>
      </c>
      <c r="H429" s="41">
        <v>90541</v>
      </c>
      <c r="I429" s="41" t="s">
        <v>1694</v>
      </c>
      <c r="J429" s="41">
        <v>0</v>
      </c>
      <c r="K429" s="41">
        <v>0</v>
      </c>
      <c r="L429" s="41">
        <v>0</v>
      </c>
      <c r="M429" s="41">
        <v>28.2</v>
      </c>
      <c r="N429" s="41">
        <v>3264.87</v>
      </c>
      <c r="O429" s="41">
        <v>0</v>
      </c>
      <c r="P429" s="41">
        <v>104.37</v>
      </c>
      <c r="Q429" s="41">
        <v>2940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2940</v>
      </c>
      <c r="Y429" s="41">
        <v>220.5</v>
      </c>
      <c r="Z429" s="41">
        <v>0</v>
      </c>
      <c r="AA429" s="41">
        <v>0</v>
      </c>
      <c r="AB429" s="41">
        <v>1829210</v>
      </c>
      <c r="AC429" s="41">
        <v>28.2</v>
      </c>
      <c r="AD429" s="41" t="s">
        <v>433</v>
      </c>
    </row>
    <row r="430" spans="1:30" x14ac:dyDescent="0.35">
      <c r="A430" s="41">
        <v>467</v>
      </c>
      <c r="B430" s="41">
        <v>5625916</v>
      </c>
      <c r="C430" s="41">
        <v>56259161</v>
      </c>
      <c r="D430" s="41" t="s">
        <v>1877</v>
      </c>
      <c r="E430" s="41" t="s">
        <v>948</v>
      </c>
      <c r="F430" s="41">
        <v>829200</v>
      </c>
      <c r="G430" s="41" t="s">
        <v>1972</v>
      </c>
      <c r="H430" s="41">
        <v>90541</v>
      </c>
      <c r="I430" s="41" t="s">
        <v>821</v>
      </c>
      <c r="J430" s="41">
        <v>0</v>
      </c>
      <c r="K430" s="41">
        <v>0</v>
      </c>
      <c r="L430" s="41">
        <v>0</v>
      </c>
      <c r="M430" s="41">
        <v>0</v>
      </c>
      <c r="N430" s="41">
        <v>4580.84</v>
      </c>
      <c r="O430" s="41">
        <v>0</v>
      </c>
      <c r="P430" s="41">
        <v>146.44</v>
      </c>
      <c r="Q430" s="41">
        <v>4125</v>
      </c>
      <c r="R430" s="41">
        <v>0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4125</v>
      </c>
      <c r="Y430" s="41">
        <v>309.39999999999998</v>
      </c>
      <c r="Z430" s="41">
        <v>0</v>
      </c>
      <c r="AA430" s="41">
        <v>0</v>
      </c>
      <c r="AB430" s="41">
        <v>1829210</v>
      </c>
      <c r="AC430" s="41">
        <v>28.2</v>
      </c>
      <c r="AD430" s="41" t="s">
        <v>433</v>
      </c>
    </row>
    <row r="431" spans="1:30" x14ac:dyDescent="0.35">
      <c r="A431" s="41">
        <v>467</v>
      </c>
      <c r="B431" s="41">
        <v>20671797</v>
      </c>
      <c r="C431" s="41">
        <v>206717977</v>
      </c>
      <c r="D431" s="41" t="s">
        <v>442</v>
      </c>
      <c r="E431" s="41" t="s">
        <v>443</v>
      </c>
      <c r="F431" s="41">
        <v>829200</v>
      </c>
      <c r="G431" s="41" t="s">
        <v>1972</v>
      </c>
      <c r="H431" s="41">
        <v>90541</v>
      </c>
      <c r="I431" s="41" t="s">
        <v>821</v>
      </c>
      <c r="J431" s="41">
        <v>0</v>
      </c>
      <c r="K431" s="41">
        <v>0</v>
      </c>
      <c r="L431" s="41">
        <v>0</v>
      </c>
      <c r="M431" s="41">
        <v>0</v>
      </c>
      <c r="N431" s="41">
        <v>10092.219999999999</v>
      </c>
      <c r="O431" s="41">
        <v>1230.43</v>
      </c>
      <c r="P431" s="41">
        <v>283.29000000000002</v>
      </c>
      <c r="Q431" s="41">
        <v>7980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7980</v>
      </c>
      <c r="Y431" s="41">
        <v>598.5</v>
      </c>
      <c r="Z431" s="41">
        <v>0</v>
      </c>
      <c r="AA431" s="41">
        <v>0</v>
      </c>
      <c r="AB431" s="41">
        <v>1829210</v>
      </c>
      <c r="AC431" s="41">
        <v>28.2</v>
      </c>
      <c r="AD431" s="41" t="s">
        <v>433</v>
      </c>
    </row>
    <row r="432" spans="1:30" x14ac:dyDescent="0.35">
      <c r="A432" s="41">
        <v>467</v>
      </c>
      <c r="B432" s="41">
        <v>20788709</v>
      </c>
      <c r="C432" s="41">
        <v>207887092</v>
      </c>
      <c r="D432" s="41" t="s">
        <v>434</v>
      </c>
      <c r="E432" s="41" t="s">
        <v>1893</v>
      </c>
      <c r="F432" s="41">
        <v>829200</v>
      </c>
      <c r="G432" s="41" t="s">
        <v>1972</v>
      </c>
      <c r="H432" s="41">
        <v>90541</v>
      </c>
      <c r="I432" s="41" t="s">
        <v>1694</v>
      </c>
      <c r="J432" s="41">
        <v>5</v>
      </c>
      <c r="K432" s="41">
        <v>6</v>
      </c>
      <c r="L432" s="41">
        <v>0</v>
      </c>
      <c r="M432" s="41">
        <v>35.700000000000003</v>
      </c>
      <c r="N432" s="41">
        <v>4719.93</v>
      </c>
      <c r="O432" s="41">
        <v>588.87</v>
      </c>
      <c r="P432" s="41">
        <v>132.06</v>
      </c>
      <c r="Q432" s="41">
        <v>3720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3720</v>
      </c>
      <c r="Y432" s="41">
        <v>279</v>
      </c>
      <c r="Z432" s="41">
        <v>0</v>
      </c>
      <c r="AA432" s="41">
        <v>0</v>
      </c>
      <c r="AB432" s="41">
        <v>1829210</v>
      </c>
      <c r="AC432" s="41">
        <v>35.700000000000003</v>
      </c>
      <c r="AD432" s="41" t="s">
        <v>433</v>
      </c>
    </row>
    <row r="433" spans="1:30" x14ac:dyDescent="0.35">
      <c r="A433" s="41">
        <v>467</v>
      </c>
      <c r="B433" s="41">
        <v>21375912</v>
      </c>
      <c r="C433" s="41">
        <v>213759129</v>
      </c>
      <c r="D433" s="41" t="s">
        <v>446</v>
      </c>
      <c r="E433" s="41" t="s">
        <v>517</v>
      </c>
      <c r="F433" s="41">
        <v>829200</v>
      </c>
      <c r="G433" s="41" t="s">
        <v>1972</v>
      </c>
      <c r="H433" s="41">
        <v>90541</v>
      </c>
      <c r="I433" s="41" t="s">
        <v>1694</v>
      </c>
      <c r="J433" s="41">
        <v>5</v>
      </c>
      <c r="K433" s="41">
        <v>5</v>
      </c>
      <c r="L433" s="41">
        <v>0</v>
      </c>
      <c r="M433" s="41">
        <v>34.6</v>
      </c>
      <c r="N433" s="41">
        <v>3331.5</v>
      </c>
      <c r="O433" s="41">
        <v>0</v>
      </c>
      <c r="P433" s="41">
        <v>106.5</v>
      </c>
      <c r="Q433" s="41">
        <v>3000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3000</v>
      </c>
      <c r="Y433" s="41">
        <v>225</v>
      </c>
      <c r="Z433" s="41">
        <v>0</v>
      </c>
      <c r="AA433" s="41">
        <v>0</v>
      </c>
      <c r="AB433" s="41">
        <v>1829210</v>
      </c>
      <c r="AC433" s="41">
        <v>34.6</v>
      </c>
      <c r="AD433" s="41" t="s">
        <v>433</v>
      </c>
    </row>
    <row r="434" spans="1:30" x14ac:dyDescent="0.35">
      <c r="A434" s="41">
        <v>467</v>
      </c>
      <c r="B434" s="41">
        <v>30059473</v>
      </c>
      <c r="C434" s="41">
        <v>300594736</v>
      </c>
      <c r="D434" s="41" t="s">
        <v>464</v>
      </c>
      <c r="E434" s="41" t="s">
        <v>1870</v>
      </c>
      <c r="F434" s="41">
        <v>829200</v>
      </c>
      <c r="G434" s="41" t="s">
        <v>1972</v>
      </c>
      <c r="H434" s="41">
        <v>90541</v>
      </c>
      <c r="I434" s="41" t="s">
        <v>821</v>
      </c>
      <c r="J434" s="41">
        <v>0</v>
      </c>
      <c r="K434" s="41">
        <v>0</v>
      </c>
      <c r="L434" s="41">
        <v>0</v>
      </c>
      <c r="M434" s="41">
        <v>0</v>
      </c>
      <c r="N434" s="41">
        <v>4353.16</v>
      </c>
      <c r="O434" s="41">
        <v>0</v>
      </c>
      <c r="P434" s="41">
        <v>139.16</v>
      </c>
      <c r="Q434" s="41">
        <v>3920</v>
      </c>
      <c r="R434" s="41">
        <v>0</v>
      </c>
      <c r="S434" s="41">
        <v>0</v>
      </c>
      <c r="T434" s="41">
        <v>0</v>
      </c>
      <c r="U434" s="41">
        <v>0</v>
      </c>
      <c r="V434" s="41">
        <v>0</v>
      </c>
      <c r="W434" s="41">
        <v>0</v>
      </c>
      <c r="X434" s="41">
        <v>3920</v>
      </c>
      <c r="Y434" s="41">
        <v>294</v>
      </c>
      <c r="Z434" s="41">
        <v>0</v>
      </c>
      <c r="AA434" s="41">
        <v>0</v>
      </c>
      <c r="AB434" s="41">
        <v>1829210</v>
      </c>
      <c r="AC434" s="41">
        <v>34.6</v>
      </c>
      <c r="AD434" s="41" t="s">
        <v>433</v>
      </c>
    </row>
    <row r="435" spans="1:30" x14ac:dyDescent="0.35">
      <c r="A435" s="41">
        <v>467</v>
      </c>
      <c r="B435" s="41">
        <v>3306961</v>
      </c>
      <c r="C435" s="41">
        <v>33069618</v>
      </c>
      <c r="D435" s="41" t="s">
        <v>434</v>
      </c>
      <c r="E435" s="41" t="s">
        <v>1892</v>
      </c>
      <c r="F435" s="41">
        <v>829210</v>
      </c>
      <c r="G435" s="41" t="s">
        <v>1972</v>
      </c>
      <c r="H435" s="41">
        <v>90541</v>
      </c>
      <c r="I435" s="41" t="s">
        <v>1694</v>
      </c>
      <c r="J435" s="41">
        <v>5</v>
      </c>
      <c r="K435" s="41">
        <v>5</v>
      </c>
      <c r="L435" s="41">
        <v>0</v>
      </c>
      <c r="M435" s="41">
        <v>54.8</v>
      </c>
      <c r="N435" s="41">
        <v>5937.98</v>
      </c>
      <c r="O435" s="41">
        <v>740.84</v>
      </c>
      <c r="P435" s="41">
        <v>166.14</v>
      </c>
      <c r="Q435" s="41">
        <v>4680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4680</v>
      </c>
      <c r="Y435" s="41">
        <v>351</v>
      </c>
      <c r="Z435" s="41">
        <v>0</v>
      </c>
      <c r="AA435" s="41">
        <v>0</v>
      </c>
      <c r="AB435" s="41">
        <v>1829100</v>
      </c>
      <c r="AC435" s="41">
        <v>54.8</v>
      </c>
      <c r="AD435" s="41" t="s">
        <v>433</v>
      </c>
    </row>
    <row r="436" spans="1:30" x14ac:dyDescent="0.35">
      <c r="A436" s="41">
        <v>467</v>
      </c>
      <c r="B436" s="41">
        <v>30059473</v>
      </c>
      <c r="C436" s="41">
        <v>300594736</v>
      </c>
      <c r="D436" s="41" t="s">
        <v>464</v>
      </c>
      <c r="E436" s="41" t="s">
        <v>1870</v>
      </c>
      <c r="F436" s="41">
        <v>829210</v>
      </c>
      <c r="G436" s="41" t="s">
        <v>1972</v>
      </c>
      <c r="H436" s="41">
        <v>90541</v>
      </c>
      <c r="I436" s="41" t="s">
        <v>1694</v>
      </c>
      <c r="J436" s="41">
        <v>5</v>
      </c>
      <c r="K436" s="41">
        <v>5</v>
      </c>
      <c r="L436" s="41">
        <v>0</v>
      </c>
      <c r="M436" s="41">
        <v>64.599999999999994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1829100</v>
      </c>
      <c r="AC436" s="41">
        <v>64.599999999999994</v>
      </c>
      <c r="AD436" s="41" t="s">
        <v>433</v>
      </c>
    </row>
    <row r="437" spans="1:30" x14ac:dyDescent="0.35">
      <c r="A437" s="41">
        <v>467</v>
      </c>
      <c r="B437" s="41">
        <v>30519406</v>
      </c>
      <c r="C437" s="41">
        <v>305194060</v>
      </c>
      <c r="D437" s="41" t="s">
        <v>434</v>
      </c>
      <c r="E437" s="41" t="s">
        <v>956</v>
      </c>
      <c r="F437" s="41">
        <v>829210</v>
      </c>
      <c r="G437" s="41" t="s">
        <v>1972</v>
      </c>
      <c r="H437" s="41">
        <v>90541</v>
      </c>
      <c r="I437" s="41" t="s">
        <v>819</v>
      </c>
      <c r="J437" s="41">
        <v>3</v>
      </c>
      <c r="K437" s="41">
        <v>1</v>
      </c>
      <c r="L437" s="41">
        <v>0</v>
      </c>
      <c r="M437" s="41">
        <v>100</v>
      </c>
      <c r="N437" s="41">
        <v>23253.200000000001</v>
      </c>
      <c r="O437" s="41">
        <v>2629.63</v>
      </c>
      <c r="P437" s="41">
        <v>1079.22</v>
      </c>
      <c r="Q437" s="41">
        <v>18178.7</v>
      </c>
      <c r="R437" s="41">
        <v>0</v>
      </c>
      <c r="S437" s="41">
        <v>0</v>
      </c>
      <c r="T437" s="41">
        <v>0</v>
      </c>
      <c r="U437" s="41">
        <v>2242.65</v>
      </c>
      <c r="V437" s="41">
        <v>161.30000000000001</v>
      </c>
      <c r="W437" s="41">
        <v>4503.2700000000004</v>
      </c>
      <c r="X437" s="41">
        <v>11271.48</v>
      </c>
      <c r="Y437" s="41">
        <v>1365.65</v>
      </c>
      <c r="Z437" s="41">
        <v>0</v>
      </c>
      <c r="AA437" s="41">
        <v>0</v>
      </c>
      <c r="AB437" s="41">
        <v>1829100</v>
      </c>
      <c r="AC437" s="41">
        <v>64.599999999999994</v>
      </c>
      <c r="AD437" s="41" t="s">
        <v>433</v>
      </c>
    </row>
    <row r="438" spans="1:30" x14ac:dyDescent="0.35">
      <c r="A438" s="41">
        <v>467</v>
      </c>
      <c r="B438" s="41">
        <v>3252096</v>
      </c>
      <c r="C438" s="41">
        <v>32520967</v>
      </c>
      <c r="D438" s="41" t="s">
        <v>490</v>
      </c>
      <c r="E438" s="41" t="s">
        <v>1894</v>
      </c>
      <c r="F438" s="41">
        <v>832000</v>
      </c>
      <c r="G438" s="41" t="s">
        <v>1972</v>
      </c>
      <c r="H438" s="41">
        <v>90541</v>
      </c>
      <c r="I438" s="41" t="s">
        <v>821</v>
      </c>
      <c r="J438" s="41">
        <v>0</v>
      </c>
      <c r="K438" s="41">
        <v>0</v>
      </c>
      <c r="L438" s="41">
        <v>0</v>
      </c>
      <c r="M438" s="41">
        <v>0</v>
      </c>
      <c r="N438" s="41">
        <v>1476.94</v>
      </c>
      <c r="O438" s="41">
        <v>0</v>
      </c>
      <c r="P438" s="41">
        <v>54.95</v>
      </c>
      <c r="Q438" s="41">
        <v>1322.72</v>
      </c>
      <c r="R438" s="41">
        <v>0</v>
      </c>
      <c r="S438" s="41">
        <v>0</v>
      </c>
      <c r="T438" s="41">
        <v>0</v>
      </c>
      <c r="U438" s="41">
        <v>1097.72</v>
      </c>
      <c r="V438" s="41">
        <v>225</v>
      </c>
      <c r="W438" s="41">
        <v>0</v>
      </c>
      <c r="X438" s="41">
        <v>0</v>
      </c>
      <c r="Y438" s="41">
        <v>99.27</v>
      </c>
      <c r="Z438" s="41">
        <v>0</v>
      </c>
      <c r="AA438" s="41">
        <v>0</v>
      </c>
      <c r="AB438" s="41">
        <v>1832000</v>
      </c>
      <c r="AC438" s="41">
        <v>64.599999999999994</v>
      </c>
      <c r="AD438" s="41" t="s">
        <v>433</v>
      </c>
    </row>
    <row r="439" spans="1:30" x14ac:dyDescent="0.35">
      <c r="A439" s="41">
        <v>467</v>
      </c>
      <c r="B439" s="41">
        <v>2766588</v>
      </c>
      <c r="C439" s="41">
        <v>27665884</v>
      </c>
      <c r="D439" s="41" t="s">
        <v>442</v>
      </c>
      <c r="E439" s="41" t="s">
        <v>953</v>
      </c>
      <c r="F439" s="41">
        <v>832400</v>
      </c>
      <c r="G439" s="41" t="s">
        <v>1972</v>
      </c>
      <c r="H439" s="41">
        <v>90541</v>
      </c>
      <c r="I439" s="41" t="s">
        <v>819</v>
      </c>
      <c r="J439" s="41">
        <v>5</v>
      </c>
      <c r="K439" s="41">
        <v>36</v>
      </c>
      <c r="L439" s="41">
        <v>0</v>
      </c>
      <c r="M439" s="41">
        <v>60</v>
      </c>
      <c r="N439" s="41">
        <v>6762.25</v>
      </c>
      <c r="O439" s="41">
        <v>1060.3599999999999</v>
      </c>
      <c r="P439" s="41">
        <v>183.24</v>
      </c>
      <c r="Q439" s="41">
        <v>5131.55</v>
      </c>
      <c r="R439" s="41">
        <v>0</v>
      </c>
      <c r="S439" s="41">
        <v>0</v>
      </c>
      <c r="T439" s="41">
        <v>0</v>
      </c>
      <c r="U439" s="41">
        <v>0</v>
      </c>
      <c r="V439" s="41">
        <v>107.72</v>
      </c>
      <c r="W439" s="41">
        <v>0</v>
      </c>
      <c r="X439" s="41">
        <v>5023.83</v>
      </c>
      <c r="Y439" s="41">
        <v>387.1</v>
      </c>
      <c r="Z439" s="41">
        <v>0</v>
      </c>
      <c r="AA439" s="41">
        <v>0</v>
      </c>
      <c r="AB439" s="41">
        <v>1832400</v>
      </c>
      <c r="AC439" s="41">
        <v>64.599999999999994</v>
      </c>
      <c r="AD439" s="41" t="s">
        <v>433</v>
      </c>
    </row>
    <row r="440" spans="1:30" x14ac:dyDescent="0.35">
      <c r="A440" s="41">
        <v>467</v>
      </c>
      <c r="B440" s="41">
        <v>3252096</v>
      </c>
      <c r="C440" s="41">
        <v>32520967</v>
      </c>
      <c r="D440" s="41" t="s">
        <v>490</v>
      </c>
      <c r="E440" s="41" t="s">
        <v>1894</v>
      </c>
      <c r="F440" s="41">
        <v>832400</v>
      </c>
      <c r="G440" s="41" t="s">
        <v>1972</v>
      </c>
      <c r="H440" s="41">
        <v>90541</v>
      </c>
      <c r="I440" s="41" t="s">
        <v>819</v>
      </c>
      <c r="J440" s="41">
        <v>72</v>
      </c>
      <c r="K440" s="41">
        <v>38</v>
      </c>
      <c r="L440" s="41">
        <v>0</v>
      </c>
      <c r="M440" s="41">
        <v>100</v>
      </c>
      <c r="N440" s="41">
        <v>8416.6299999999992</v>
      </c>
      <c r="O440" s="41">
        <v>37.299999999999997</v>
      </c>
      <c r="P440" s="41">
        <v>311.33</v>
      </c>
      <c r="Q440" s="41">
        <v>7505.17</v>
      </c>
      <c r="R440" s="41">
        <v>0</v>
      </c>
      <c r="S440" s="41">
        <v>0</v>
      </c>
      <c r="T440" s="41">
        <v>0</v>
      </c>
      <c r="U440" s="41">
        <v>0</v>
      </c>
      <c r="V440" s="41">
        <v>48.6</v>
      </c>
      <c r="W440" s="41">
        <v>0</v>
      </c>
      <c r="X440" s="41">
        <v>7456.57</v>
      </c>
      <c r="Y440" s="41">
        <v>562.83000000000004</v>
      </c>
      <c r="Z440" s="41">
        <v>0</v>
      </c>
      <c r="AA440" s="41">
        <v>0</v>
      </c>
      <c r="AB440" s="41">
        <v>1832400</v>
      </c>
      <c r="AC440" s="41">
        <v>64.599999999999994</v>
      </c>
      <c r="AD440" s="41" t="s">
        <v>433</v>
      </c>
    </row>
    <row r="441" spans="1:30" x14ac:dyDescent="0.35">
      <c r="A441" s="41">
        <v>467</v>
      </c>
      <c r="B441" s="41">
        <v>2342928</v>
      </c>
      <c r="C441" s="41">
        <v>23429285</v>
      </c>
      <c r="D441" s="41" t="s">
        <v>522</v>
      </c>
      <c r="E441" s="41" t="s">
        <v>463</v>
      </c>
      <c r="F441" s="41">
        <v>841000</v>
      </c>
      <c r="G441" s="41" t="s">
        <v>1972</v>
      </c>
      <c r="H441" s="41">
        <v>90541</v>
      </c>
      <c r="I441" s="41" t="s">
        <v>819</v>
      </c>
      <c r="J441" s="41">
        <v>56</v>
      </c>
      <c r="K441" s="41">
        <v>11</v>
      </c>
      <c r="L441" s="41">
        <v>5</v>
      </c>
      <c r="M441" s="41">
        <v>100</v>
      </c>
      <c r="N441" s="41">
        <v>25687.15</v>
      </c>
      <c r="O441" s="41">
        <v>3712.03</v>
      </c>
      <c r="P441" s="41">
        <v>1158.29</v>
      </c>
      <c r="Q441" s="41">
        <v>19373.13</v>
      </c>
      <c r="R441" s="41">
        <v>124.94</v>
      </c>
      <c r="S441" s="41">
        <v>0</v>
      </c>
      <c r="T441" s="41">
        <v>0</v>
      </c>
      <c r="U441" s="41">
        <v>1351.35</v>
      </c>
      <c r="V441" s="41">
        <v>567.79999999999995</v>
      </c>
      <c r="W441" s="41">
        <v>2203.7399999999998</v>
      </c>
      <c r="X441" s="41">
        <v>15125.3</v>
      </c>
      <c r="Y441" s="41">
        <v>1443.7</v>
      </c>
      <c r="Z441" s="41">
        <v>0</v>
      </c>
      <c r="AA441" s="41">
        <v>0</v>
      </c>
      <c r="AB441" s="41">
        <v>1841001</v>
      </c>
      <c r="AC441" s="41">
        <v>64.599999999999994</v>
      </c>
      <c r="AD441" s="41" t="s">
        <v>433</v>
      </c>
    </row>
    <row r="442" spans="1:30" x14ac:dyDescent="0.35">
      <c r="A442" s="41">
        <v>467</v>
      </c>
      <c r="B442" s="41">
        <v>2824625</v>
      </c>
      <c r="C442" s="41">
        <v>28246254</v>
      </c>
      <c r="D442" s="41" t="s">
        <v>446</v>
      </c>
      <c r="E442" s="41" t="s">
        <v>457</v>
      </c>
      <c r="F442" s="41">
        <v>841000</v>
      </c>
      <c r="G442" s="41" t="s">
        <v>1972</v>
      </c>
      <c r="H442" s="41">
        <v>90541</v>
      </c>
      <c r="I442" s="41" t="s">
        <v>819</v>
      </c>
      <c r="J442" s="41">
        <v>5</v>
      </c>
      <c r="K442" s="41">
        <v>40</v>
      </c>
      <c r="L442" s="41">
        <v>0</v>
      </c>
      <c r="M442" s="41">
        <v>100</v>
      </c>
      <c r="N442" s="41">
        <v>12958.17</v>
      </c>
      <c r="O442" s="41">
        <v>1964.16</v>
      </c>
      <c r="P442" s="41">
        <v>443.38</v>
      </c>
      <c r="Q442" s="41">
        <v>9812.43</v>
      </c>
      <c r="R442" s="41">
        <v>0</v>
      </c>
      <c r="S442" s="41">
        <v>0</v>
      </c>
      <c r="T442" s="41">
        <v>0</v>
      </c>
      <c r="U442" s="41">
        <v>401.1</v>
      </c>
      <c r="V442" s="41">
        <v>185.6</v>
      </c>
      <c r="W442" s="41">
        <v>0</v>
      </c>
      <c r="X442" s="41">
        <v>9225.73</v>
      </c>
      <c r="Y442" s="41">
        <v>738.2</v>
      </c>
      <c r="Z442" s="41">
        <v>0</v>
      </c>
      <c r="AA442" s="41">
        <v>0</v>
      </c>
      <c r="AB442" s="41">
        <v>1841001</v>
      </c>
      <c r="AC442" s="41">
        <v>64.599999999999994</v>
      </c>
      <c r="AD442" s="41" t="s">
        <v>433</v>
      </c>
    </row>
    <row r="443" spans="1:30" x14ac:dyDescent="0.35">
      <c r="A443" s="41">
        <v>467</v>
      </c>
      <c r="B443" s="41">
        <v>2830266</v>
      </c>
      <c r="C443" s="41">
        <v>28302669</v>
      </c>
      <c r="D443" s="41" t="s">
        <v>1895</v>
      </c>
      <c r="E443" s="41" t="s">
        <v>455</v>
      </c>
      <c r="F443" s="41">
        <v>841000</v>
      </c>
      <c r="G443" s="41" t="s">
        <v>1972</v>
      </c>
      <c r="H443" s="41">
        <v>90541</v>
      </c>
      <c r="I443" s="41" t="s">
        <v>819</v>
      </c>
      <c r="J443" s="41">
        <v>56</v>
      </c>
      <c r="K443" s="41">
        <v>11</v>
      </c>
      <c r="L443" s="41">
        <v>2</v>
      </c>
      <c r="M443" s="41">
        <v>100</v>
      </c>
      <c r="N443" s="41">
        <v>22718.43</v>
      </c>
      <c r="O443" s="41">
        <v>2922.06</v>
      </c>
      <c r="P443" s="41">
        <v>1024.5999999999999</v>
      </c>
      <c r="Q443" s="41">
        <v>17460.02</v>
      </c>
      <c r="R443" s="41">
        <v>0</v>
      </c>
      <c r="S443" s="41">
        <v>0</v>
      </c>
      <c r="T443" s="41">
        <v>0</v>
      </c>
      <c r="U443" s="41">
        <v>1351.35</v>
      </c>
      <c r="V443" s="41">
        <v>532.6</v>
      </c>
      <c r="W443" s="41">
        <v>4238.6899999999996</v>
      </c>
      <c r="X443" s="41">
        <v>11337.38</v>
      </c>
      <c r="Y443" s="41">
        <v>1311.75</v>
      </c>
      <c r="Z443" s="41">
        <v>0</v>
      </c>
      <c r="AA443" s="41">
        <v>0</v>
      </c>
      <c r="AB443" s="41">
        <v>1841001</v>
      </c>
      <c r="AC443" s="41">
        <v>64.599999999999994</v>
      </c>
      <c r="AD443" s="41" t="s">
        <v>433</v>
      </c>
    </row>
    <row r="444" spans="1:30" x14ac:dyDescent="0.35">
      <c r="A444" s="41">
        <v>467</v>
      </c>
      <c r="B444" s="41">
        <v>3740927</v>
      </c>
      <c r="C444" s="41">
        <v>37409273</v>
      </c>
      <c r="D444" s="41" t="s">
        <v>442</v>
      </c>
      <c r="E444" s="41" t="s">
        <v>441</v>
      </c>
      <c r="F444" s="41">
        <v>841000</v>
      </c>
      <c r="G444" s="41" t="s">
        <v>1972</v>
      </c>
      <c r="H444" s="41">
        <v>90541</v>
      </c>
      <c r="I444" s="41" t="s">
        <v>819</v>
      </c>
      <c r="J444" s="41">
        <v>5</v>
      </c>
      <c r="K444" s="41">
        <v>10</v>
      </c>
      <c r="L444" s="41">
        <v>0</v>
      </c>
      <c r="M444" s="41">
        <v>100</v>
      </c>
      <c r="N444" s="41">
        <v>10491.11</v>
      </c>
      <c r="O444" s="41">
        <v>1809.23</v>
      </c>
      <c r="P444" s="41">
        <v>290.72000000000003</v>
      </c>
      <c r="Q444" s="41">
        <v>7803.66</v>
      </c>
      <c r="R444" s="41">
        <v>0</v>
      </c>
      <c r="S444" s="41">
        <v>0</v>
      </c>
      <c r="T444" s="41">
        <v>0</v>
      </c>
      <c r="U444" s="41">
        <v>0</v>
      </c>
      <c r="V444" s="41">
        <v>48.6</v>
      </c>
      <c r="W444" s="41">
        <v>0</v>
      </c>
      <c r="X444" s="41">
        <v>7755.06</v>
      </c>
      <c r="Y444" s="41">
        <v>587.5</v>
      </c>
      <c r="Z444" s="41">
        <v>0</v>
      </c>
      <c r="AA444" s="41">
        <v>0</v>
      </c>
      <c r="AB444" s="41">
        <v>1841001</v>
      </c>
      <c r="AC444" s="41">
        <v>64.599999999999994</v>
      </c>
      <c r="AD444" s="41" t="s">
        <v>433</v>
      </c>
    </row>
    <row r="445" spans="1:30" x14ac:dyDescent="0.35">
      <c r="A445" s="41">
        <v>467</v>
      </c>
      <c r="B445" s="41">
        <v>3910625</v>
      </c>
      <c r="C445" s="41">
        <v>39106257</v>
      </c>
      <c r="D445" s="41" t="s">
        <v>522</v>
      </c>
      <c r="E445" s="41" t="s">
        <v>969</v>
      </c>
      <c r="F445" s="41">
        <v>841000</v>
      </c>
      <c r="G445" s="41" t="s">
        <v>1972</v>
      </c>
      <c r="H445" s="41">
        <v>90541</v>
      </c>
      <c r="I445" s="41" t="s">
        <v>819</v>
      </c>
      <c r="J445" s="41">
        <v>56</v>
      </c>
      <c r="K445" s="41">
        <v>11</v>
      </c>
      <c r="L445" s="41">
        <v>2</v>
      </c>
      <c r="M445" s="41">
        <v>100</v>
      </c>
      <c r="N445" s="41">
        <v>14933.72</v>
      </c>
      <c r="O445" s="41">
        <v>2342.5</v>
      </c>
      <c r="P445" s="41">
        <v>548.85</v>
      </c>
      <c r="Q445" s="41">
        <v>11200.12</v>
      </c>
      <c r="R445" s="41">
        <v>0</v>
      </c>
      <c r="S445" s="41">
        <v>0</v>
      </c>
      <c r="T445" s="41">
        <v>0</v>
      </c>
      <c r="U445" s="41">
        <v>882.42</v>
      </c>
      <c r="V445" s="41">
        <v>562.39</v>
      </c>
      <c r="W445" s="41">
        <v>0</v>
      </c>
      <c r="X445" s="41">
        <v>9755.31</v>
      </c>
      <c r="Y445" s="41">
        <v>842.25</v>
      </c>
      <c r="Z445" s="41">
        <v>0</v>
      </c>
      <c r="AA445" s="41">
        <v>0</v>
      </c>
      <c r="AB445" s="41">
        <v>1841001</v>
      </c>
      <c r="AC445" s="41">
        <v>64.599999999999994</v>
      </c>
      <c r="AD445" s="41" t="s">
        <v>433</v>
      </c>
    </row>
    <row r="446" spans="1:30" x14ac:dyDescent="0.35">
      <c r="A446" s="41">
        <v>467</v>
      </c>
      <c r="B446" s="41">
        <v>5480164</v>
      </c>
      <c r="C446" s="41">
        <v>54801642</v>
      </c>
      <c r="D446" s="41" t="s">
        <v>452</v>
      </c>
      <c r="E446" s="41" t="s">
        <v>451</v>
      </c>
      <c r="F446" s="41">
        <v>841000</v>
      </c>
      <c r="G446" s="41" t="s">
        <v>1972</v>
      </c>
      <c r="H446" s="41">
        <v>90541</v>
      </c>
      <c r="I446" s="41" t="s">
        <v>819</v>
      </c>
      <c r="J446" s="41">
        <v>56</v>
      </c>
      <c r="K446" s="41">
        <v>11</v>
      </c>
      <c r="L446" s="41">
        <v>4</v>
      </c>
      <c r="M446" s="41">
        <v>50</v>
      </c>
      <c r="N446" s="41">
        <v>12214.4</v>
      </c>
      <c r="O446" s="41">
        <v>1969.7</v>
      </c>
      <c r="P446" s="41">
        <v>362.68</v>
      </c>
      <c r="Q446" s="41">
        <v>9190.4699999999993</v>
      </c>
      <c r="R446" s="41">
        <v>0</v>
      </c>
      <c r="S446" s="41">
        <v>0</v>
      </c>
      <c r="T446" s="41">
        <v>0</v>
      </c>
      <c r="U446" s="41">
        <v>505.51</v>
      </c>
      <c r="V446" s="41">
        <v>413.16</v>
      </c>
      <c r="W446" s="41">
        <v>0</v>
      </c>
      <c r="X446" s="41">
        <v>8271.7999999999993</v>
      </c>
      <c r="Y446" s="41">
        <v>691.55</v>
      </c>
      <c r="Z446" s="41">
        <v>0</v>
      </c>
      <c r="AA446" s="41">
        <v>0</v>
      </c>
      <c r="AB446" s="41">
        <v>1841001</v>
      </c>
      <c r="AC446" s="41">
        <v>64.599999999999994</v>
      </c>
      <c r="AD446" s="41" t="s">
        <v>433</v>
      </c>
    </row>
    <row r="447" spans="1:30" x14ac:dyDescent="0.35">
      <c r="A447" s="41">
        <v>467</v>
      </c>
      <c r="B447" s="41">
        <v>5577200</v>
      </c>
      <c r="C447" s="41">
        <v>55772008</v>
      </c>
      <c r="D447" s="41" t="s">
        <v>442</v>
      </c>
      <c r="E447" s="41" t="s">
        <v>450</v>
      </c>
      <c r="F447" s="41">
        <v>841000</v>
      </c>
      <c r="G447" s="41" t="s">
        <v>1972</v>
      </c>
      <c r="H447" s="41">
        <v>90541</v>
      </c>
      <c r="I447" s="41" t="s">
        <v>819</v>
      </c>
      <c r="J447" s="41">
        <v>56</v>
      </c>
      <c r="K447" s="41">
        <v>5</v>
      </c>
      <c r="L447" s="41">
        <v>3</v>
      </c>
      <c r="M447" s="41">
        <v>100</v>
      </c>
      <c r="N447" s="41">
        <v>50086.15</v>
      </c>
      <c r="O447" s="41">
        <v>4291.76</v>
      </c>
      <c r="P447" s="41">
        <v>2751.05</v>
      </c>
      <c r="Q447" s="41">
        <v>40027.839999999997</v>
      </c>
      <c r="R447" s="41">
        <v>0</v>
      </c>
      <c r="S447" s="41">
        <v>34.58</v>
      </c>
      <c r="T447" s="41">
        <v>0</v>
      </c>
      <c r="U447" s="41">
        <v>14610.29</v>
      </c>
      <c r="V447" s="41">
        <v>277</v>
      </c>
      <c r="W447" s="41">
        <v>8812.0300000000007</v>
      </c>
      <c r="X447" s="41">
        <v>16293.94</v>
      </c>
      <c r="Y447" s="41">
        <v>3015.5</v>
      </c>
      <c r="Z447" s="41">
        <v>0</v>
      </c>
      <c r="AA447" s="41">
        <v>0</v>
      </c>
      <c r="AB447" s="41">
        <v>1841001</v>
      </c>
      <c r="AC447" s="41">
        <v>64.599999999999994</v>
      </c>
      <c r="AD447" s="41" t="s">
        <v>433</v>
      </c>
    </row>
    <row r="448" spans="1:30" x14ac:dyDescent="0.35">
      <c r="A448" s="41">
        <v>467</v>
      </c>
      <c r="B448" s="41">
        <v>5992469</v>
      </c>
      <c r="C448" s="41">
        <v>59924696</v>
      </c>
      <c r="D448" s="41" t="s">
        <v>1744</v>
      </c>
      <c r="E448" s="41" t="s">
        <v>445</v>
      </c>
      <c r="F448" s="41">
        <v>841000</v>
      </c>
      <c r="G448" s="41" t="s">
        <v>1972</v>
      </c>
      <c r="H448" s="41">
        <v>90541</v>
      </c>
      <c r="I448" s="41" t="s">
        <v>1694</v>
      </c>
      <c r="J448" s="41">
        <v>5</v>
      </c>
      <c r="K448" s="41">
        <v>5</v>
      </c>
      <c r="L448" s="41">
        <v>0</v>
      </c>
      <c r="M448" s="41">
        <v>14.6</v>
      </c>
      <c r="N448" s="41">
        <v>1529.31</v>
      </c>
      <c r="O448" s="41">
        <v>264.93</v>
      </c>
      <c r="P448" s="41">
        <v>41.38</v>
      </c>
      <c r="Q448" s="41">
        <v>1135.5999999999999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1">
        <v>1135.5999999999999</v>
      </c>
      <c r="Y448" s="41">
        <v>87.4</v>
      </c>
      <c r="Z448" s="41">
        <v>0</v>
      </c>
      <c r="AA448" s="41">
        <v>0</v>
      </c>
      <c r="AB448" s="41">
        <v>1841001</v>
      </c>
      <c r="AC448" s="41">
        <v>14.6</v>
      </c>
      <c r="AD448" s="41" t="s">
        <v>433</v>
      </c>
    </row>
    <row r="449" spans="1:30" x14ac:dyDescent="0.35">
      <c r="A449" s="41">
        <v>467</v>
      </c>
      <c r="B449" s="41">
        <v>20437683</v>
      </c>
      <c r="C449" s="41">
        <v>204376834</v>
      </c>
      <c r="D449" s="41" t="s">
        <v>448</v>
      </c>
      <c r="E449" s="41" t="s">
        <v>970</v>
      </c>
      <c r="F449" s="41">
        <v>841000</v>
      </c>
      <c r="G449" s="41" t="s">
        <v>1972</v>
      </c>
      <c r="H449" s="41">
        <v>90541</v>
      </c>
      <c r="I449" s="41" t="s">
        <v>819</v>
      </c>
      <c r="J449" s="41">
        <v>56</v>
      </c>
      <c r="K449" s="41">
        <v>11</v>
      </c>
      <c r="L449" s="41">
        <v>2</v>
      </c>
      <c r="M449" s="41">
        <v>75</v>
      </c>
      <c r="N449" s="41">
        <v>11014.34</v>
      </c>
      <c r="O449" s="41">
        <v>1550.85</v>
      </c>
      <c r="P449" s="41">
        <v>342.32</v>
      </c>
      <c r="Q449" s="41">
        <v>8482.7199999999993</v>
      </c>
      <c r="R449" s="41">
        <v>296.95999999999998</v>
      </c>
      <c r="S449" s="41">
        <v>0</v>
      </c>
      <c r="T449" s="41">
        <v>0</v>
      </c>
      <c r="U449" s="41">
        <v>661.81</v>
      </c>
      <c r="V449" s="41">
        <v>876.45</v>
      </c>
      <c r="W449" s="41">
        <v>0</v>
      </c>
      <c r="X449" s="41">
        <v>6647.5</v>
      </c>
      <c r="Y449" s="41">
        <v>638.45000000000005</v>
      </c>
      <c r="Z449" s="41">
        <v>0</v>
      </c>
      <c r="AA449" s="41">
        <v>0</v>
      </c>
      <c r="AB449" s="41">
        <v>1841001</v>
      </c>
      <c r="AC449" s="41">
        <v>14.6</v>
      </c>
      <c r="AD449" s="41" t="s">
        <v>433</v>
      </c>
    </row>
    <row r="450" spans="1:30" x14ac:dyDescent="0.35">
      <c r="A450" s="41">
        <v>467</v>
      </c>
      <c r="B450" s="41">
        <v>20473449</v>
      </c>
      <c r="C450" s="41">
        <v>204734495</v>
      </c>
      <c r="D450" s="41" t="s">
        <v>1732</v>
      </c>
      <c r="E450" s="41" t="s">
        <v>1733</v>
      </c>
      <c r="F450" s="41">
        <v>841000</v>
      </c>
      <c r="G450" s="41" t="s">
        <v>1972</v>
      </c>
      <c r="H450" s="41">
        <v>90541</v>
      </c>
      <c r="I450" s="41" t="s">
        <v>819</v>
      </c>
      <c r="J450" s="41">
        <v>56</v>
      </c>
      <c r="K450" s="41">
        <v>11</v>
      </c>
      <c r="L450" s="41">
        <v>2</v>
      </c>
      <c r="M450" s="41">
        <v>50</v>
      </c>
      <c r="N450" s="41">
        <v>6057.75</v>
      </c>
      <c r="O450" s="41">
        <v>1040.1099999999999</v>
      </c>
      <c r="P450" s="41">
        <v>211.8</v>
      </c>
      <c r="Q450" s="41">
        <v>4470.55</v>
      </c>
      <c r="R450" s="41">
        <v>0</v>
      </c>
      <c r="S450" s="41">
        <v>0</v>
      </c>
      <c r="T450" s="41">
        <v>0</v>
      </c>
      <c r="U450" s="41">
        <v>0</v>
      </c>
      <c r="V450" s="41">
        <v>12.15</v>
      </c>
      <c r="W450" s="41">
        <v>0</v>
      </c>
      <c r="X450" s="41">
        <v>4458.3999999999996</v>
      </c>
      <c r="Y450" s="41">
        <v>335.29</v>
      </c>
      <c r="Z450" s="41">
        <v>0</v>
      </c>
      <c r="AA450" s="41">
        <v>0</v>
      </c>
      <c r="AB450" s="41">
        <v>1841001</v>
      </c>
      <c r="AC450" s="41">
        <v>14.6</v>
      </c>
      <c r="AD450" s="41" t="s">
        <v>433</v>
      </c>
    </row>
    <row r="451" spans="1:30" x14ac:dyDescent="0.35">
      <c r="A451" s="41">
        <v>467</v>
      </c>
      <c r="B451" s="41">
        <v>20715158</v>
      </c>
      <c r="C451" s="41">
        <v>207151580</v>
      </c>
      <c r="D451" s="41" t="s">
        <v>1897</v>
      </c>
      <c r="E451" s="41" t="s">
        <v>1804</v>
      </c>
      <c r="F451" s="41">
        <v>841000</v>
      </c>
      <c r="G451" s="41" t="s">
        <v>1972</v>
      </c>
      <c r="H451" s="41">
        <v>90541</v>
      </c>
      <c r="I451" s="41" t="s">
        <v>819</v>
      </c>
      <c r="J451" s="41">
        <v>56</v>
      </c>
      <c r="K451" s="41">
        <v>11</v>
      </c>
      <c r="L451" s="41">
        <v>2</v>
      </c>
      <c r="M451" s="41">
        <v>100</v>
      </c>
      <c r="N451" s="41">
        <v>14265.13</v>
      </c>
      <c r="O451" s="41">
        <v>2143.13</v>
      </c>
      <c r="P451" s="41">
        <v>517.86</v>
      </c>
      <c r="Q451" s="41">
        <v>10792.44</v>
      </c>
      <c r="R451" s="41">
        <v>0</v>
      </c>
      <c r="S451" s="41">
        <v>0</v>
      </c>
      <c r="T451" s="41">
        <v>0</v>
      </c>
      <c r="U451" s="41">
        <v>1140.3699999999999</v>
      </c>
      <c r="V451" s="41">
        <v>465.85</v>
      </c>
      <c r="W451" s="41">
        <v>0</v>
      </c>
      <c r="X451" s="41">
        <v>9186.2199999999993</v>
      </c>
      <c r="Y451" s="41">
        <v>811.7</v>
      </c>
      <c r="Z451" s="41">
        <v>0</v>
      </c>
      <c r="AA451" s="41">
        <v>0</v>
      </c>
      <c r="AB451" s="41">
        <v>1841001</v>
      </c>
      <c r="AC451" s="41">
        <v>14.6</v>
      </c>
      <c r="AD451" s="41" t="s">
        <v>433</v>
      </c>
    </row>
    <row r="452" spans="1:30" x14ac:dyDescent="0.35">
      <c r="A452" s="41">
        <v>467</v>
      </c>
      <c r="B452" s="41">
        <v>20762969</v>
      </c>
      <c r="C452" s="41">
        <v>207629692</v>
      </c>
      <c r="D452" s="41" t="s">
        <v>434</v>
      </c>
      <c r="E452" s="41" t="s">
        <v>1898</v>
      </c>
      <c r="F452" s="41">
        <v>841000</v>
      </c>
      <c r="G452" s="41" t="s">
        <v>1972</v>
      </c>
      <c r="H452" s="41">
        <v>90541</v>
      </c>
      <c r="I452" s="41" t="s">
        <v>819</v>
      </c>
      <c r="J452" s="41">
        <v>56</v>
      </c>
      <c r="K452" s="41">
        <v>11</v>
      </c>
      <c r="L452" s="41">
        <v>1</v>
      </c>
      <c r="M452" s="41">
        <v>100</v>
      </c>
      <c r="N452" s="41">
        <v>13404.76</v>
      </c>
      <c r="O452" s="41">
        <v>2067.98</v>
      </c>
      <c r="P452" s="41">
        <v>466.02</v>
      </c>
      <c r="Q452" s="41">
        <v>10110.26</v>
      </c>
      <c r="R452" s="41">
        <v>0</v>
      </c>
      <c r="S452" s="41">
        <v>0</v>
      </c>
      <c r="T452" s="41">
        <v>0</v>
      </c>
      <c r="U452" s="41">
        <v>1078.77</v>
      </c>
      <c r="V452" s="41">
        <v>167.38</v>
      </c>
      <c r="W452" s="41">
        <v>0</v>
      </c>
      <c r="X452" s="41">
        <v>8864.11</v>
      </c>
      <c r="Y452" s="41">
        <v>760.5</v>
      </c>
      <c r="Z452" s="41">
        <v>0</v>
      </c>
      <c r="AA452" s="41">
        <v>0</v>
      </c>
      <c r="AB452" s="41">
        <v>1841001</v>
      </c>
      <c r="AC452" s="41">
        <v>14.6</v>
      </c>
      <c r="AD452" s="41" t="s">
        <v>433</v>
      </c>
    </row>
    <row r="453" spans="1:30" x14ac:dyDescent="0.35">
      <c r="A453" s="41">
        <v>467</v>
      </c>
      <c r="B453" s="41">
        <v>30015017</v>
      </c>
      <c r="C453" s="41">
        <v>300150174</v>
      </c>
      <c r="D453" s="41" t="s">
        <v>442</v>
      </c>
      <c r="E453" s="41" t="s">
        <v>441</v>
      </c>
      <c r="F453" s="41">
        <v>841000</v>
      </c>
      <c r="G453" s="41" t="s">
        <v>1972</v>
      </c>
      <c r="H453" s="41">
        <v>90541</v>
      </c>
      <c r="I453" s="41" t="s">
        <v>819</v>
      </c>
      <c r="J453" s="41">
        <v>56</v>
      </c>
      <c r="K453" s="41">
        <v>1</v>
      </c>
      <c r="L453" s="41">
        <v>2</v>
      </c>
      <c r="M453" s="41">
        <v>100</v>
      </c>
      <c r="N453" s="41">
        <v>16523.55</v>
      </c>
      <c r="O453" s="41">
        <v>2619.34</v>
      </c>
      <c r="P453" s="41">
        <v>635.54</v>
      </c>
      <c r="Q453" s="41">
        <v>12340.87</v>
      </c>
      <c r="R453" s="41">
        <v>0</v>
      </c>
      <c r="S453" s="41">
        <v>0</v>
      </c>
      <c r="T453" s="41">
        <v>0</v>
      </c>
      <c r="U453" s="41">
        <v>1132.67</v>
      </c>
      <c r="V453" s="41">
        <v>185.6</v>
      </c>
      <c r="W453" s="41">
        <v>0</v>
      </c>
      <c r="X453" s="41">
        <v>11022.6</v>
      </c>
      <c r="Y453" s="41">
        <v>927.8</v>
      </c>
      <c r="Z453" s="41">
        <v>0</v>
      </c>
      <c r="AA453" s="41">
        <v>0</v>
      </c>
      <c r="AB453" s="41">
        <v>1841001</v>
      </c>
      <c r="AC453" s="41">
        <v>14.6</v>
      </c>
      <c r="AD453" s="41" t="s">
        <v>433</v>
      </c>
    </row>
    <row r="454" spans="1:30" x14ac:dyDescent="0.35">
      <c r="A454" s="41">
        <v>467</v>
      </c>
      <c r="B454" s="41">
        <v>30059850</v>
      </c>
      <c r="C454" s="41">
        <v>300598505</v>
      </c>
      <c r="D454" s="41" t="s">
        <v>563</v>
      </c>
      <c r="E454" s="41" t="s">
        <v>584</v>
      </c>
      <c r="F454" s="41">
        <v>841000</v>
      </c>
      <c r="G454" s="41" t="s">
        <v>1972</v>
      </c>
      <c r="H454" s="41">
        <v>90541</v>
      </c>
      <c r="I454" s="41" t="s">
        <v>819</v>
      </c>
      <c r="J454" s="41">
        <v>56</v>
      </c>
      <c r="K454" s="41">
        <v>11</v>
      </c>
      <c r="L454" s="41">
        <v>2</v>
      </c>
      <c r="M454" s="41">
        <v>75</v>
      </c>
      <c r="N454" s="41">
        <v>11112.1</v>
      </c>
      <c r="O454" s="41">
        <v>1578.05</v>
      </c>
      <c r="P454" s="41">
        <v>346.98</v>
      </c>
      <c r="Q454" s="41">
        <v>8544.02</v>
      </c>
      <c r="R454" s="41">
        <v>296.95999999999998</v>
      </c>
      <c r="S454" s="41">
        <v>0</v>
      </c>
      <c r="T454" s="41">
        <v>0</v>
      </c>
      <c r="U454" s="41">
        <v>656.04</v>
      </c>
      <c r="V454" s="41">
        <v>826.89</v>
      </c>
      <c r="W454" s="41">
        <v>0</v>
      </c>
      <c r="X454" s="41">
        <v>6764.13</v>
      </c>
      <c r="Y454" s="41">
        <v>643.04999999999995</v>
      </c>
      <c r="Z454" s="41">
        <v>0</v>
      </c>
      <c r="AA454" s="41">
        <v>0</v>
      </c>
      <c r="AB454" s="41">
        <v>1841001</v>
      </c>
      <c r="AC454" s="41">
        <v>14.6</v>
      </c>
      <c r="AD454" s="41" t="s">
        <v>433</v>
      </c>
    </row>
    <row r="455" spans="1:30" x14ac:dyDescent="0.35">
      <c r="A455" s="41">
        <v>467</v>
      </c>
      <c r="B455" s="41">
        <v>30075537</v>
      </c>
      <c r="C455" s="41">
        <v>300755378</v>
      </c>
      <c r="D455" s="41" t="s">
        <v>434</v>
      </c>
      <c r="E455" s="41" t="s">
        <v>440</v>
      </c>
      <c r="F455" s="41">
        <v>841000</v>
      </c>
      <c r="G455" s="41" t="s">
        <v>1972</v>
      </c>
      <c r="H455" s="41">
        <v>90541</v>
      </c>
      <c r="I455" s="41" t="s">
        <v>819</v>
      </c>
      <c r="J455" s="41">
        <v>56</v>
      </c>
      <c r="K455" s="41">
        <v>11</v>
      </c>
      <c r="L455" s="41">
        <v>3</v>
      </c>
      <c r="M455" s="41">
        <v>100</v>
      </c>
      <c r="N455" s="41">
        <v>15827.89</v>
      </c>
      <c r="O455" s="41">
        <v>2462.06</v>
      </c>
      <c r="P455" s="41">
        <v>599.99</v>
      </c>
      <c r="Q455" s="41">
        <v>11873.09</v>
      </c>
      <c r="R455" s="41">
        <v>0</v>
      </c>
      <c r="S455" s="41">
        <v>0</v>
      </c>
      <c r="T455" s="41">
        <v>0</v>
      </c>
      <c r="U455" s="41">
        <v>1140.3699999999999</v>
      </c>
      <c r="V455" s="41">
        <v>179.52</v>
      </c>
      <c r="W455" s="41">
        <v>0</v>
      </c>
      <c r="X455" s="41">
        <v>10553.2</v>
      </c>
      <c r="Y455" s="41">
        <v>892.75</v>
      </c>
      <c r="Z455" s="41">
        <v>0</v>
      </c>
      <c r="AA455" s="41">
        <v>0</v>
      </c>
      <c r="AB455" s="41">
        <v>1841001</v>
      </c>
      <c r="AC455" s="41">
        <v>14.6</v>
      </c>
      <c r="AD455" s="41" t="s">
        <v>433</v>
      </c>
    </row>
    <row r="456" spans="1:30" x14ac:dyDescent="0.35">
      <c r="A456" s="41">
        <v>467</v>
      </c>
      <c r="B456" s="41">
        <v>30095357</v>
      </c>
      <c r="C456" s="41">
        <v>300953577</v>
      </c>
      <c r="D456" s="41" t="s">
        <v>1899</v>
      </c>
      <c r="E456" s="41" t="s">
        <v>1900</v>
      </c>
      <c r="F456" s="41">
        <v>841000</v>
      </c>
      <c r="G456" s="41" t="s">
        <v>1972</v>
      </c>
      <c r="H456" s="41">
        <v>90541</v>
      </c>
      <c r="I456" s="41" t="s">
        <v>819</v>
      </c>
      <c r="J456" s="41">
        <v>56</v>
      </c>
      <c r="K456" s="41">
        <v>1</v>
      </c>
      <c r="L456" s="41">
        <v>2</v>
      </c>
      <c r="M456" s="41">
        <v>100</v>
      </c>
      <c r="N456" s="41">
        <v>17565.55</v>
      </c>
      <c r="O456" s="41">
        <v>2498.61</v>
      </c>
      <c r="P456" s="41">
        <v>712.32</v>
      </c>
      <c r="Q456" s="41">
        <v>13351.02</v>
      </c>
      <c r="R456" s="41">
        <v>44.94</v>
      </c>
      <c r="S456" s="41">
        <v>0</v>
      </c>
      <c r="T456" s="41">
        <v>0</v>
      </c>
      <c r="U456" s="41">
        <v>874.72</v>
      </c>
      <c r="V456" s="41">
        <v>614.52</v>
      </c>
      <c r="W456" s="41">
        <v>1798.74</v>
      </c>
      <c r="X456" s="41">
        <v>10018.1</v>
      </c>
      <c r="Y456" s="41">
        <v>1003.6</v>
      </c>
      <c r="Z456" s="41">
        <v>0</v>
      </c>
      <c r="AA456" s="41">
        <v>0</v>
      </c>
      <c r="AB456" s="41">
        <v>1841001</v>
      </c>
      <c r="AC456" s="41">
        <v>14.6</v>
      </c>
      <c r="AD456" s="41" t="s">
        <v>433</v>
      </c>
    </row>
    <row r="457" spans="1:30" x14ac:dyDescent="0.35">
      <c r="A457" s="41">
        <v>467</v>
      </c>
      <c r="B457" s="41">
        <v>31157562</v>
      </c>
      <c r="C457" s="41">
        <v>311575625</v>
      </c>
      <c r="D457" s="41" t="s">
        <v>526</v>
      </c>
      <c r="E457" s="41" t="s">
        <v>1804</v>
      </c>
      <c r="F457" s="41">
        <v>841000</v>
      </c>
      <c r="G457" s="41" t="s">
        <v>1972</v>
      </c>
      <c r="H457" s="41">
        <v>90541</v>
      </c>
      <c r="I457" s="41" t="s">
        <v>819</v>
      </c>
      <c r="J457" s="41">
        <v>56</v>
      </c>
      <c r="K457" s="41">
        <v>11</v>
      </c>
      <c r="L457" s="41">
        <v>1</v>
      </c>
      <c r="M457" s="41">
        <v>50</v>
      </c>
      <c r="N457" s="41">
        <v>5260.14</v>
      </c>
      <c r="O457" s="41">
        <v>277.26</v>
      </c>
      <c r="P457" s="41">
        <v>159.29</v>
      </c>
      <c r="Q457" s="41">
        <v>4487.04</v>
      </c>
      <c r="R457" s="41">
        <v>0</v>
      </c>
      <c r="S457" s="41">
        <v>0</v>
      </c>
      <c r="T457" s="41">
        <v>0</v>
      </c>
      <c r="U457" s="41">
        <v>506.82</v>
      </c>
      <c r="V457" s="41">
        <v>283.35000000000002</v>
      </c>
      <c r="W457" s="41">
        <v>0</v>
      </c>
      <c r="X457" s="41">
        <v>3696.87</v>
      </c>
      <c r="Y457" s="41">
        <v>336.55</v>
      </c>
      <c r="Z457" s="41">
        <v>0</v>
      </c>
      <c r="AA457" s="41">
        <v>0</v>
      </c>
      <c r="AB457" s="41">
        <v>1841001</v>
      </c>
      <c r="AC457" s="41">
        <v>14.6</v>
      </c>
      <c r="AD457" s="41" t="s">
        <v>433</v>
      </c>
    </row>
    <row r="458" spans="1:30" x14ac:dyDescent="0.35">
      <c r="A458" s="41">
        <v>467</v>
      </c>
      <c r="B458" s="41">
        <v>31463542</v>
      </c>
      <c r="C458" s="41">
        <v>314635426</v>
      </c>
      <c r="D458" s="41" t="s">
        <v>515</v>
      </c>
      <c r="E458" s="41" t="s">
        <v>924</v>
      </c>
      <c r="F458" s="41">
        <v>841000</v>
      </c>
      <c r="G458" s="41" t="s">
        <v>1972</v>
      </c>
      <c r="H458" s="41">
        <v>90541</v>
      </c>
      <c r="I458" s="41" t="s">
        <v>819</v>
      </c>
      <c r="J458" s="41">
        <v>56</v>
      </c>
      <c r="K458" s="41">
        <v>11</v>
      </c>
      <c r="L458" s="41">
        <v>1</v>
      </c>
      <c r="M458" s="41">
        <v>75</v>
      </c>
      <c r="N458" s="41">
        <v>7853.01</v>
      </c>
      <c r="O458" s="41">
        <v>0</v>
      </c>
      <c r="P458" s="41">
        <v>251.04</v>
      </c>
      <c r="Q458" s="41">
        <v>7071.62</v>
      </c>
      <c r="R458" s="41">
        <v>0</v>
      </c>
      <c r="S458" s="41">
        <v>0</v>
      </c>
      <c r="T458" s="41">
        <v>0</v>
      </c>
      <c r="U458" s="41">
        <v>675.67</v>
      </c>
      <c r="V458" s="41">
        <v>18.23</v>
      </c>
      <c r="W458" s="41">
        <v>0</v>
      </c>
      <c r="X458" s="41">
        <v>6377.72</v>
      </c>
      <c r="Y458" s="41">
        <v>530.35</v>
      </c>
      <c r="Z458" s="41">
        <v>0</v>
      </c>
      <c r="AA458" s="41">
        <v>0</v>
      </c>
      <c r="AB458" s="41">
        <v>1841001</v>
      </c>
      <c r="AC458" s="41">
        <v>14.6</v>
      </c>
      <c r="AD458" s="41" t="s">
        <v>433</v>
      </c>
    </row>
    <row r="459" spans="1:30" x14ac:dyDescent="0.35">
      <c r="A459" s="41">
        <v>467</v>
      </c>
      <c r="B459" s="41">
        <v>31566255</v>
      </c>
      <c r="C459" s="41">
        <v>315662551</v>
      </c>
      <c r="D459" s="41" t="s">
        <v>526</v>
      </c>
      <c r="E459" s="41" t="s">
        <v>909</v>
      </c>
      <c r="F459" s="41">
        <v>841000</v>
      </c>
      <c r="G459" s="41" t="s">
        <v>1972</v>
      </c>
      <c r="H459" s="41">
        <v>90541</v>
      </c>
      <c r="I459" s="41" t="s">
        <v>819</v>
      </c>
      <c r="J459" s="41">
        <v>72</v>
      </c>
      <c r="K459" s="41">
        <v>37</v>
      </c>
      <c r="L459" s="41">
        <v>0</v>
      </c>
      <c r="M459" s="41">
        <v>60</v>
      </c>
      <c r="N459" s="41">
        <v>3819.67</v>
      </c>
      <c r="O459" s="41">
        <v>15.5</v>
      </c>
      <c r="P459" s="41">
        <v>121.61</v>
      </c>
      <c r="Q459" s="41">
        <v>3425.66</v>
      </c>
      <c r="R459" s="41">
        <v>0</v>
      </c>
      <c r="S459" s="41">
        <v>0</v>
      </c>
      <c r="T459" s="41">
        <v>0</v>
      </c>
      <c r="U459" s="41">
        <v>0</v>
      </c>
      <c r="V459" s="41">
        <v>327.48</v>
      </c>
      <c r="W459" s="41">
        <v>0</v>
      </c>
      <c r="X459" s="41">
        <v>3098.18</v>
      </c>
      <c r="Y459" s="41">
        <v>256.89999999999998</v>
      </c>
      <c r="Z459" s="41">
        <v>0</v>
      </c>
      <c r="AA459" s="41">
        <v>0</v>
      </c>
      <c r="AB459" s="41">
        <v>1841001</v>
      </c>
      <c r="AC459" s="41">
        <v>14.6</v>
      </c>
      <c r="AD459" s="41" t="s">
        <v>433</v>
      </c>
    </row>
    <row r="460" spans="1:30" x14ac:dyDescent="0.35">
      <c r="A460" s="41">
        <v>467</v>
      </c>
      <c r="B460" s="41">
        <v>31826867</v>
      </c>
      <c r="C460" s="41">
        <v>318268679</v>
      </c>
      <c r="D460" s="41" t="s">
        <v>506</v>
      </c>
      <c r="E460" s="41" t="s">
        <v>950</v>
      </c>
      <c r="F460" s="41">
        <v>841000</v>
      </c>
      <c r="G460" s="41" t="s">
        <v>1972</v>
      </c>
      <c r="H460" s="41">
        <v>90541</v>
      </c>
      <c r="I460" s="41" t="s">
        <v>819</v>
      </c>
      <c r="J460" s="41">
        <v>56</v>
      </c>
      <c r="K460" s="41">
        <v>11</v>
      </c>
      <c r="L460" s="41">
        <v>2</v>
      </c>
      <c r="M460" s="41">
        <v>100</v>
      </c>
      <c r="N460" s="41">
        <v>14632.68</v>
      </c>
      <c r="O460" s="41">
        <v>2246.88</v>
      </c>
      <c r="P460" s="41">
        <v>533.29999999999995</v>
      </c>
      <c r="Q460" s="41">
        <v>11025.6</v>
      </c>
      <c r="R460" s="41">
        <v>0</v>
      </c>
      <c r="S460" s="41">
        <v>0</v>
      </c>
      <c r="T460" s="41">
        <v>0</v>
      </c>
      <c r="U460" s="41">
        <v>1140.3699999999999</v>
      </c>
      <c r="V460" s="41">
        <v>533.66</v>
      </c>
      <c r="W460" s="41">
        <v>0</v>
      </c>
      <c r="X460" s="41">
        <v>9351.57</v>
      </c>
      <c r="Y460" s="41">
        <v>826.9</v>
      </c>
      <c r="Z460" s="41">
        <v>0</v>
      </c>
      <c r="AA460" s="41">
        <v>0</v>
      </c>
      <c r="AB460" s="41">
        <v>1841001</v>
      </c>
      <c r="AC460" s="41">
        <v>14.6</v>
      </c>
      <c r="AD460" s="41" t="s">
        <v>433</v>
      </c>
    </row>
    <row r="461" spans="1:30" x14ac:dyDescent="0.35">
      <c r="A461" s="41">
        <v>467</v>
      </c>
      <c r="B461" s="41">
        <v>2766834</v>
      </c>
      <c r="C461" s="41">
        <v>27668342</v>
      </c>
      <c r="D461" s="41" t="s">
        <v>434</v>
      </c>
      <c r="E461" s="41" t="s">
        <v>498</v>
      </c>
      <c r="F461" s="41">
        <v>841100</v>
      </c>
      <c r="G461" s="41" t="s">
        <v>1972</v>
      </c>
      <c r="H461" s="41">
        <v>90541</v>
      </c>
      <c r="I461" s="41" t="s">
        <v>819</v>
      </c>
      <c r="J461" s="41">
        <v>72</v>
      </c>
      <c r="K461" s="41">
        <v>70</v>
      </c>
      <c r="L461" s="41">
        <v>0</v>
      </c>
      <c r="M461" s="41">
        <v>100</v>
      </c>
      <c r="N461" s="41">
        <v>13090.05</v>
      </c>
      <c r="O461" s="41">
        <v>1923.56</v>
      </c>
      <c r="P461" s="41">
        <v>454.77</v>
      </c>
      <c r="Q461" s="41">
        <v>9962.32</v>
      </c>
      <c r="R461" s="41">
        <v>59</v>
      </c>
      <c r="S461" s="41">
        <v>-2.66</v>
      </c>
      <c r="T461" s="41">
        <v>0</v>
      </c>
      <c r="U461" s="41">
        <v>880.22</v>
      </c>
      <c r="V461" s="41">
        <v>185.6</v>
      </c>
      <c r="W461" s="41">
        <v>277.22000000000003</v>
      </c>
      <c r="X461" s="41">
        <v>8562.94</v>
      </c>
      <c r="Y461" s="41">
        <v>749.4</v>
      </c>
      <c r="Z461" s="41">
        <v>0</v>
      </c>
      <c r="AA461" s="41">
        <v>0</v>
      </c>
      <c r="AB461" s="41">
        <v>1841100</v>
      </c>
      <c r="AC461" s="41">
        <v>14.6</v>
      </c>
      <c r="AD461" s="41" t="s">
        <v>433</v>
      </c>
    </row>
    <row r="462" spans="1:30" x14ac:dyDescent="0.35">
      <c r="A462" s="41">
        <v>467</v>
      </c>
      <c r="B462" s="41">
        <v>2337765</v>
      </c>
      <c r="C462" s="41">
        <v>23377658</v>
      </c>
      <c r="D462" s="41" t="s">
        <v>515</v>
      </c>
      <c r="E462" s="41" t="s">
        <v>458</v>
      </c>
      <c r="F462" s="41">
        <v>842200</v>
      </c>
      <c r="G462" s="41" t="s">
        <v>1972</v>
      </c>
      <c r="H462" s="41">
        <v>90541</v>
      </c>
      <c r="I462" s="41" t="s">
        <v>819</v>
      </c>
      <c r="J462" s="41">
        <v>5</v>
      </c>
      <c r="K462" s="41">
        <v>37</v>
      </c>
      <c r="L462" s="41">
        <v>0</v>
      </c>
      <c r="M462" s="41">
        <v>100</v>
      </c>
      <c r="N462" s="41">
        <v>11620.36</v>
      </c>
      <c r="O462" s="41">
        <v>1980.69</v>
      </c>
      <c r="P462" s="41">
        <v>353.96</v>
      </c>
      <c r="Q462" s="41">
        <v>8635.76</v>
      </c>
      <c r="R462" s="41">
        <v>0</v>
      </c>
      <c r="S462" s="41">
        <v>0</v>
      </c>
      <c r="T462" s="41">
        <v>0</v>
      </c>
      <c r="U462" s="41">
        <v>0</v>
      </c>
      <c r="V462" s="41">
        <v>185.6</v>
      </c>
      <c r="W462" s="41">
        <v>0</v>
      </c>
      <c r="X462" s="41">
        <v>8450.16</v>
      </c>
      <c r="Y462" s="41">
        <v>649.95000000000005</v>
      </c>
      <c r="Z462" s="41">
        <v>0</v>
      </c>
      <c r="AA462" s="41">
        <v>0</v>
      </c>
      <c r="AB462" s="41">
        <v>1842200</v>
      </c>
      <c r="AC462" s="41">
        <v>14.6</v>
      </c>
      <c r="AD462" s="41" t="s">
        <v>433</v>
      </c>
    </row>
    <row r="463" spans="1:30" x14ac:dyDescent="0.35">
      <c r="A463" s="41">
        <v>467</v>
      </c>
      <c r="B463" s="41">
        <v>2617275</v>
      </c>
      <c r="C463" s="41">
        <v>26172759</v>
      </c>
      <c r="D463" s="41" t="s">
        <v>434</v>
      </c>
      <c r="E463" s="41" t="s">
        <v>1901</v>
      </c>
      <c r="F463" s="41">
        <v>844500</v>
      </c>
      <c r="G463" s="41" t="s">
        <v>1972</v>
      </c>
      <c r="H463" s="41">
        <v>90541</v>
      </c>
      <c r="I463" s="41" t="s">
        <v>819</v>
      </c>
      <c r="J463" s="41">
        <v>5</v>
      </c>
      <c r="K463" s="41">
        <v>37</v>
      </c>
      <c r="L463" s="41">
        <v>0</v>
      </c>
      <c r="M463" s="41">
        <v>70</v>
      </c>
      <c r="N463" s="41">
        <v>7844.35</v>
      </c>
      <c r="O463" s="41">
        <v>1335.38</v>
      </c>
      <c r="P463" s="41">
        <v>209.04</v>
      </c>
      <c r="Q463" s="41">
        <v>5858.33</v>
      </c>
      <c r="R463" s="41">
        <v>0</v>
      </c>
      <c r="S463" s="41">
        <v>0</v>
      </c>
      <c r="T463" s="41">
        <v>0</v>
      </c>
      <c r="U463" s="41">
        <v>0</v>
      </c>
      <c r="V463" s="41">
        <v>171.02</v>
      </c>
      <c r="W463" s="41">
        <v>0</v>
      </c>
      <c r="X463" s="41">
        <v>5687.31</v>
      </c>
      <c r="Y463" s="41">
        <v>441.6</v>
      </c>
      <c r="Z463" s="41">
        <v>0</v>
      </c>
      <c r="AA463" s="41">
        <v>0</v>
      </c>
      <c r="AB463" s="41">
        <v>1844401</v>
      </c>
      <c r="AC463" s="41">
        <v>14.6</v>
      </c>
      <c r="AD463" s="41" t="s">
        <v>433</v>
      </c>
    </row>
    <row r="464" spans="1:30" x14ac:dyDescent="0.35">
      <c r="A464" s="41">
        <v>467</v>
      </c>
      <c r="B464" s="41">
        <v>20859072</v>
      </c>
      <c r="C464" s="41">
        <v>208590729</v>
      </c>
      <c r="D464" s="41" t="s">
        <v>434</v>
      </c>
      <c r="E464" s="41" t="s">
        <v>1902</v>
      </c>
      <c r="F464" s="41">
        <v>844500</v>
      </c>
      <c r="G464" s="41" t="s">
        <v>1972</v>
      </c>
      <c r="H464" s="41">
        <v>90541</v>
      </c>
      <c r="I464" s="41" t="s">
        <v>819</v>
      </c>
      <c r="J464" s="41">
        <v>5</v>
      </c>
      <c r="K464" s="41">
        <v>5</v>
      </c>
      <c r="L464" s="41">
        <v>0</v>
      </c>
      <c r="M464" s="41">
        <v>50</v>
      </c>
      <c r="N464" s="41">
        <v>5391.58</v>
      </c>
      <c r="O464" s="41">
        <v>871.7</v>
      </c>
      <c r="P464" s="41">
        <v>145.44999999999999</v>
      </c>
      <c r="Q464" s="41">
        <v>4067.13</v>
      </c>
      <c r="R464" s="41">
        <v>175.5</v>
      </c>
      <c r="S464" s="41">
        <v>0</v>
      </c>
      <c r="T464" s="41">
        <v>0</v>
      </c>
      <c r="U464" s="41">
        <v>0</v>
      </c>
      <c r="V464" s="41">
        <v>155.22999999999999</v>
      </c>
      <c r="W464" s="41">
        <v>0</v>
      </c>
      <c r="X464" s="41">
        <v>3736.4</v>
      </c>
      <c r="Y464" s="41">
        <v>307.3</v>
      </c>
      <c r="Z464" s="41">
        <v>0</v>
      </c>
      <c r="AA464" s="41">
        <v>0</v>
      </c>
      <c r="AB464" s="41">
        <v>1844401</v>
      </c>
      <c r="AC464" s="41">
        <v>14.6</v>
      </c>
      <c r="AD464" s="41" t="s">
        <v>433</v>
      </c>
    </row>
    <row r="465" spans="1:30" x14ac:dyDescent="0.35">
      <c r="A465" s="41">
        <v>467</v>
      </c>
      <c r="B465" s="41">
        <v>5699144</v>
      </c>
      <c r="C465" s="41">
        <v>56991441</v>
      </c>
      <c r="D465" s="41" t="s">
        <v>434</v>
      </c>
      <c r="E465" s="41" t="s">
        <v>449</v>
      </c>
      <c r="F465" s="41">
        <v>845200</v>
      </c>
      <c r="G465" s="41" t="s">
        <v>1972</v>
      </c>
      <c r="H465" s="41">
        <v>90541</v>
      </c>
      <c r="I465" s="41" t="s">
        <v>819</v>
      </c>
      <c r="J465" s="41">
        <v>5</v>
      </c>
      <c r="K465" s="41">
        <v>37</v>
      </c>
      <c r="L465" s="41">
        <v>0</v>
      </c>
      <c r="M465" s="41">
        <v>50</v>
      </c>
      <c r="N465" s="41">
        <v>5535.8</v>
      </c>
      <c r="O465" s="41">
        <v>938.02</v>
      </c>
      <c r="P465" s="41">
        <v>137.02000000000001</v>
      </c>
      <c r="Q465" s="41">
        <v>4147.46</v>
      </c>
      <c r="R465" s="41">
        <v>0</v>
      </c>
      <c r="S465" s="41">
        <v>0</v>
      </c>
      <c r="T465" s="41">
        <v>0</v>
      </c>
      <c r="U465" s="41">
        <v>0</v>
      </c>
      <c r="V465" s="41">
        <v>161.30000000000001</v>
      </c>
      <c r="W465" s="41">
        <v>0</v>
      </c>
      <c r="X465" s="41">
        <v>3986.16</v>
      </c>
      <c r="Y465" s="41">
        <v>313.3</v>
      </c>
      <c r="Z465" s="41">
        <v>0</v>
      </c>
      <c r="AA465" s="41">
        <v>0</v>
      </c>
      <c r="AB465" s="41">
        <v>1845200</v>
      </c>
      <c r="AC465" s="41">
        <v>14.6</v>
      </c>
      <c r="AD465" s="41" t="s">
        <v>433</v>
      </c>
    </row>
    <row r="466" spans="1:30" x14ac:dyDescent="0.35">
      <c r="A466" s="41">
        <v>467</v>
      </c>
      <c r="B466" s="41">
        <v>20679129</v>
      </c>
      <c r="C466" s="41">
        <v>206791295</v>
      </c>
      <c r="D466" s="41" t="s">
        <v>446</v>
      </c>
      <c r="E466" s="41" t="s">
        <v>1904</v>
      </c>
      <c r="F466" s="41">
        <v>845200</v>
      </c>
      <c r="G466" s="41" t="s">
        <v>1972</v>
      </c>
      <c r="H466" s="41">
        <v>90541</v>
      </c>
      <c r="I466" s="41" t="s">
        <v>819</v>
      </c>
      <c r="J466" s="41">
        <v>3</v>
      </c>
      <c r="K466" s="41">
        <v>1</v>
      </c>
      <c r="L466" s="41">
        <v>0</v>
      </c>
      <c r="M466" s="41">
        <v>50</v>
      </c>
      <c r="N466" s="41">
        <v>3903.91</v>
      </c>
      <c r="O466" s="41">
        <v>449.28</v>
      </c>
      <c r="P466" s="41">
        <v>110.44</v>
      </c>
      <c r="Q466" s="41">
        <v>3110.89</v>
      </c>
      <c r="R466" s="41">
        <v>175.5</v>
      </c>
      <c r="S466" s="41">
        <v>0</v>
      </c>
      <c r="T466" s="41">
        <v>0</v>
      </c>
      <c r="U466" s="41">
        <v>0</v>
      </c>
      <c r="V466" s="41">
        <v>97.15</v>
      </c>
      <c r="W466" s="41">
        <v>0</v>
      </c>
      <c r="X466" s="41">
        <v>2838.24</v>
      </c>
      <c r="Y466" s="41">
        <v>233.3</v>
      </c>
      <c r="Z466" s="41">
        <v>0</v>
      </c>
      <c r="AA466" s="41">
        <v>0</v>
      </c>
      <c r="AB466" s="41">
        <v>1845200</v>
      </c>
      <c r="AC466" s="41">
        <v>14.6</v>
      </c>
      <c r="AD466" s="41" t="s">
        <v>433</v>
      </c>
    </row>
    <row r="467" spans="1:30" x14ac:dyDescent="0.35">
      <c r="A467" s="41">
        <v>467</v>
      </c>
      <c r="B467" s="41">
        <v>5479671</v>
      </c>
      <c r="C467" s="41">
        <v>54796719</v>
      </c>
      <c r="D467" s="41" t="s">
        <v>434</v>
      </c>
      <c r="E467" s="41" t="s">
        <v>1905</v>
      </c>
      <c r="F467" s="41">
        <v>999000</v>
      </c>
      <c r="G467" s="41" t="s">
        <v>1972</v>
      </c>
      <c r="H467" s="41">
        <v>90541</v>
      </c>
      <c r="I467" s="41" t="s">
        <v>971</v>
      </c>
      <c r="J467" s="41">
        <v>18</v>
      </c>
      <c r="K467" s="41">
        <v>6</v>
      </c>
      <c r="L467" s="41">
        <v>0</v>
      </c>
      <c r="M467" s="41">
        <v>46</v>
      </c>
      <c r="N467" s="41">
        <v>22885.1</v>
      </c>
      <c r="O467" s="41">
        <v>0</v>
      </c>
      <c r="P467" s="41">
        <v>0</v>
      </c>
      <c r="Q467" s="41">
        <v>21288.45</v>
      </c>
      <c r="R467" s="41">
        <v>0</v>
      </c>
      <c r="S467" s="41">
        <v>0</v>
      </c>
      <c r="T467" s="41">
        <v>21288.45</v>
      </c>
      <c r="U467" s="41">
        <v>0</v>
      </c>
      <c r="V467" s="41">
        <v>0</v>
      </c>
      <c r="W467" s="41">
        <v>0</v>
      </c>
      <c r="X467" s="41">
        <v>0</v>
      </c>
      <c r="Y467" s="41">
        <v>1596.65</v>
      </c>
      <c r="Z467" s="41">
        <v>0</v>
      </c>
      <c r="AA467" s="41">
        <v>0</v>
      </c>
      <c r="AB467" s="41">
        <v>1999000</v>
      </c>
      <c r="AC467" s="41">
        <v>14.6</v>
      </c>
      <c r="AD467" s="41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3</vt:i4>
      </vt:variant>
    </vt:vector>
  </HeadingPairs>
  <TitlesOfParts>
    <vt:vector size="16" baseType="lpstr">
      <vt:lpstr>פתיח</vt:lpstr>
      <vt:lpstr>ריכוז תקציב</vt:lpstr>
      <vt:lpstr>תקציב מפורט 2025</vt:lpstr>
      <vt:lpstr>גיליון1</vt:lpstr>
      <vt:lpstr>עזר 2025</vt:lpstr>
      <vt:lpstr>תרשימים נוספים</vt:lpstr>
      <vt:lpstr>תקציב שכר</vt:lpstr>
      <vt:lpstr>ביצוע דוח חשב 12.2024</vt:lpstr>
      <vt:lpstr>תקציב 2024</vt:lpstr>
      <vt:lpstr>חלוקה לפי פרקים והתפלגות</vt:lpstr>
      <vt:lpstr>עזר לתרשימים</vt:lpstr>
      <vt:lpstr>גביה 18.12.2024</vt:lpstr>
      <vt:lpstr>שכר 11.2024</vt:lpstr>
      <vt:lpstr>'ריכוז תקציב'!WPrint_Area_W</vt:lpstr>
      <vt:lpstr>'תקציב מפורט 2025'!WPrint_Area_W</vt:lpstr>
      <vt:lpstr>'תקציב מפורט 2025'!WPrint_TitlesW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cpa.jiser23@hotmail.com</cp:lastModifiedBy>
  <cp:lastPrinted>2025-02-11T10:09:56Z</cp:lastPrinted>
  <dcterms:created xsi:type="dcterms:W3CDTF">2015-02-10T14:56:45Z</dcterms:created>
  <dcterms:modified xsi:type="dcterms:W3CDTF">2025-04-06T11:17:29Z</dcterms:modified>
</cp:coreProperties>
</file>