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2.xml" ContentType="application/vnd.openxmlformats-officedocument.themeOverrid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mia\Downloads\"/>
    </mc:Choice>
  </mc:AlternateContent>
  <xr:revisionPtr revIDLastSave="0" documentId="13_ncr:1_{6A1F6A9C-E666-456C-A1E7-3AD53DE20E76}" xr6:coauthVersionLast="45" xr6:coauthVersionMax="45" xr10:uidLastSave="{00000000-0000-0000-0000-000000000000}"/>
  <bookViews>
    <workbookView xWindow="-120" yWindow="-120" windowWidth="29040" windowHeight="15840" tabRatio="915" activeTab="9" xr2:uid="{00000000-000D-0000-FFFF-FFFF00000000}"/>
  </bookViews>
  <sheets>
    <sheet name="פתיח" sheetId="6" r:id="rId1"/>
    <sheet name="ריכוז תקציב" sheetId="4" r:id="rId2"/>
    <sheet name="חלוקה לפי פרק" sheetId="5" state="hidden" r:id="rId3"/>
    <sheet name="עצמיות אחר" sheetId="7" state="hidden" r:id="rId4"/>
    <sheet name="פירוט שכר" sheetId="23" state="hidden" r:id="rId5"/>
    <sheet name="נספח א' טבלה 4-תקן" sheetId="26" state="hidden" r:id="rId6"/>
    <sheet name="תרשים הכנסות1" sheetId="34" r:id="rId7"/>
    <sheet name="תרשים הכנסות2" sheetId="35" r:id="rId8"/>
    <sheet name="תרשים הוצאות1" sheetId="36" r:id="rId9"/>
    <sheet name="תרשים הוצאות2" sheetId="37" r:id="rId10"/>
    <sheet name="הכנסות" sheetId="2" r:id="rId11"/>
    <sheet name="הוצאות" sheetId="1" r:id="rId12"/>
    <sheet name="ביצוע 2019" sheetId="33" state="hidden" r:id="rId13"/>
    <sheet name="הוצאות מותנות" sheetId="25" state="hidden" r:id="rId14"/>
    <sheet name="REP66467-JSR-1433118.wf-EXCEL-6" sheetId="24" state="hidden" r:id="rId15"/>
    <sheet name="ארנונה" sheetId="12" state="hidden" r:id="rId16"/>
    <sheet name="עצמיות חינוך" sheetId="8" state="hidden" r:id="rId17"/>
    <sheet name="עצמיות רווחה" sheetId="9" state="hidden" r:id="rId18"/>
    <sheet name="משרד חינוך" sheetId="10" state="hidden" r:id="rId19"/>
    <sheet name="משרד רווחה" sheetId="11" state="hidden" r:id="rId20"/>
    <sheet name="הכ מים" sheetId="13" state="hidden" r:id="rId21"/>
    <sheet name="תקבולים חד פעמיים" sheetId="14" state="hidden" r:id="rId22"/>
    <sheet name="פעולות כלליות" sheetId="15" state="hidden" r:id="rId23"/>
    <sheet name="שכר כללי" sheetId="16" state="hidden" r:id="rId24"/>
    <sheet name="שכר חינוך" sheetId="17" state="hidden" r:id="rId25"/>
    <sheet name="פעולות חינוך" sheetId="18" state="hidden" r:id="rId26"/>
    <sheet name="שכר רווחה" sheetId="19" state="hidden" r:id="rId27"/>
    <sheet name="פעולות רווחה" sheetId="20" state="hidden" r:id="rId28"/>
    <sheet name="מלוות ומימון" sheetId="21" state="hidden" r:id="rId29"/>
    <sheet name="הוצאות מיוחדות" sheetId="22" state="hidden" r:id="rId30"/>
    <sheet name="דוח כספי 1-10.17" sheetId="29" state="hidden" r:id="rId31"/>
    <sheet name="בדיקת חשבונות" sheetId="30" state="hidden" r:id="rId32"/>
    <sheet name="גיליון3" sheetId="31" state="hidden" r:id="rId33"/>
    <sheet name="2174" sheetId="32" state="hidden" r:id="rId34"/>
  </sheets>
  <externalReferences>
    <externalReference r:id="rId35"/>
  </externalReferences>
  <definedNames>
    <definedName name="_xlnm._FilterDatabase" localSheetId="33" hidden="1">'2174'!$A$1:$H$177</definedName>
    <definedName name="_xlnm._FilterDatabase" localSheetId="14" hidden="1">'REP66467-JSR-1433118.wf-EXCEL-6'!$A$1:$AD$354</definedName>
    <definedName name="_xlnm._FilterDatabase" localSheetId="12" hidden="1">'ביצוע 2019'!$A$3:$H$1103</definedName>
    <definedName name="_xlnm._FilterDatabase" localSheetId="32" hidden="1">גיליון3!$A$1:$B$1</definedName>
    <definedName name="_xlnm._FilterDatabase" localSheetId="30" hidden="1">'דוח כספי 1-10.17'!$A$290:$E$1035</definedName>
    <definedName name="_xlnm._FilterDatabase" localSheetId="11" hidden="1">הוצאות!$A$2:$Z$521</definedName>
    <definedName name="_xlnm._FilterDatabase" localSheetId="10" hidden="1">הכנסות!$A$2:$AA$259</definedName>
    <definedName name="_xlnm.Print_Area" localSheetId="14">'REP66467-JSR-1433118.wf-EXCEL-6'!$F$1:$AF$356</definedName>
    <definedName name="_xlnm.Print_Area" localSheetId="11">הוצאות!$B$1:$X$520</definedName>
    <definedName name="_xlnm.Print_Area" localSheetId="13">'הוצאות מותנות'!$B$1:$J$44</definedName>
    <definedName name="_xlnm.Print_Area" localSheetId="10">הכנסות!$B$1:$X$259</definedName>
    <definedName name="_xlnm.Print_Area" localSheetId="2">'חלוקה לפי פרק'!$B$1:$I$134</definedName>
    <definedName name="_xlnm.Print_Area" localSheetId="5">'נספח א'' טבלה 4-תקן'!$B$1:$J$88</definedName>
    <definedName name="_xlnm.Print_Area" localSheetId="3">'עצמיות אחר'!$B$1:$I$30</definedName>
    <definedName name="_xlnm.Print_Area" localSheetId="4">'פירוט שכר'!$B$1:$K$67</definedName>
    <definedName name="_xlnm.Print_Area" localSheetId="25">'פעולות חינוך'!$B$1:$H$158</definedName>
    <definedName name="_xlnm.Print_Area" localSheetId="22">'פעולות כלליות'!$B$1:$H$192</definedName>
    <definedName name="_xlnm.Print_Area" localSheetId="0">פתיח!$B$1:$G$22</definedName>
    <definedName name="_xlnm.Print_Area" localSheetId="1">'ריכוז תקציב'!$B$1:$R$47</definedName>
    <definedName name="_xlnm.Print_Area" localSheetId="24">'שכר חינוך'!$B$1:$H$36</definedName>
    <definedName name="_xlnm.Print_Area" localSheetId="23">'שכר כללי'!$B$1:$H$40</definedName>
    <definedName name="_xlnm.Print_Titles" localSheetId="11">הוצאות!$2:$2</definedName>
    <definedName name="_xlnm.Print_Titles" localSheetId="10">הכנסות!$2:$2</definedName>
    <definedName name="_xlnm.Print_Titles" localSheetId="4">'פירוט שכר'!$5:$5</definedName>
    <definedName name="כספי">[1]כספי!$A$1:$F$605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40" i="1" l="1"/>
  <c r="V140" i="1" s="1"/>
  <c r="D6" i="2" l="1"/>
  <c r="E6" i="2" s="1"/>
  <c r="C6" i="2"/>
  <c r="Y254" i="2"/>
  <c r="Y236" i="2"/>
  <c r="Y235" i="2"/>
  <c r="Y161" i="2"/>
  <c r="Y23" i="2"/>
  <c r="G78" i="1"/>
  <c r="I78" i="1"/>
  <c r="M78" i="1"/>
  <c r="V519" i="1"/>
  <c r="Z156" i="1"/>
  <c r="Z158" i="1"/>
  <c r="Z257" i="1"/>
  <c r="Z269" i="1"/>
  <c r="Z285" i="1"/>
  <c r="Z295" i="1"/>
  <c r="Z326" i="1"/>
  <c r="Z343" i="1"/>
  <c r="Z364" i="1"/>
  <c r="Z374" i="1"/>
  <c r="Z470" i="1"/>
  <c r="Z474" i="1"/>
  <c r="Z482" i="1"/>
  <c r="Z491" i="1"/>
  <c r="Z500" i="1"/>
  <c r="Z511" i="1"/>
  <c r="X173" i="2"/>
  <c r="C470" i="1"/>
  <c r="N470" i="1"/>
  <c r="O470" i="1"/>
  <c r="R470" i="1"/>
  <c r="S470" i="1" s="1"/>
  <c r="V379" i="1"/>
  <c r="X25" i="2" l="1"/>
  <c r="X167" i="2" s="1"/>
  <c r="D33" i="2" l="1"/>
  <c r="E33" i="2" s="1"/>
  <c r="C33" i="2"/>
  <c r="D84" i="2"/>
  <c r="Y29" i="2" l="1"/>
  <c r="Y160" i="2"/>
  <c r="Y171" i="2"/>
  <c r="Y239" i="2"/>
  <c r="Y253" i="2"/>
  <c r="V344" i="1" l="1"/>
  <c r="V315" i="1"/>
  <c r="V194" i="1"/>
  <c r="Z194" i="1" s="1"/>
  <c r="V132" i="1"/>
  <c r="Z132" i="1" s="1"/>
  <c r="X156" i="2"/>
  <c r="Y156" i="2" s="1"/>
  <c r="X110" i="2"/>
  <c r="X109" i="2"/>
  <c r="X108" i="2"/>
  <c r="X107" i="2"/>
  <c r="X106" i="2"/>
  <c r="X105" i="2"/>
  <c r="X104" i="2"/>
  <c r="X103" i="2"/>
  <c r="X102" i="2"/>
  <c r="X101" i="2"/>
  <c r="X100" i="2"/>
  <c r="X99" i="2"/>
  <c r="X98" i="2"/>
  <c r="X96" i="2"/>
  <c r="X95" i="2"/>
  <c r="T327" i="1"/>
  <c r="C257" i="1"/>
  <c r="D257" i="1"/>
  <c r="E257" i="1" s="1"/>
  <c r="C258" i="1"/>
  <c r="D258" i="1"/>
  <c r="E258" i="1" s="1"/>
  <c r="R258" i="1"/>
  <c r="U258" i="1"/>
  <c r="V258" i="1" s="1"/>
  <c r="Z258" i="1" s="1"/>
  <c r="G1104" i="33"/>
  <c r="G1106" i="33" s="1"/>
  <c r="P18" i="4"/>
  <c r="Q18" i="4"/>
  <c r="W257" i="2"/>
  <c r="X257" i="2" s="1"/>
  <c r="Y257" i="2" s="1"/>
  <c r="W256" i="2"/>
  <c r="Y256" i="2" s="1"/>
  <c r="W250" i="2"/>
  <c r="Y250" i="2" s="1"/>
  <c r="W249" i="2"/>
  <c r="X249" i="2" s="1"/>
  <c r="Y249" i="2" s="1"/>
  <c r="W248" i="2"/>
  <c r="Y248" i="2" s="1"/>
  <c r="W246" i="2"/>
  <c r="X246" i="2" s="1"/>
  <c r="Y246" i="2" s="1"/>
  <c r="W245" i="2"/>
  <c r="Y245" i="2" s="1"/>
  <c r="W244" i="2"/>
  <c r="X244" i="2" s="1"/>
  <c r="Y244" i="2" s="1"/>
  <c r="W243" i="2"/>
  <c r="X243" i="2" s="1"/>
  <c r="Y243" i="2" s="1"/>
  <c r="W242" i="2"/>
  <c r="Y242" i="2" s="1"/>
  <c r="W241" i="2"/>
  <c r="Y241" i="2" s="1"/>
  <c r="W240" i="2"/>
  <c r="Y240" i="2" s="1"/>
  <c r="W234" i="2"/>
  <c r="X234" i="2" s="1"/>
  <c r="Y234" i="2" s="1"/>
  <c r="W233" i="2"/>
  <c r="X233" i="2" s="1"/>
  <c r="Y233" i="2" s="1"/>
  <c r="W232" i="2"/>
  <c r="X232" i="2" s="1"/>
  <c r="Y232" i="2" s="1"/>
  <c r="W231" i="2"/>
  <c r="X231" i="2" s="1"/>
  <c r="Y231" i="2" s="1"/>
  <c r="W230" i="2"/>
  <c r="X230" i="2" s="1"/>
  <c r="Y230" i="2" s="1"/>
  <c r="W229" i="2"/>
  <c r="X229" i="2" s="1"/>
  <c r="W228" i="2"/>
  <c r="X228" i="2" s="1"/>
  <c r="Y228" i="2" s="1"/>
  <c r="W227" i="2"/>
  <c r="X227" i="2" s="1"/>
  <c r="Y227" i="2" s="1"/>
  <c r="W226" i="2"/>
  <c r="X226" i="2" s="1"/>
  <c r="Y226" i="2" s="1"/>
  <c r="W225" i="2"/>
  <c r="X225" i="2" s="1"/>
  <c r="W224" i="2"/>
  <c r="X224" i="2" s="1"/>
  <c r="Y224" i="2" s="1"/>
  <c r="W223" i="2"/>
  <c r="X223" i="2" s="1"/>
  <c r="Y223" i="2" s="1"/>
  <c r="W222" i="2"/>
  <c r="X222" i="2" s="1"/>
  <c r="Y222" i="2" s="1"/>
  <c r="W221" i="2"/>
  <c r="X221" i="2" s="1"/>
  <c r="Y221" i="2" s="1"/>
  <c r="W220" i="2"/>
  <c r="X220" i="2" s="1"/>
  <c r="Y220" i="2" s="1"/>
  <c r="W219" i="2"/>
  <c r="X219" i="2" s="1"/>
  <c r="Y219" i="2" s="1"/>
  <c r="W218" i="2"/>
  <c r="X218" i="2" s="1"/>
  <c r="Y218" i="2" s="1"/>
  <c r="W217" i="2"/>
  <c r="X217" i="2" s="1"/>
  <c r="W216" i="2"/>
  <c r="X216" i="2" s="1"/>
  <c r="Y216" i="2" s="1"/>
  <c r="W215" i="2"/>
  <c r="X215" i="2" s="1"/>
  <c r="W214" i="2"/>
  <c r="X214" i="2" s="1"/>
  <c r="W213" i="2"/>
  <c r="X213" i="2" s="1"/>
  <c r="Y213" i="2" s="1"/>
  <c r="W212" i="2"/>
  <c r="X212" i="2" s="1"/>
  <c r="Y212" i="2" s="1"/>
  <c r="W211" i="2"/>
  <c r="X211" i="2" s="1"/>
  <c r="Y211" i="2" s="1"/>
  <c r="W209" i="2"/>
  <c r="X209" i="2" s="1"/>
  <c r="W208" i="2"/>
  <c r="X208" i="2" s="1"/>
  <c r="W207" i="2"/>
  <c r="X207" i="2" s="1"/>
  <c r="Y207" i="2" s="1"/>
  <c r="W206" i="2"/>
  <c r="X206" i="2" s="1"/>
  <c r="Y206" i="2" s="1"/>
  <c r="W205" i="2"/>
  <c r="X205" i="2" s="1"/>
  <c r="W204" i="2"/>
  <c r="X204" i="2" s="1"/>
  <c r="W203" i="2"/>
  <c r="X203" i="2" s="1"/>
  <c r="Y203" i="2" s="1"/>
  <c r="W202" i="2"/>
  <c r="X202" i="2" s="1"/>
  <c r="W201" i="2"/>
  <c r="X201" i="2" s="1"/>
  <c r="Y201" i="2" s="1"/>
  <c r="W200" i="2"/>
  <c r="X200" i="2" s="1"/>
  <c r="Y200" i="2" s="1"/>
  <c r="W199" i="2"/>
  <c r="X199" i="2" s="1"/>
  <c r="Y199" i="2" s="1"/>
  <c r="W198" i="2"/>
  <c r="X198" i="2" s="1"/>
  <c r="Y198" i="2" s="1"/>
  <c r="W197" i="2"/>
  <c r="X197" i="2" s="1"/>
  <c r="Y197" i="2" s="1"/>
  <c r="W196" i="2"/>
  <c r="Y196" i="2" s="1"/>
  <c r="W195" i="2"/>
  <c r="X195" i="2" s="1"/>
  <c r="Y195" i="2" s="1"/>
  <c r="W193" i="2"/>
  <c r="X193" i="2" s="1"/>
  <c r="Y193" i="2" s="1"/>
  <c r="W192" i="2"/>
  <c r="X192" i="2" s="1"/>
  <c r="Y192" i="2" s="1"/>
  <c r="W191" i="2"/>
  <c r="X191" i="2" s="1"/>
  <c r="Y191" i="2" s="1"/>
  <c r="W190" i="2"/>
  <c r="X190" i="2" s="1"/>
  <c r="W189" i="2"/>
  <c r="X189" i="2" s="1"/>
  <c r="Y189" i="2" s="1"/>
  <c r="W188" i="2"/>
  <c r="X188" i="2" s="1"/>
  <c r="W187" i="2"/>
  <c r="X187" i="2" s="1"/>
  <c r="Y187" i="2" s="1"/>
  <c r="W186" i="2"/>
  <c r="X186" i="2" s="1"/>
  <c r="Y186" i="2" s="1"/>
  <c r="W185" i="2"/>
  <c r="X185" i="2" s="1"/>
  <c r="Y185" i="2" s="1"/>
  <c r="W184" i="2"/>
  <c r="X184" i="2" s="1"/>
  <c r="Y184" i="2" s="1"/>
  <c r="W183" i="2"/>
  <c r="X183" i="2" s="1"/>
  <c r="Y183" i="2" s="1"/>
  <c r="W181" i="2"/>
  <c r="X181" i="2" s="1"/>
  <c r="Y181" i="2" s="1"/>
  <c r="W180" i="2"/>
  <c r="X180" i="2" s="1"/>
  <c r="Y180" i="2" s="1"/>
  <c r="W179" i="2"/>
  <c r="X179" i="2" s="1"/>
  <c r="Y179" i="2" s="1"/>
  <c r="W178" i="2"/>
  <c r="X178" i="2" s="1"/>
  <c r="Y178" i="2" s="1"/>
  <c r="W177" i="2"/>
  <c r="X177" i="2" s="1"/>
  <c r="Y177" i="2" s="1"/>
  <c r="W176" i="2"/>
  <c r="X176" i="2" s="1"/>
  <c r="Y176" i="2" s="1"/>
  <c r="W174" i="2"/>
  <c r="X174" i="2" s="1"/>
  <c r="W173" i="2"/>
  <c r="Y173" i="2" s="1"/>
  <c r="W172" i="2"/>
  <c r="Y172" i="2" s="1"/>
  <c r="W169" i="2"/>
  <c r="Y169" i="2" s="1"/>
  <c r="W168" i="2"/>
  <c r="X168" i="2" s="1"/>
  <c r="W167" i="2"/>
  <c r="Y167" i="2" s="1"/>
  <c r="W166" i="2"/>
  <c r="X166" i="2" s="1"/>
  <c r="W165" i="2"/>
  <c r="X165" i="2" s="1"/>
  <c r="W164" i="2"/>
  <c r="Y164" i="2" s="1"/>
  <c r="W163" i="2"/>
  <c r="X163" i="2" s="1"/>
  <c r="Y163" i="2" s="1"/>
  <c r="W162" i="2"/>
  <c r="X162" i="2" s="1"/>
  <c r="Y162" i="2" s="1"/>
  <c r="W157" i="2"/>
  <c r="X157" i="2" s="1"/>
  <c r="Y157" i="2" s="1"/>
  <c r="W155" i="2"/>
  <c r="X155" i="2" s="1"/>
  <c r="Y155" i="2" s="1"/>
  <c r="W154" i="2"/>
  <c r="X154" i="2" s="1"/>
  <c r="Y154" i="2" s="1"/>
  <c r="W153" i="2"/>
  <c r="X153" i="2" s="1"/>
  <c r="X152" i="2"/>
  <c r="Y152" i="2" s="1"/>
  <c r="W151" i="2"/>
  <c r="X151" i="2" s="1"/>
  <c r="W150" i="2"/>
  <c r="W149" i="2"/>
  <c r="X149" i="2" s="1"/>
  <c r="W148" i="2"/>
  <c r="X148" i="2" s="1"/>
  <c r="Y148" i="2" s="1"/>
  <c r="W147" i="2"/>
  <c r="X147" i="2" s="1"/>
  <c r="W146" i="2"/>
  <c r="X146" i="2" s="1"/>
  <c r="W145" i="2"/>
  <c r="X145" i="2" s="1"/>
  <c r="Y145" i="2" s="1"/>
  <c r="W144" i="2"/>
  <c r="X144" i="2" s="1"/>
  <c r="W143" i="2"/>
  <c r="X143" i="2" s="1"/>
  <c r="W142" i="2"/>
  <c r="X142" i="2" s="1"/>
  <c r="W140" i="2"/>
  <c r="X140" i="2" s="1"/>
  <c r="Y140" i="2" s="1"/>
  <c r="W139" i="2"/>
  <c r="X139" i="2" s="1"/>
  <c r="W138" i="2"/>
  <c r="X138" i="2" s="1"/>
  <c r="W137" i="2"/>
  <c r="X137" i="2" s="1"/>
  <c r="Y137" i="2" s="1"/>
  <c r="W136" i="2"/>
  <c r="X136" i="2" s="1"/>
  <c r="W135" i="2"/>
  <c r="X135" i="2" s="1"/>
  <c r="W134" i="2"/>
  <c r="X134" i="2" s="1"/>
  <c r="W133" i="2"/>
  <c r="X133" i="2" s="1"/>
  <c r="W132" i="2"/>
  <c r="X132" i="2" s="1"/>
  <c r="W131" i="2"/>
  <c r="X131" i="2" s="1"/>
  <c r="W130" i="2"/>
  <c r="X130" i="2" s="1"/>
  <c r="W129" i="2"/>
  <c r="X129" i="2" s="1"/>
  <c r="W128" i="2"/>
  <c r="X128" i="2" s="1"/>
  <c r="W127" i="2"/>
  <c r="X127" i="2" s="1"/>
  <c r="Y127" i="2" s="1"/>
  <c r="W126" i="2"/>
  <c r="X126" i="2" s="1"/>
  <c r="Y126" i="2" s="1"/>
  <c r="W125" i="2"/>
  <c r="X125" i="2" s="1"/>
  <c r="Y125" i="2" s="1"/>
  <c r="W124" i="2"/>
  <c r="X124" i="2" s="1"/>
  <c r="Y124" i="2" s="1"/>
  <c r="W123" i="2"/>
  <c r="X123" i="2" s="1"/>
  <c r="Y123" i="2" s="1"/>
  <c r="W122" i="2"/>
  <c r="X122" i="2" s="1"/>
  <c r="Y122" i="2" s="1"/>
  <c r="W121" i="2"/>
  <c r="X121" i="2" s="1"/>
  <c r="Y121" i="2" s="1"/>
  <c r="W120" i="2"/>
  <c r="X120" i="2" s="1"/>
  <c r="Y120" i="2" s="1"/>
  <c r="W119" i="2"/>
  <c r="X119" i="2" s="1"/>
  <c r="Y119" i="2" s="1"/>
  <c r="W118" i="2"/>
  <c r="X118" i="2" s="1"/>
  <c r="Y118" i="2" s="1"/>
  <c r="W117" i="2"/>
  <c r="X117" i="2" s="1"/>
  <c r="Y117" i="2" s="1"/>
  <c r="W116" i="2"/>
  <c r="X116" i="2" s="1"/>
  <c r="W115" i="2"/>
  <c r="X115" i="2" s="1"/>
  <c r="W114" i="2"/>
  <c r="X114" i="2" s="1"/>
  <c r="Y114" i="2" s="1"/>
  <c r="W113" i="2"/>
  <c r="X113" i="2" s="1"/>
  <c r="Y113" i="2" s="1"/>
  <c r="W112" i="2"/>
  <c r="X112" i="2" s="1"/>
  <c r="W111" i="2"/>
  <c r="X111" i="2" s="1"/>
  <c r="Y111" i="2" s="1"/>
  <c r="W97" i="2"/>
  <c r="X97" i="2" s="1"/>
  <c r="W94" i="2"/>
  <c r="X94" i="2" s="1"/>
  <c r="W93" i="2"/>
  <c r="X93" i="2" s="1"/>
  <c r="W92" i="2"/>
  <c r="Y92" i="2" s="1"/>
  <c r="W91" i="2"/>
  <c r="X91" i="2" s="1"/>
  <c r="Y91" i="2" s="1"/>
  <c r="W89" i="2"/>
  <c r="X89" i="2" s="1"/>
  <c r="W88" i="2"/>
  <c r="X88" i="2" s="1"/>
  <c r="Y88" i="2" s="1"/>
  <c r="W87" i="2"/>
  <c r="X87" i="2" s="1"/>
  <c r="Y87" i="2" s="1"/>
  <c r="W86" i="2"/>
  <c r="X86" i="2" s="1"/>
  <c r="Y86" i="2" s="1"/>
  <c r="W84" i="2"/>
  <c r="Y84" i="2" s="1"/>
  <c r="W83" i="2"/>
  <c r="X83" i="2" s="1"/>
  <c r="Y83" i="2" s="1"/>
  <c r="W82" i="2"/>
  <c r="X82" i="2" s="1"/>
  <c r="Y82" i="2" s="1"/>
  <c r="W81" i="2"/>
  <c r="X81" i="2" s="1"/>
  <c r="Y81" i="2" s="1"/>
  <c r="W80" i="2"/>
  <c r="X80" i="2" s="1"/>
  <c r="W79" i="2"/>
  <c r="X79" i="2" s="1"/>
  <c r="W78" i="2"/>
  <c r="X78" i="2" s="1"/>
  <c r="W77" i="2"/>
  <c r="X77" i="2" s="1"/>
  <c r="W76" i="2"/>
  <c r="X76" i="2" s="1"/>
  <c r="W75" i="2"/>
  <c r="Y75" i="2" s="1"/>
  <c r="W74" i="2"/>
  <c r="X74" i="2" s="1"/>
  <c r="W73" i="2"/>
  <c r="X73" i="2" s="1"/>
  <c r="W72" i="2"/>
  <c r="X72" i="2" s="1"/>
  <c r="W71" i="2"/>
  <c r="X71" i="2" s="1"/>
  <c r="Y71" i="2" s="1"/>
  <c r="W70" i="2"/>
  <c r="X70" i="2" s="1"/>
  <c r="Y70" i="2" s="1"/>
  <c r="W69" i="2"/>
  <c r="X69" i="2" s="1"/>
  <c r="W68" i="2"/>
  <c r="X68" i="2" s="1"/>
  <c r="W67" i="2"/>
  <c r="X67" i="2" s="1"/>
  <c r="W66" i="2"/>
  <c r="X66" i="2" s="1"/>
  <c r="Y66" i="2" s="1"/>
  <c r="W65" i="2"/>
  <c r="X65" i="2" s="1"/>
  <c r="W64" i="2"/>
  <c r="X64" i="2" s="1"/>
  <c r="W63" i="2"/>
  <c r="X63" i="2" s="1"/>
  <c r="Y63" i="2" s="1"/>
  <c r="W62" i="2"/>
  <c r="X62" i="2" s="1"/>
  <c r="W61" i="2"/>
  <c r="X61" i="2" s="1"/>
  <c r="Y61" i="2" s="1"/>
  <c r="W60" i="2"/>
  <c r="X60" i="2" s="1"/>
  <c r="Y60" i="2" s="1"/>
  <c r="W59" i="2"/>
  <c r="X59" i="2" s="1"/>
  <c r="W58" i="2"/>
  <c r="X58" i="2" s="1"/>
  <c r="Y58" i="2" s="1"/>
  <c r="W57" i="2"/>
  <c r="X57" i="2" s="1"/>
  <c r="W56" i="2"/>
  <c r="X56" i="2" s="1"/>
  <c r="W55" i="2"/>
  <c r="X55" i="2" s="1"/>
  <c r="Y55" i="2" s="1"/>
  <c r="W54" i="2"/>
  <c r="X54" i="2" s="1"/>
  <c r="Y54" i="2" s="1"/>
  <c r="W53" i="2"/>
  <c r="X53" i="2" s="1"/>
  <c r="W52" i="2"/>
  <c r="X52" i="2" s="1"/>
  <c r="Y52" i="2" s="1"/>
  <c r="W51" i="2"/>
  <c r="X51" i="2" s="1"/>
  <c r="Y51" i="2" s="1"/>
  <c r="W50" i="2"/>
  <c r="X50" i="2" s="1"/>
  <c r="Y50" i="2" s="1"/>
  <c r="W49" i="2"/>
  <c r="X49" i="2" s="1"/>
  <c r="Y49" i="2" s="1"/>
  <c r="W48" i="2"/>
  <c r="X48" i="2" s="1"/>
  <c r="Y48" i="2" s="1"/>
  <c r="W47" i="2"/>
  <c r="X47" i="2" s="1"/>
  <c r="Y47" i="2" s="1"/>
  <c r="W46" i="2"/>
  <c r="Y46" i="2" s="1"/>
  <c r="W45" i="2"/>
  <c r="X45" i="2" s="1"/>
  <c r="W43" i="2"/>
  <c r="W41" i="2"/>
  <c r="X41" i="2" s="1"/>
  <c r="Y41" i="2" s="1"/>
  <c r="W40" i="2"/>
  <c r="X40" i="2" s="1"/>
  <c r="Y40" i="2" s="1"/>
  <c r="W39" i="2"/>
  <c r="X39" i="2" s="1"/>
  <c r="Y39" i="2" s="1"/>
  <c r="W38" i="2"/>
  <c r="X38" i="2" s="1"/>
  <c r="W37" i="2"/>
  <c r="X37" i="2" s="1"/>
  <c r="Y37" i="2" s="1"/>
  <c r="W36" i="2"/>
  <c r="X36" i="2" s="1"/>
  <c r="Y36" i="2" s="1"/>
  <c r="W35" i="2"/>
  <c r="X35" i="2" s="1"/>
  <c r="Y35" i="2" s="1"/>
  <c r="W34" i="2"/>
  <c r="X34" i="2" s="1"/>
  <c r="W33" i="2"/>
  <c r="X33" i="2" s="1"/>
  <c r="Y33" i="2" s="1"/>
  <c r="W32" i="2"/>
  <c r="X32" i="2" s="1"/>
  <c r="W30" i="2"/>
  <c r="W31" i="2" s="1"/>
  <c r="W26" i="2"/>
  <c r="X26" i="2" s="1"/>
  <c r="W25" i="2"/>
  <c r="W22" i="2"/>
  <c r="X22" i="2" s="1"/>
  <c r="Y22" i="2" s="1"/>
  <c r="W20" i="2"/>
  <c r="X20" i="2" s="1"/>
  <c r="W19" i="2"/>
  <c r="Y19" i="2" s="1"/>
  <c r="W18" i="2"/>
  <c r="Y18" i="2" s="1"/>
  <c r="W17" i="2"/>
  <c r="X17" i="2" s="1"/>
  <c r="W16" i="2"/>
  <c r="Y16" i="2" s="1"/>
  <c r="W15" i="2"/>
  <c r="Y15" i="2" s="1"/>
  <c r="W13" i="2"/>
  <c r="W12" i="2"/>
  <c r="W11" i="2"/>
  <c r="W10" i="2"/>
  <c r="X10" i="2" s="1"/>
  <c r="W9" i="2"/>
  <c r="W7" i="2"/>
  <c r="W6" i="2"/>
  <c r="Y6" i="2" s="1"/>
  <c r="W5" i="2"/>
  <c r="W4" i="2"/>
  <c r="Y4" i="2" s="1"/>
  <c r="W520" i="1"/>
  <c r="W509" i="1"/>
  <c r="W504" i="1"/>
  <c r="W499" i="1"/>
  <c r="W490" i="1"/>
  <c r="W481" i="1"/>
  <c r="W472" i="1"/>
  <c r="W446" i="1"/>
  <c r="W426" i="1"/>
  <c r="W411" i="1"/>
  <c r="W395" i="1"/>
  <c r="W388" i="1"/>
  <c r="W373" i="1"/>
  <c r="W362" i="1"/>
  <c r="W341" i="1"/>
  <c r="W324" i="1"/>
  <c r="W289" i="1"/>
  <c r="W283" i="1"/>
  <c r="W267" i="1"/>
  <c r="W255" i="1"/>
  <c r="W252" i="1"/>
  <c r="W241" i="1"/>
  <c r="W201" i="1"/>
  <c r="W165" i="1"/>
  <c r="W154" i="1"/>
  <c r="W147" i="1"/>
  <c r="W138" i="1"/>
  <c r="W123" i="1"/>
  <c r="W114" i="1"/>
  <c r="W110" i="1"/>
  <c r="W104" i="1"/>
  <c r="W97" i="1"/>
  <c r="W94" i="1"/>
  <c r="W87" i="1"/>
  <c r="W85" i="1"/>
  <c r="W77" i="1"/>
  <c r="W73" i="1"/>
  <c r="W69" i="1"/>
  <c r="W60" i="1"/>
  <c r="W47" i="1"/>
  <c r="W45" i="1"/>
  <c r="W40" i="1"/>
  <c r="W38" i="1"/>
  <c r="W33" i="1"/>
  <c r="W15" i="1"/>
  <c r="U519" i="1"/>
  <c r="U518" i="1"/>
  <c r="V518" i="1" s="1"/>
  <c r="Z518" i="1" s="1"/>
  <c r="U517" i="1"/>
  <c r="Z517" i="1" s="1"/>
  <c r="U516" i="1"/>
  <c r="V516" i="1" s="1"/>
  <c r="Z516" i="1" s="1"/>
  <c r="U515" i="1"/>
  <c r="U514" i="1"/>
  <c r="Z514" i="1" s="1"/>
  <c r="U513" i="1"/>
  <c r="P42" i="4" s="1"/>
  <c r="U512" i="1"/>
  <c r="P40" i="4" s="1"/>
  <c r="U508" i="1"/>
  <c r="Z508" i="1" s="1"/>
  <c r="U507" i="1"/>
  <c r="Z507" i="1" s="1"/>
  <c r="U506" i="1"/>
  <c r="V506" i="1" s="1"/>
  <c r="Z506" i="1" s="1"/>
  <c r="U505" i="1"/>
  <c r="Z505" i="1" s="1"/>
  <c r="U503" i="1"/>
  <c r="Z503" i="1" s="1"/>
  <c r="U502" i="1"/>
  <c r="Z502" i="1" s="1"/>
  <c r="U501" i="1"/>
  <c r="Z501" i="1" s="1"/>
  <c r="U498" i="1"/>
  <c r="V498" i="1" s="1"/>
  <c r="Z498" i="1" s="1"/>
  <c r="U497" i="1"/>
  <c r="Z497" i="1" s="1"/>
  <c r="U496" i="1"/>
  <c r="Z496" i="1" s="1"/>
  <c r="U495" i="1"/>
  <c r="V495" i="1" s="1"/>
  <c r="Z495" i="1" s="1"/>
  <c r="U494" i="1"/>
  <c r="V494" i="1" s="1"/>
  <c r="Z494" i="1" s="1"/>
  <c r="U493" i="1"/>
  <c r="V493" i="1" s="1"/>
  <c r="Z493" i="1" s="1"/>
  <c r="U492" i="1"/>
  <c r="V492" i="1" s="1"/>
  <c r="Z492" i="1" s="1"/>
  <c r="U489" i="1"/>
  <c r="Z489" i="1" s="1"/>
  <c r="U488" i="1"/>
  <c r="Z488" i="1" s="1"/>
  <c r="Z487" i="1"/>
  <c r="U486" i="1"/>
  <c r="V486" i="1" s="1"/>
  <c r="Z486" i="1" s="1"/>
  <c r="U485" i="1"/>
  <c r="V485" i="1" s="1"/>
  <c r="Z485" i="1" s="1"/>
  <c r="U484" i="1"/>
  <c r="V484" i="1" s="1"/>
  <c r="Z484" i="1" s="1"/>
  <c r="U483" i="1"/>
  <c r="U480" i="1"/>
  <c r="V480" i="1" s="1"/>
  <c r="Z480" i="1" s="1"/>
  <c r="U479" i="1"/>
  <c r="Z479" i="1" s="1"/>
  <c r="U478" i="1"/>
  <c r="Z478" i="1" s="1"/>
  <c r="U477" i="1"/>
  <c r="U476" i="1"/>
  <c r="V476" i="1" s="1"/>
  <c r="Z476" i="1" s="1"/>
  <c r="U475" i="1"/>
  <c r="U471" i="1"/>
  <c r="Z471" i="1" s="1"/>
  <c r="U469" i="1"/>
  <c r="V469" i="1" s="1"/>
  <c r="Z469" i="1" s="1"/>
  <c r="U468" i="1"/>
  <c r="V468" i="1" s="1"/>
  <c r="Z468" i="1" s="1"/>
  <c r="U467" i="1"/>
  <c r="V467" i="1" s="1"/>
  <c r="Z467" i="1" s="1"/>
  <c r="U466" i="1"/>
  <c r="V466" i="1" s="1"/>
  <c r="Z466" i="1" s="1"/>
  <c r="U465" i="1"/>
  <c r="V465" i="1" s="1"/>
  <c r="Z465" i="1" s="1"/>
  <c r="U464" i="1"/>
  <c r="V464" i="1" s="1"/>
  <c r="Z464" i="1" s="1"/>
  <c r="U463" i="1"/>
  <c r="V463" i="1" s="1"/>
  <c r="Z463" i="1" s="1"/>
  <c r="U462" i="1"/>
  <c r="V462" i="1" s="1"/>
  <c r="Z462" i="1" s="1"/>
  <c r="U461" i="1"/>
  <c r="V461" i="1" s="1"/>
  <c r="Z461" i="1" s="1"/>
  <c r="U460" i="1"/>
  <c r="V460" i="1" s="1"/>
  <c r="Z460" i="1" s="1"/>
  <c r="U459" i="1"/>
  <c r="V459" i="1" s="1"/>
  <c r="Z459" i="1" s="1"/>
  <c r="U458" i="1"/>
  <c r="V458" i="1" s="1"/>
  <c r="Z458" i="1" s="1"/>
  <c r="U457" i="1"/>
  <c r="V457" i="1" s="1"/>
  <c r="Z457" i="1" s="1"/>
  <c r="U456" i="1"/>
  <c r="V456" i="1" s="1"/>
  <c r="Z456" i="1" s="1"/>
  <c r="U455" i="1"/>
  <c r="V455" i="1" s="1"/>
  <c r="Z455" i="1" s="1"/>
  <c r="U454" i="1"/>
  <c r="V454" i="1" s="1"/>
  <c r="Z454" i="1" s="1"/>
  <c r="U453" i="1"/>
  <c r="V453" i="1" s="1"/>
  <c r="Z453" i="1" s="1"/>
  <c r="U452" i="1"/>
  <c r="V452" i="1" s="1"/>
  <c r="Z452" i="1" s="1"/>
  <c r="U451" i="1"/>
  <c r="V451" i="1" s="1"/>
  <c r="Z451" i="1" s="1"/>
  <c r="U450" i="1"/>
  <c r="V450" i="1" s="1"/>
  <c r="Z450" i="1" s="1"/>
  <c r="U449" i="1"/>
  <c r="V449" i="1" s="1"/>
  <c r="Z449" i="1" s="1"/>
  <c r="U448" i="1"/>
  <c r="V448" i="1" s="1"/>
  <c r="Z448" i="1" s="1"/>
  <c r="U447" i="1"/>
  <c r="V447" i="1" s="1"/>
  <c r="Z447" i="1" s="1"/>
  <c r="U445" i="1"/>
  <c r="V445" i="1" s="1"/>
  <c r="Z445" i="1" s="1"/>
  <c r="U444" i="1"/>
  <c r="V444" i="1" s="1"/>
  <c r="Z444" i="1" s="1"/>
  <c r="U443" i="1"/>
  <c r="V443" i="1" s="1"/>
  <c r="Z443" i="1" s="1"/>
  <c r="U442" i="1"/>
  <c r="V442" i="1" s="1"/>
  <c r="Z442" i="1" s="1"/>
  <c r="U441" i="1"/>
  <c r="V441" i="1" s="1"/>
  <c r="Z441" i="1" s="1"/>
  <c r="U440" i="1"/>
  <c r="V440" i="1" s="1"/>
  <c r="Z440" i="1" s="1"/>
  <c r="U439" i="1"/>
  <c r="V439" i="1" s="1"/>
  <c r="Z439" i="1" s="1"/>
  <c r="U438" i="1"/>
  <c r="V438" i="1" s="1"/>
  <c r="Z438" i="1" s="1"/>
  <c r="U437" i="1"/>
  <c r="V437" i="1" s="1"/>
  <c r="Z437" i="1" s="1"/>
  <c r="U436" i="1"/>
  <c r="V436" i="1" s="1"/>
  <c r="Z436" i="1" s="1"/>
  <c r="U435" i="1"/>
  <c r="V435" i="1" s="1"/>
  <c r="Z435" i="1" s="1"/>
  <c r="U434" i="1"/>
  <c r="V434" i="1" s="1"/>
  <c r="Z434" i="1" s="1"/>
  <c r="U433" i="1"/>
  <c r="V433" i="1" s="1"/>
  <c r="Z433" i="1" s="1"/>
  <c r="U432" i="1"/>
  <c r="U431" i="1"/>
  <c r="V431" i="1" s="1"/>
  <c r="Z431" i="1" s="1"/>
  <c r="U430" i="1"/>
  <c r="V430" i="1" s="1"/>
  <c r="Z430" i="1" s="1"/>
  <c r="U429" i="1"/>
  <c r="V429" i="1" s="1"/>
  <c r="Z429" i="1" s="1"/>
  <c r="U428" i="1"/>
  <c r="V428" i="1" s="1"/>
  <c r="Z428" i="1" s="1"/>
  <c r="U427" i="1"/>
  <c r="V427" i="1" s="1"/>
  <c r="Z427" i="1" s="1"/>
  <c r="U425" i="1"/>
  <c r="V425" i="1" s="1"/>
  <c r="Z425" i="1" s="1"/>
  <c r="U424" i="1"/>
  <c r="V424" i="1" s="1"/>
  <c r="U423" i="1"/>
  <c r="V423" i="1" s="1"/>
  <c r="Z423" i="1" s="1"/>
  <c r="U422" i="1"/>
  <c r="V422" i="1" s="1"/>
  <c r="Z422" i="1" s="1"/>
  <c r="U421" i="1"/>
  <c r="V421" i="1" s="1"/>
  <c r="Z421" i="1" s="1"/>
  <c r="U420" i="1"/>
  <c r="V420" i="1" s="1"/>
  <c r="Z420" i="1" s="1"/>
  <c r="U419" i="1"/>
  <c r="V419" i="1" s="1"/>
  <c r="Z419" i="1" s="1"/>
  <c r="U418" i="1"/>
  <c r="V418" i="1" s="1"/>
  <c r="Z418" i="1" s="1"/>
  <c r="U417" i="1"/>
  <c r="V417" i="1" s="1"/>
  <c r="Z417" i="1" s="1"/>
  <c r="U416" i="1"/>
  <c r="V416" i="1" s="1"/>
  <c r="Z416" i="1" s="1"/>
  <c r="U415" i="1"/>
  <c r="V415" i="1" s="1"/>
  <c r="Z415" i="1" s="1"/>
  <c r="U414" i="1"/>
  <c r="V414" i="1" s="1"/>
  <c r="U413" i="1"/>
  <c r="U412" i="1"/>
  <c r="V412" i="1" s="1"/>
  <c r="Z412" i="1" s="1"/>
  <c r="U410" i="1"/>
  <c r="V410" i="1" s="1"/>
  <c r="Z410" i="1" s="1"/>
  <c r="U409" i="1"/>
  <c r="V409" i="1" s="1"/>
  <c r="Z409" i="1" s="1"/>
  <c r="U408" i="1"/>
  <c r="V408" i="1" s="1"/>
  <c r="Z408" i="1" s="1"/>
  <c r="U407" i="1"/>
  <c r="V407" i="1" s="1"/>
  <c r="Z407" i="1" s="1"/>
  <c r="U406" i="1"/>
  <c r="V406" i="1" s="1"/>
  <c r="Z406" i="1" s="1"/>
  <c r="U405" i="1"/>
  <c r="V405" i="1" s="1"/>
  <c r="Z405" i="1" s="1"/>
  <c r="U404" i="1"/>
  <c r="V404" i="1" s="1"/>
  <c r="Z404" i="1" s="1"/>
  <c r="U403" i="1"/>
  <c r="V403" i="1" s="1"/>
  <c r="Z403" i="1" s="1"/>
  <c r="U402" i="1"/>
  <c r="V402" i="1" s="1"/>
  <c r="Z402" i="1" s="1"/>
  <c r="U401" i="1"/>
  <c r="V401" i="1" s="1"/>
  <c r="Z401" i="1" s="1"/>
  <c r="U400" i="1"/>
  <c r="V400" i="1" s="1"/>
  <c r="Z400" i="1" s="1"/>
  <c r="U399" i="1"/>
  <c r="V399" i="1" s="1"/>
  <c r="Z399" i="1" s="1"/>
  <c r="U398" i="1"/>
  <c r="V398" i="1" s="1"/>
  <c r="Z398" i="1" s="1"/>
  <c r="U397" i="1"/>
  <c r="V397" i="1" s="1"/>
  <c r="Z397" i="1" s="1"/>
  <c r="U396" i="1"/>
  <c r="U394" i="1"/>
  <c r="V394" i="1" s="1"/>
  <c r="Z394" i="1" s="1"/>
  <c r="U393" i="1"/>
  <c r="V393" i="1" s="1"/>
  <c r="Z393" i="1" s="1"/>
  <c r="U392" i="1"/>
  <c r="V392" i="1" s="1"/>
  <c r="Z392" i="1" s="1"/>
  <c r="U391" i="1"/>
  <c r="V391" i="1" s="1"/>
  <c r="Z391" i="1" s="1"/>
  <c r="U390" i="1"/>
  <c r="V390" i="1" s="1"/>
  <c r="Z390" i="1" s="1"/>
  <c r="U389" i="1"/>
  <c r="V389" i="1" s="1"/>
  <c r="Z389" i="1" s="1"/>
  <c r="U387" i="1"/>
  <c r="V387" i="1" s="1"/>
  <c r="Z387" i="1" s="1"/>
  <c r="U386" i="1"/>
  <c r="V386" i="1" s="1"/>
  <c r="Z386" i="1" s="1"/>
  <c r="U385" i="1"/>
  <c r="V385" i="1" s="1"/>
  <c r="Z385" i="1" s="1"/>
  <c r="U384" i="1"/>
  <c r="V384" i="1" s="1"/>
  <c r="Z384" i="1" s="1"/>
  <c r="U383" i="1"/>
  <c r="V383" i="1" s="1"/>
  <c r="Z383" i="1" s="1"/>
  <c r="U382" i="1"/>
  <c r="V382" i="1" s="1"/>
  <c r="Z382" i="1" s="1"/>
  <c r="U381" i="1"/>
  <c r="V381" i="1" s="1"/>
  <c r="Z381" i="1" s="1"/>
  <c r="U380" i="1"/>
  <c r="V380" i="1" s="1"/>
  <c r="Z380" i="1" s="1"/>
  <c r="U379" i="1"/>
  <c r="Z379" i="1" s="1"/>
  <c r="U378" i="1"/>
  <c r="V378" i="1" s="1"/>
  <c r="Z378" i="1" s="1"/>
  <c r="U377" i="1"/>
  <c r="V377" i="1" s="1"/>
  <c r="Z377" i="1" s="1"/>
  <c r="U376" i="1"/>
  <c r="V376" i="1" s="1"/>
  <c r="Z376" i="1" s="1"/>
  <c r="U375" i="1"/>
  <c r="V375" i="1" s="1"/>
  <c r="Z375" i="1" s="1"/>
  <c r="U372" i="1"/>
  <c r="V372" i="1" s="1"/>
  <c r="Z372" i="1" s="1"/>
  <c r="U371" i="1"/>
  <c r="V371" i="1" s="1"/>
  <c r="Z371" i="1" s="1"/>
  <c r="U370" i="1"/>
  <c r="V370" i="1" s="1"/>
  <c r="Z370" i="1" s="1"/>
  <c r="U369" i="1"/>
  <c r="V369" i="1" s="1"/>
  <c r="Z369" i="1" s="1"/>
  <c r="U368" i="1"/>
  <c r="Z368" i="1" s="1"/>
  <c r="U367" i="1"/>
  <c r="V366" i="1"/>
  <c r="Z366" i="1" s="1"/>
  <c r="U365" i="1"/>
  <c r="V365" i="1" s="1"/>
  <c r="Z365" i="1" s="1"/>
  <c r="U361" i="1"/>
  <c r="V361" i="1" s="1"/>
  <c r="U360" i="1"/>
  <c r="U359" i="1"/>
  <c r="V359" i="1" s="1"/>
  <c r="Z359" i="1" s="1"/>
  <c r="Z358" i="1"/>
  <c r="U357" i="1"/>
  <c r="U356" i="1"/>
  <c r="V356" i="1" s="1"/>
  <c r="Z356" i="1" s="1"/>
  <c r="U355" i="1"/>
  <c r="V355" i="1" s="1"/>
  <c r="Z355" i="1" s="1"/>
  <c r="U354" i="1"/>
  <c r="V354" i="1" s="1"/>
  <c r="Z354" i="1" s="1"/>
  <c r="U353" i="1"/>
  <c r="V353" i="1" s="1"/>
  <c r="Z353" i="1" s="1"/>
  <c r="U352" i="1"/>
  <c r="V352" i="1" s="1"/>
  <c r="Z352" i="1" s="1"/>
  <c r="U351" i="1"/>
  <c r="U350" i="1"/>
  <c r="V350" i="1" s="1"/>
  <c r="Z350" i="1" s="1"/>
  <c r="U349" i="1"/>
  <c r="V349" i="1" s="1"/>
  <c r="Z349" i="1" s="1"/>
  <c r="U348" i="1"/>
  <c r="V348" i="1" s="1"/>
  <c r="Z348" i="1" s="1"/>
  <c r="U347" i="1"/>
  <c r="V347" i="1" s="1"/>
  <c r="Z347" i="1" s="1"/>
  <c r="U346" i="1"/>
  <c r="V346" i="1" s="1"/>
  <c r="Z346" i="1" s="1"/>
  <c r="U345" i="1"/>
  <c r="V345" i="1" s="1"/>
  <c r="U342" i="1"/>
  <c r="V342" i="1" s="1"/>
  <c r="Z342" i="1" s="1"/>
  <c r="U340" i="1"/>
  <c r="V340" i="1" s="1"/>
  <c r="Z340" i="1" s="1"/>
  <c r="U339" i="1"/>
  <c r="V339" i="1" s="1"/>
  <c r="Z339" i="1" s="1"/>
  <c r="U338" i="1"/>
  <c r="Z338" i="1" s="1"/>
  <c r="U337" i="1"/>
  <c r="Z337" i="1" s="1"/>
  <c r="U336" i="1"/>
  <c r="Z336" i="1" s="1"/>
  <c r="U335" i="1"/>
  <c r="U334" i="1"/>
  <c r="Z334" i="1" s="1"/>
  <c r="U333" i="1"/>
  <c r="V332" i="1"/>
  <c r="Z332" i="1" s="1"/>
  <c r="U331" i="1"/>
  <c r="U330" i="1"/>
  <c r="V330" i="1" s="1"/>
  <c r="Z330" i="1" s="1"/>
  <c r="U329" i="1"/>
  <c r="Z329" i="1" s="1"/>
  <c r="U328" i="1"/>
  <c r="V328" i="1" s="1"/>
  <c r="Z328" i="1" s="1"/>
  <c r="U327" i="1"/>
  <c r="U323" i="1"/>
  <c r="V323" i="1" s="1"/>
  <c r="Z323" i="1" s="1"/>
  <c r="U322" i="1"/>
  <c r="V322" i="1" s="1"/>
  <c r="Z322" i="1" s="1"/>
  <c r="Z321" i="1"/>
  <c r="U320" i="1"/>
  <c r="V320" i="1" s="1"/>
  <c r="Z320" i="1" s="1"/>
  <c r="U319" i="1"/>
  <c r="V319" i="1" s="1"/>
  <c r="Z319" i="1" s="1"/>
  <c r="U318" i="1"/>
  <c r="U317" i="1"/>
  <c r="U316" i="1"/>
  <c r="U314" i="1"/>
  <c r="V314" i="1" s="1"/>
  <c r="Z314" i="1" s="1"/>
  <c r="U313" i="1"/>
  <c r="V313" i="1" s="1"/>
  <c r="Z313" i="1" s="1"/>
  <c r="U312" i="1"/>
  <c r="V312" i="1" s="1"/>
  <c r="Z312" i="1" s="1"/>
  <c r="U311" i="1"/>
  <c r="V311" i="1" s="1"/>
  <c r="U310" i="1"/>
  <c r="Z310" i="1" s="1"/>
  <c r="U309" i="1"/>
  <c r="V309" i="1" s="1"/>
  <c r="Z309" i="1" s="1"/>
  <c r="Z308" i="1"/>
  <c r="U307" i="1"/>
  <c r="V307" i="1" s="1"/>
  <c r="Z307" i="1" s="1"/>
  <c r="U306" i="1"/>
  <c r="V306" i="1" s="1"/>
  <c r="Z306" i="1" s="1"/>
  <c r="U305" i="1"/>
  <c r="Z305" i="1" s="1"/>
  <c r="U304" i="1"/>
  <c r="V304" i="1" s="1"/>
  <c r="Z304" i="1" s="1"/>
  <c r="U303" i="1"/>
  <c r="U302" i="1"/>
  <c r="V302" i="1" s="1"/>
  <c r="Z302" i="1" s="1"/>
  <c r="U301" i="1"/>
  <c r="U300" i="1"/>
  <c r="V300" i="1" s="1"/>
  <c r="Z300" i="1" s="1"/>
  <c r="U299" i="1"/>
  <c r="V299" i="1" s="1"/>
  <c r="Z299" i="1" s="1"/>
  <c r="U298" i="1"/>
  <c r="V298" i="1" s="1"/>
  <c r="Z298" i="1" s="1"/>
  <c r="U297" i="1"/>
  <c r="V297" i="1" s="1"/>
  <c r="U296" i="1"/>
  <c r="Z296" i="1" s="1"/>
  <c r="U294" i="1"/>
  <c r="V294" i="1" s="1"/>
  <c r="Z294" i="1" s="1"/>
  <c r="U293" i="1"/>
  <c r="V293" i="1" s="1"/>
  <c r="Z293" i="1" s="1"/>
  <c r="U292" i="1"/>
  <c r="V292" i="1" s="1"/>
  <c r="Z292" i="1" s="1"/>
  <c r="U291" i="1"/>
  <c r="Z291" i="1" s="1"/>
  <c r="U290" i="1"/>
  <c r="V290" i="1" s="1"/>
  <c r="Z290" i="1" s="1"/>
  <c r="U288" i="1"/>
  <c r="V288" i="1" s="1"/>
  <c r="Z288" i="1" s="1"/>
  <c r="U287" i="1"/>
  <c r="V287" i="1" s="1"/>
  <c r="Z287" i="1" s="1"/>
  <c r="U286" i="1"/>
  <c r="V286" i="1" s="1"/>
  <c r="Z286" i="1" s="1"/>
  <c r="U284" i="1"/>
  <c r="U282" i="1"/>
  <c r="Z282" i="1" s="1"/>
  <c r="U281" i="1"/>
  <c r="V281" i="1" s="1"/>
  <c r="Z281" i="1" s="1"/>
  <c r="U280" i="1"/>
  <c r="V280" i="1" s="1"/>
  <c r="Z280" i="1" s="1"/>
  <c r="U279" i="1"/>
  <c r="V279" i="1" s="1"/>
  <c r="Z279" i="1" s="1"/>
  <c r="U278" i="1"/>
  <c r="V278" i="1" s="1"/>
  <c r="Z278" i="1" s="1"/>
  <c r="U277" i="1"/>
  <c r="Z277" i="1" s="1"/>
  <c r="U276" i="1"/>
  <c r="V276" i="1" s="1"/>
  <c r="Z276" i="1" s="1"/>
  <c r="U275" i="1"/>
  <c r="V275" i="1" s="1"/>
  <c r="Z275" i="1" s="1"/>
  <c r="U274" i="1"/>
  <c r="V274" i="1" s="1"/>
  <c r="Z274" i="1" s="1"/>
  <c r="U273" i="1"/>
  <c r="Z273" i="1" s="1"/>
  <c r="U272" i="1"/>
  <c r="V272" i="1" s="1"/>
  <c r="Z272" i="1" s="1"/>
  <c r="U271" i="1"/>
  <c r="V271" i="1" s="1"/>
  <c r="Z271" i="1" s="1"/>
  <c r="U270" i="1"/>
  <c r="V270" i="1" s="1"/>
  <c r="Z270" i="1" s="1"/>
  <c r="U268" i="1"/>
  <c r="Z268" i="1" s="1"/>
  <c r="U266" i="1"/>
  <c r="V266" i="1" s="1"/>
  <c r="Z266" i="1" s="1"/>
  <c r="U265" i="1"/>
  <c r="V265" i="1" s="1"/>
  <c r="Z265" i="1" s="1"/>
  <c r="U264" i="1"/>
  <c r="V264" i="1" s="1"/>
  <c r="Z264" i="1" s="1"/>
  <c r="U263" i="1"/>
  <c r="V263" i="1" s="1"/>
  <c r="Z263" i="1" s="1"/>
  <c r="U262" i="1"/>
  <c r="V262" i="1" s="1"/>
  <c r="Z262" i="1" s="1"/>
  <c r="U261" i="1"/>
  <c r="V261" i="1" s="1"/>
  <c r="Z261" i="1" s="1"/>
  <c r="U260" i="1"/>
  <c r="V260" i="1" s="1"/>
  <c r="Z260" i="1" s="1"/>
  <c r="U259" i="1"/>
  <c r="V259" i="1" s="1"/>
  <c r="Z259" i="1" s="1"/>
  <c r="U256" i="1"/>
  <c r="V254" i="1"/>
  <c r="V253" i="1"/>
  <c r="U251" i="1"/>
  <c r="Z251" i="1" s="1"/>
  <c r="U250" i="1"/>
  <c r="V250" i="1" s="1"/>
  <c r="Z250" i="1" s="1"/>
  <c r="U249" i="1"/>
  <c r="V249" i="1" s="1"/>
  <c r="Z249" i="1" s="1"/>
  <c r="U248" i="1"/>
  <c r="V248" i="1" s="1"/>
  <c r="Z248" i="1" s="1"/>
  <c r="U247" i="1"/>
  <c r="V247" i="1" s="1"/>
  <c r="Z247" i="1" s="1"/>
  <c r="U246" i="1"/>
  <c r="V246" i="1" s="1"/>
  <c r="Z246" i="1" s="1"/>
  <c r="U245" i="1"/>
  <c r="V245" i="1" s="1"/>
  <c r="Z245" i="1" s="1"/>
  <c r="U244" i="1"/>
  <c r="V244" i="1" s="1"/>
  <c r="Z244" i="1" s="1"/>
  <c r="U243" i="1"/>
  <c r="V243" i="1" s="1"/>
  <c r="Z243" i="1" s="1"/>
  <c r="U242" i="1"/>
  <c r="U240" i="1"/>
  <c r="U239" i="1"/>
  <c r="V239" i="1" s="1"/>
  <c r="Z239" i="1" s="1"/>
  <c r="U238" i="1"/>
  <c r="V238" i="1" s="1"/>
  <c r="Z238" i="1" s="1"/>
  <c r="U237" i="1"/>
  <c r="V237" i="1" s="1"/>
  <c r="Z237" i="1" s="1"/>
  <c r="U236" i="1"/>
  <c r="V236" i="1" s="1"/>
  <c r="Z236" i="1" s="1"/>
  <c r="U235" i="1"/>
  <c r="V235" i="1" s="1"/>
  <c r="Z235" i="1" s="1"/>
  <c r="U234" i="1"/>
  <c r="U233" i="1"/>
  <c r="V233" i="1" s="1"/>
  <c r="Z233" i="1" s="1"/>
  <c r="U232" i="1"/>
  <c r="V232" i="1" s="1"/>
  <c r="Z232" i="1" s="1"/>
  <c r="U231" i="1"/>
  <c r="V231" i="1" s="1"/>
  <c r="Z231" i="1" s="1"/>
  <c r="U230" i="1"/>
  <c r="V230" i="1" s="1"/>
  <c r="Z230" i="1" s="1"/>
  <c r="U229" i="1"/>
  <c r="V229" i="1" s="1"/>
  <c r="Z229" i="1" s="1"/>
  <c r="U228" i="1"/>
  <c r="V228" i="1" s="1"/>
  <c r="Z228" i="1" s="1"/>
  <c r="U227" i="1"/>
  <c r="V227" i="1" s="1"/>
  <c r="Z227" i="1" s="1"/>
  <c r="U226" i="1"/>
  <c r="V226" i="1" s="1"/>
  <c r="Z226" i="1" s="1"/>
  <c r="U225" i="1"/>
  <c r="U224" i="1"/>
  <c r="V224" i="1" s="1"/>
  <c r="Z224" i="1" s="1"/>
  <c r="U223" i="1"/>
  <c r="V223" i="1" s="1"/>
  <c r="Z223" i="1" s="1"/>
  <c r="U222" i="1"/>
  <c r="V222" i="1" s="1"/>
  <c r="Z222" i="1" s="1"/>
  <c r="U221" i="1"/>
  <c r="V221" i="1" s="1"/>
  <c r="Z221" i="1" s="1"/>
  <c r="U220" i="1"/>
  <c r="V220" i="1" s="1"/>
  <c r="Z220" i="1" s="1"/>
  <c r="U219" i="1"/>
  <c r="V219" i="1" s="1"/>
  <c r="Z219" i="1" s="1"/>
  <c r="U218" i="1"/>
  <c r="Z218" i="1" s="1"/>
  <c r="U217" i="1"/>
  <c r="U216" i="1"/>
  <c r="V216" i="1" s="1"/>
  <c r="Z216" i="1" s="1"/>
  <c r="U215" i="1"/>
  <c r="V215" i="1" s="1"/>
  <c r="Z215" i="1" s="1"/>
  <c r="U214" i="1"/>
  <c r="V214" i="1" s="1"/>
  <c r="Z214" i="1" s="1"/>
  <c r="U213" i="1"/>
  <c r="V213" i="1" s="1"/>
  <c r="Z213" i="1" s="1"/>
  <c r="U212" i="1"/>
  <c r="V212" i="1" s="1"/>
  <c r="Z212" i="1" s="1"/>
  <c r="U211" i="1"/>
  <c r="V211" i="1" s="1"/>
  <c r="Z211" i="1" s="1"/>
  <c r="U210" i="1"/>
  <c r="Z210" i="1" s="1"/>
  <c r="U209" i="1"/>
  <c r="V209" i="1" s="1"/>
  <c r="Z209" i="1" s="1"/>
  <c r="U208" i="1"/>
  <c r="U207" i="1"/>
  <c r="V207" i="1" s="1"/>
  <c r="Z207" i="1" s="1"/>
  <c r="U206" i="1"/>
  <c r="V206" i="1" s="1"/>
  <c r="Z206" i="1" s="1"/>
  <c r="U205" i="1"/>
  <c r="V205" i="1" s="1"/>
  <c r="Z205" i="1" s="1"/>
  <c r="U204" i="1"/>
  <c r="Z204" i="1" s="1"/>
  <c r="U203" i="1"/>
  <c r="V203" i="1" s="1"/>
  <c r="Z203" i="1" s="1"/>
  <c r="U202" i="1"/>
  <c r="U200" i="1"/>
  <c r="V200" i="1" s="1"/>
  <c r="Z200" i="1" s="1"/>
  <c r="U199" i="1"/>
  <c r="V199" i="1" s="1"/>
  <c r="Z199" i="1" s="1"/>
  <c r="U198" i="1"/>
  <c r="V198" i="1" s="1"/>
  <c r="Z198" i="1" s="1"/>
  <c r="U197" i="1"/>
  <c r="V196" i="1"/>
  <c r="Z196" i="1" s="1"/>
  <c r="U195" i="1"/>
  <c r="V195" i="1" s="1"/>
  <c r="Z195" i="1" s="1"/>
  <c r="U193" i="1"/>
  <c r="V193" i="1" s="1"/>
  <c r="Z193" i="1" s="1"/>
  <c r="U192" i="1"/>
  <c r="Z192" i="1" s="1"/>
  <c r="U191" i="1"/>
  <c r="Z191" i="1" s="1"/>
  <c r="U190" i="1"/>
  <c r="V190" i="1" s="1"/>
  <c r="Z190" i="1" s="1"/>
  <c r="U189" i="1"/>
  <c r="V189" i="1" s="1"/>
  <c r="Z189" i="1" s="1"/>
  <c r="U188" i="1"/>
  <c r="V188" i="1" s="1"/>
  <c r="Z188" i="1" s="1"/>
  <c r="U187" i="1"/>
  <c r="V187" i="1" s="1"/>
  <c r="Z187" i="1" s="1"/>
  <c r="U186" i="1"/>
  <c r="V186" i="1" s="1"/>
  <c r="Z186" i="1" s="1"/>
  <c r="U185" i="1"/>
  <c r="V185" i="1" s="1"/>
  <c r="Z185" i="1" s="1"/>
  <c r="U184" i="1"/>
  <c r="V184" i="1" s="1"/>
  <c r="Z184" i="1" s="1"/>
  <c r="U183" i="1"/>
  <c r="V183" i="1" s="1"/>
  <c r="Z183" i="1" s="1"/>
  <c r="U182" i="1"/>
  <c r="V182" i="1" s="1"/>
  <c r="Z182" i="1" s="1"/>
  <c r="U181" i="1"/>
  <c r="V181" i="1" s="1"/>
  <c r="Z181" i="1" s="1"/>
  <c r="U180" i="1"/>
  <c r="V180" i="1" s="1"/>
  <c r="Z180" i="1" s="1"/>
  <c r="U179" i="1"/>
  <c r="Z179" i="1" s="1"/>
  <c r="U178" i="1"/>
  <c r="V178" i="1" s="1"/>
  <c r="Z178" i="1" s="1"/>
  <c r="U177" i="1"/>
  <c r="V177" i="1" s="1"/>
  <c r="Z177" i="1" s="1"/>
  <c r="U176" i="1"/>
  <c r="V176" i="1" s="1"/>
  <c r="U175" i="1"/>
  <c r="V175" i="1" s="1"/>
  <c r="Z175" i="1" s="1"/>
  <c r="U174" i="1"/>
  <c r="Z174" i="1" s="1"/>
  <c r="U173" i="1"/>
  <c r="V173" i="1" s="1"/>
  <c r="Z173" i="1" s="1"/>
  <c r="U172" i="1"/>
  <c r="V172" i="1" s="1"/>
  <c r="Z172" i="1" s="1"/>
  <c r="U171" i="1"/>
  <c r="V171" i="1" s="1"/>
  <c r="Z171" i="1" s="1"/>
  <c r="U170" i="1"/>
  <c r="V170" i="1" s="1"/>
  <c r="Z170" i="1" s="1"/>
  <c r="U169" i="1"/>
  <c r="V169" i="1" s="1"/>
  <c r="Z169" i="1" s="1"/>
  <c r="U168" i="1"/>
  <c r="V168" i="1" s="1"/>
  <c r="Z168" i="1" s="1"/>
  <c r="U167" i="1"/>
  <c r="Z167" i="1" s="1"/>
  <c r="U166" i="1"/>
  <c r="Z166" i="1" s="1"/>
  <c r="U164" i="1"/>
  <c r="V164" i="1" s="1"/>
  <c r="Z164" i="1" s="1"/>
  <c r="U163" i="1"/>
  <c r="V163" i="1" s="1"/>
  <c r="Z163" i="1" s="1"/>
  <c r="U162" i="1"/>
  <c r="V162" i="1" s="1"/>
  <c r="Z162" i="1" s="1"/>
  <c r="U161" i="1"/>
  <c r="V161" i="1" s="1"/>
  <c r="Z161" i="1" s="1"/>
  <c r="U160" i="1"/>
  <c r="V160" i="1" s="1"/>
  <c r="Z160" i="1" s="1"/>
  <c r="U159" i="1"/>
  <c r="V159" i="1" s="1"/>
  <c r="Z159" i="1" s="1"/>
  <c r="U157" i="1"/>
  <c r="Z157" i="1" s="1"/>
  <c r="V153" i="1"/>
  <c r="Z153" i="1" s="1"/>
  <c r="U152" i="1"/>
  <c r="V152" i="1" s="1"/>
  <c r="Z152" i="1" s="1"/>
  <c r="U151" i="1"/>
  <c r="V151" i="1" s="1"/>
  <c r="Z151" i="1" s="1"/>
  <c r="U150" i="1"/>
  <c r="Z150" i="1" s="1"/>
  <c r="U149" i="1"/>
  <c r="V149" i="1" s="1"/>
  <c r="Z149" i="1" s="1"/>
  <c r="U148" i="1"/>
  <c r="V148" i="1" s="1"/>
  <c r="Z148" i="1" s="1"/>
  <c r="Z146" i="1"/>
  <c r="U145" i="1"/>
  <c r="V145" i="1" s="1"/>
  <c r="Z145" i="1" s="1"/>
  <c r="U144" i="1"/>
  <c r="V144" i="1" s="1"/>
  <c r="Z144" i="1" s="1"/>
  <c r="U143" i="1"/>
  <c r="V143" i="1" s="1"/>
  <c r="Z143" i="1" s="1"/>
  <c r="U142" i="1"/>
  <c r="V142" i="1" s="1"/>
  <c r="Z142" i="1" s="1"/>
  <c r="U141" i="1"/>
  <c r="V141" i="1" s="1"/>
  <c r="Z141" i="1" s="1"/>
  <c r="U139" i="1"/>
  <c r="U137" i="1"/>
  <c r="V137" i="1" s="1"/>
  <c r="Z137" i="1" s="1"/>
  <c r="U136" i="1"/>
  <c r="V136" i="1" s="1"/>
  <c r="Z136" i="1" s="1"/>
  <c r="U135" i="1"/>
  <c r="Z134" i="1"/>
  <c r="U133" i="1"/>
  <c r="Z133" i="1" s="1"/>
  <c r="U131" i="1"/>
  <c r="Z131" i="1" s="1"/>
  <c r="U130" i="1"/>
  <c r="Z130" i="1" s="1"/>
  <c r="U129" i="1"/>
  <c r="V129" i="1" s="1"/>
  <c r="Z129" i="1" s="1"/>
  <c r="U128" i="1"/>
  <c r="V128" i="1" s="1"/>
  <c r="Z128" i="1" s="1"/>
  <c r="U127" i="1"/>
  <c r="V127" i="1" s="1"/>
  <c r="Z127" i="1" s="1"/>
  <c r="U126" i="1"/>
  <c r="V126" i="1" s="1"/>
  <c r="Z126" i="1" s="1"/>
  <c r="U125" i="1"/>
  <c r="V125" i="1" s="1"/>
  <c r="Z125" i="1" s="1"/>
  <c r="U124" i="1"/>
  <c r="Z124" i="1" s="1"/>
  <c r="Z122" i="1"/>
  <c r="U121" i="1"/>
  <c r="Z121" i="1" s="1"/>
  <c r="U120" i="1"/>
  <c r="V120" i="1" s="1"/>
  <c r="Z120" i="1" s="1"/>
  <c r="U119" i="1"/>
  <c r="V119" i="1" s="1"/>
  <c r="Z119" i="1" s="1"/>
  <c r="U118" i="1"/>
  <c r="V118" i="1" s="1"/>
  <c r="Z118" i="1" s="1"/>
  <c r="U117" i="1"/>
  <c r="V117" i="1" s="1"/>
  <c r="Z117" i="1" s="1"/>
  <c r="U116" i="1"/>
  <c r="V116" i="1" s="1"/>
  <c r="Z116" i="1" s="1"/>
  <c r="U115" i="1"/>
  <c r="Z115" i="1" s="1"/>
  <c r="Z113" i="1"/>
  <c r="U112" i="1"/>
  <c r="Z112" i="1" s="1"/>
  <c r="U111" i="1"/>
  <c r="Z111" i="1" s="1"/>
  <c r="U109" i="1"/>
  <c r="V109" i="1" s="1"/>
  <c r="Z109" i="1" s="1"/>
  <c r="Z108" i="1"/>
  <c r="U107" i="1"/>
  <c r="Z107" i="1" s="1"/>
  <c r="U106" i="1"/>
  <c r="V106" i="1" s="1"/>
  <c r="Z106" i="1" s="1"/>
  <c r="U105" i="1"/>
  <c r="V105" i="1" s="1"/>
  <c r="Z105" i="1" s="1"/>
  <c r="U103" i="1"/>
  <c r="V103" i="1" s="1"/>
  <c r="Z103" i="1" s="1"/>
  <c r="Z102" i="1"/>
  <c r="U101" i="1"/>
  <c r="V101" i="1" s="1"/>
  <c r="Z101" i="1" s="1"/>
  <c r="U100" i="1"/>
  <c r="V100" i="1" s="1"/>
  <c r="Z100" i="1" s="1"/>
  <c r="U99" i="1"/>
  <c r="V99" i="1" s="1"/>
  <c r="Z99" i="1" s="1"/>
  <c r="U98" i="1"/>
  <c r="V98" i="1" s="1"/>
  <c r="Z98" i="1" s="1"/>
  <c r="U96" i="1"/>
  <c r="V96" i="1" s="1"/>
  <c r="Z96" i="1" s="1"/>
  <c r="U95" i="1"/>
  <c r="U93" i="1"/>
  <c r="V93" i="1" s="1"/>
  <c r="Z93" i="1" s="1"/>
  <c r="U92" i="1"/>
  <c r="U91" i="1"/>
  <c r="V91" i="1" s="1"/>
  <c r="Z91" i="1" s="1"/>
  <c r="U90" i="1"/>
  <c r="V90" i="1" s="1"/>
  <c r="Z90" i="1" s="1"/>
  <c r="U89" i="1"/>
  <c r="Z89" i="1" s="1"/>
  <c r="U88" i="1"/>
  <c r="Z88" i="1" s="1"/>
  <c r="U86" i="1"/>
  <c r="V86" i="1" s="1"/>
  <c r="U84" i="1"/>
  <c r="V84" i="1" s="1"/>
  <c r="Z84" i="1" s="1"/>
  <c r="U83" i="1"/>
  <c r="V83" i="1" s="1"/>
  <c r="Z83" i="1" s="1"/>
  <c r="U82" i="1"/>
  <c r="Z82" i="1" s="1"/>
  <c r="U81" i="1"/>
  <c r="V81" i="1" s="1"/>
  <c r="Z81" i="1" s="1"/>
  <c r="U80" i="1"/>
  <c r="V80" i="1" s="1"/>
  <c r="Z80" i="1" s="1"/>
  <c r="U79" i="1"/>
  <c r="V79" i="1" s="1"/>
  <c r="Z79" i="1" s="1"/>
  <c r="U76" i="1"/>
  <c r="U75" i="1"/>
  <c r="U74" i="1"/>
  <c r="U72" i="1"/>
  <c r="Z72" i="1" s="1"/>
  <c r="U71" i="1"/>
  <c r="Z71" i="1" s="1"/>
  <c r="U70" i="1"/>
  <c r="Z70" i="1" s="1"/>
  <c r="U68" i="1"/>
  <c r="V68" i="1" s="1"/>
  <c r="Z67" i="1"/>
  <c r="U66" i="1"/>
  <c r="V66" i="1" s="1"/>
  <c r="Z66" i="1" s="1"/>
  <c r="U65" i="1"/>
  <c r="Z65" i="1" s="1"/>
  <c r="U64" i="1"/>
  <c r="Z64" i="1" s="1"/>
  <c r="U63" i="1"/>
  <c r="V63" i="1" s="1"/>
  <c r="Z63" i="1" s="1"/>
  <c r="U62" i="1"/>
  <c r="Z62" i="1" s="1"/>
  <c r="U61" i="1"/>
  <c r="Z61" i="1" s="1"/>
  <c r="U59" i="1"/>
  <c r="V59" i="1" s="1"/>
  <c r="Z59" i="1" s="1"/>
  <c r="U58" i="1"/>
  <c r="V58" i="1" s="1"/>
  <c r="Z58" i="1" s="1"/>
  <c r="U57" i="1"/>
  <c r="U56" i="1"/>
  <c r="V56" i="1" s="1"/>
  <c r="Z56" i="1" s="1"/>
  <c r="Z55" i="1"/>
  <c r="U54" i="1"/>
  <c r="U53" i="1"/>
  <c r="V53" i="1" s="1"/>
  <c r="Z53" i="1" s="1"/>
  <c r="U52" i="1"/>
  <c r="V52" i="1" s="1"/>
  <c r="Z52" i="1" s="1"/>
  <c r="U51" i="1"/>
  <c r="V51" i="1" s="1"/>
  <c r="Z51" i="1" s="1"/>
  <c r="U50" i="1"/>
  <c r="V50" i="1" s="1"/>
  <c r="Z50" i="1" s="1"/>
  <c r="U49" i="1"/>
  <c r="Z49" i="1" s="1"/>
  <c r="U48" i="1"/>
  <c r="Z48" i="1" s="1"/>
  <c r="U46" i="1"/>
  <c r="U47" i="1" s="1"/>
  <c r="U44" i="1"/>
  <c r="V44" i="1" s="1"/>
  <c r="Z44" i="1" s="1"/>
  <c r="U43" i="1"/>
  <c r="Z43" i="1" s="1"/>
  <c r="U42" i="1"/>
  <c r="Z42" i="1" s="1"/>
  <c r="U41" i="1"/>
  <c r="Z41" i="1" s="1"/>
  <c r="U39" i="1"/>
  <c r="U40" i="1" s="1"/>
  <c r="U37" i="1"/>
  <c r="V37" i="1" s="1"/>
  <c r="Z37" i="1" s="1"/>
  <c r="U36" i="1"/>
  <c r="Z36" i="1" s="1"/>
  <c r="U35" i="1"/>
  <c r="Z35" i="1" s="1"/>
  <c r="U34" i="1"/>
  <c r="Z34" i="1" s="1"/>
  <c r="U32" i="1"/>
  <c r="V32" i="1" s="1"/>
  <c r="Z32" i="1" s="1"/>
  <c r="U31" i="1"/>
  <c r="V31" i="1" s="1"/>
  <c r="Z31" i="1" s="1"/>
  <c r="U30" i="1"/>
  <c r="V30" i="1" s="1"/>
  <c r="Z30" i="1" s="1"/>
  <c r="U29" i="1"/>
  <c r="V29" i="1" s="1"/>
  <c r="Z29" i="1" s="1"/>
  <c r="U28" i="1"/>
  <c r="V28" i="1" s="1"/>
  <c r="Z28" i="1" s="1"/>
  <c r="U27" i="1"/>
  <c r="V27" i="1" s="1"/>
  <c r="Z27" i="1" s="1"/>
  <c r="U26" i="1"/>
  <c r="V26" i="1" s="1"/>
  <c r="Z26" i="1" s="1"/>
  <c r="U25" i="1"/>
  <c r="V25" i="1" s="1"/>
  <c r="Z25" i="1" s="1"/>
  <c r="U24" i="1"/>
  <c r="V24" i="1" s="1"/>
  <c r="Z24" i="1" s="1"/>
  <c r="U23" i="1"/>
  <c r="V23" i="1" s="1"/>
  <c r="Z23" i="1" s="1"/>
  <c r="U22" i="1"/>
  <c r="V22" i="1" s="1"/>
  <c r="Z22" i="1" s="1"/>
  <c r="U21" i="1"/>
  <c r="V21" i="1" s="1"/>
  <c r="U20" i="1"/>
  <c r="U19" i="1"/>
  <c r="U18" i="1"/>
  <c r="V18" i="1" s="1"/>
  <c r="Z18" i="1" s="1"/>
  <c r="U17" i="1"/>
  <c r="V17" i="1" s="1"/>
  <c r="Z17" i="1" s="1"/>
  <c r="U16" i="1"/>
  <c r="V16" i="1" s="1"/>
  <c r="Z16" i="1" s="1"/>
  <c r="U14" i="1"/>
  <c r="Z14" i="1" s="1"/>
  <c r="U13" i="1"/>
  <c r="U12" i="1"/>
  <c r="V12" i="1" s="1"/>
  <c r="Z12" i="1" s="1"/>
  <c r="U11" i="1"/>
  <c r="V11" i="1" s="1"/>
  <c r="Z11" i="1" s="1"/>
  <c r="V10" i="1"/>
  <c r="Z10" i="1" s="1"/>
  <c r="U9" i="1"/>
  <c r="V9" i="1" s="1"/>
  <c r="Z9" i="1" s="1"/>
  <c r="U8" i="1"/>
  <c r="V8" i="1" s="1"/>
  <c r="Z8" i="1" s="1"/>
  <c r="U7" i="1"/>
  <c r="U6" i="1"/>
  <c r="V6" i="1" s="1"/>
  <c r="Z6" i="1" s="1"/>
  <c r="U5" i="1"/>
  <c r="V5" i="1" s="1"/>
  <c r="U4" i="1"/>
  <c r="C358" i="1"/>
  <c r="D358" i="1"/>
  <c r="E358" i="1" s="1"/>
  <c r="C332" i="1"/>
  <c r="D332" i="1"/>
  <c r="E332" i="1" s="1"/>
  <c r="C310" i="1"/>
  <c r="D310" i="1"/>
  <c r="E310" i="1" s="1"/>
  <c r="C304" i="1"/>
  <c r="D304" i="1"/>
  <c r="E304" i="1" s="1"/>
  <c r="C305" i="1"/>
  <c r="D305" i="1"/>
  <c r="E305" i="1" s="1"/>
  <c r="N305" i="1"/>
  <c r="O305" i="1"/>
  <c r="Q305" i="1"/>
  <c r="R305" i="1"/>
  <c r="S305" i="1"/>
  <c r="C292" i="1"/>
  <c r="D292" i="1"/>
  <c r="E292" i="1" s="1"/>
  <c r="X252" i="1"/>
  <c r="C251" i="1"/>
  <c r="D251" i="1"/>
  <c r="E251" i="1" s="1"/>
  <c r="C158" i="1"/>
  <c r="D158" i="1"/>
  <c r="E158" i="1" s="1"/>
  <c r="X154" i="1"/>
  <c r="T154" i="1"/>
  <c r="C153" i="1"/>
  <c r="D153" i="1"/>
  <c r="E153" i="1" s="1"/>
  <c r="C133" i="1"/>
  <c r="D133" i="1"/>
  <c r="E133" i="1" s="1"/>
  <c r="T114" i="1"/>
  <c r="C113" i="1"/>
  <c r="D113" i="1"/>
  <c r="E113" i="1" s="1"/>
  <c r="C89" i="1"/>
  <c r="D89" i="1"/>
  <c r="E89" i="1" s="1"/>
  <c r="T85" i="1"/>
  <c r="D79" i="1"/>
  <c r="E79" i="1" s="1"/>
  <c r="C62" i="1"/>
  <c r="D62" i="1"/>
  <c r="E62" i="1" s="1"/>
  <c r="C55" i="1"/>
  <c r="D55" i="1"/>
  <c r="E55" i="1" s="1"/>
  <c r="G324" i="33"/>
  <c r="X255" i="2" s="1"/>
  <c r="Y255" i="2" s="1"/>
  <c r="D324" i="33"/>
  <c r="V258" i="2"/>
  <c r="C254" i="2"/>
  <c r="D254" i="2"/>
  <c r="E254" i="2" s="1"/>
  <c r="C255" i="2"/>
  <c r="D255" i="2"/>
  <c r="E255" i="2" s="1"/>
  <c r="C196" i="2"/>
  <c r="D196" i="2"/>
  <c r="E196" i="2" s="1"/>
  <c r="C206" i="2"/>
  <c r="D206" i="2"/>
  <c r="E206" i="2" s="1"/>
  <c r="C179" i="2"/>
  <c r="D179" i="2"/>
  <c r="E179" i="2" s="1"/>
  <c r="C191" i="2"/>
  <c r="D191" i="2"/>
  <c r="E191" i="2" s="1"/>
  <c r="C192" i="2"/>
  <c r="D192" i="2"/>
  <c r="E192" i="2" s="1"/>
  <c r="C193" i="2"/>
  <c r="D193" i="2"/>
  <c r="E193" i="2" s="1"/>
  <c r="C178" i="2"/>
  <c r="D178" i="2"/>
  <c r="E178" i="2" s="1"/>
  <c r="C180" i="2"/>
  <c r="D180" i="2"/>
  <c r="E180" i="2" s="1"/>
  <c r="C167" i="2"/>
  <c r="D167" i="2"/>
  <c r="E167" i="2" s="1"/>
  <c r="C88" i="2"/>
  <c r="D88" i="2"/>
  <c r="E88" i="2" s="1"/>
  <c r="C55" i="2"/>
  <c r="D55" i="2"/>
  <c r="E55" i="2" s="1"/>
  <c r="C142" i="2"/>
  <c r="D142" i="2"/>
  <c r="E142" i="2" s="1"/>
  <c r="C143" i="2"/>
  <c r="D143" i="2"/>
  <c r="E143" i="2" s="1"/>
  <c r="C144" i="2"/>
  <c r="D144" i="2"/>
  <c r="E144" i="2" s="1"/>
  <c r="C145" i="2"/>
  <c r="D145" i="2"/>
  <c r="E145" i="2" s="1"/>
  <c r="C46" i="2"/>
  <c r="D46" i="2"/>
  <c r="E46" i="2" s="1"/>
  <c r="C47" i="2"/>
  <c r="D47" i="2"/>
  <c r="E47" i="2" s="1"/>
  <c r="C48" i="2"/>
  <c r="D48" i="2"/>
  <c r="E48" i="2" s="1"/>
  <c r="C49" i="2"/>
  <c r="D49" i="2"/>
  <c r="E49" i="2" s="1"/>
  <c r="C50" i="2"/>
  <c r="D50" i="2"/>
  <c r="E50" i="2" s="1"/>
  <c r="C51" i="2"/>
  <c r="D51" i="2"/>
  <c r="E51" i="2" s="1"/>
  <c r="C52" i="2"/>
  <c r="D52" i="2"/>
  <c r="E52" i="2" s="1"/>
  <c r="C53" i="2"/>
  <c r="D53" i="2"/>
  <c r="E53" i="2" s="1"/>
  <c r="C54" i="2"/>
  <c r="D54" i="2"/>
  <c r="E54" i="2" s="1"/>
  <c r="C56" i="2"/>
  <c r="D56" i="2"/>
  <c r="E56" i="2" s="1"/>
  <c r="C57" i="2"/>
  <c r="D57" i="2"/>
  <c r="E57" i="2" s="1"/>
  <c r="C58" i="2"/>
  <c r="D58" i="2"/>
  <c r="E58" i="2" s="1"/>
  <c r="C59" i="2"/>
  <c r="D59" i="2"/>
  <c r="E59" i="2" s="1"/>
  <c r="C60" i="2"/>
  <c r="D60" i="2"/>
  <c r="E60" i="2" s="1"/>
  <c r="C61" i="2"/>
  <c r="D61" i="2"/>
  <c r="E61" i="2" s="1"/>
  <c r="C62" i="2"/>
  <c r="D62" i="2"/>
  <c r="E62" i="2" s="1"/>
  <c r="C63" i="2"/>
  <c r="D63" i="2"/>
  <c r="E63" i="2" s="1"/>
  <c r="C64" i="2"/>
  <c r="D64" i="2"/>
  <c r="E64" i="2" s="1"/>
  <c r="C65" i="2"/>
  <c r="D65" i="2"/>
  <c r="E65" i="2" s="1"/>
  <c r="C66" i="2"/>
  <c r="D66" i="2"/>
  <c r="E66" i="2" s="1"/>
  <c r="C67" i="2"/>
  <c r="D67" i="2"/>
  <c r="E67" i="2" s="1"/>
  <c r="C68" i="2"/>
  <c r="D68" i="2"/>
  <c r="E68" i="2" s="1"/>
  <c r="C69" i="2"/>
  <c r="D69" i="2"/>
  <c r="E69" i="2" s="1"/>
  <c r="C70" i="2"/>
  <c r="D70" i="2"/>
  <c r="E70" i="2" s="1"/>
  <c r="C71" i="2"/>
  <c r="D71" i="2"/>
  <c r="E71" i="2" s="1"/>
  <c r="C72" i="2"/>
  <c r="D72" i="2"/>
  <c r="E72" i="2" s="1"/>
  <c r="C73" i="2"/>
  <c r="D73" i="2"/>
  <c r="E73" i="2" s="1"/>
  <c r="C74" i="2"/>
  <c r="D74" i="2"/>
  <c r="E74" i="2" s="1"/>
  <c r="C75" i="2"/>
  <c r="D75" i="2"/>
  <c r="E75" i="2" s="1"/>
  <c r="C76" i="2"/>
  <c r="D76" i="2"/>
  <c r="E76" i="2" s="1"/>
  <c r="C77" i="2"/>
  <c r="D77" i="2"/>
  <c r="E77" i="2" s="1"/>
  <c r="C78" i="2"/>
  <c r="D78" i="2"/>
  <c r="E78" i="2" s="1"/>
  <c r="C79" i="2"/>
  <c r="D79" i="2"/>
  <c r="E79" i="2" s="1"/>
  <c r="C80" i="2"/>
  <c r="D80" i="2"/>
  <c r="E80" i="2" s="1"/>
  <c r="C81" i="2"/>
  <c r="D81" i="2"/>
  <c r="E81" i="2" s="1"/>
  <c r="C82" i="2"/>
  <c r="D82" i="2"/>
  <c r="E82" i="2" s="1"/>
  <c r="C83" i="2"/>
  <c r="D83" i="2"/>
  <c r="E83" i="2" s="1"/>
  <c r="C84" i="2"/>
  <c r="E84" i="2"/>
  <c r="C86" i="2"/>
  <c r="D86" i="2"/>
  <c r="E86" i="2" s="1"/>
  <c r="C87" i="2"/>
  <c r="D87" i="2"/>
  <c r="E87" i="2" s="1"/>
  <c r="C89" i="2"/>
  <c r="D89" i="2"/>
  <c r="E89" i="2" s="1"/>
  <c r="C91" i="2"/>
  <c r="D91" i="2"/>
  <c r="E91" i="2" s="1"/>
  <c r="C92" i="2"/>
  <c r="D92" i="2"/>
  <c r="E92" i="2" s="1"/>
  <c r="C93" i="2"/>
  <c r="D93" i="2"/>
  <c r="E93" i="2" s="1"/>
  <c r="C94" i="2"/>
  <c r="D94" i="2"/>
  <c r="E94" i="2" s="1"/>
  <c r="C95" i="2"/>
  <c r="D95" i="2"/>
  <c r="E95" i="2" s="1"/>
  <c r="C96" i="2"/>
  <c r="D96" i="2"/>
  <c r="E96" i="2" s="1"/>
  <c r="C97" i="2"/>
  <c r="D97" i="2"/>
  <c r="E97" i="2" s="1"/>
  <c r="C98" i="2"/>
  <c r="D98" i="2"/>
  <c r="E98" i="2" s="1"/>
  <c r="C99" i="2"/>
  <c r="D99" i="2"/>
  <c r="E99" i="2" s="1"/>
  <c r="C100" i="2"/>
  <c r="D100" i="2"/>
  <c r="E100" i="2" s="1"/>
  <c r="C101" i="2"/>
  <c r="D101" i="2"/>
  <c r="E101" i="2" s="1"/>
  <c r="C111" i="2"/>
  <c r="D111" i="2"/>
  <c r="E111" i="2" s="1"/>
  <c r="C112" i="2"/>
  <c r="D112" i="2"/>
  <c r="E112" i="2" s="1"/>
  <c r="C113" i="2"/>
  <c r="D113" i="2"/>
  <c r="E113" i="2" s="1"/>
  <c r="C114" i="2"/>
  <c r="D114" i="2"/>
  <c r="E114" i="2" s="1"/>
  <c r="C115" i="2"/>
  <c r="D115" i="2"/>
  <c r="E115" i="2" s="1"/>
  <c r="C116" i="2"/>
  <c r="D116" i="2"/>
  <c r="E116" i="2" s="1"/>
  <c r="C21" i="2"/>
  <c r="D21" i="2"/>
  <c r="E21" i="2" s="1"/>
  <c r="C12" i="2"/>
  <c r="D12" i="2"/>
  <c r="E12" i="2" s="1"/>
  <c r="G45" i="33"/>
  <c r="W21" i="2" s="1"/>
  <c r="Y21" i="2" s="1"/>
  <c r="H332" i="33"/>
  <c r="H333" i="33"/>
  <c r="H334" i="33"/>
  <c r="H335" i="33"/>
  <c r="H336" i="33"/>
  <c r="H337" i="33"/>
  <c r="H338" i="33"/>
  <c r="H339" i="33"/>
  <c r="H340" i="33"/>
  <c r="H341" i="33"/>
  <c r="H342" i="33"/>
  <c r="H343" i="33"/>
  <c r="H344" i="33"/>
  <c r="H345" i="33"/>
  <c r="H346" i="33"/>
  <c r="H347" i="33"/>
  <c r="H348" i="33"/>
  <c r="H349" i="33"/>
  <c r="H350" i="33"/>
  <c r="H351" i="33"/>
  <c r="H352" i="33"/>
  <c r="H353" i="33"/>
  <c r="H354" i="33"/>
  <c r="H357" i="33"/>
  <c r="H358" i="33"/>
  <c r="H359" i="33"/>
  <c r="H360" i="33"/>
  <c r="H361" i="33"/>
  <c r="H362" i="33"/>
  <c r="H363" i="33"/>
  <c r="H364" i="33"/>
  <c r="H365" i="33"/>
  <c r="H366" i="33"/>
  <c r="H367" i="33"/>
  <c r="H368" i="33"/>
  <c r="H369" i="33"/>
  <c r="H370" i="33"/>
  <c r="H371" i="33"/>
  <c r="H373" i="33"/>
  <c r="H374" i="33"/>
  <c r="H375" i="33"/>
  <c r="H376" i="33"/>
  <c r="H377" i="33"/>
  <c r="H378" i="33"/>
  <c r="H379" i="33"/>
  <c r="H380" i="33"/>
  <c r="H381" i="33"/>
  <c r="H382" i="33"/>
  <c r="H383" i="33"/>
  <c r="H384" i="33"/>
  <c r="H385" i="33"/>
  <c r="H386" i="33"/>
  <c r="H387" i="33"/>
  <c r="H388" i="33"/>
  <c r="H389" i="33"/>
  <c r="H390" i="33"/>
  <c r="H391" i="33"/>
  <c r="H392" i="33"/>
  <c r="H393" i="33"/>
  <c r="H394" i="33"/>
  <c r="H395" i="33"/>
  <c r="H397" i="33"/>
  <c r="H398" i="33"/>
  <c r="H399" i="33"/>
  <c r="H400" i="33"/>
  <c r="H401" i="33"/>
  <c r="H402" i="33"/>
  <c r="H403" i="33"/>
  <c r="H404" i="33"/>
  <c r="H405" i="33"/>
  <c r="H406" i="33"/>
  <c r="H407" i="33"/>
  <c r="H408" i="33"/>
  <c r="H409" i="33"/>
  <c r="H410" i="33"/>
  <c r="H412" i="33"/>
  <c r="H413" i="33"/>
  <c r="H414" i="33"/>
  <c r="H415" i="33"/>
  <c r="H416" i="33"/>
  <c r="H417" i="33"/>
  <c r="H421" i="33"/>
  <c r="H422" i="33"/>
  <c r="H423" i="33"/>
  <c r="H424" i="33"/>
  <c r="H425" i="33"/>
  <c r="H426" i="33"/>
  <c r="H427" i="33"/>
  <c r="H428" i="33"/>
  <c r="H429" i="33"/>
  <c r="H430" i="33"/>
  <c r="H431" i="33"/>
  <c r="H432" i="33"/>
  <c r="H433" i="33"/>
  <c r="H434" i="33"/>
  <c r="H435" i="33"/>
  <c r="H436" i="33"/>
  <c r="H437" i="33"/>
  <c r="H438" i="33"/>
  <c r="H439" i="33"/>
  <c r="H440" i="33"/>
  <c r="H441" i="33"/>
  <c r="H442" i="33"/>
  <c r="H443" i="33"/>
  <c r="H444" i="33"/>
  <c r="H445" i="33"/>
  <c r="H446" i="33"/>
  <c r="H447" i="33"/>
  <c r="H448" i="33"/>
  <c r="H449" i="33"/>
  <c r="H450" i="33"/>
  <c r="H451" i="33"/>
  <c r="H452" i="33"/>
  <c r="H453" i="33"/>
  <c r="H454" i="33"/>
  <c r="H455" i="33"/>
  <c r="H457" i="33"/>
  <c r="H458" i="33"/>
  <c r="H459" i="33"/>
  <c r="H460" i="33"/>
  <c r="H461" i="33"/>
  <c r="H462" i="33"/>
  <c r="H463" i="33"/>
  <c r="H464" i="33"/>
  <c r="H465" i="33"/>
  <c r="H466" i="33"/>
  <c r="H467" i="33"/>
  <c r="H468" i="33"/>
  <c r="H469" i="33"/>
  <c r="H470" i="33"/>
  <c r="H471" i="33"/>
  <c r="H472" i="33"/>
  <c r="H473" i="33"/>
  <c r="H474" i="33"/>
  <c r="H475" i="33"/>
  <c r="H476" i="33"/>
  <c r="H477" i="33"/>
  <c r="H478" i="33"/>
  <c r="H479" i="33"/>
  <c r="H480" i="33"/>
  <c r="H481" i="33"/>
  <c r="H482" i="33"/>
  <c r="H483" i="33"/>
  <c r="H484" i="33"/>
  <c r="H485" i="33"/>
  <c r="H486" i="33"/>
  <c r="H487" i="33"/>
  <c r="H488" i="33"/>
  <c r="H489" i="33"/>
  <c r="H490" i="33"/>
  <c r="H491" i="33"/>
  <c r="H492" i="33"/>
  <c r="H493" i="33"/>
  <c r="H494" i="33"/>
  <c r="H495" i="33"/>
  <c r="H496" i="33"/>
  <c r="H497" i="33"/>
  <c r="H498" i="33"/>
  <c r="H499" i="33"/>
  <c r="H500" i="33"/>
  <c r="H501" i="33"/>
  <c r="H502" i="33"/>
  <c r="H503" i="33"/>
  <c r="H504" i="33"/>
  <c r="H505" i="33"/>
  <c r="H506" i="33"/>
  <c r="H507" i="33"/>
  <c r="H508" i="33"/>
  <c r="H509" i="33"/>
  <c r="H510" i="33"/>
  <c r="H511" i="33"/>
  <c r="H512" i="33"/>
  <c r="H513" i="33"/>
  <c r="H514" i="33"/>
  <c r="H515" i="33"/>
  <c r="H516" i="33"/>
  <c r="H518" i="33"/>
  <c r="H519" i="33"/>
  <c r="H520" i="33"/>
  <c r="H521" i="33"/>
  <c r="H522" i="33"/>
  <c r="H523" i="33"/>
  <c r="H524" i="33"/>
  <c r="H525" i="33"/>
  <c r="H526" i="33"/>
  <c r="H527" i="33"/>
  <c r="H528" i="33"/>
  <c r="H529" i="33"/>
  <c r="H530" i="33"/>
  <c r="H531" i="33"/>
  <c r="H532" i="33"/>
  <c r="H533" i="33"/>
  <c r="H534" i="33"/>
  <c r="H535" i="33"/>
  <c r="H536" i="33"/>
  <c r="H537" i="33"/>
  <c r="H538" i="33"/>
  <c r="H539" i="33"/>
  <c r="H540" i="33"/>
  <c r="H541" i="33"/>
  <c r="H542" i="33"/>
  <c r="H543" i="33"/>
  <c r="H544" i="33"/>
  <c r="H545" i="33"/>
  <c r="H546" i="33"/>
  <c r="H547" i="33"/>
  <c r="H548" i="33"/>
  <c r="H549" i="33"/>
  <c r="H550" i="33"/>
  <c r="H551" i="33"/>
  <c r="H552" i="33"/>
  <c r="H553" i="33"/>
  <c r="H554" i="33"/>
  <c r="H555" i="33"/>
  <c r="H556" i="33"/>
  <c r="H557" i="33"/>
  <c r="H558" i="33"/>
  <c r="H559" i="33"/>
  <c r="H560" i="33"/>
  <c r="H561" i="33"/>
  <c r="H562" i="33"/>
  <c r="H563" i="33"/>
  <c r="H564" i="33"/>
  <c r="H565" i="33"/>
  <c r="H566" i="33"/>
  <c r="H567" i="33"/>
  <c r="H568" i="33"/>
  <c r="H569" i="33"/>
  <c r="H570" i="33"/>
  <c r="H572" i="33"/>
  <c r="H573" i="33"/>
  <c r="H574" i="33"/>
  <c r="H575" i="33"/>
  <c r="H576" i="33"/>
  <c r="H577" i="33"/>
  <c r="H578" i="33"/>
  <c r="H579" i="33"/>
  <c r="H580" i="33"/>
  <c r="H581" i="33"/>
  <c r="H582" i="33"/>
  <c r="H583" i="33"/>
  <c r="H584" i="33"/>
  <c r="H585" i="33"/>
  <c r="H586" i="33"/>
  <c r="H587" i="33"/>
  <c r="H588" i="33"/>
  <c r="H589" i="33"/>
  <c r="H590" i="33"/>
  <c r="H591" i="33"/>
  <c r="H592" i="33"/>
  <c r="H593" i="33"/>
  <c r="H594" i="33"/>
  <c r="H595" i="33"/>
  <c r="H596" i="33"/>
  <c r="H597" i="33"/>
  <c r="H598" i="33"/>
  <c r="H600" i="33"/>
  <c r="H601" i="33"/>
  <c r="H602" i="33"/>
  <c r="H603" i="33"/>
  <c r="H604" i="33"/>
  <c r="H605" i="33"/>
  <c r="H606" i="33"/>
  <c r="H607" i="33"/>
  <c r="H608" i="33"/>
  <c r="H609" i="33"/>
  <c r="H611" i="33"/>
  <c r="H612" i="33"/>
  <c r="H613" i="33"/>
  <c r="H614" i="33"/>
  <c r="H615" i="33"/>
  <c r="H617" i="33"/>
  <c r="H618" i="33"/>
  <c r="H619" i="33"/>
  <c r="H620" i="33"/>
  <c r="H621" i="33"/>
  <c r="H622" i="33"/>
  <c r="H623" i="33"/>
  <c r="H624" i="33"/>
  <c r="H625" i="33"/>
  <c r="H626" i="33"/>
  <c r="H627" i="33"/>
  <c r="H628" i="33"/>
  <c r="H629" i="33"/>
  <c r="H630" i="33"/>
  <c r="H632" i="33"/>
  <c r="H633" i="33"/>
  <c r="H634" i="33"/>
  <c r="H635" i="33"/>
  <c r="H636" i="33"/>
  <c r="H637" i="33"/>
  <c r="H638" i="33"/>
  <c r="H639" i="33"/>
  <c r="H640" i="33"/>
  <c r="H641" i="33"/>
  <c r="H642" i="33"/>
  <c r="H643" i="33"/>
  <c r="H644" i="33"/>
  <c r="H645" i="33"/>
  <c r="H647" i="33"/>
  <c r="H648" i="33"/>
  <c r="H649" i="33"/>
  <c r="H650" i="33"/>
  <c r="H651" i="33"/>
  <c r="H652" i="33"/>
  <c r="H653" i="33"/>
  <c r="H654" i="33"/>
  <c r="H655" i="33"/>
  <c r="H656" i="33"/>
  <c r="H657" i="33"/>
  <c r="H658" i="33"/>
  <c r="H659" i="33"/>
  <c r="H660" i="33"/>
  <c r="H661" i="33"/>
  <c r="H663" i="33"/>
  <c r="H664" i="33"/>
  <c r="H665" i="33"/>
  <c r="H666" i="33"/>
  <c r="H667" i="33"/>
  <c r="H669" i="33"/>
  <c r="H670" i="33"/>
  <c r="H672" i="33"/>
  <c r="H673" i="33"/>
  <c r="H674" i="33"/>
  <c r="H675" i="33"/>
  <c r="H676" i="33"/>
  <c r="H677" i="33"/>
  <c r="H678" i="33"/>
  <c r="H679" i="33"/>
  <c r="H680" i="33"/>
  <c r="H681" i="33"/>
  <c r="H682" i="33"/>
  <c r="H683" i="33"/>
  <c r="H684" i="33"/>
  <c r="H685" i="33"/>
  <c r="H686" i="33"/>
  <c r="H687" i="33"/>
  <c r="H688" i="33"/>
  <c r="H692" i="33"/>
  <c r="H693" i="33"/>
  <c r="H694" i="33"/>
  <c r="H695" i="33"/>
  <c r="H696" i="33"/>
  <c r="H697" i="33"/>
  <c r="H698" i="33"/>
  <c r="H699" i="33"/>
  <c r="H700" i="33"/>
  <c r="H701" i="33"/>
  <c r="H702" i="33"/>
  <c r="H703" i="33"/>
  <c r="H704" i="33"/>
  <c r="H705" i="33"/>
  <c r="H706" i="33"/>
  <c r="H707" i="33"/>
  <c r="H708" i="33"/>
  <c r="H709" i="33"/>
  <c r="H710" i="33"/>
  <c r="H711" i="33"/>
  <c r="H712" i="33"/>
  <c r="H713" i="33"/>
  <c r="H714" i="33"/>
  <c r="H715" i="33"/>
  <c r="H716" i="33"/>
  <c r="H717" i="33"/>
  <c r="H718" i="33"/>
  <c r="H719" i="33"/>
  <c r="H720" i="33"/>
  <c r="H721" i="33"/>
  <c r="H722" i="33"/>
  <c r="H723" i="33"/>
  <c r="H724" i="33"/>
  <c r="H725" i="33"/>
  <c r="H726" i="33"/>
  <c r="H727" i="33"/>
  <c r="H728" i="33"/>
  <c r="H729" i="33"/>
  <c r="H731" i="33"/>
  <c r="H732" i="33"/>
  <c r="H733" i="33"/>
  <c r="H734" i="33"/>
  <c r="H735" i="33"/>
  <c r="H736" i="33"/>
  <c r="H737" i="33"/>
  <c r="H738" i="33"/>
  <c r="H739" i="33"/>
  <c r="H740" i="33"/>
  <c r="H741" i="33"/>
  <c r="H742" i="33"/>
  <c r="H743" i="33"/>
  <c r="H744" i="33"/>
  <c r="H745" i="33"/>
  <c r="H746" i="33"/>
  <c r="H747" i="33"/>
  <c r="H748" i="33"/>
  <c r="H749" i="33"/>
  <c r="H750" i="33"/>
  <c r="H751" i="33"/>
  <c r="H752" i="33"/>
  <c r="H753" i="33"/>
  <c r="H754" i="33"/>
  <c r="H755" i="33"/>
  <c r="H756" i="33"/>
  <c r="H758" i="33"/>
  <c r="H759" i="33"/>
  <c r="H760" i="33"/>
  <c r="H761" i="33"/>
  <c r="H762" i="33"/>
  <c r="H763" i="33"/>
  <c r="H764" i="33"/>
  <c r="H766" i="33"/>
  <c r="H767" i="33"/>
  <c r="H769" i="33"/>
  <c r="H770" i="33"/>
  <c r="H771" i="33"/>
  <c r="H772" i="33"/>
  <c r="H773" i="33"/>
  <c r="H774" i="33"/>
  <c r="H775" i="33"/>
  <c r="H776" i="33"/>
  <c r="H777" i="33"/>
  <c r="H778" i="33"/>
  <c r="H780" i="33"/>
  <c r="H781" i="33"/>
  <c r="H782" i="33"/>
  <c r="H783" i="33"/>
  <c r="H787" i="33"/>
  <c r="H788" i="33"/>
  <c r="H789" i="33"/>
  <c r="H790" i="33"/>
  <c r="H791" i="33"/>
  <c r="H792" i="33"/>
  <c r="H793" i="33"/>
  <c r="H795" i="33"/>
  <c r="H796" i="33"/>
  <c r="H797" i="33"/>
  <c r="H798" i="33"/>
  <c r="H799" i="33"/>
  <c r="H800" i="33"/>
  <c r="H802" i="33"/>
  <c r="H803" i="33"/>
  <c r="H804" i="33"/>
  <c r="H806" i="33"/>
  <c r="H809" i="33"/>
  <c r="H810" i="33"/>
  <c r="H811" i="33"/>
  <c r="H812" i="33"/>
  <c r="H813" i="33"/>
  <c r="H814" i="33"/>
  <c r="H815" i="33"/>
  <c r="H816" i="33"/>
  <c r="H817" i="33"/>
  <c r="H818" i="33"/>
  <c r="H819" i="33"/>
  <c r="H820" i="33"/>
  <c r="H821" i="33"/>
  <c r="H823" i="33"/>
  <c r="H824" i="33"/>
  <c r="H825" i="33"/>
  <c r="H826" i="33"/>
  <c r="H827" i="33"/>
  <c r="H828" i="33"/>
  <c r="H829" i="33"/>
  <c r="H830" i="33"/>
  <c r="H831" i="33"/>
  <c r="H832" i="33"/>
  <c r="H833" i="33"/>
  <c r="H834" i="33"/>
  <c r="H836" i="33"/>
  <c r="H837" i="33"/>
  <c r="H838" i="33"/>
  <c r="H839" i="33"/>
  <c r="H840" i="33"/>
  <c r="H841" i="33"/>
  <c r="H842" i="33"/>
  <c r="H843" i="33"/>
  <c r="H844" i="33"/>
  <c r="H845" i="33"/>
  <c r="H846" i="33"/>
  <c r="H847" i="33"/>
  <c r="H848" i="33"/>
  <c r="H850" i="33"/>
  <c r="H851" i="33"/>
  <c r="H852" i="33"/>
  <c r="H853" i="33"/>
  <c r="H854" i="33"/>
  <c r="H855" i="33"/>
  <c r="H856" i="33"/>
  <c r="H857" i="33"/>
  <c r="H858" i="33"/>
  <c r="H859" i="33"/>
  <c r="H860" i="33"/>
  <c r="H861" i="33"/>
  <c r="H862" i="33"/>
  <c r="H863" i="33"/>
  <c r="H864" i="33"/>
  <c r="H865" i="33"/>
  <c r="H866" i="33"/>
  <c r="H867" i="33"/>
  <c r="H868" i="33"/>
  <c r="H869" i="33"/>
  <c r="H870" i="33"/>
  <c r="H871" i="33"/>
  <c r="H872" i="33"/>
  <c r="H873" i="33"/>
  <c r="H874" i="33"/>
  <c r="H875" i="33"/>
  <c r="H876" i="33"/>
  <c r="H877" i="33"/>
  <c r="H878" i="33"/>
  <c r="H879" i="33"/>
  <c r="H880" i="33"/>
  <c r="H881" i="33"/>
  <c r="H882" i="33"/>
  <c r="H883" i="33"/>
  <c r="H884" i="33"/>
  <c r="H885" i="33"/>
  <c r="H886" i="33"/>
  <c r="H887" i="33"/>
  <c r="H888" i="33"/>
  <c r="H889" i="33"/>
  <c r="H890" i="33"/>
  <c r="H891" i="33"/>
  <c r="H892" i="33"/>
  <c r="H893" i="33"/>
  <c r="H894" i="33"/>
  <c r="H895" i="33"/>
  <c r="H896" i="33"/>
  <c r="H897" i="33"/>
  <c r="H898" i="33"/>
  <c r="H900" i="33"/>
  <c r="H901" i="33"/>
  <c r="H902" i="33"/>
  <c r="H903" i="33"/>
  <c r="H904" i="33"/>
  <c r="H905" i="33"/>
  <c r="H906" i="33"/>
  <c r="H907" i="33"/>
  <c r="H908" i="33"/>
  <c r="H909" i="33"/>
  <c r="H910" i="33"/>
  <c r="H911" i="33"/>
  <c r="H912" i="33"/>
  <c r="H913" i="33"/>
  <c r="H914" i="33"/>
  <c r="H915" i="33"/>
  <c r="H916" i="33"/>
  <c r="H917" i="33"/>
  <c r="H918" i="33"/>
  <c r="H919" i="33"/>
  <c r="H920" i="33"/>
  <c r="H921" i="33"/>
  <c r="H922" i="33"/>
  <c r="H923" i="33"/>
  <c r="H924" i="33"/>
  <c r="H925" i="33"/>
  <c r="H926" i="33"/>
  <c r="H927" i="33"/>
  <c r="H928" i="33"/>
  <c r="H929" i="33"/>
  <c r="H930" i="33"/>
  <c r="H933" i="33"/>
  <c r="H934" i="33"/>
  <c r="H935" i="33"/>
  <c r="H936" i="33"/>
  <c r="H937" i="33"/>
  <c r="H938" i="33"/>
  <c r="H939" i="33"/>
  <c r="H940" i="33"/>
  <c r="H941" i="33"/>
  <c r="H942" i="33"/>
  <c r="H943" i="33"/>
  <c r="H944" i="33"/>
  <c r="H946" i="33"/>
  <c r="H947" i="33"/>
  <c r="H948" i="33"/>
  <c r="H949" i="33"/>
  <c r="H950" i="33"/>
  <c r="H951" i="33"/>
  <c r="H952" i="33"/>
  <c r="H953" i="33"/>
  <c r="H954" i="33"/>
  <c r="H955" i="33"/>
  <c r="H956" i="33"/>
  <c r="H957" i="33"/>
  <c r="H958" i="33"/>
  <c r="H959" i="33"/>
  <c r="H960" i="33"/>
  <c r="H961" i="33"/>
  <c r="H962" i="33"/>
  <c r="H964" i="33"/>
  <c r="H965" i="33"/>
  <c r="H966" i="33"/>
  <c r="H967" i="33"/>
  <c r="H968" i="33"/>
  <c r="H969" i="33"/>
  <c r="H970" i="33"/>
  <c r="H971" i="33"/>
  <c r="H972" i="33"/>
  <c r="H973" i="33"/>
  <c r="H974" i="33"/>
  <c r="H975" i="33"/>
  <c r="H976" i="33"/>
  <c r="H977" i="33"/>
  <c r="H978" i="33"/>
  <c r="H979" i="33"/>
  <c r="H980" i="33"/>
  <c r="H981" i="33"/>
  <c r="H982" i="33"/>
  <c r="H983" i="33"/>
  <c r="H984" i="33"/>
  <c r="H985" i="33"/>
  <c r="H986" i="33"/>
  <c r="H987" i="33"/>
  <c r="H988" i="33"/>
  <c r="H989" i="33"/>
  <c r="H990" i="33"/>
  <c r="H991" i="33"/>
  <c r="H992" i="33"/>
  <c r="H993" i="33"/>
  <c r="H994" i="33"/>
  <c r="H995" i="33"/>
  <c r="H996" i="33"/>
  <c r="H997" i="33"/>
  <c r="H998" i="33"/>
  <c r="H999" i="33"/>
  <c r="H1000" i="33"/>
  <c r="H1001" i="33"/>
  <c r="H1002" i="33"/>
  <c r="H1003" i="33"/>
  <c r="H1004" i="33"/>
  <c r="H1005" i="33"/>
  <c r="H1006" i="33"/>
  <c r="H1007" i="33"/>
  <c r="H1008" i="33"/>
  <c r="H1009" i="33"/>
  <c r="H1010" i="33"/>
  <c r="H1011" i="33"/>
  <c r="H1012" i="33"/>
  <c r="H1013" i="33"/>
  <c r="H1014" i="33"/>
  <c r="H1015" i="33"/>
  <c r="H1016" i="33"/>
  <c r="H1017" i="33"/>
  <c r="H1018" i="33"/>
  <c r="H1019" i="33"/>
  <c r="H1020" i="33"/>
  <c r="H1021" i="33"/>
  <c r="H1022" i="33"/>
  <c r="H1023" i="33"/>
  <c r="H1024" i="33"/>
  <c r="H1025" i="33"/>
  <c r="H1026" i="33"/>
  <c r="H1027" i="33"/>
  <c r="H1028" i="33"/>
  <c r="H1029" i="33"/>
  <c r="H1030" i="33"/>
  <c r="H1031" i="33"/>
  <c r="H1032" i="33"/>
  <c r="H1033" i="33"/>
  <c r="H1034" i="33"/>
  <c r="H1035" i="33"/>
  <c r="H1036" i="33"/>
  <c r="H1037" i="33"/>
  <c r="H1038" i="33"/>
  <c r="H1039" i="33"/>
  <c r="H1040" i="33"/>
  <c r="H1041" i="33"/>
  <c r="H1042" i="33"/>
  <c r="H1043" i="33"/>
  <c r="H1044" i="33"/>
  <c r="H1045" i="33"/>
  <c r="H1047" i="33"/>
  <c r="H1048" i="33"/>
  <c r="H1049" i="33"/>
  <c r="H1050" i="33"/>
  <c r="H1051" i="33"/>
  <c r="H1052" i="33"/>
  <c r="H1053" i="33"/>
  <c r="H1054" i="33"/>
  <c r="H1055" i="33"/>
  <c r="H1056" i="33"/>
  <c r="H1057" i="33"/>
  <c r="H1058" i="33"/>
  <c r="H1059" i="33"/>
  <c r="H1060" i="33"/>
  <c r="H1061" i="33"/>
  <c r="H1062" i="33"/>
  <c r="H1063" i="33"/>
  <c r="H1064" i="33"/>
  <c r="H1065" i="33"/>
  <c r="H1066" i="33"/>
  <c r="H1067" i="33"/>
  <c r="H1068" i="33"/>
  <c r="H1069" i="33"/>
  <c r="H1070" i="33"/>
  <c r="H1071" i="33"/>
  <c r="H1072" i="33"/>
  <c r="H1073" i="33"/>
  <c r="H1074" i="33"/>
  <c r="H1075" i="33"/>
  <c r="H1076" i="33"/>
  <c r="H1077" i="33"/>
  <c r="H1078" i="33"/>
  <c r="H1079" i="33"/>
  <c r="H1080" i="33"/>
  <c r="H1081" i="33"/>
  <c r="H1082" i="33"/>
  <c r="H1083" i="33"/>
  <c r="H1084" i="33"/>
  <c r="H1085" i="33"/>
  <c r="H1086" i="33"/>
  <c r="H1087" i="33"/>
  <c r="H1088" i="33"/>
  <c r="H1089" i="33"/>
  <c r="H1090" i="33"/>
  <c r="H1091" i="33"/>
  <c r="H1092" i="33"/>
  <c r="H1093" i="33"/>
  <c r="H1094" i="33"/>
  <c r="H1096" i="33"/>
  <c r="H1097" i="33"/>
  <c r="H1098" i="33"/>
  <c r="H1099" i="33"/>
  <c r="H1100" i="33"/>
  <c r="H1101" i="33"/>
  <c r="H1102" i="33"/>
  <c r="H1103" i="33"/>
  <c r="H5" i="33"/>
  <c r="H6" i="33"/>
  <c r="H7" i="33"/>
  <c r="H8" i="33"/>
  <c r="H9" i="33"/>
  <c r="H10" i="33"/>
  <c r="H11" i="33"/>
  <c r="H12" i="33"/>
  <c r="H13" i="33"/>
  <c r="H14" i="33"/>
  <c r="H15" i="33"/>
  <c r="H16" i="33"/>
  <c r="H17" i="33"/>
  <c r="H18" i="33"/>
  <c r="H19" i="33"/>
  <c r="H20" i="33"/>
  <c r="H21" i="33"/>
  <c r="H22" i="33"/>
  <c r="H23" i="33"/>
  <c r="H24" i="33"/>
  <c r="H25" i="33"/>
  <c r="H26" i="33"/>
  <c r="H27" i="33"/>
  <c r="H28" i="33"/>
  <c r="H29" i="33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6" i="33"/>
  <c r="H57" i="33"/>
  <c r="H58" i="33"/>
  <c r="H59" i="33"/>
  <c r="H60" i="33"/>
  <c r="H61" i="33"/>
  <c r="H62" i="33"/>
  <c r="H63" i="33"/>
  <c r="H64" i="33"/>
  <c r="H65" i="33"/>
  <c r="H66" i="33"/>
  <c r="H67" i="33"/>
  <c r="H68" i="33"/>
  <c r="H69" i="33"/>
  <c r="H70" i="33"/>
  <c r="H71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85" i="33"/>
  <c r="H86" i="33"/>
  <c r="H87" i="33"/>
  <c r="H88" i="33"/>
  <c r="H89" i="33"/>
  <c r="H90" i="33"/>
  <c r="H91" i="33"/>
  <c r="H92" i="33"/>
  <c r="H93" i="33"/>
  <c r="H94" i="33"/>
  <c r="H95" i="33"/>
  <c r="H96" i="33"/>
  <c r="H97" i="33"/>
  <c r="H98" i="33"/>
  <c r="H99" i="33"/>
  <c r="H100" i="33"/>
  <c r="H101" i="33"/>
  <c r="H102" i="33"/>
  <c r="H103" i="33"/>
  <c r="H104" i="33"/>
  <c r="H105" i="33"/>
  <c r="H106" i="33"/>
  <c r="H107" i="33"/>
  <c r="H108" i="33"/>
  <c r="H109" i="33"/>
  <c r="H110" i="33"/>
  <c r="H111" i="33"/>
  <c r="H112" i="33"/>
  <c r="H113" i="33"/>
  <c r="H114" i="33"/>
  <c r="H115" i="33"/>
  <c r="H116" i="33"/>
  <c r="H117" i="33"/>
  <c r="H118" i="33"/>
  <c r="H119" i="33"/>
  <c r="H120" i="33"/>
  <c r="H121" i="33"/>
  <c r="H122" i="33"/>
  <c r="H123" i="33"/>
  <c r="H124" i="33"/>
  <c r="H125" i="33"/>
  <c r="H126" i="33"/>
  <c r="H127" i="33"/>
  <c r="H128" i="33"/>
  <c r="H129" i="33"/>
  <c r="H130" i="33"/>
  <c r="H131" i="33"/>
  <c r="H132" i="33"/>
  <c r="H133" i="33"/>
  <c r="H134" i="33"/>
  <c r="H135" i="33"/>
  <c r="H136" i="33"/>
  <c r="H137" i="33"/>
  <c r="H138" i="33"/>
  <c r="H139" i="33"/>
  <c r="H140" i="33"/>
  <c r="H141" i="33"/>
  <c r="H142" i="33"/>
  <c r="H143" i="33"/>
  <c r="H144" i="33"/>
  <c r="H145" i="33"/>
  <c r="H146" i="33"/>
  <c r="H147" i="33"/>
  <c r="H148" i="33"/>
  <c r="H149" i="33"/>
  <c r="H150" i="33"/>
  <c r="H151" i="33"/>
  <c r="H152" i="33"/>
  <c r="H153" i="33"/>
  <c r="H154" i="33"/>
  <c r="H155" i="33"/>
  <c r="H156" i="33"/>
  <c r="H157" i="33"/>
  <c r="H158" i="33"/>
  <c r="H159" i="33"/>
  <c r="H160" i="33"/>
  <c r="H161" i="33"/>
  <c r="H162" i="33"/>
  <c r="H163" i="33"/>
  <c r="H164" i="33"/>
  <c r="H165" i="33"/>
  <c r="H166" i="33"/>
  <c r="H167" i="33"/>
  <c r="H168" i="33"/>
  <c r="H169" i="33"/>
  <c r="H170" i="33"/>
  <c r="H171" i="33"/>
  <c r="H172" i="33"/>
  <c r="H173" i="33"/>
  <c r="H174" i="33"/>
  <c r="H175" i="33"/>
  <c r="H176" i="33"/>
  <c r="H177" i="33"/>
  <c r="H178" i="33"/>
  <c r="H179" i="33"/>
  <c r="H180" i="33"/>
  <c r="H181" i="33"/>
  <c r="H182" i="33"/>
  <c r="H183" i="33"/>
  <c r="H184" i="33"/>
  <c r="H185" i="33"/>
  <c r="H186" i="33"/>
  <c r="H187" i="33"/>
  <c r="H188" i="33"/>
  <c r="H189" i="33"/>
  <c r="H190" i="33"/>
  <c r="H191" i="33"/>
  <c r="H192" i="33"/>
  <c r="H193" i="33"/>
  <c r="H194" i="33"/>
  <c r="H195" i="33"/>
  <c r="H196" i="33"/>
  <c r="H197" i="33"/>
  <c r="H198" i="33"/>
  <c r="H199" i="33"/>
  <c r="H200" i="33"/>
  <c r="H201" i="33"/>
  <c r="H202" i="33"/>
  <c r="H203" i="33"/>
  <c r="H204" i="33"/>
  <c r="H205" i="33"/>
  <c r="H206" i="33"/>
  <c r="H207" i="33"/>
  <c r="H208" i="33"/>
  <c r="H209" i="33"/>
  <c r="H210" i="33"/>
  <c r="H211" i="33"/>
  <c r="H212" i="33"/>
  <c r="H213" i="33"/>
  <c r="H214" i="33"/>
  <c r="H215" i="33"/>
  <c r="H216" i="33"/>
  <c r="H217" i="33"/>
  <c r="H218" i="33"/>
  <c r="H219" i="33"/>
  <c r="H220" i="33"/>
  <c r="H221" i="33"/>
  <c r="H222" i="33"/>
  <c r="H223" i="33"/>
  <c r="H224" i="33"/>
  <c r="H225" i="33"/>
  <c r="H226" i="33"/>
  <c r="H227" i="33"/>
  <c r="H228" i="33"/>
  <c r="H229" i="33"/>
  <c r="H230" i="33"/>
  <c r="H231" i="33"/>
  <c r="H232" i="33"/>
  <c r="H234" i="33"/>
  <c r="H235" i="33"/>
  <c r="H236" i="33"/>
  <c r="H237" i="33"/>
  <c r="H238" i="33"/>
  <c r="H239" i="33"/>
  <c r="H241" i="33"/>
  <c r="H243" i="33"/>
  <c r="H244" i="33"/>
  <c r="H245" i="33"/>
  <c r="H246" i="33"/>
  <c r="H247" i="33"/>
  <c r="H248" i="33"/>
  <c r="H249" i="33"/>
  <c r="H250" i="33"/>
  <c r="H251" i="33"/>
  <c r="H252" i="33"/>
  <c r="H253" i="33"/>
  <c r="H254" i="33"/>
  <c r="H255" i="33"/>
  <c r="H256" i="33"/>
  <c r="H258" i="33"/>
  <c r="H259" i="33"/>
  <c r="H260" i="33"/>
  <c r="H261" i="33"/>
  <c r="H262" i="33"/>
  <c r="H263" i="33"/>
  <c r="H264" i="33"/>
  <c r="H265" i="33"/>
  <c r="H266" i="33"/>
  <c r="H267" i="33"/>
  <c r="H268" i="33"/>
  <c r="H269" i="33"/>
  <c r="H270" i="33"/>
  <c r="H271" i="33"/>
  <c r="H272" i="33"/>
  <c r="H273" i="33"/>
  <c r="H274" i="33"/>
  <c r="H275" i="33"/>
  <c r="H276" i="33"/>
  <c r="H277" i="33"/>
  <c r="H278" i="33"/>
  <c r="H279" i="33"/>
  <c r="H280" i="33"/>
  <c r="H281" i="33"/>
  <c r="H282" i="33"/>
  <c r="H283" i="33"/>
  <c r="H284" i="33"/>
  <c r="H285" i="33"/>
  <c r="H286" i="33"/>
  <c r="H287" i="33"/>
  <c r="H288" i="33"/>
  <c r="H289" i="33"/>
  <c r="H290" i="33"/>
  <c r="H291" i="33"/>
  <c r="H292" i="33"/>
  <c r="H293" i="33"/>
  <c r="H294" i="33"/>
  <c r="H295" i="33"/>
  <c r="H296" i="33"/>
  <c r="H297" i="33"/>
  <c r="H298" i="33"/>
  <c r="H299" i="33"/>
  <c r="H300" i="33"/>
  <c r="H301" i="33"/>
  <c r="H302" i="33"/>
  <c r="H303" i="33"/>
  <c r="H304" i="33"/>
  <c r="H305" i="33"/>
  <c r="H306" i="33"/>
  <c r="H307" i="33"/>
  <c r="H308" i="33"/>
  <c r="H309" i="33"/>
  <c r="H310" i="33"/>
  <c r="H311" i="33"/>
  <c r="H312" i="33"/>
  <c r="H313" i="33"/>
  <c r="H314" i="33"/>
  <c r="H315" i="33"/>
  <c r="H316" i="33"/>
  <c r="H317" i="33"/>
  <c r="H318" i="33"/>
  <c r="H319" i="33"/>
  <c r="H320" i="33"/>
  <c r="H321" i="33"/>
  <c r="H322" i="33"/>
  <c r="H323" i="33"/>
  <c r="H324" i="33"/>
  <c r="H325" i="33"/>
  <c r="H326" i="33"/>
  <c r="H327" i="33"/>
  <c r="H328" i="33"/>
  <c r="H329" i="33"/>
  <c r="H4" i="33"/>
  <c r="Z140" i="1" l="1"/>
  <c r="V92" i="1"/>
  <c r="Z92" i="1" s="1"/>
  <c r="V135" i="1"/>
  <c r="Z135" i="1" s="1"/>
  <c r="V475" i="1"/>
  <c r="Z475" i="1" s="1"/>
  <c r="V7" i="1"/>
  <c r="Z7" i="1" s="1"/>
  <c r="Z5" i="1"/>
  <c r="V54" i="1"/>
  <c r="Z54" i="1" s="1"/>
  <c r="U87" i="1"/>
  <c r="V327" i="1"/>
  <c r="Z327" i="1" s="1"/>
  <c r="V351" i="1"/>
  <c r="Z351" i="1" s="1"/>
  <c r="V477" i="1"/>
  <c r="Z477" i="1" s="1"/>
  <c r="V13" i="1"/>
  <c r="Z13" i="1" s="1"/>
  <c r="P20" i="4"/>
  <c r="Y7" i="2"/>
  <c r="X12" i="2"/>
  <c r="Y12" i="2" s="1"/>
  <c r="Y10" i="2"/>
  <c r="W78" i="1"/>
  <c r="V75" i="1"/>
  <c r="V76" i="1"/>
  <c r="P45" i="4"/>
  <c r="Z519" i="1"/>
  <c r="X43" i="2"/>
  <c r="Y43" i="2" s="1"/>
  <c r="P14" i="4"/>
  <c r="P23" i="4"/>
  <c r="Q43" i="4"/>
  <c r="V255" i="1"/>
  <c r="V426" i="1"/>
  <c r="V509" i="1"/>
  <c r="V33" i="1"/>
  <c r="Q28" i="4"/>
  <c r="Z513" i="1"/>
  <c r="V38" i="1"/>
  <c r="V373" i="1"/>
  <c r="Q34" i="4"/>
  <c r="V388" i="1"/>
  <c r="V446" i="1"/>
  <c r="V499" i="1"/>
  <c r="V97" i="1"/>
  <c r="V110" i="1"/>
  <c r="V123" i="1"/>
  <c r="V138" i="1"/>
  <c r="V267" i="1"/>
  <c r="V490" i="1"/>
  <c r="V472" i="1"/>
  <c r="V165" i="1"/>
  <c r="V289" i="1"/>
  <c r="V85" i="1"/>
  <c r="Q33" i="4"/>
  <c r="V201" i="1"/>
  <c r="V283" i="1"/>
  <c r="V104" i="1"/>
  <c r="V411" i="1"/>
  <c r="V252" i="1"/>
  <c r="V395" i="1"/>
  <c r="Q36" i="4"/>
  <c r="V69" i="1"/>
  <c r="Q39" i="4"/>
  <c r="V73" i="1"/>
  <c r="V114" i="1"/>
  <c r="V147" i="1"/>
  <c r="V154" i="1"/>
  <c r="Q31" i="4"/>
  <c r="V241" i="1"/>
  <c r="V324" i="1"/>
  <c r="V45" i="1"/>
  <c r="Q30" i="4"/>
  <c r="Z39" i="1"/>
  <c r="Z512" i="1"/>
  <c r="V504" i="1"/>
  <c r="V46" i="1"/>
  <c r="Z46" i="1" s="1"/>
  <c r="Z86" i="1"/>
  <c r="Q26" i="4"/>
  <c r="Q21" i="4"/>
  <c r="X90" i="2"/>
  <c r="X170" i="2"/>
  <c r="Q9" i="4"/>
  <c r="X24" i="2"/>
  <c r="X85" i="2"/>
  <c r="Q12" i="4"/>
  <c r="X194" i="2"/>
  <c r="X158" i="2"/>
  <c r="X175" i="2"/>
  <c r="Q8" i="4"/>
  <c r="Q13" i="4"/>
  <c r="X27" i="2"/>
  <c r="X182" i="2"/>
  <c r="X237" i="2"/>
  <c r="X251" i="2"/>
  <c r="X210" i="2"/>
  <c r="Q6" i="4"/>
  <c r="X247" i="2"/>
  <c r="Q17" i="4"/>
  <c r="X141" i="2"/>
  <c r="Q7" i="4"/>
  <c r="X258" i="2"/>
  <c r="X30" i="2"/>
  <c r="Y30" i="2" s="1"/>
  <c r="Q23" i="4"/>
  <c r="Q5" i="4"/>
  <c r="P21" i="4"/>
  <c r="P28" i="4"/>
  <c r="P43" i="4"/>
  <c r="W363" i="1"/>
  <c r="P8" i="4"/>
  <c r="P39" i="4"/>
  <c r="P27" i="4"/>
  <c r="P34" i="4"/>
  <c r="P37" i="4"/>
  <c r="P33" i="4"/>
  <c r="P13" i="4"/>
  <c r="P17" i="4"/>
  <c r="P15" i="4"/>
  <c r="P26" i="4"/>
  <c r="P30" i="4"/>
  <c r="P36" i="4"/>
  <c r="P6" i="4"/>
  <c r="P31" i="4"/>
  <c r="P7" i="4"/>
  <c r="W325" i="1"/>
  <c r="W473" i="1"/>
  <c r="P5" i="4"/>
  <c r="P12" i="4"/>
  <c r="W155" i="1"/>
  <c r="W510" i="1"/>
  <c r="P9" i="4"/>
  <c r="P11" i="4"/>
  <c r="W14" i="2"/>
  <c r="W44" i="2"/>
  <c r="W141" i="2"/>
  <c r="W194" i="2"/>
  <c r="W258" i="2"/>
  <c r="U509" i="1"/>
  <c r="W24" i="2"/>
  <c r="W158" i="2"/>
  <c r="W170" i="2"/>
  <c r="W175" i="2"/>
  <c r="W8" i="2"/>
  <c r="W85" i="2"/>
  <c r="W90" i="2"/>
  <c r="W27" i="2"/>
  <c r="W182" i="2"/>
  <c r="W237" i="2"/>
  <c r="W251" i="2"/>
  <c r="W210" i="2"/>
  <c r="W247" i="2"/>
  <c r="U77" i="1"/>
  <c r="U45" i="1"/>
  <c r="U252" i="1"/>
  <c r="U373" i="1"/>
  <c r="U446" i="1"/>
  <c r="U499" i="1"/>
  <c r="U38" i="1"/>
  <c r="U33" i="1"/>
  <c r="U69" i="1"/>
  <c r="U73" i="1"/>
  <c r="U114" i="1"/>
  <c r="U147" i="1"/>
  <c r="U154" i="1"/>
  <c r="U165" i="1"/>
  <c r="U241" i="1"/>
  <c r="U324" i="1"/>
  <c r="U362" i="1"/>
  <c r="U388" i="1"/>
  <c r="U490" i="1"/>
  <c r="U255" i="1"/>
  <c r="U426" i="1"/>
  <c r="U411" i="1"/>
  <c r="U472" i="1"/>
  <c r="U481" i="1"/>
  <c r="U97" i="1"/>
  <c r="U110" i="1"/>
  <c r="U123" i="1"/>
  <c r="U138" i="1"/>
  <c r="U267" i="1"/>
  <c r="U60" i="1"/>
  <c r="U289" i="1"/>
  <c r="U395" i="1"/>
  <c r="U94" i="1"/>
  <c r="U104" i="1"/>
  <c r="U283" i="1"/>
  <c r="U341" i="1"/>
  <c r="U520" i="1"/>
  <c r="U15" i="1"/>
  <c r="U85" i="1"/>
  <c r="U201" i="1"/>
  <c r="U504" i="1"/>
  <c r="R26" i="4"/>
  <c r="R27" i="4"/>
  <c r="R28" i="4"/>
  <c r="R30" i="4"/>
  <c r="R31" i="4"/>
  <c r="R33" i="4"/>
  <c r="R34" i="4"/>
  <c r="R36" i="4"/>
  <c r="R37" i="4"/>
  <c r="R39" i="4"/>
  <c r="R40" i="4"/>
  <c r="R42" i="4"/>
  <c r="R43" i="4"/>
  <c r="R45" i="4"/>
  <c r="V94" i="1" l="1"/>
  <c r="Q15" i="4"/>
  <c r="V60" i="1"/>
  <c r="V15" i="1"/>
  <c r="V362" i="1"/>
  <c r="V341" i="1"/>
  <c r="V481" i="1"/>
  <c r="Z114" i="1"/>
  <c r="Y258" i="2"/>
  <c r="V77" i="1"/>
  <c r="Q37" i="4"/>
  <c r="Q38" i="4" s="1"/>
  <c r="U78" i="1"/>
  <c r="Z154" i="1"/>
  <c r="Z85" i="1"/>
  <c r="X44" i="2"/>
  <c r="V510" i="1"/>
  <c r="V40" i="1"/>
  <c r="Q42" i="4"/>
  <c r="Q45" i="4"/>
  <c r="V87" i="1"/>
  <c r="V47" i="1"/>
  <c r="Q20" i="4"/>
  <c r="V473" i="1"/>
  <c r="Q32" i="4"/>
  <c r="Q35" i="4"/>
  <c r="P38" i="4"/>
  <c r="X238" i="2"/>
  <c r="V325" i="1"/>
  <c r="X252" i="2"/>
  <c r="Q40" i="4"/>
  <c r="V520" i="1"/>
  <c r="Q27" i="4"/>
  <c r="Q29" i="4" s="1"/>
  <c r="Q14" i="4"/>
  <c r="X14" i="2"/>
  <c r="X8" i="2"/>
  <c r="Q10" i="4"/>
  <c r="Q11" i="4"/>
  <c r="X31" i="2"/>
  <c r="P35" i="4"/>
  <c r="P29" i="4"/>
  <c r="P16" i="4"/>
  <c r="P10" i="4"/>
  <c r="W521" i="1"/>
  <c r="U510" i="1"/>
  <c r="P32" i="4"/>
  <c r="W238" i="2"/>
  <c r="W159" i="2"/>
  <c r="W28" i="2"/>
  <c r="W252" i="2"/>
  <c r="U155" i="1"/>
  <c r="U325" i="1"/>
  <c r="U473" i="1"/>
  <c r="U363" i="1"/>
  <c r="R29" i="4"/>
  <c r="R32" i="4"/>
  <c r="R38" i="4"/>
  <c r="R35" i="4"/>
  <c r="T74" i="1"/>
  <c r="H418" i="33" l="1"/>
  <c r="Z74" i="1"/>
  <c r="V363" i="1"/>
  <c r="V78" i="1"/>
  <c r="V155" i="1"/>
  <c r="X159" i="2"/>
  <c r="X28" i="2"/>
  <c r="Q41" i="4"/>
  <c r="Q44" i="4" s="1"/>
  <c r="Q46" i="4" s="1"/>
  <c r="Q16" i="4"/>
  <c r="Q19" i="4" s="1"/>
  <c r="Q22" i="4" s="1"/>
  <c r="Q24" i="4" s="1"/>
  <c r="P41" i="4"/>
  <c r="P44" i="4" s="1"/>
  <c r="P46" i="4" s="1"/>
  <c r="P19" i="4"/>
  <c r="P22" i="4" s="1"/>
  <c r="P24" i="4" s="1"/>
  <c r="W259" i="2"/>
  <c r="U521" i="1"/>
  <c r="R41" i="4"/>
  <c r="R44" i="4" s="1"/>
  <c r="R46" i="4" s="1"/>
  <c r="V521" i="1" l="1"/>
  <c r="X259" i="2"/>
  <c r="Q47" i="4"/>
  <c r="P47" i="4"/>
  <c r="G1108" i="33" s="1"/>
  <c r="T4" i="1"/>
  <c r="H331" i="33" l="1"/>
  <c r="Z4" i="1"/>
  <c r="T57" i="1"/>
  <c r="Z57" i="1" s="1"/>
  <c r="H396" i="33" l="1"/>
  <c r="C22" i="2"/>
  <c r="D22" i="2"/>
  <c r="E22" i="2" s="1"/>
  <c r="P22" i="2"/>
  <c r="Q22" i="2"/>
  <c r="N37" i="2"/>
  <c r="U13" i="2" l="1"/>
  <c r="V13" i="2"/>
  <c r="Y13" i="2" s="1"/>
  <c r="M165" i="1" l="1"/>
  <c r="T165" i="1"/>
  <c r="Z165" i="1" s="1"/>
  <c r="L165" i="1"/>
  <c r="C479" i="1"/>
  <c r="D479" i="1"/>
  <c r="E479" i="1" s="1"/>
  <c r="U9" i="2"/>
  <c r="C273" i="1" l="1"/>
  <c r="D273" i="1"/>
  <c r="E273" i="1" s="1"/>
  <c r="C116" i="1"/>
  <c r="D116" i="1"/>
  <c r="E116" i="1" s="1"/>
  <c r="T76" i="1"/>
  <c r="T75" i="1"/>
  <c r="S256" i="1"/>
  <c r="S19" i="1"/>
  <c r="S4" i="1"/>
  <c r="S14" i="1"/>
  <c r="H419" i="33" l="1"/>
  <c r="Z75" i="1"/>
  <c r="H420" i="33"/>
  <c r="Z76" i="1"/>
  <c r="V11" i="2"/>
  <c r="Y11" i="2" s="1"/>
  <c r="V9" i="2"/>
  <c r="Y9" i="2" s="1"/>
  <c r="C132" i="1" l="1"/>
  <c r="D132" i="1"/>
  <c r="E132" i="1" s="1"/>
  <c r="S131" i="1" l="1"/>
  <c r="R131" i="1"/>
  <c r="L166" i="1" l="1"/>
  <c r="T344" i="1"/>
  <c r="Z344" i="1" s="1"/>
  <c r="T315" i="1"/>
  <c r="Z315" i="1" s="1"/>
  <c r="C295" i="1" l="1"/>
  <c r="D295" i="1"/>
  <c r="E295" i="1" s="1"/>
  <c r="D699" i="32"/>
  <c r="T515" i="1"/>
  <c r="Z515" i="1" s="1"/>
  <c r="S483" i="1"/>
  <c r="S432" i="1"/>
  <c r="S424" i="1"/>
  <c r="S414" i="1"/>
  <c r="S413" i="1"/>
  <c r="S396" i="1"/>
  <c r="S379" i="1"/>
  <c r="S367" i="1"/>
  <c r="S361" i="1"/>
  <c r="S360" i="1"/>
  <c r="S357" i="1"/>
  <c r="S345" i="1"/>
  <c r="S343" i="1"/>
  <c r="S336" i="1"/>
  <c r="S335" i="1"/>
  <c r="S333" i="1"/>
  <c r="S331" i="1"/>
  <c r="S318" i="1"/>
  <c r="S317" i="1"/>
  <c r="S316" i="1"/>
  <c r="S303" i="1"/>
  <c r="S301" i="1"/>
  <c r="S297" i="1"/>
  <c r="S296" i="1"/>
  <c r="S291" i="1"/>
  <c r="S285" i="1"/>
  <c r="S284" i="1"/>
  <c r="S269" i="1"/>
  <c r="S268" i="1"/>
  <c r="T256" i="1"/>
  <c r="Z256" i="1" s="1"/>
  <c r="S254" i="1"/>
  <c r="S253" i="1"/>
  <c r="S242" i="1"/>
  <c r="S240" i="1"/>
  <c r="S234" i="1"/>
  <c r="S225" i="1"/>
  <c r="S217" i="1"/>
  <c r="S208" i="1"/>
  <c r="S202" i="1"/>
  <c r="S197" i="1"/>
  <c r="S196" i="1"/>
  <c r="S195" i="1"/>
  <c r="S179" i="1"/>
  <c r="S166" i="1"/>
  <c r="S157" i="1"/>
  <c r="S139" i="1"/>
  <c r="S124" i="1"/>
  <c r="S115" i="1"/>
  <c r="S112" i="1"/>
  <c r="S96" i="1"/>
  <c r="S95" i="1"/>
  <c r="S88" i="1"/>
  <c r="S68" i="1"/>
  <c r="S61" i="1"/>
  <c r="S49" i="1"/>
  <c r="S48" i="1"/>
  <c r="S36" i="1"/>
  <c r="S34" i="1"/>
  <c r="S21" i="1"/>
  <c r="S20" i="1"/>
  <c r="T19" i="1"/>
  <c r="Z19" i="1" s="1"/>
  <c r="T311" i="1"/>
  <c r="T176" i="1"/>
  <c r="C291" i="1"/>
  <c r="D291" i="1"/>
  <c r="E291" i="1" s="1"/>
  <c r="C300" i="1"/>
  <c r="D300" i="1"/>
  <c r="V25" i="2"/>
  <c r="Y25" i="2" s="1"/>
  <c r="M341" i="1"/>
  <c r="N170" i="2"/>
  <c r="O170" i="2"/>
  <c r="T258" i="2"/>
  <c r="U258" i="2"/>
  <c r="C249" i="2"/>
  <c r="D249" i="2"/>
  <c r="E249" i="2" s="1"/>
  <c r="H571" i="33" l="1"/>
  <c r="Z176" i="1"/>
  <c r="H779" i="33"/>
  <c r="Z311" i="1"/>
  <c r="T424" i="1"/>
  <c r="T360" i="1"/>
  <c r="T414" i="1"/>
  <c r="T21" i="1"/>
  <c r="H691" i="33"/>
  <c r="T20" i="1"/>
  <c r="T68" i="1"/>
  <c r="H1095" i="33"/>
  <c r="H355" i="33"/>
  <c r="T139" i="1"/>
  <c r="Z139" i="1" s="1"/>
  <c r="T208" i="1"/>
  <c r="Z208" i="1" s="1"/>
  <c r="T335" i="1"/>
  <c r="T357" i="1"/>
  <c r="Z357" i="1" s="1"/>
  <c r="T95" i="1"/>
  <c r="Z95" i="1" s="1"/>
  <c r="T202" i="1"/>
  <c r="Z202" i="1" s="1"/>
  <c r="T234" i="1"/>
  <c r="Z234" i="1" s="1"/>
  <c r="T284" i="1"/>
  <c r="Z284" i="1" s="1"/>
  <c r="T297" i="1"/>
  <c r="Z297" i="1" s="1"/>
  <c r="T316" i="1"/>
  <c r="Z316" i="1" s="1"/>
  <c r="T333" i="1"/>
  <c r="Z333" i="1" s="1"/>
  <c r="T345" i="1"/>
  <c r="Z345" i="1" s="1"/>
  <c r="T367" i="1"/>
  <c r="Z367" i="1" s="1"/>
  <c r="T317" i="1"/>
  <c r="Z317" i="1" s="1"/>
  <c r="T217" i="1"/>
  <c r="Z217" i="1" s="1"/>
  <c r="T242" i="1"/>
  <c r="Z242" i="1" s="1"/>
  <c r="T303" i="1"/>
  <c r="Z303" i="1" s="1"/>
  <c r="T318" i="1"/>
  <c r="Z318" i="1" s="1"/>
  <c r="T396" i="1"/>
  <c r="Z396" i="1" s="1"/>
  <c r="T432" i="1"/>
  <c r="Z432" i="1" s="1"/>
  <c r="T240" i="1"/>
  <c r="Z240" i="1" s="1"/>
  <c r="T301" i="1"/>
  <c r="Z301" i="1" s="1"/>
  <c r="T197" i="1"/>
  <c r="Z197" i="1" s="1"/>
  <c r="T225" i="1"/>
  <c r="Z225" i="1" s="1"/>
  <c r="T331" i="1"/>
  <c r="Z331" i="1" s="1"/>
  <c r="T361" i="1"/>
  <c r="Z361" i="1" s="1"/>
  <c r="T413" i="1"/>
  <c r="Z413" i="1" s="1"/>
  <c r="T483" i="1"/>
  <c r="Z483" i="1" s="1"/>
  <c r="T232" i="2"/>
  <c r="T223" i="2"/>
  <c r="T213" i="2"/>
  <c r="T199" i="2"/>
  <c r="U199" i="2" s="1"/>
  <c r="C199" i="2"/>
  <c r="D199" i="2"/>
  <c r="E199" i="2" s="1"/>
  <c r="T196" i="2"/>
  <c r="U196" i="2" s="1"/>
  <c r="T193" i="2"/>
  <c r="U193" i="2" s="1"/>
  <c r="O194" i="2"/>
  <c r="T192" i="2"/>
  <c r="T191" i="2"/>
  <c r="T178" i="2"/>
  <c r="T167" i="2"/>
  <c r="T162" i="2"/>
  <c r="N141" i="2"/>
  <c r="O141" i="2"/>
  <c r="H96" i="32"/>
  <c r="T136" i="2"/>
  <c r="U136" i="2" s="1"/>
  <c r="T138" i="2"/>
  <c r="U138" i="2" s="1"/>
  <c r="T139" i="2"/>
  <c r="U139" i="2" s="1"/>
  <c r="T134" i="2"/>
  <c r="U134" i="2" s="1"/>
  <c r="T135" i="2"/>
  <c r="U135" i="2" s="1"/>
  <c r="T121" i="2"/>
  <c r="U121" i="2" s="1"/>
  <c r="T122" i="2"/>
  <c r="U122" i="2" s="1"/>
  <c r="T123" i="2"/>
  <c r="T124" i="2"/>
  <c r="U124" i="2" s="1"/>
  <c r="T120" i="2"/>
  <c r="T119" i="2"/>
  <c r="T118" i="2"/>
  <c r="T60" i="2"/>
  <c r="T54" i="2"/>
  <c r="U54" i="2" s="1"/>
  <c r="T41" i="2"/>
  <c r="U41" i="2" s="1"/>
  <c r="T40" i="2"/>
  <c r="T35" i="2"/>
  <c r="T33" i="2"/>
  <c r="T6" i="2"/>
  <c r="C221" i="1"/>
  <c r="D221" i="1"/>
  <c r="H3" i="32"/>
  <c r="H4" i="32"/>
  <c r="H6" i="32"/>
  <c r="H11" i="32"/>
  <c r="H14" i="32"/>
  <c r="H20" i="32"/>
  <c r="H23" i="32"/>
  <c r="H25" i="32"/>
  <c r="H27" i="32"/>
  <c r="H30" i="32"/>
  <c r="H31" i="32"/>
  <c r="H33" i="32"/>
  <c r="H41" i="32"/>
  <c r="H42" i="32"/>
  <c r="H43" i="32"/>
  <c r="H48" i="32"/>
  <c r="H77" i="32"/>
  <c r="H78" i="32"/>
  <c r="H79" i="32"/>
  <c r="H80" i="32"/>
  <c r="H81" i="32"/>
  <c r="H82" i="32"/>
  <c r="H83" i="32"/>
  <c r="H112" i="32"/>
  <c r="H117" i="32"/>
  <c r="H123" i="32"/>
  <c r="H132" i="32"/>
  <c r="H133" i="32"/>
  <c r="H134" i="32"/>
  <c r="H135" i="32"/>
  <c r="H138" i="32"/>
  <c r="H145" i="32"/>
  <c r="H150" i="32"/>
  <c r="H158" i="32"/>
  <c r="H165" i="32"/>
  <c r="H168" i="32"/>
  <c r="H169" i="32"/>
  <c r="H170" i="32"/>
  <c r="H171" i="32"/>
  <c r="H172" i="32"/>
  <c r="H173" i="32"/>
  <c r="H174" i="32"/>
  <c r="H175" i="32"/>
  <c r="H176" i="32"/>
  <c r="H177" i="32"/>
  <c r="R266" i="1"/>
  <c r="C266" i="1"/>
  <c r="D266" i="1"/>
  <c r="E266" i="1" s="1"/>
  <c r="R206" i="1"/>
  <c r="C206" i="1"/>
  <c r="D206" i="1"/>
  <c r="E206" i="1" s="1"/>
  <c r="M85" i="1"/>
  <c r="Q85" i="1"/>
  <c r="L85" i="1"/>
  <c r="R84" i="1"/>
  <c r="C84" i="1"/>
  <c r="D84" i="1"/>
  <c r="E84" i="1" s="1"/>
  <c r="M481" i="1"/>
  <c r="T481" i="1"/>
  <c r="Z481" i="1" s="1"/>
  <c r="L481" i="1"/>
  <c r="R475" i="1"/>
  <c r="C475" i="1"/>
  <c r="D475" i="1"/>
  <c r="E475" i="1" s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1" i="1"/>
  <c r="T472" i="1"/>
  <c r="Z472" i="1" s="1"/>
  <c r="R471" i="1"/>
  <c r="S471" i="1" s="1"/>
  <c r="R468" i="1"/>
  <c r="S468" i="1" s="1"/>
  <c r="R461" i="1"/>
  <c r="S461" i="1" s="1"/>
  <c r="D461" i="1"/>
  <c r="E461" i="1" s="1"/>
  <c r="R459" i="1"/>
  <c r="S459" i="1" s="1"/>
  <c r="D459" i="1"/>
  <c r="E459" i="1" s="1"/>
  <c r="R449" i="1"/>
  <c r="C449" i="1"/>
  <c r="D449" i="1"/>
  <c r="E449" i="1" s="1"/>
  <c r="H13" i="32"/>
  <c r="R434" i="1"/>
  <c r="R433" i="1"/>
  <c r="C433" i="1"/>
  <c r="D433" i="1"/>
  <c r="E433" i="1" s="1"/>
  <c r="R420" i="1"/>
  <c r="S420" i="1" s="1"/>
  <c r="C420" i="1"/>
  <c r="D420" i="1"/>
  <c r="E420" i="1" s="1"/>
  <c r="C421" i="1"/>
  <c r="D421" i="1"/>
  <c r="E421" i="1" s="1"/>
  <c r="N421" i="1"/>
  <c r="O421" i="1"/>
  <c r="P421" i="1" s="1"/>
  <c r="R421" i="1"/>
  <c r="S421" i="1" s="1"/>
  <c r="R419" i="1"/>
  <c r="S419" i="1" s="1"/>
  <c r="C419" i="1"/>
  <c r="D419" i="1"/>
  <c r="E419" i="1" s="1"/>
  <c r="M411" i="1"/>
  <c r="R410" i="1"/>
  <c r="S410" i="1" s="1"/>
  <c r="C410" i="1"/>
  <c r="D410" i="1"/>
  <c r="E410" i="1" s="1"/>
  <c r="R409" i="1"/>
  <c r="S409" i="1" s="1"/>
  <c r="C409" i="1"/>
  <c r="D409" i="1"/>
  <c r="E409" i="1" s="1"/>
  <c r="R408" i="1"/>
  <c r="S408" i="1" s="1"/>
  <c r="C408" i="1"/>
  <c r="D408" i="1"/>
  <c r="E408" i="1" s="1"/>
  <c r="R392" i="1"/>
  <c r="S392" i="1" s="1"/>
  <c r="C392" i="1"/>
  <c r="D392" i="1"/>
  <c r="E392" i="1" s="1"/>
  <c r="M395" i="1"/>
  <c r="R389" i="1"/>
  <c r="S389" i="1" s="1"/>
  <c r="C389" i="1"/>
  <c r="D389" i="1"/>
  <c r="E389" i="1" s="1"/>
  <c r="H411" i="33" l="1"/>
  <c r="Z68" i="1"/>
  <c r="H372" i="33"/>
  <c r="Z20" i="1"/>
  <c r="H807" i="33"/>
  <c r="Z335" i="1"/>
  <c r="H356" i="33"/>
  <c r="Z21" i="1"/>
  <c r="H932" i="33"/>
  <c r="Z414" i="1"/>
  <c r="H794" i="33"/>
  <c r="Z360" i="1"/>
  <c r="H945" i="33"/>
  <c r="Z424" i="1"/>
  <c r="H599" i="33"/>
  <c r="T252" i="1"/>
  <c r="Z252" i="1" s="1"/>
  <c r="H730" i="33"/>
  <c r="H1046" i="33"/>
  <c r="H963" i="33"/>
  <c r="H849" i="33"/>
  <c r="H456" i="33"/>
  <c r="H668" i="33"/>
  <c r="H610" i="33"/>
  <c r="H931" i="33"/>
  <c r="H899" i="33"/>
  <c r="H822" i="33"/>
  <c r="H835" i="33"/>
  <c r="H808" i="33"/>
  <c r="H805" i="33"/>
  <c r="H785" i="33"/>
  <c r="H801" i="33"/>
  <c r="H786" i="33"/>
  <c r="H784" i="33"/>
  <c r="H616" i="33"/>
  <c r="H646" i="33"/>
  <c r="H768" i="33"/>
  <c r="H757" i="33"/>
  <c r="H517" i="33"/>
  <c r="H671" i="33"/>
  <c r="H765" i="33"/>
  <c r="H631" i="33"/>
  <c r="H662" i="33"/>
  <c r="V135" i="2"/>
  <c r="V134" i="2"/>
  <c r="V139" i="2"/>
  <c r="V138" i="2"/>
  <c r="V136" i="2"/>
  <c r="T395" i="1"/>
  <c r="Z395" i="1" s="1"/>
  <c r="R338" i="1"/>
  <c r="R329" i="1"/>
  <c r="R330" i="1"/>
  <c r="C329" i="1"/>
  <c r="D329" i="1"/>
  <c r="E329" i="1" s="1"/>
  <c r="C330" i="1"/>
  <c r="D330" i="1"/>
  <c r="E330" i="1" s="1"/>
  <c r="R317" i="1"/>
  <c r="C317" i="1"/>
  <c r="D317" i="1"/>
  <c r="E317" i="1" s="1"/>
  <c r="R296" i="1"/>
  <c r="D296" i="1"/>
  <c r="E296" i="1" s="1"/>
  <c r="C296" i="1"/>
  <c r="M283" i="1"/>
  <c r="R282" i="1"/>
  <c r="C282" i="1"/>
  <c r="D282" i="1"/>
  <c r="E282" i="1" s="1"/>
  <c r="C243" i="1"/>
  <c r="D243" i="1"/>
  <c r="R281" i="1"/>
  <c r="C281" i="1"/>
  <c r="D281" i="1"/>
  <c r="E281" i="1" s="1"/>
  <c r="M267" i="1"/>
  <c r="L267" i="1"/>
  <c r="R265" i="1"/>
  <c r="C265" i="1"/>
  <c r="D265" i="1"/>
  <c r="E265" i="1" s="1"/>
  <c r="C334" i="1"/>
  <c r="D334" i="1"/>
  <c r="C327" i="1"/>
  <c r="D327" i="1"/>
  <c r="D254" i="1"/>
  <c r="D253" i="1"/>
  <c r="C254" i="1"/>
  <c r="C253" i="1"/>
  <c r="M255" i="1"/>
  <c r="N255" i="1"/>
  <c r="O255" i="1"/>
  <c r="P255" i="1"/>
  <c r="Q255" i="1"/>
  <c r="L255" i="1"/>
  <c r="R254" i="1"/>
  <c r="T254" i="1" s="1"/>
  <c r="Z254" i="1" s="1"/>
  <c r="R253" i="1"/>
  <c r="T253" i="1" s="1"/>
  <c r="Z253" i="1" s="1"/>
  <c r="R243" i="1"/>
  <c r="S243" i="1" s="1"/>
  <c r="R193" i="1"/>
  <c r="C193" i="1"/>
  <c r="D193" i="1"/>
  <c r="E193" i="1" s="1"/>
  <c r="C131" i="1"/>
  <c r="D131" i="1"/>
  <c r="E131" i="1" s="1"/>
  <c r="H207" i="32"/>
  <c r="H95" i="32" l="1"/>
  <c r="Y136" i="2"/>
  <c r="H94" i="32"/>
  <c r="Y135" i="2"/>
  <c r="H97" i="32"/>
  <c r="Y138" i="2"/>
  <c r="H98" i="32"/>
  <c r="Y139" i="2"/>
  <c r="H93" i="32"/>
  <c r="Y134" i="2"/>
  <c r="H689" i="33"/>
  <c r="H690" i="33"/>
  <c r="T255" i="1"/>
  <c r="Z255" i="1" s="1"/>
  <c r="S255" i="1"/>
  <c r="R255" i="1"/>
  <c r="H193" i="32"/>
  <c r="H205" i="32"/>
  <c r="H215" i="32"/>
  <c r="H237" i="32"/>
  <c r="H241" i="32"/>
  <c r="H248" i="32"/>
  <c r="H265" i="32"/>
  <c r="H277" i="32"/>
  <c r="H295" i="32"/>
  <c r="H327" i="32"/>
  <c r="H337" i="32"/>
  <c r="H358" i="32"/>
  <c r="H360" i="32"/>
  <c r="H365" i="32"/>
  <c r="H373" i="32"/>
  <c r="H374" i="32"/>
  <c r="H376" i="32"/>
  <c r="H383" i="32"/>
  <c r="H384" i="32"/>
  <c r="H396" i="32"/>
  <c r="H397" i="32"/>
  <c r="H399" i="32"/>
  <c r="H406" i="32"/>
  <c r="H426" i="32"/>
  <c r="H431" i="32"/>
  <c r="H432" i="32"/>
  <c r="H440" i="32"/>
  <c r="H451" i="32"/>
  <c r="H465" i="32"/>
  <c r="H476" i="32"/>
  <c r="H479" i="32"/>
  <c r="H480" i="32"/>
  <c r="H493" i="32"/>
  <c r="H494" i="32"/>
  <c r="H495" i="32"/>
  <c r="H497" i="32"/>
  <c r="H500" i="32"/>
  <c r="H501" i="32"/>
  <c r="H509" i="32"/>
  <c r="H510" i="32"/>
  <c r="H520" i="32"/>
  <c r="H528" i="32"/>
  <c r="H530" i="32"/>
  <c r="H535" i="32"/>
  <c r="H538" i="32"/>
  <c r="H539" i="32"/>
  <c r="H563" i="32"/>
  <c r="R66" i="1"/>
  <c r="H229" i="32" s="1"/>
  <c r="R64" i="1"/>
  <c r="R35" i="1"/>
  <c r="R28" i="1"/>
  <c r="S28" i="1" s="1"/>
  <c r="R23" i="1"/>
  <c r="S23" i="1" s="1"/>
  <c r="T161" i="2"/>
  <c r="T18" i="2"/>
  <c r="U18" i="2" s="1"/>
  <c r="T9" i="2"/>
  <c r="M14" i="4" s="1"/>
  <c r="H10" i="32"/>
  <c r="H8" i="32"/>
  <c r="N42" i="4"/>
  <c r="O42" i="4"/>
  <c r="M43" i="4"/>
  <c r="N43" i="4"/>
  <c r="O43" i="4"/>
  <c r="O18" i="4"/>
  <c r="N18" i="4"/>
  <c r="M18" i="4"/>
  <c r="O21" i="4"/>
  <c r="N21" i="4"/>
  <c r="M21" i="4"/>
  <c r="O20" i="4"/>
  <c r="N20" i="4"/>
  <c r="O17" i="4"/>
  <c r="L6" i="4"/>
  <c r="N6" i="4"/>
  <c r="L7" i="4"/>
  <c r="N5" i="4"/>
  <c r="S467" i="1"/>
  <c r="S450" i="1"/>
  <c r="S444" i="1"/>
  <c r="S437" i="1"/>
  <c r="S321" i="1"/>
  <c r="S319" i="1"/>
  <c r="S236" i="1"/>
  <c r="S221" i="1"/>
  <c r="S213" i="1"/>
  <c r="S200" i="1"/>
  <c r="S194" i="1"/>
  <c r="S190" i="1"/>
  <c r="S183" i="1"/>
  <c r="S181" i="1"/>
  <c r="S93" i="1"/>
  <c r="S58" i="1"/>
  <c r="S56" i="1"/>
  <c r="S18" i="1"/>
  <c r="S17" i="1"/>
  <c r="R519" i="1"/>
  <c r="S519" i="1" s="1"/>
  <c r="R516" i="1"/>
  <c r="R515" i="1"/>
  <c r="R514" i="1"/>
  <c r="R513" i="1"/>
  <c r="R512" i="1"/>
  <c r="S512" i="1" s="1"/>
  <c r="R508" i="1"/>
  <c r="R507" i="1"/>
  <c r="R506" i="1"/>
  <c r="S506" i="1" s="1"/>
  <c r="R505" i="1"/>
  <c r="R503" i="1"/>
  <c r="R502" i="1"/>
  <c r="R501" i="1"/>
  <c r="R497" i="1"/>
  <c r="R496" i="1"/>
  <c r="R495" i="1"/>
  <c r="R494" i="1"/>
  <c r="R493" i="1"/>
  <c r="S493" i="1" s="1"/>
  <c r="R492" i="1"/>
  <c r="R489" i="1"/>
  <c r="R488" i="1"/>
  <c r="R487" i="1"/>
  <c r="S487" i="1" s="1"/>
  <c r="R485" i="1"/>
  <c r="R483" i="1"/>
  <c r="R480" i="1"/>
  <c r="R478" i="1"/>
  <c r="R477" i="1"/>
  <c r="S477" i="1" s="1"/>
  <c r="R476" i="1"/>
  <c r="R469" i="1"/>
  <c r="R466" i="1"/>
  <c r="R465" i="1"/>
  <c r="R464" i="1"/>
  <c r="R463" i="1"/>
  <c r="R462" i="1"/>
  <c r="S462" i="1" s="1"/>
  <c r="R460" i="1"/>
  <c r="R458" i="1"/>
  <c r="R457" i="1"/>
  <c r="R456" i="1"/>
  <c r="R455" i="1"/>
  <c r="R454" i="1"/>
  <c r="S454" i="1" s="1"/>
  <c r="R452" i="1"/>
  <c r="R451" i="1"/>
  <c r="R448" i="1"/>
  <c r="S448" i="1" s="1"/>
  <c r="R445" i="1"/>
  <c r="R443" i="1"/>
  <c r="S443" i="1" s="1"/>
  <c r="R442" i="1"/>
  <c r="R441" i="1"/>
  <c r="R440" i="1"/>
  <c r="R438" i="1"/>
  <c r="R436" i="1"/>
  <c r="R435" i="1"/>
  <c r="R432" i="1"/>
  <c r="R430" i="1"/>
  <c r="R429" i="1"/>
  <c r="S429" i="1" s="1"/>
  <c r="R428" i="1"/>
  <c r="R427" i="1"/>
  <c r="R423" i="1"/>
  <c r="R418" i="1"/>
  <c r="S418" i="1" s="1"/>
  <c r="R416" i="1"/>
  <c r="R413" i="1"/>
  <c r="R407" i="1"/>
  <c r="R406" i="1"/>
  <c r="S406" i="1" s="1"/>
  <c r="R405" i="1"/>
  <c r="R404" i="1"/>
  <c r="R403" i="1"/>
  <c r="R402" i="1"/>
  <c r="R401" i="1"/>
  <c r="S401" i="1" s="1"/>
  <c r="R400" i="1"/>
  <c r="R399" i="1"/>
  <c r="R398" i="1"/>
  <c r="R396" i="1"/>
  <c r="T411" i="1" s="1"/>
  <c r="Z411" i="1" s="1"/>
  <c r="R394" i="1"/>
  <c r="S394" i="1" s="1"/>
  <c r="R391" i="1"/>
  <c r="R390" i="1"/>
  <c r="R387" i="1"/>
  <c r="R386" i="1"/>
  <c r="S386" i="1" s="1"/>
  <c r="R385" i="1"/>
  <c r="R384" i="1"/>
  <c r="R383" i="1"/>
  <c r="R382" i="1"/>
  <c r="R381" i="1"/>
  <c r="H469" i="32" s="1"/>
  <c r="R379" i="1"/>
  <c r="R378" i="1"/>
  <c r="R377" i="1"/>
  <c r="S377" i="1" s="1"/>
  <c r="R375" i="1"/>
  <c r="R372" i="1"/>
  <c r="R370" i="1"/>
  <c r="R369" i="1"/>
  <c r="R368" i="1"/>
  <c r="S368" i="1" s="1"/>
  <c r="R367" i="1"/>
  <c r="R366" i="1"/>
  <c r="R365" i="1"/>
  <c r="R360" i="1"/>
  <c r="R359" i="1"/>
  <c r="R357" i="1"/>
  <c r="R356" i="1"/>
  <c r="R355" i="1"/>
  <c r="R354" i="1"/>
  <c r="R353" i="1"/>
  <c r="R352" i="1"/>
  <c r="R351" i="1"/>
  <c r="S351" i="1" s="1"/>
  <c r="R350" i="1"/>
  <c r="R349" i="1"/>
  <c r="R348" i="1"/>
  <c r="R347" i="1"/>
  <c r="R346" i="1"/>
  <c r="S346" i="1" s="1"/>
  <c r="R343" i="1"/>
  <c r="R342" i="1"/>
  <c r="S342" i="1" s="1"/>
  <c r="R340" i="1"/>
  <c r="R339" i="1"/>
  <c r="R336" i="1"/>
  <c r="R335" i="1"/>
  <c r="R334" i="1"/>
  <c r="R333" i="1"/>
  <c r="R331" i="1"/>
  <c r="R328" i="1"/>
  <c r="R327" i="1"/>
  <c r="R323" i="1"/>
  <c r="R322" i="1"/>
  <c r="R320" i="1"/>
  <c r="H412" i="32" s="1"/>
  <c r="R318" i="1"/>
  <c r="R316" i="1"/>
  <c r="R314" i="1"/>
  <c r="R313" i="1"/>
  <c r="S313" i="1" s="1"/>
  <c r="R312" i="1"/>
  <c r="R311" i="1"/>
  <c r="R309" i="1"/>
  <c r="R308" i="1"/>
  <c r="R307" i="1"/>
  <c r="R303" i="1"/>
  <c r="R302" i="1"/>
  <c r="R301" i="1"/>
  <c r="R300" i="1"/>
  <c r="R299" i="1"/>
  <c r="S299" i="1" s="1"/>
  <c r="R298" i="1"/>
  <c r="R297" i="1"/>
  <c r="R294" i="1"/>
  <c r="R293" i="1"/>
  <c r="R290" i="1"/>
  <c r="H403" i="32" s="1"/>
  <c r="R288" i="1"/>
  <c r="R287" i="1"/>
  <c r="R286" i="1"/>
  <c r="R284" i="1"/>
  <c r="R280" i="1"/>
  <c r="R279" i="1"/>
  <c r="R278" i="1"/>
  <c r="R277" i="1"/>
  <c r="R276" i="1"/>
  <c r="S276" i="1" s="1"/>
  <c r="R275" i="1"/>
  <c r="R274" i="1"/>
  <c r="R272" i="1"/>
  <c r="R271" i="1"/>
  <c r="R269" i="1"/>
  <c r="R268" i="1"/>
  <c r="R264" i="1"/>
  <c r="R263" i="1"/>
  <c r="R262" i="1"/>
  <c r="R261" i="1"/>
  <c r="S261" i="1" s="1"/>
  <c r="R260" i="1"/>
  <c r="R259" i="1"/>
  <c r="R256" i="1"/>
  <c r="T267" i="1" s="1"/>
  <c r="Z267" i="1" s="1"/>
  <c r="R250" i="1"/>
  <c r="S250" i="1" s="1"/>
  <c r="R249" i="1"/>
  <c r="R248" i="1"/>
  <c r="R247" i="1"/>
  <c r="R246" i="1"/>
  <c r="R245" i="1"/>
  <c r="S245" i="1" s="1"/>
  <c r="R244" i="1"/>
  <c r="R242" i="1"/>
  <c r="R240" i="1"/>
  <c r="R239" i="1"/>
  <c r="R238" i="1"/>
  <c r="S238" i="1" s="1"/>
  <c r="R234" i="1"/>
  <c r="R232" i="1"/>
  <c r="R231" i="1"/>
  <c r="R229" i="1"/>
  <c r="S229" i="1" s="1"/>
  <c r="R228" i="1"/>
  <c r="R227" i="1"/>
  <c r="R226" i="1"/>
  <c r="R225" i="1"/>
  <c r="R223" i="1"/>
  <c r="S223" i="1" s="1"/>
  <c r="R222" i="1"/>
  <c r="R220" i="1"/>
  <c r="R219" i="1"/>
  <c r="R218" i="1"/>
  <c r="S218" i="1" s="1"/>
  <c r="R217" i="1"/>
  <c r="R215" i="1"/>
  <c r="R214" i="1"/>
  <c r="R212" i="1"/>
  <c r="R211" i="1"/>
  <c r="R210" i="1"/>
  <c r="R208" i="1"/>
  <c r="R207" i="1"/>
  <c r="R205" i="1"/>
  <c r="R204" i="1"/>
  <c r="R203" i="1"/>
  <c r="S203" i="1" s="1"/>
  <c r="R202" i="1"/>
  <c r="R199" i="1"/>
  <c r="S199" i="1" s="1"/>
  <c r="R198" i="1"/>
  <c r="R197" i="1"/>
  <c r="R196" i="1"/>
  <c r="R195" i="1"/>
  <c r="R192" i="1"/>
  <c r="R191" i="1"/>
  <c r="R189" i="1"/>
  <c r="R188" i="1"/>
  <c r="R187" i="1"/>
  <c r="R186" i="1"/>
  <c r="H321" i="32" s="1"/>
  <c r="R185" i="1"/>
  <c r="R184" i="1"/>
  <c r="R182" i="1"/>
  <c r="S182" i="1" s="1"/>
  <c r="R180" i="1"/>
  <c r="R179" i="1"/>
  <c r="R178" i="1"/>
  <c r="R177" i="1"/>
  <c r="R176" i="1"/>
  <c r="S176" i="1" s="1"/>
  <c r="R175" i="1"/>
  <c r="R174" i="1"/>
  <c r="R173" i="1"/>
  <c r="R172" i="1"/>
  <c r="S172" i="1" s="1"/>
  <c r="R171" i="1"/>
  <c r="R170" i="1"/>
  <c r="R169" i="1"/>
  <c r="R168" i="1"/>
  <c r="S168" i="1" s="1"/>
  <c r="R167" i="1"/>
  <c r="R166" i="1"/>
  <c r="R164" i="1"/>
  <c r="H302" i="32" s="1"/>
  <c r="R163" i="1"/>
  <c r="R162" i="1"/>
  <c r="R161" i="1"/>
  <c r="R160" i="1"/>
  <c r="S160" i="1" s="1"/>
  <c r="R159" i="1"/>
  <c r="R157" i="1"/>
  <c r="R152" i="1"/>
  <c r="R151" i="1"/>
  <c r="R150" i="1"/>
  <c r="R149" i="1"/>
  <c r="S149" i="1" s="1"/>
  <c r="R148" i="1"/>
  <c r="R146" i="1"/>
  <c r="R145" i="1"/>
  <c r="S145" i="1" s="1"/>
  <c r="R144" i="1"/>
  <c r="R143" i="1"/>
  <c r="R142" i="1"/>
  <c r="R141" i="1"/>
  <c r="S141" i="1" s="1"/>
  <c r="R140" i="1"/>
  <c r="R139" i="1"/>
  <c r="R137" i="1"/>
  <c r="H281" i="32" s="1"/>
  <c r="R136" i="1"/>
  <c r="R135" i="1"/>
  <c r="R134" i="1"/>
  <c r="R130" i="1"/>
  <c r="S130" i="1" s="1"/>
  <c r="R129" i="1"/>
  <c r="R128" i="1"/>
  <c r="R127" i="1"/>
  <c r="R126" i="1"/>
  <c r="S126" i="1" s="1"/>
  <c r="R125" i="1"/>
  <c r="R124" i="1"/>
  <c r="R122" i="1"/>
  <c r="H269" i="32" s="1"/>
  <c r="R121" i="1"/>
  <c r="R120" i="1"/>
  <c r="R119" i="1"/>
  <c r="R118" i="1"/>
  <c r="S118" i="1" s="1"/>
  <c r="R117" i="1"/>
  <c r="R115" i="1"/>
  <c r="R112" i="1"/>
  <c r="R111" i="1"/>
  <c r="R109" i="1"/>
  <c r="H258" i="32"/>
  <c r="R107" i="1"/>
  <c r="R106" i="1"/>
  <c r="R105" i="1"/>
  <c r="R103" i="1"/>
  <c r="R102" i="1"/>
  <c r="R101" i="1"/>
  <c r="R100" i="1"/>
  <c r="S100" i="1" s="1"/>
  <c r="R99" i="1"/>
  <c r="R98" i="1"/>
  <c r="R96" i="1"/>
  <c r="R95" i="1"/>
  <c r="R92" i="1"/>
  <c r="S92" i="1" s="1"/>
  <c r="R91" i="1"/>
  <c r="R90" i="1"/>
  <c r="R88" i="1"/>
  <c r="R86" i="1"/>
  <c r="R83" i="1"/>
  <c r="R82" i="1"/>
  <c r="S82" i="1" s="1"/>
  <c r="R81" i="1"/>
  <c r="R80" i="1"/>
  <c r="R76" i="1"/>
  <c r="S76" i="1" s="1"/>
  <c r="R75" i="1"/>
  <c r="R74" i="1"/>
  <c r="R72" i="1"/>
  <c r="S72" i="1" s="1"/>
  <c r="R71" i="1"/>
  <c r="R70" i="1"/>
  <c r="R67" i="1"/>
  <c r="S67" i="1" s="1"/>
  <c r="R65" i="1"/>
  <c r="S65" i="1" s="1"/>
  <c r="R63" i="1"/>
  <c r="R61" i="1"/>
  <c r="R59" i="1"/>
  <c r="S59" i="1" s="1"/>
  <c r="R57" i="1"/>
  <c r="R54" i="1"/>
  <c r="S54" i="1" s="1"/>
  <c r="R53" i="1"/>
  <c r="R52" i="1"/>
  <c r="R51" i="1"/>
  <c r="H219" i="32" s="1"/>
  <c r="R50" i="1"/>
  <c r="S50" i="1" s="1"/>
  <c r="R49" i="1"/>
  <c r="R48" i="1"/>
  <c r="R46" i="1"/>
  <c r="T47" i="1" s="1"/>
  <c r="Z47" i="1" s="1"/>
  <c r="R44" i="1"/>
  <c r="R43" i="1"/>
  <c r="R42" i="1"/>
  <c r="S42" i="1" s="1"/>
  <c r="R41" i="1"/>
  <c r="S41" i="1" s="1"/>
  <c r="R39" i="1"/>
  <c r="R36" i="1"/>
  <c r="R34" i="1"/>
  <c r="R32" i="1"/>
  <c r="R31" i="1"/>
  <c r="R27" i="1"/>
  <c r="S27" i="1" s="1"/>
  <c r="R26" i="1"/>
  <c r="S26" i="1" s="1"/>
  <c r="R25" i="1"/>
  <c r="R24" i="1"/>
  <c r="R22" i="1"/>
  <c r="S22" i="1" s="1"/>
  <c r="R19" i="1"/>
  <c r="R16" i="1"/>
  <c r="H194" i="32" s="1"/>
  <c r="R14" i="1"/>
  <c r="R13" i="1"/>
  <c r="S13" i="1" s="1"/>
  <c r="R12" i="1"/>
  <c r="S12" i="1" s="1"/>
  <c r="R11" i="1"/>
  <c r="R10" i="1"/>
  <c r="H188" i="32" s="1"/>
  <c r="R9" i="1"/>
  <c r="H187" i="32" s="1"/>
  <c r="R7" i="1"/>
  <c r="H186" i="32" s="1"/>
  <c r="R6" i="1"/>
  <c r="R5" i="1"/>
  <c r="S5" i="1" s="1"/>
  <c r="R4" i="1"/>
  <c r="U229" i="2"/>
  <c r="U217" i="2"/>
  <c r="U214" i="2"/>
  <c r="U168" i="2"/>
  <c r="U146" i="2"/>
  <c r="U115" i="2"/>
  <c r="U112" i="2"/>
  <c r="U110" i="2"/>
  <c r="U109" i="2"/>
  <c r="U108" i="2"/>
  <c r="U107" i="2"/>
  <c r="U106" i="2"/>
  <c r="U105" i="2"/>
  <c r="U104" i="2"/>
  <c r="U103" i="2"/>
  <c r="U102" i="2"/>
  <c r="U101" i="2"/>
  <c r="U100" i="2"/>
  <c r="U99" i="2"/>
  <c r="U98" i="2"/>
  <c r="U97" i="2"/>
  <c r="U96" i="2"/>
  <c r="U95" i="2"/>
  <c r="U94" i="2"/>
  <c r="U93" i="2"/>
  <c r="U80" i="2"/>
  <c r="U79" i="2"/>
  <c r="U67" i="2"/>
  <c r="U62" i="2"/>
  <c r="U20" i="2"/>
  <c r="Y20" i="2" s="1"/>
  <c r="T250" i="2"/>
  <c r="T248" i="2"/>
  <c r="T245" i="2"/>
  <c r="T243" i="2"/>
  <c r="U243" i="2" s="1"/>
  <c r="T242" i="2"/>
  <c r="U242" i="2" s="1"/>
  <c r="T241" i="2"/>
  <c r="T240" i="2"/>
  <c r="T234" i="2"/>
  <c r="U234" i="2" s="1"/>
  <c r="T233" i="2"/>
  <c r="U233" i="2" s="1"/>
  <c r="T231" i="2"/>
  <c r="U231" i="2" s="1"/>
  <c r="T230" i="2"/>
  <c r="U230" i="2" s="1"/>
  <c r="T228" i="2"/>
  <c r="U228" i="2" s="1"/>
  <c r="T227" i="2"/>
  <c r="U227" i="2" s="1"/>
  <c r="T225" i="2"/>
  <c r="U225" i="2" s="1"/>
  <c r="T224" i="2"/>
  <c r="U224" i="2" s="1"/>
  <c r="T222" i="2"/>
  <c r="U222" i="2" s="1"/>
  <c r="T221" i="2"/>
  <c r="U221" i="2" s="1"/>
  <c r="T219" i="2"/>
  <c r="U219" i="2" s="1"/>
  <c r="T218" i="2"/>
  <c r="U218" i="2" s="1"/>
  <c r="T216" i="2"/>
  <c r="U216" i="2" s="1"/>
  <c r="T215" i="2"/>
  <c r="U215" i="2" s="1"/>
  <c r="T212" i="2"/>
  <c r="U212" i="2" s="1"/>
  <c r="T211" i="2"/>
  <c r="U211" i="2" s="1"/>
  <c r="T209" i="2"/>
  <c r="U209" i="2" s="1"/>
  <c r="T208" i="2"/>
  <c r="V208" i="2" s="1"/>
  <c r="Y208" i="2" s="1"/>
  <c r="T207" i="2"/>
  <c r="U207" i="2" s="1"/>
  <c r="T205" i="2"/>
  <c r="U205" i="2" s="1"/>
  <c r="T204" i="2"/>
  <c r="V204" i="2" s="1"/>
  <c r="Y204" i="2" s="1"/>
  <c r="T203" i="2"/>
  <c r="H142" i="32" s="1"/>
  <c r="T202" i="2"/>
  <c r="U202" i="2" s="1"/>
  <c r="T201" i="2"/>
  <c r="U201" i="2" s="1"/>
  <c r="T200" i="2"/>
  <c r="U200" i="2" s="1"/>
  <c r="T198" i="2"/>
  <c r="U198" i="2" s="1"/>
  <c r="T197" i="2"/>
  <c r="U197" i="2" s="1"/>
  <c r="T190" i="2"/>
  <c r="U190" i="2" s="1"/>
  <c r="T189" i="2"/>
  <c r="H130" i="32" s="1"/>
  <c r="T188" i="2"/>
  <c r="U188" i="2" s="1"/>
  <c r="T187" i="2"/>
  <c r="U187" i="2" s="1"/>
  <c r="T186" i="2"/>
  <c r="U186" i="2" s="1"/>
  <c r="T184" i="2"/>
  <c r="U184" i="2" s="1"/>
  <c r="T183" i="2"/>
  <c r="T180" i="2"/>
  <c r="U180" i="2" s="1"/>
  <c r="T177" i="2"/>
  <c r="U177" i="2" s="1"/>
  <c r="T176" i="2"/>
  <c r="U176" i="2" s="1"/>
  <c r="T174" i="2"/>
  <c r="U174" i="2" s="1"/>
  <c r="T173" i="2"/>
  <c r="U173" i="2" s="1"/>
  <c r="T172" i="2"/>
  <c r="U172" i="2" s="1"/>
  <c r="T169" i="2"/>
  <c r="U169" i="2" s="1"/>
  <c r="T166" i="2"/>
  <c r="U166" i="2" s="1"/>
  <c r="T165" i="2"/>
  <c r="U165" i="2" s="1"/>
  <c r="T164" i="2"/>
  <c r="H110" i="32" s="1"/>
  <c r="T163" i="2"/>
  <c r="H113" i="32" s="1"/>
  <c r="T154" i="2"/>
  <c r="U154" i="2" s="1"/>
  <c r="T153" i="2"/>
  <c r="U153" i="2" s="1"/>
  <c r="T152" i="2"/>
  <c r="H107" i="32" s="1"/>
  <c r="T151" i="2"/>
  <c r="U151" i="2" s="1"/>
  <c r="T150" i="2"/>
  <c r="U150" i="2" s="1"/>
  <c r="T149" i="2"/>
  <c r="U149" i="2" s="1"/>
  <c r="T147" i="2"/>
  <c r="U147" i="2" s="1"/>
  <c r="T145" i="2"/>
  <c r="U145" i="2" s="1"/>
  <c r="T144" i="2"/>
  <c r="U144" i="2" s="1"/>
  <c r="T143" i="2"/>
  <c r="U143" i="2" s="1"/>
  <c r="T142" i="2"/>
  <c r="U142" i="2" s="1"/>
  <c r="T133" i="2"/>
  <c r="T132" i="2"/>
  <c r="T131" i="2"/>
  <c r="T130" i="2"/>
  <c r="T129" i="2"/>
  <c r="T128" i="2"/>
  <c r="T127" i="2"/>
  <c r="T126" i="2"/>
  <c r="T125" i="2"/>
  <c r="T117" i="2"/>
  <c r="U117" i="2" s="1"/>
  <c r="T116" i="2"/>
  <c r="U116" i="2" s="1"/>
  <c r="T114" i="2"/>
  <c r="U114" i="2" s="1"/>
  <c r="T113" i="2"/>
  <c r="H73" i="32" s="1"/>
  <c r="T111" i="2"/>
  <c r="H72" i="32" s="1"/>
  <c r="T92" i="2"/>
  <c r="T89" i="2"/>
  <c r="U89" i="2" s="1"/>
  <c r="T87" i="2"/>
  <c r="U87" i="2" s="1"/>
  <c r="T84" i="2"/>
  <c r="T83" i="2"/>
  <c r="H67" i="32" s="1"/>
  <c r="H66" i="32"/>
  <c r="T82" i="2"/>
  <c r="U82" i="2" s="1"/>
  <c r="T81" i="2"/>
  <c r="H64" i="32" s="1"/>
  <c r="T78" i="2"/>
  <c r="U78" i="2" s="1"/>
  <c r="T77" i="2"/>
  <c r="U77" i="2" s="1"/>
  <c r="T76" i="2"/>
  <c r="U76" i="2" s="1"/>
  <c r="U75" i="2"/>
  <c r="T74" i="2"/>
  <c r="U74" i="2" s="1"/>
  <c r="T73" i="2"/>
  <c r="U73" i="2" s="1"/>
  <c r="T72" i="2"/>
  <c r="U72" i="2" s="1"/>
  <c r="T70" i="2"/>
  <c r="U70" i="2" s="1"/>
  <c r="T69" i="2"/>
  <c r="U69" i="2" s="1"/>
  <c r="T68" i="2"/>
  <c r="U68" i="2" s="1"/>
  <c r="T66" i="2"/>
  <c r="U66" i="2" s="1"/>
  <c r="T65" i="2"/>
  <c r="U65" i="2" s="1"/>
  <c r="T64" i="2"/>
  <c r="U64" i="2" s="1"/>
  <c r="T63" i="2"/>
  <c r="U63" i="2" s="1"/>
  <c r="T61" i="2"/>
  <c r="U61" i="2" s="1"/>
  <c r="T59" i="2"/>
  <c r="U59" i="2" s="1"/>
  <c r="T58" i="2"/>
  <c r="U58" i="2" s="1"/>
  <c r="T57" i="2"/>
  <c r="U57" i="2" s="1"/>
  <c r="T56" i="2"/>
  <c r="U56" i="2" s="1"/>
  <c r="T53" i="2"/>
  <c r="U53" i="2" s="1"/>
  <c r="T52" i="2"/>
  <c r="U52" i="2" s="1"/>
  <c r="T51" i="2"/>
  <c r="U51" i="2" s="1"/>
  <c r="T49" i="2"/>
  <c r="U49" i="2" s="1"/>
  <c r="T48" i="2"/>
  <c r="U48" i="2" s="1"/>
  <c r="T47" i="2"/>
  <c r="U47" i="2" s="1"/>
  <c r="T45" i="2"/>
  <c r="U45" i="2" s="1"/>
  <c r="T43" i="2"/>
  <c r="T42" i="2"/>
  <c r="U42" i="2" s="1"/>
  <c r="T39" i="2"/>
  <c r="U39" i="2" s="1"/>
  <c r="T38" i="2"/>
  <c r="U38" i="2" s="1"/>
  <c r="T37" i="2"/>
  <c r="U37" i="2" s="1"/>
  <c r="T36" i="2"/>
  <c r="U36" i="2" s="1"/>
  <c r="T34" i="2"/>
  <c r="U34" i="2" s="1"/>
  <c r="T32" i="2"/>
  <c r="U32" i="2" s="1"/>
  <c r="Y32" i="2" s="1"/>
  <c r="T30" i="2"/>
  <c r="T26" i="2"/>
  <c r="U26" i="2" s="1"/>
  <c r="T25" i="2"/>
  <c r="T23" i="2"/>
  <c r="H19" i="32" s="1"/>
  <c r="T19" i="2"/>
  <c r="U19" i="2" s="1"/>
  <c r="U17" i="2"/>
  <c r="T16" i="2"/>
  <c r="U16" i="2" s="1"/>
  <c r="T15" i="2"/>
  <c r="U15" i="2" s="1"/>
  <c r="T13" i="2"/>
  <c r="T11" i="2"/>
  <c r="N23" i="4" s="1"/>
  <c r="T10" i="2"/>
  <c r="T7" i="2"/>
  <c r="M20" i="4" s="1"/>
  <c r="T5" i="2"/>
  <c r="V5" i="2" s="1"/>
  <c r="Y5" i="2" s="1"/>
  <c r="T4" i="2"/>
  <c r="H2" i="32" s="1"/>
  <c r="D569" i="32"/>
  <c r="E569" i="32"/>
  <c r="F569" i="32"/>
  <c r="G569" i="32"/>
  <c r="C569" i="32"/>
  <c r="D179" i="32"/>
  <c r="E179" i="32"/>
  <c r="F179" i="32"/>
  <c r="G179" i="32"/>
  <c r="C179" i="32"/>
  <c r="H264" i="32" l="1"/>
  <c r="H332" i="32"/>
  <c r="H379" i="32"/>
  <c r="H409" i="32"/>
  <c r="H491" i="32"/>
  <c r="H506" i="32"/>
  <c r="H197" i="32"/>
  <c r="H230" i="32"/>
  <c r="H291" i="32"/>
  <c r="H517" i="32"/>
  <c r="H202" i="32"/>
  <c r="H288" i="32"/>
  <c r="H441" i="32"/>
  <c r="H474" i="32"/>
  <c r="H211" i="32"/>
  <c r="H224" i="32"/>
  <c r="H486" i="32"/>
  <c r="H541" i="32"/>
  <c r="H481" i="32"/>
  <c r="H372" i="32"/>
  <c r="H443" i="32"/>
  <c r="H499" i="32"/>
  <c r="H550" i="32"/>
  <c r="H212" i="32"/>
  <c r="H218" i="32"/>
  <c r="H124" i="32"/>
  <c r="H116" i="32"/>
  <c r="H149" i="32"/>
  <c r="V168" i="2"/>
  <c r="Y168" i="2" s="1"/>
  <c r="H146" i="32"/>
  <c r="V188" i="2"/>
  <c r="H129" i="32" s="1"/>
  <c r="V94" i="2"/>
  <c r="H71" i="32" s="1"/>
  <c r="V215" i="2"/>
  <c r="H152" i="32" s="1"/>
  <c r="V217" i="2"/>
  <c r="Y217" i="2" s="1"/>
  <c r="V229" i="2"/>
  <c r="Y229" i="2" s="1"/>
  <c r="H5" i="32"/>
  <c r="H18" i="32"/>
  <c r="H37" i="32"/>
  <c r="H49" i="32"/>
  <c r="V72" i="2"/>
  <c r="H57" i="32" s="1"/>
  <c r="H65" i="32"/>
  <c r="H102" i="32"/>
  <c r="H121" i="32"/>
  <c r="H143" i="32"/>
  <c r="H153" i="32"/>
  <c r="H162" i="32"/>
  <c r="V80" i="2"/>
  <c r="Y80" i="2" s="1"/>
  <c r="V100" i="2"/>
  <c r="Y100" i="2" s="1"/>
  <c r="V108" i="2"/>
  <c r="Y108" i="2" s="1"/>
  <c r="V59" i="2"/>
  <c r="H47" i="32" s="1"/>
  <c r="V174" i="2"/>
  <c r="V99" i="2"/>
  <c r="Y99" i="2" s="1"/>
  <c r="V214" i="2"/>
  <c r="Y214" i="2" s="1"/>
  <c r="V38" i="2"/>
  <c r="H28" i="32" s="1"/>
  <c r="H38" i="32"/>
  <c r="H50" i="32"/>
  <c r="V73" i="2"/>
  <c r="H58" i="32" s="1"/>
  <c r="H74" i="32"/>
  <c r="V147" i="2"/>
  <c r="H122" i="32"/>
  <c r="V190" i="2"/>
  <c r="H131" i="32" s="1"/>
  <c r="V205" i="2"/>
  <c r="H154" i="32"/>
  <c r="H163" i="32"/>
  <c r="V93" i="2"/>
  <c r="Y93" i="2" s="1"/>
  <c r="V101" i="2"/>
  <c r="Y101" i="2" s="1"/>
  <c r="V109" i="2"/>
  <c r="Y109" i="2" s="1"/>
  <c r="H26" i="32"/>
  <c r="H29" i="32"/>
  <c r="H39" i="32"/>
  <c r="V64" i="2"/>
  <c r="H51" i="32" s="1"/>
  <c r="V74" i="2"/>
  <c r="H59" i="32" s="1"/>
  <c r="V116" i="2"/>
  <c r="H75" i="32" s="1"/>
  <c r="V149" i="2"/>
  <c r="V165" i="2"/>
  <c r="H114" i="32" s="1"/>
  <c r="H136" i="32"/>
  <c r="H155" i="32"/>
  <c r="H164" i="32"/>
  <c r="V102" i="2"/>
  <c r="Y102" i="2" s="1"/>
  <c r="V110" i="2"/>
  <c r="Y110" i="2" s="1"/>
  <c r="V17" i="2"/>
  <c r="H56" i="32"/>
  <c r="H109" i="32"/>
  <c r="V26" i="2"/>
  <c r="H17" i="32" s="1"/>
  <c r="V42" i="2"/>
  <c r="V53" i="2"/>
  <c r="V65" i="2"/>
  <c r="H52" i="32" s="1"/>
  <c r="H60" i="32"/>
  <c r="H76" i="32"/>
  <c r="V150" i="2"/>
  <c r="V166" i="2"/>
  <c r="H115" i="32" s="1"/>
  <c r="H137" i="32"/>
  <c r="H147" i="32"/>
  <c r="H156" i="32"/>
  <c r="H166" i="32"/>
  <c r="V95" i="2"/>
  <c r="Y95" i="2" s="1"/>
  <c r="V103" i="2"/>
  <c r="Y103" i="2" s="1"/>
  <c r="V112" i="2"/>
  <c r="Y112" i="2" s="1"/>
  <c r="H36" i="32"/>
  <c r="V144" i="2"/>
  <c r="H161" i="32"/>
  <c r="H157" i="32"/>
  <c r="V115" i="2"/>
  <c r="Y115" i="2" s="1"/>
  <c r="V79" i="2"/>
  <c r="Y79" i="2" s="1"/>
  <c r="V56" i="2"/>
  <c r="V76" i="2"/>
  <c r="H61" i="32" s="1"/>
  <c r="H126" i="32"/>
  <c r="V209" i="2"/>
  <c r="H148" i="32" s="1"/>
  <c r="V96" i="2"/>
  <c r="Y96" i="2" s="1"/>
  <c r="V104" i="2"/>
  <c r="Y104" i="2" s="1"/>
  <c r="H22" i="32"/>
  <c r="V45" i="2"/>
  <c r="H34" i="32" s="1"/>
  <c r="V57" i="2"/>
  <c r="H45" i="32" s="1"/>
  <c r="V68" i="2"/>
  <c r="H54" i="32" s="1"/>
  <c r="V77" i="2"/>
  <c r="H62" i="32" s="1"/>
  <c r="V89" i="2"/>
  <c r="V142" i="2"/>
  <c r="H118" i="32"/>
  <c r="H127" i="32"/>
  <c r="H140" i="32"/>
  <c r="H159" i="32"/>
  <c r="V62" i="2"/>
  <c r="Y62" i="2" s="1"/>
  <c r="V97" i="2"/>
  <c r="Y97" i="2" s="1"/>
  <c r="V105" i="2"/>
  <c r="Y105" i="2" s="1"/>
  <c r="V146" i="2"/>
  <c r="Y146" i="2" s="1"/>
  <c r="H16" i="32"/>
  <c r="V107" i="2"/>
  <c r="Y107" i="2" s="1"/>
  <c r="H53" i="32"/>
  <c r="H68" i="32"/>
  <c r="V151" i="2"/>
  <c r="H139" i="32"/>
  <c r="H167" i="32"/>
  <c r="H7" i="32"/>
  <c r="H12" i="32"/>
  <c r="V34" i="2"/>
  <c r="H24" i="32" s="1"/>
  <c r="H35" i="32"/>
  <c r="H46" i="32"/>
  <c r="V69" i="2"/>
  <c r="H55" i="32" s="1"/>
  <c r="V78" i="2"/>
  <c r="H63" i="32" s="1"/>
  <c r="V143" i="2"/>
  <c r="V153" i="2"/>
  <c r="H119" i="32"/>
  <c r="H128" i="32"/>
  <c r="V202" i="2"/>
  <c r="H141" i="32" s="1"/>
  <c r="H151" i="32"/>
  <c r="V225" i="2"/>
  <c r="V67" i="2"/>
  <c r="Y67" i="2" s="1"/>
  <c r="V98" i="2"/>
  <c r="Y98" i="2" s="1"/>
  <c r="V106" i="2"/>
  <c r="Y106" i="2" s="1"/>
  <c r="M17" i="4"/>
  <c r="H239" i="32"/>
  <c r="H448" i="32"/>
  <c r="H531" i="32"/>
  <c r="H546" i="32"/>
  <c r="H346" i="32"/>
  <c r="H313" i="32"/>
  <c r="H355" i="32"/>
  <c r="H466" i="32"/>
  <c r="H523" i="32"/>
  <c r="H350" i="32"/>
  <c r="H460" i="32"/>
  <c r="H559" i="32"/>
  <c r="O45" i="4"/>
  <c r="H246" i="32"/>
  <c r="H284" i="32"/>
  <c r="H305" i="32"/>
  <c r="H309" i="32"/>
  <c r="H334" i="32"/>
  <c r="H361" i="32"/>
  <c r="H391" i="32"/>
  <c r="H250" i="32"/>
  <c r="H272" i="32"/>
  <c r="H276" i="32"/>
  <c r="H298" i="32"/>
  <c r="H318" i="32"/>
  <c r="H367" i="32"/>
  <c r="H423" i="32"/>
  <c r="H519" i="32"/>
  <c r="H233" i="32"/>
  <c r="H190" i="32"/>
  <c r="H191" i="32"/>
  <c r="H196" i="32"/>
  <c r="H201" i="32"/>
  <c r="H228" i="32"/>
  <c r="H200" i="32"/>
  <c r="H184" i="32"/>
  <c r="H222" i="32"/>
  <c r="H236" i="32"/>
  <c r="R165" i="1"/>
  <c r="T194" i="2"/>
  <c r="U161" i="2"/>
  <c r="T170" i="2"/>
  <c r="O14" i="4"/>
  <c r="H455" i="32"/>
  <c r="H208" i="32"/>
  <c r="H253" i="32"/>
  <c r="H209" i="32"/>
  <c r="H225" i="32"/>
  <c r="H183" i="32"/>
  <c r="H260" i="32"/>
  <c r="H328" i="32"/>
  <c r="H339" i="32"/>
  <c r="H316" i="32"/>
  <c r="T341" i="1"/>
  <c r="Z341" i="1" s="1"/>
  <c r="R85" i="1"/>
  <c r="T283" i="1"/>
  <c r="Z283" i="1" s="1"/>
  <c r="H415" i="32"/>
  <c r="R341" i="1"/>
  <c r="U194" i="2"/>
  <c r="T141" i="2"/>
  <c r="U125" i="2"/>
  <c r="U92" i="2"/>
  <c r="U129" i="2"/>
  <c r="O23" i="4"/>
  <c r="U132" i="2"/>
  <c r="U133" i="2"/>
  <c r="U127" i="2"/>
  <c r="U128" i="2"/>
  <c r="U130" i="2"/>
  <c r="U126" i="2"/>
  <c r="U131" i="2"/>
  <c r="V31" i="2"/>
  <c r="Y31" i="2" s="1"/>
  <c r="H21" i="32"/>
  <c r="O15" i="4"/>
  <c r="H9" i="32"/>
  <c r="R481" i="1"/>
  <c r="R395" i="1"/>
  <c r="R411" i="1"/>
  <c r="R283" i="1"/>
  <c r="R267" i="1"/>
  <c r="N45" i="4"/>
  <c r="S32" i="1"/>
  <c r="H223" i="32"/>
  <c r="H262" i="32"/>
  <c r="S129" i="1"/>
  <c r="S136" i="1"/>
  <c r="S159" i="1"/>
  <c r="H329" i="32"/>
  <c r="S212" i="1"/>
  <c r="H192" i="32"/>
  <c r="S24" i="1"/>
  <c r="S31" i="1"/>
  <c r="S39" i="1"/>
  <c r="S44" i="1"/>
  <c r="S63" i="1"/>
  <c r="S71" i="1"/>
  <c r="S83" i="1"/>
  <c r="S91" i="1"/>
  <c r="H249" i="32"/>
  <c r="S102" i="1"/>
  <c r="S107" i="1"/>
  <c r="S119" i="1"/>
  <c r="R138" i="1"/>
  <c r="S128" i="1"/>
  <c r="S135" i="1"/>
  <c r="S140" i="1"/>
  <c r="S144" i="1"/>
  <c r="S162" i="1"/>
  <c r="S167" i="1"/>
  <c r="S171" i="1"/>
  <c r="S175" i="1"/>
  <c r="S178" i="1"/>
  <c r="S184" i="1"/>
  <c r="S188" i="1"/>
  <c r="S205" i="1"/>
  <c r="S211" i="1"/>
  <c r="H345" i="32"/>
  <c r="H349" i="32"/>
  <c r="S227" i="1"/>
  <c r="S232" i="1"/>
  <c r="H363" i="32"/>
  <c r="S246" i="1"/>
  <c r="S274" i="1"/>
  <c r="S278" i="1"/>
  <c r="S286" i="1"/>
  <c r="S293" i="1"/>
  <c r="H414" i="32"/>
  <c r="S309" i="1"/>
  <c r="S314" i="1"/>
  <c r="S327" i="1"/>
  <c r="H435" i="32"/>
  <c r="S340" i="1"/>
  <c r="S347" i="1"/>
  <c r="S355" i="1"/>
  <c r="H428" i="32"/>
  <c r="H459" i="32"/>
  <c r="H463" i="32"/>
  <c r="S384" i="1"/>
  <c r="S390" i="1"/>
  <c r="S398" i="1"/>
  <c r="S402" i="1"/>
  <c r="S428" i="1"/>
  <c r="S435" i="1"/>
  <c r="S441" i="1"/>
  <c r="S455" i="1"/>
  <c r="S460" i="1"/>
  <c r="S465" i="1"/>
  <c r="S485" i="1"/>
  <c r="R499" i="1"/>
  <c r="S496" i="1"/>
  <c r="S503" i="1"/>
  <c r="H565" i="32"/>
  <c r="S11" i="1"/>
  <c r="S25" i="1"/>
  <c r="S185" i="1"/>
  <c r="H359" i="32"/>
  <c r="S262" i="1"/>
  <c r="S275" i="1"/>
  <c r="S294" i="1"/>
  <c r="S300" i="1"/>
  <c r="H425" i="32"/>
  <c r="S348" i="1"/>
  <c r="S356" i="1"/>
  <c r="S375" i="1"/>
  <c r="S385" i="1"/>
  <c r="S478" i="1"/>
  <c r="H195" i="32"/>
  <c r="H216" i="32"/>
  <c r="S288" i="1"/>
  <c r="S307" i="1"/>
  <c r="S322" i="1"/>
  <c r="S369" i="1"/>
  <c r="H496" i="32"/>
  <c r="S452" i="1"/>
  <c r="S457" i="1"/>
  <c r="S463" i="1"/>
  <c r="S469" i="1"/>
  <c r="S480" i="1"/>
  <c r="S488" i="1"/>
  <c r="S494" i="1"/>
  <c r="S501" i="1"/>
  <c r="M42" i="4"/>
  <c r="S6" i="1"/>
  <c r="S80" i="1"/>
  <c r="S87" i="1"/>
  <c r="S99" i="1"/>
  <c r="S103" i="1"/>
  <c r="S120" i="1"/>
  <c r="S125" i="1"/>
  <c r="H292" i="32"/>
  <c r="S163" i="1"/>
  <c r="S189" i="1"/>
  <c r="H333" i="32"/>
  <c r="S207" i="1"/>
  <c r="S228" i="1"/>
  <c r="S247" i="1"/>
  <c r="S279" i="1"/>
  <c r="S287" i="1"/>
  <c r="S311" i="1"/>
  <c r="S328" i="1"/>
  <c r="H449" i="32"/>
  <c r="S391" i="1"/>
  <c r="S399" i="1"/>
  <c r="S403" i="1"/>
  <c r="S407" i="1"/>
  <c r="H503" i="32"/>
  <c r="S436" i="1"/>
  <c r="S442" i="1"/>
  <c r="S451" i="1"/>
  <c r="S456" i="1"/>
  <c r="S466" i="1"/>
  <c r="S497" i="1"/>
  <c r="S505" i="1"/>
  <c r="N40" i="4"/>
  <c r="S516" i="1"/>
  <c r="S64" i="1"/>
  <c r="S52" i="1"/>
  <c r="S74" i="1"/>
  <c r="S81" i="1"/>
  <c r="H243" i="32"/>
  <c r="H247" i="32"/>
  <c r="S109" i="1"/>
  <c r="S117" i="1"/>
  <c r="S121" i="1"/>
  <c r="S142" i="1"/>
  <c r="S146" i="1"/>
  <c r="S151" i="1"/>
  <c r="S169" i="1"/>
  <c r="S173" i="1"/>
  <c r="H317" i="32"/>
  <c r="H325" i="32"/>
  <c r="H330" i="32"/>
  <c r="H343" i="32"/>
  <c r="S219" i="1"/>
  <c r="H351" i="32"/>
  <c r="S244" i="1"/>
  <c r="S248" i="1"/>
  <c r="S259" i="1"/>
  <c r="S263" i="1"/>
  <c r="S271" i="1"/>
  <c r="S280" i="1"/>
  <c r="H407" i="32"/>
  <c r="H411" i="32"/>
  <c r="S312" i="1"/>
  <c r="H427" i="32"/>
  <c r="H433" i="32"/>
  <c r="H438" i="32"/>
  <c r="H442" i="32"/>
  <c r="S349" i="1"/>
  <c r="S353" i="1"/>
  <c r="S365" i="1"/>
  <c r="S382" i="1"/>
  <c r="S400" i="1"/>
  <c r="S404" i="1"/>
  <c r="S423" i="1"/>
  <c r="S430" i="1"/>
  <c r="S438" i="1"/>
  <c r="S43" i="1"/>
  <c r="H217" i="32"/>
  <c r="S53" i="1"/>
  <c r="S70" i="1"/>
  <c r="S75" i="1"/>
  <c r="H244" i="32"/>
  <c r="S101" i="1"/>
  <c r="S106" i="1"/>
  <c r="S111" i="1"/>
  <c r="S127" i="1"/>
  <c r="S134" i="1"/>
  <c r="H282" i="32"/>
  <c r="S143" i="1"/>
  <c r="S148" i="1"/>
  <c r="S152" i="1"/>
  <c r="S161" i="1"/>
  <c r="H303" i="32"/>
  <c r="S170" i="1"/>
  <c r="S174" i="1"/>
  <c r="S177" i="1"/>
  <c r="S187" i="1"/>
  <c r="H326" i="32"/>
  <c r="S198" i="1"/>
  <c r="H335" i="32"/>
  <c r="S210" i="1"/>
  <c r="S215" i="1"/>
  <c r="S220" i="1"/>
  <c r="S226" i="1"/>
  <c r="S231" i="1"/>
  <c r="S239" i="1"/>
  <c r="S249" i="1"/>
  <c r="S260" i="1"/>
  <c r="S264" i="1"/>
  <c r="S272" i="1"/>
  <c r="S277" i="1"/>
  <c r="H398" i="32"/>
  <c r="S298" i="1"/>
  <c r="S302" i="1"/>
  <c r="H417" i="32"/>
  <c r="S323" i="1"/>
  <c r="H434" i="32"/>
  <c r="S339" i="1"/>
  <c r="S350" i="1"/>
  <c r="S354" i="1"/>
  <c r="S359" i="1"/>
  <c r="S366" i="1"/>
  <c r="S370" i="1"/>
  <c r="S378" i="1"/>
  <c r="S383" i="1"/>
  <c r="S387" i="1"/>
  <c r="S405" i="1"/>
  <c r="S416" i="1"/>
  <c r="S427" i="1"/>
  <c r="H508" i="32"/>
  <c r="S440" i="1"/>
  <c r="S445" i="1"/>
  <c r="S458" i="1"/>
  <c r="S464" i="1"/>
  <c r="S476" i="1"/>
  <c r="H544" i="32"/>
  <c r="H548" i="32"/>
  <c r="S495" i="1"/>
  <c r="S502" i="1"/>
  <c r="S507" i="1"/>
  <c r="H564" i="32"/>
  <c r="H567" i="32"/>
  <c r="T60" i="1"/>
  <c r="Z60" i="1" s="1"/>
  <c r="T73" i="1"/>
  <c r="Z73" i="1" s="1"/>
  <c r="M31" i="4"/>
  <c r="M37" i="4"/>
  <c r="M33" i="4"/>
  <c r="T45" i="1"/>
  <c r="Z45" i="1" s="1"/>
  <c r="M27" i="4"/>
  <c r="M34" i="4"/>
  <c r="M40" i="4"/>
  <c r="M45" i="4"/>
  <c r="M26" i="4"/>
  <c r="M39" i="4"/>
  <c r="T104" i="1"/>
  <c r="Z104" i="1" s="1"/>
  <c r="R252" i="1"/>
  <c r="T77" i="1"/>
  <c r="Z77" i="1" s="1"/>
  <c r="R504" i="1"/>
  <c r="M28" i="4"/>
  <c r="M30" i="4"/>
  <c r="M36" i="4"/>
  <c r="O39" i="4"/>
  <c r="N14" i="4"/>
  <c r="V8" i="2"/>
  <c r="Y8" i="2" s="1"/>
  <c r="V182" i="2"/>
  <c r="Y182" i="2" s="1"/>
  <c r="V251" i="2"/>
  <c r="Y251" i="2" s="1"/>
  <c r="N8" i="4"/>
  <c r="N7" i="4"/>
  <c r="V14" i="2"/>
  <c r="Y14" i="2" s="1"/>
  <c r="M9" i="4"/>
  <c r="M8" i="4"/>
  <c r="M7" i="4"/>
  <c r="M12" i="4"/>
  <c r="N13" i="4"/>
  <c r="M15" i="4"/>
  <c r="M23" i="4"/>
  <c r="M11" i="4"/>
  <c r="V247" i="2"/>
  <c r="Y247" i="2" s="1"/>
  <c r="T182" i="2"/>
  <c r="T8" i="2"/>
  <c r="M5" i="4"/>
  <c r="N15" i="4"/>
  <c r="O5" i="4"/>
  <c r="M6" i="4"/>
  <c r="M13" i="4"/>
  <c r="O6" i="4"/>
  <c r="T94" i="1"/>
  <c r="Z94" i="1" s="1"/>
  <c r="S492" i="1"/>
  <c r="R33" i="1"/>
  <c r="R47" i="1"/>
  <c r="R77" i="1"/>
  <c r="R97" i="1"/>
  <c r="R123" i="1"/>
  <c r="R509" i="1"/>
  <c r="R15" i="1"/>
  <c r="R45" i="1"/>
  <c r="S47" i="1"/>
  <c r="R73" i="1"/>
  <c r="R94" i="1"/>
  <c r="R114" i="1"/>
  <c r="R154" i="1"/>
  <c r="R324" i="1"/>
  <c r="R472" i="1"/>
  <c r="R520" i="1"/>
  <c r="R40" i="1"/>
  <c r="R69" i="1"/>
  <c r="R87" i="1"/>
  <c r="R110" i="1"/>
  <c r="R147" i="1"/>
  <c r="R241" i="1"/>
  <c r="R289" i="1"/>
  <c r="R388" i="1"/>
  <c r="R446" i="1"/>
  <c r="R38" i="1"/>
  <c r="R60" i="1"/>
  <c r="R104" i="1"/>
  <c r="R201" i="1"/>
  <c r="R362" i="1"/>
  <c r="R373" i="1"/>
  <c r="R426" i="1"/>
  <c r="R490" i="1"/>
  <c r="U44" i="2"/>
  <c r="T31" i="2"/>
  <c r="T247" i="2"/>
  <c r="T14" i="2"/>
  <c r="U24" i="2"/>
  <c r="T44" i="2"/>
  <c r="U85" i="2"/>
  <c r="T158" i="2"/>
  <c r="U210" i="2"/>
  <c r="T251" i="2"/>
  <c r="U251" i="2"/>
  <c r="U8" i="2"/>
  <c r="T27" i="2"/>
  <c r="U31" i="2"/>
  <c r="T90" i="2"/>
  <c r="T175" i="2"/>
  <c r="U182" i="2"/>
  <c r="T237" i="2"/>
  <c r="U247" i="2"/>
  <c r="U158" i="2"/>
  <c r="T24" i="2"/>
  <c r="U27" i="2"/>
  <c r="T85" i="2"/>
  <c r="U90" i="2"/>
  <c r="U175" i="2"/>
  <c r="T210" i="2"/>
  <c r="U237" i="2"/>
  <c r="Q519" i="1"/>
  <c r="L45" i="4" s="1"/>
  <c r="S11" i="2"/>
  <c r="S9" i="2"/>
  <c r="N207" i="1"/>
  <c r="C207" i="1"/>
  <c r="D207" i="1"/>
  <c r="E207" i="1" s="1"/>
  <c r="N288" i="1"/>
  <c r="C288" i="1"/>
  <c r="D288" i="1"/>
  <c r="E288" i="1" s="1"/>
  <c r="N276" i="1"/>
  <c r="C276" i="1"/>
  <c r="D276" i="1"/>
  <c r="E276" i="1" s="1"/>
  <c r="N228" i="1"/>
  <c r="C228" i="1"/>
  <c r="D228" i="1"/>
  <c r="E228" i="1" s="1"/>
  <c r="N213" i="1"/>
  <c r="C213" i="1"/>
  <c r="D213" i="1"/>
  <c r="E213" i="1" s="1"/>
  <c r="C175" i="1"/>
  <c r="D175" i="1"/>
  <c r="E175" i="1" s="1"/>
  <c r="N175" i="1"/>
  <c r="N174" i="1"/>
  <c r="C174" i="1"/>
  <c r="D174" i="1"/>
  <c r="E174" i="1" s="1"/>
  <c r="O444" i="1"/>
  <c r="F895" i="29" s="1"/>
  <c r="G895" i="29" s="1"/>
  <c r="D444" i="1"/>
  <c r="E444" i="1" s="1"/>
  <c r="C444" i="1"/>
  <c r="Q146" i="2"/>
  <c r="R146" i="2" s="1"/>
  <c r="P146" i="2"/>
  <c r="I146" i="2"/>
  <c r="J146" i="2" s="1"/>
  <c r="H146" i="2"/>
  <c r="D146" i="2"/>
  <c r="E146" i="2" s="1"/>
  <c r="C146" i="2"/>
  <c r="S85" i="2"/>
  <c r="Q83" i="2"/>
  <c r="R83" i="2" s="1"/>
  <c r="P83" i="2"/>
  <c r="C344" i="1"/>
  <c r="D344" i="1"/>
  <c r="E344" i="1" s="1"/>
  <c r="Q61" i="1"/>
  <c r="S158" i="2"/>
  <c r="S175" i="2"/>
  <c r="M510" i="1"/>
  <c r="L504" i="1"/>
  <c r="Q504" i="1"/>
  <c r="M473" i="1"/>
  <c r="M363" i="1"/>
  <c r="M325" i="1"/>
  <c r="M155" i="1"/>
  <c r="L77" i="1"/>
  <c r="Q77" i="1"/>
  <c r="L45" i="1"/>
  <c r="L40" i="1"/>
  <c r="L38" i="1"/>
  <c r="L33" i="1"/>
  <c r="L15" i="1"/>
  <c r="O252" i="2"/>
  <c r="N251" i="2"/>
  <c r="S251" i="2"/>
  <c r="N247" i="2"/>
  <c r="O238" i="2"/>
  <c r="N175" i="2"/>
  <c r="O158" i="2"/>
  <c r="N90" i="2"/>
  <c r="S90" i="2"/>
  <c r="N85" i="2"/>
  <c r="O85" i="2"/>
  <c r="N44" i="2"/>
  <c r="O44" i="2"/>
  <c r="S44" i="2"/>
  <c r="N31" i="2"/>
  <c r="R31" i="2"/>
  <c r="S31" i="2"/>
  <c r="O28" i="2"/>
  <c r="N24" i="2"/>
  <c r="S24" i="2"/>
  <c r="N27" i="2"/>
  <c r="S27" i="2"/>
  <c r="Q15" i="2"/>
  <c r="R15" i="2" s="1"/>
  <c r="P15" i="2"/>
  <c r="J15" i="2"/>
  <c r="H15" i="2"/>
  <c r="D15" i="2"/>
  <c r="E15" i="2" s="1"/>
  <c r="C15" i="2"/>
  <c r="N8" i="2"/>
  <c r="Q8" i="2"/>
  <c r="S8" i="2"/>
  <c r="C25" i="2"/>
  <c r="D25" i="2"/>
  <c r="E25" i="2" s="1"/>
  <c r="H25" i="2"/>
  <c r="J25" i="2"/>
  <c r="P25" i="2"/>
  <c r="Q25" i="2"/>
  <c r="Q335" i="1"/>
  <c r="Q284" i="1"/>
  <c r="Q179" i="1"/>
  <c r="Q256" i="1"/>
  <c r="C318" i="1"/>
  <c r="D318" i="1"/>
  <c r="E318" i="1" s="1"/>
  <c r="C316" i="1"/>
  <c r="D316" i="1"/>
  <c r="E316" i="1" s="1"/>
  <c r="D315" i="1"/>
  <c r="E315" i="1" s="1"/>
  <c r="C314" i="1"/>
  <c r="D314" i="1"/>
  <c r="E314" i="1" s="1"/>
  <c r="C313" i="1"/>
  <c r="D313" i="1"/>
  <c r="E313" i="1" s="1"/>
  <c r="C312" i="1"/>
  <c r="D312" i="1"/>
  <c r="E312" i="1" s="1"/>
  <c r="C195" i="1"/>
  <c r="D195" i="1"/>
  <c r="E195" i="1" s="1"/>
  <c r="C154" i="2"/>
  <c r="D154" i="2"/>
  <c r="C155" i="2"/>
  <c r="D155" i="2"/>
  <c r="C156" i="2"/>
  <c r="D156" i="2"/>
  <c r="C157" i="2"/>
  <c r="D157" i="2"/>
  <c r="P194" i="1"/>
  <c r="C194" i="1"/>
  <c r="D194" i="1"/>
  <c r="E194" i="1" s="1"/>
  <c r="P156" i="1"/>
  <c r="Q156" i="1" s="1"/>
  <c r="P326" i="1"/>
  <c r="Q326" i="1" s="1"/>
  <c r="P364" i="1"/>
  <c r="P374" i="1"/>
  <c r="P474" i="1"/>
  <c r="Q474" i="1" s="1"/>
  <c r="P482" i="1"/>
  <c r="Q482" i="1" s="1"/>
  <c r="P491" i="1"/>
  <c r="Q491" i="1" s="1"/>
  <c r="P500" i="1"/>
  <c r="Q500" i="1" s="1"/>
  <c r="P511" i="1"/>
  <c r="Q511" i="1" s="1"/>
  <c r="P516" i="1"/>
  <c r="R133" i="2"/>
  <c r="R132" i="2"/>
  <c r="R131" i="2"/>
  <c r="R130" i="2"/>
  <c r="R129" i="2"/>
  <c r="R128" i="2"/>
  <c r="R127" i="2"/>
  <c r="R126" i="2"/>
  <c r="R125" i="2"/>
  <c r="R110" i="2"/>
  <c r="R109" i="2"/>
  <c r="R108" i="2"/>
  <c r="R107" i="2"/>
  <c r="R106" i="2"/>
  <c r="R105" i="2"/>
  <c r="R104" i="2"/>
  <c r="R103" i="2"/>
  <c r="R102" i="2"/>
  <c r="Q149" i="2"/>
  <c r="R117" i="2"/>
  <c r="S101" i="2"/>
  <c r="S99" i="2"/>
  <c r="Q95" i="2"/>
  <c r="R95" i="2" s="1"/>
  <c r="O75" i="1"/>
  <c r="K14" i="4"/>
  <c r="L5" i="4"/>
  <c r="K20" i="4"/>
  <c r="R5" i="2"/>
  <c r="R4" i="2"/>
  <c r="L21" i="4"/>
  <c r="L20" i="4"/>
  <c r="L17" i="4"/>
  <c r="K42" i="4"/>
  <c r="K23" i="4"/>
  <c r="K17" i="4"/>
  <c r="K6" i="4"/>
  <c r="O513" i="1"/>
  <c r="F1023" i="29" s="1"/>
  <c r="G1023" i="29" s="1"/>
  <c r="Q513" i="1"/>
  <c r="O515" i="1"/>
  <c r="F1026" i="29" s="1"/>
  <c r="G1026" i="29" s="1"/>
  <c r="F1030" i="29"/>
  <c r="G1030" i="29" s="1"/>
  <c r="O517" i="1"/>
  <c r="P517" i="1" s="1"/>
  <c r="O518" i="1"/>
  <c r="O519" i="1"/>
  <c r="F1034" i="29" s="1"/>
  <c r="G1034" i="29" s="1"/>
  <c r="O502" i="1"/>
  <c r="O503" i="1"/>
  <c r="P503" i="1" s="1"/>
  <c r="O505" i="1"/>
  <c r="P505" i="1" s="1"/>
  <c r="O506" i="1"/>
  <c r="F1014" i="29" s="1"/>
  <c r="G1014" i="29" s="1"/>
  <c r="O507" i="1"/>
  <c r="O508" i="1"/>
  <c r="P508" i="1" s="1"/>
  <c r="O493" i="1"/>
  <c r="O494" i="1"/>
  <c r="O495" i="1"/>
  <c r="O496" i="1"/>
  <c r="F1002" i="29" s="1"/>
  <c r="G1002" i="29" s="1"/>
  <c r="O497" i="1"/>
  <c r="P497" i="1" s="1"/>
  <c r="O498" i="1"/>
  <c r="P498" i="1" s="1"/>
  <c r="Q498" i="1" s="1"/>
  <c r="O484" i="1"/>
  <c r="F979" i="29" s="1"/>
  <c r="G979" i="29" s="1"/>
  <c r="O485" i="1"/>
  <c r="O486" i="1"/>
  <c r="O487" i="1"/>
  <c r="O488" i="1"/>
  <c r="F989" i="29" s="1"/>
  <c r="G989" i="29" s="1"/>
  <c r="O489" i="1"/>
  <c r="F992" i="29" s="1"/>
  <c r="G992" i="29" s="1"/>
  <c r="Q489" i="1"/>
  <c r="O477" i="1"/>
  <c r="F970" i="29" s="1"/>
  <c r="G970" i="29" s="1"/>
  <c r="Q477" i="1"/>
  <c r="O478" i="1"/>
  <c r="F971" i="29" s="1"/>
  <c r="G971" i="29" s="1"/>
  <c r="O480" i="1"/>
  <c r="F976" i="29" s="1"/>
  <c r="G976" i="29" s="1"/>
  <c r="O376" i="1"/>
  <c r="O377" i="1"/>
  <c r="P377" i="1" s="1"/>
  <c r="O378" i="1"/>
  <c r="O379" i="1"/>
  <c r="F802" i="29" s="1"/>
  <c r="G802" i="29" s="1"/>
  <c r="O380" i="1"/>
  <c r="O381" i="1"/>
  <c r="P381" i="1" s="1"/>
  <c r="O382" i="1"/>
  <c r="O383" i="1"/>
  <c r="O384" i="1"/>
  <c r="P384" i="1" s="1"/>
  <c r="O385" i="1"/>
  <c r="P385" i="1" s="1"/>
  <c r="Q385" i="1" s="1"/>
  <c r="F815" i="29"/>
  <c r="G815" i="29" s="1"/>
  <c r="O386" i="1"/>
  <c r="F816" i="29" s="1"/>
  <c r="G816" i="29" s="1"/>
  <c r="O387" i="1"/>
  <c r="P387" i="1" s="1"/>
  <c r="Q387" i="1" s="1"/>
  <c r="O390" i="1"/>
  <c r="F826" i="29"/>
  <c r="G826" i="29" s="1"/>
  <c r="F827" i="29"/>
  <c r="G827" i="29" s="1"/>
  <c r="F828" i="29"/>
  <c r="G828" i="29" s="1"/>
  <c r="F829" i="29"/>
  <c r="G829" i="29" s="1"/>
  <c r="F830" i="29"/>
  <c r="G830" i="29" s="1"/>
  <c r="O391" i="1"/>
  <c r="P391" i="1" s="1"/>
  <c r="O393" i="1"/>
  <c r="O394" i="1"/>
  <c r="F835" i="29" s="1"/>
  <c r="G835" i="29" s="1"/>
  <c r="O396" i="1"/>
  <c r="O397" i="1"/>
  <c r="P397" i="1" s="1"/>
  <c r="O398" i="1"/>
  <c r="O399" i="1"/>
  <c r="P399" i="1" s="1"/>
  <c r="O400" i="1"/>
  <c r="O401" i="1"/>
  <c r="P401" i="1" s="1"/>
  <c r="Q401" i="1" s="1"/>
  <c r="O402" i="1"/>
  <c r="O403" i="1"/>
  <c r="O404" i="1"/>
  <c r="O405" i="1"/>
  <c r="P405" i="1" s="1"/>
  <c r="Q405" i="1" s="1"/>
  <c r="O406" i="1"/>
  <c r="O407" i="1"/>
  <c r="P407" i="1" s="1"/>
  <c r="O412" i="1"/>
  <c r="F864" i="29" s="1"/>
  <c r="G864" i="29" s="1"/>
  <c r="O413" i="1"/>
  <c r="F865" i="29" s="1"/>
  <c r="G865" i="29" s="1"/>
  <c r="O414" i="1"/>
  <c r="O415" i="1"/>
  <c r="P415" i="1" s="1"/>
  <c r="Q415" i="1" s="1"/>
  <c r="O416" i="1"/>
  <c r="P416" i="1" s="1"/>
  <c r="Q416" i="1" s="1"/>
  <c r="O417" i="1"/>
  <c r="O418" i="1"/>
  <c r="F877" i="29"/>
  <c r="G877" i="29" s="1"/>
  <c r="O422" i="1"/>
  <c r="F878" i="29" s="1"/>
  <c r="G878" i="29" s="1"/>
  <c r="O423" i="1"/>
  <c r="O424" i="1"/>
  <c r="P424" i="1" s="1"/>
  <c r="Q424" i="1" s="1"/>
  <c r="O425" i="1"/>
  <c r="O427" i="1"/>
  <c r="O428" i="1"/>
  <c r="O429" i="1"/>
  <c r="O430" i="1"/>
  <c r="P430" i="1" s="1"/>
  <c r="O431" i="1"/>
  <c r="O432" i="1"/>
  <c r="F897" i="29" s="1"/>
  <c r="G897" i="29" s="1"/>
  <c r="O435" i="1"/>
  <c r="O436" i="1"/>
  <c r="O437" i="1"/>
  <c r="F914" i="29" s="1"/>
  <c r="G914" i="29" s="1"/>
  <c r="O438" i="1"/>
  <c r="P438" i="1" s="1"/>
  <c r="O439" i="1"/>
  <c r="F916" i="29" s="1"/>
  <c r="G916" i="29" s="1"/>
  <c r="O440" i="1"/>
  <c r="O441" i="1"/>
  <c r="O442" i="1"/>
  <c r="O443" i="1"/>
  <c r="F920" i="29" s="1"/>
  <c r="G920" i="29" s="1"/>
  <c r="O445" i="1"/>
  <c r="O447" i="1"/>
  <c r="F922" i="29" s="1"/>
  <c r="G922" i="29" s="1"/>
  <c r="O448" i="1"/>
  <c r="P448" i="1" s="1"/>
  <c r="F924" i="29"/>
  <c r="G924" i="29" s="1"/>
  <c r="F925" i="29"/>
  <c r="G925" i="29" s="1"/>
  <c r="O450" i="1"/>
  <c r="P450" i="1" s="1"/>
  <c r="O451" i="1"/>
  <c r="O452" i="1"/>
  <c r="P452" i="1" s="1"/>
  <c r="O453" i="1"/>
  <c r="F929" i="29" s="1"/>
  <c r="G929" i="29" s="1"/>
  <c r="O454" i="1"/>
  <c r="F930" i="29" s="1"/>
  <c r="G930" i="29" s="1"/>
  <c r="O455" i="1"/>
  <c r="O456" i="1"/>
  <c r="F932" i="29" s="1"/>
  <c r="G932" i="29" s="1"/>
  <c r="O457" i="1"/>
  <c r="O458" i="1"/>
  <c r="O460" i="1"/>
  <c r="F941" i="29"/>
  <c r="G941" i="29" s="1"/>
  <c r="F942" i="29"/>
  <c r="G942" i="29" s="1"/>
  <c r="O462" i="1"/>
  <c r="P462" i="1" s="1"/>
  <c r="O463" i="1"/>
  <c r="P463" i="1" s="1"/>
  <c r="O464" i="1"/>
  <c r="O465" i="1"/>
  <c r="F954" i="29" s="1"/>
  <c r="G954" i="29" s="1"/>
  <c r="F955" i="29"/>
  <c r="G955" i="29" s="1"/>
  <c r="F956" i="29"/>
  <c r="G956" i="29" s="1"/>
  <c r="O466" i="1"/>
  <c r="F957" i="29" s="1"/>
  <c r="G957" i="29" s="1"/>
  <c r="O467" i="1"/>
  <c r="O469" i="1"/>
  <c r="F958" i="29"/>
  <c r="G958" i="29" s="1"/>
  <c r="F962" i="29"/>
  <c r="G962" i="29" s="1"/>
  <c r="F963" i="29"/>
  <c r="G963" i="29" s="1"/>
  <c r="F781" i="29"/>
  <c r="G781" i="29" s="1"/>
  <c r="O365" i="1"/>
  <c r="F783" i="29" s="1"/>
  <c r="G783" i="29" s="1"/>
  <c r="O366" i="1"/>
  <c r="O367" i="1"/>
  <c r="F787" i="29" s="1"/>
  <c r="G787" i="29" s="1"/>
  <c r="O368" i="1"/>
  <c r="O369" i="1"/>
  <c r="P369" i="1" s="1"/>
  <c r="O370" i="1"/>
  <c r="O371" i="1"/>
  <c r="O372" i="1"/>
  <c r="P372" i="1" s="1"/>
  <c r="O331" i="1"/>
  <c r="F742" i="29" s="1"/>
  <c r="G742" i="29" s="1"/>
  <c r="F743" i="29"/>
  <c r="G743" i="29" s="1"/>
  <c r="O333" i="1"/>
  <c r="F746" i="29" s="1"/>
  <c r="G746" i="29" s="1"/>
  <c r="O335" i="1"/>
  <c r="F747" i="29" s="1"/>
  <c r="G747" i="29" s="1"/>
  <c r="O336" i="1"/>
  <c r="O340" i="1"/>
  <c r="P340" i="1" s="1"/>
  <c r="O339" i="1"/>
  <c r="F754" i="29"/>
  <c r="G754" i="29" s="1"/>
  <c r="O342" i="1"/>
  <c r="F758" i="29" s="1"/>
  <c r="G758" i="29" s="1"/>
  <c r="O343" i="1"/>
  <c r="F759" i="29" s="1"/>
  <c r="G759" i="29" s="1"/>
  <c r="O345" i="1"/>
  <c r="O346" i="1"/>
  <c r="O347" i="1"/>
  <c r="P347" i="1" s="1"/>
  <c r="O348" i="1"/>
  <c r="O349" i="1"/>
  <c r="O350" i="1"/>
  <c r="F765" i="29" s="1"/>
  <c r="G765" i="29" s="1"/>
  <c r="O351" i="1"/>
  <c r="F766" i="29" s="1"/>
  <c r="G766" i="29" s="1"/>
  <c r="O352" i="1"/>
  <c r="O353" i="1"/>
  <c r="F770" i="29" s="1"/>
  <c r="G770" i="29" s="1"/>
  <c r="O354" i="1"/>
  <c r="F772" i="29" s="1"/>
  <c r="G772" i="29" s="1"/>
  <c r="O355" i="1"/>
  <c r="O356" i="1"/>
  <c r="P356" i="1" s="1"/>
  <c r="O357" i="1"/>
  <c r="F773" i="29" s="1"/>
  <c r="G773" i="29" s="1"/>
  <c r="O359" i="1"/>
  <c r="O361" i="1"/>
  <c r="O159" i="1"/>
  <c r="O160" i="1"/>
  <c r="F505" i="29" s="1"/>
  <c r="G505" i="29" s="1"/>
  <c r="O161" i="1"/>
  <c r="P161" i="1" s="1"/>
  <c r="Q161" i="1" s="1"/>
  <c r="O162" i="1"/>
  <c r="F513" i="29"/>
  <c r="G513" i="29" s="1"/>
  <c r="O163" i="1"/>
  <c r="F514" i="29" s="1"/>
  <c r="G514" i="29" s="1"/>
  <c r="O164" i="1"/>
  <c r="F515" i="29" s="1"/>
  <c r="G515" i="29" s="1"/>
  <c r="O166" i="1"/>
  <c r="F516" i="29" s="1"/>
  <c r="G516" i="29" s="1"/>
  <c r="O167" i="1"/>
  <c r="P167" i="1" s="1"/>
  <c r="O168" i="1"/>
  <c r="O169" i="1"/>
  <c r="P169" i="1" s="1"/>
  <c r="O170" i="1"/>
  <c r="O171" i="1"/>
  <c r="P171" i="1" s="1"/>
  <c r="O172" i="1"/>
  <c r="O173" i="1"/>
  <c r="P173" i="1" s="1"/>
  <c r="O176" i="1"/>
  <c r="P176" i="1" s="1"/>
  <c r="O177" i="1"/>
  <c r="P177" i="1" s="1"/>
  <c r="O178" i="1"/>
  <c r="F528" i="29" s="1"/>
  <c r="G528" i="29" s="1"/>
  <c r="F529" i="29"/>
  <c r="G529" i="29" s="1"/>
  <c r="O179" i="1"/>
  <c r="F530" i="29" s="1"/>
  <c r="G530" i="29" s="1"/>
  <c r="O180" i="1"/>
  <c r="F532" i="29" s="1"/>
  <c r="G532" i="29" s="1"/>
  <c r="O181" i="1"/>
  <c r="F533" i="29" s="1"/>
  <c r="G533" i="29" s="1"/>
  <c r="O182" i="1"/>
  <c r="P182" i="1" s="1"/>
  <c r="O183" i="1"/>
  <c r="O184" i="1"/>
  <c r="P184" i="1" s="1"/>
  <c r="O185" i="1"/>
  <c r="O186" i="1"/>
  <c r="O187" i="1"/>
  <c r="F540" i="29" s="1"/>
  <c r="G540" i="29" s="1"/>
  <c r="O188" i="1"/>
  <c r="O189" i="1"/>
  <c r="P189" i="1" s="1"/>
  <c r="Q189" i="1" s="1"/>
  <c r="O190" i="1"/>
  <c r="P190" i="1" s="1"/>
  <c r="O191" i="1"/>
  <c r="F544" i="29" s="1"/>
  <c r="G544" i="29" s="1"/>
  <c r="O192" i="1"/>
  <c r="F545" i="29" s="1"/>
  <c r="G545" i="29" s="1"/>
  <c r="F546" i="29"/>
  <c r="G546" i="29" s="1"/>
  <c r="O196" i="1"/>
  <c r="F550" i="29" s="1"/>
  <c r="G550" i="29" s="1"/>
  <c r="O197" i="1"/>
  <c r="F553" i="29" s="1"/>
  <c r="G553" i="29" s="1"/>
  <c r="O198" i="1"/>
  <c r="O199" i="1"/>
  <c r="P199" i="1" s="1"/>
  <c r="Q199" i="1" s="1"/>
  <c r="O200" i="1"/>
  <c r="F563" i="29"/>
  <c r="G563" i="29" s="1"/>
  <c r="O202" i="1"/>
  <c r="F564" i="29" s="1"/>
  <c r="G564" i="29" s="1"/>
  <c r="O203" i="1"/>
  <c r="F565" i="29" s="1"/>
  <c r="G565" i="29" s="1"/>
  <c r="O204" i="1"/>
  <c r="O205" i="1"/>
  <c r="O208" i="1"/>
  <c r="F569" i="29" s="1"/>
  <c r="G569" i="29" s="1"/>
  <c r="O209" i="1"/>
  <c r="O210" i="1"/>
  <c r="F571" i="29" s="1"/>
  <c r="G571" i="29" s="1"/>
  <c r="O211" i="1"/>
  <c r="F572" i="29" s="1"/>
  <c r="G572" i="29" s="1"/>
  <c r="F573" i="29"/>
  <c r="G573" i="29" s="1"/>
  <c r="F574" i="29"/>
  <c r="G574" i="29" s="1"/>
  <c r="O212" i="1"/>
  <c r="F576" i="29"/>
  <c r="G576" i="29" s="1"/>
  <c r="F577" i="29"/>
  <c r="G577" i="29" s="1"/>
  <c r="O214" i="1"/>
  <c r="P214" i="1" s="1"/>
  <c r="F581" i="29"/>
  <c r="G581" i="29" s="1"/>
  <c r="O215" i="1"/>
  <c r="O216" i="1"/>
  <c r="P216" i="1" s="1"/>
  <c r="O217" i="1"/>
  <c r="F584" i="29" s="1"/>
  <c r="G584" i="29" s="1"/>
  <c r="F585" i="29"/>
  <c r="G585" i="29" s="1"/>
  <c r="O218" i="1"/>
  <c r="O219" i="1"/>
  <c r="P219" i="1" s="1"/>
  <c r="O220" i="1"/>
  <c r="O222" i="1"/>
  <c r="F596" i="29"/>
  <c r="G596" i="29" s="1"/>
  <c r="O223" i="1"/>
  <c r="O224" i="1"/>
  <c r="O225" i="1"/>
  <c r="F599" i="29" s="1"/>
  <c r="G599" i="29" s="1"/>
  <c r="O226" i="1"/>
  <c r="P226" i="1" s="1"/>
  <c r="F603" i="29"/>
  <c r="G603" i="29" s="1"/>
  <c r="F604" i="29"/>
  <c r="G604" i="29" s="1"/>
  <c r="O227" i="1"/>
  <c r="F609" i="29"/>
  <c r="G609" i="29" s="1"/>
  <c r="O229" i="1"/>
  <c r="P229" i="1" s="1"/>
  <c r="O230" i="1"/>
  <c r="P230" i="1" s="1"/>
  <c r="Q230" i="1" s="1"/>
  <c r="O231" i="1"/>
  <c r="O232" i="1"/>
  <c r="O233" i="1"/>
  <c r="O234" i="1"/>
  <c r="F615" i="29" s="1"/>
  <c r="G615" i="29" s="1"/>
  <c r="O235" i="1"/>
  <c r="P235" i="1" s="1"/>
  <c r="Q235" i="1" s="1"/>
  <c r="O236" i="1"/>
  <c r="F617" i="29" s="1"/>
  <c r="G617" i="29" s="1"/>
  <c r="O237" i="1"/>
  <c r="O238" i="1"/>
  <c r="O239" i="1"/>
  <c r="O240" i="1"/>
  <c r="F621" i="29" s="1"/>
  <c r="G621" i="29" s="1"/>
  <c r="O242" i="1"/>
  <c r="F624" i="29" s="1"/>
  <c r="G624" i="29" s="1"/>
  <c r="O244" i="1"/>
  <c r="F631" i="29" s="1"/>
  <c r="G631" i="29" s="1"/>
  <c r="O245" i="1"/>
  <c r="O246" i="1"/>
  <c r="O247" i="1"/>
  <c r="F634" i="29" s="1"/>
  <c r="G634" i="29" s="1"/>
  <c r="O248" i="1"/>
  <c r="P248" i="1" s="1"/>
  <c r="Q248" i="1" s="1"/>
  <c r="O249" i="1"/>
  <c r="F639" i="29"/>
  <c r="G639" i="29" s="1"/>
  <c r="O250" i="1"/>
  <c r="P250" i="1" s="1"/>
  <c r="Q250" i="1" s="1"/>
  <c r="O256" i="1"/>
  <c r="O259" i="1"/>
  <c r="F647" i="29"/>
  <c r="G647" i="29" s="1"/>
  <c r="O260" i="1"/>
  <c r="O261" i="1"/>
  <c r="P261" i="1" s="1"/>
  <c r="Q261" i="1" s="1"/>
  <c r="O262" i="1"/>
  <c r="P262" i="1" s="1"/>
  <c r="O263" i="1"/>
  <c r="O264" i="1"/>
  <c r="F656" i="29"/>
  <c r="G656" i="29" s="1"/>
  <c r="O268" i="1"/>
  <c r="O269" i="1"/>
  <c r="P269" i="1" s="1"/>
  <c r="O270" i="1"/>
  <c r="P270" i="1" s="1"/>
  <c r="Q270" i="1" s="1"/>
  <c r="O271" i="1"/>
  <c r="P271" i="1" s="1"/>
  <c r="O272" i="1"/>
  <c r="F662" i="29"/>
  <c r="G662" i="29" s="1"/>
  <c r="O274" i="1"/>
  <c r="P274" i="1" s="1"/>
  <c r="Q274" i="1" s="1"/>
  <c r="O275" i="1"/>
  <c r="P275" i="1" s="1"/>
  <c r="F667" i="29"/>
  <c r="G667" i="29" s="1"/>
  <c r="O277" i="1"/>
  <c r="P277" i="1" s="1"/>
  <c r="O278" i="1"/>
  <c r="F670" i="29" s="1"/>
  <c r="G670" i="29" s="1"/>
  <c r="O279" i="1"/>
  <c r="O280" i="1"/>
  <c r="P280" i="1" s="1"/>
  <c r="Q280" i="1" s="1"/>
  <c r="O284" i="1"/>
  <c r="F678" i="29" s="1"/>
  <c r="G678" i="29" s="1"/>
  <c r="O285" i="1"/>
  <c r="F679" i="29" s="1"/>
  <c r="G679" i="29" s="1"/>
  <c r="O286" i="1"/>
  <c r="P286" i="1" s="1"/>
  <c r="Q286" i="1" s="1"/>
  <c r="O287" i="1"/>
  <c r="P287" i="1" s="1"/>
  <c r="Q287" i="1" s="1"/>
  <c r="F686" i="29"/>
  <c r="G686" i="29" s="1"/>
  <c r="F689" i="29"/>
  <c r="G689" i="29" s="1"/>
  <c r="O290" i="1"/>
  <c r="P290" i="1" s="1"/>
  <c r="O293" i="1"/>
  <c r="O294" i="1"/>
  <c r="F698" i="29" s="1"/>
  <c r="G698" i="29" s="1"/>
  <c r="F703" i="29"/>
  <c r="G703" i="29" s="1"/>
  <c r="O297" i="1"/>
  <c r="F705" i="29" s="1"/>
  <c r="G705" i="29" s="1"/>
  <c r="F708" i="29"/>
  <c r="G708" i="29" s="1"/>
  <c r="O298" i="1"/>
  <c r="P298" i="1" s="1"/>
  <c r="Q298" i="1" s="1"/>
  <c r="O299" i="1"/>
  <c r="F711" i="29" s="1"/>
  <c r="G711" i="29" s="1"/>
  <c r="O301" i="1"/>
  <c r="F713" i="29" s="1"/>
  <c r="G713" i="29" s="1"/>
  <c r="O302" i="1"/>
  <c r="O303" i="1"/>
  <c r="F716" i="29" s="1"/>
  <c r="G716" i="29" s="1"/>
  <c r="F718" i="29"/>
  <c r="G718" i="29" s="1"/>
  <c r="O306" i="1"/>
  <c r="P306" i="1" s="1"/>
  <c r="Q306" i="1" s="1"/>
  <c r="O307" i="1"/>
  <c r="P307" i="1" s="1"/>
  <c r="O308" i="1"/>
  <c r="F722" i="29" s="1"/>
  <c r="G722" i="29" s="1"/>
  <c r="O309" i="1"/>
  <c r="O311" i="1"/>
  <c r="F547" i="29"/>
  <c r="G547" i="29" s="1"/>
  <c r="O319" i="1"/>
  <c r="O320" i="1"/>
  <c r="F714" i="29" s="1"/>
  <c r="G714" i="29" s="1"/>
  <c r="F717" i="29"/>
  <c r="G717" i="29" s="1"/>
  <c r="O321" i="1"/>
  <c r="F719" i="29" s="1"/>
  <c r="G719" i="29" s="1"/>
  <c r="O322" i="1"/>
  <c r="F723" i="29" s="1"/>
  <c r="G723" i="29" s="1"/>
  <c r="P323" i="1"/>
  <c r="Q323" i="1" s="1"/>
  <c r="O81" i="1"/>
  <c r="O82" i="1"/>
  <c r="P82" i="1" s="1"/>
  <c r="O83" i="1"/>
  <c r="P83" i="1" s="1"/>
  <c r="F397" i="29"/>
  <c r="G397" i="29" s="1"/>
  <c r="F399" i="29"/>
  <c r="G399" i="29" s="1"/>
  <c r="O86" i="1"/>
  <c r="O88" i="1"/>
  <c r="F402" i="29" s="1"/>
  <c r="G402" i="29" s="1"/>
  <c r="O90" i="1"/>
  <c r="O91" i="1"/>
  <c r="F409" i="29" s="1"/>
  <c r="G409" i="29" s="1"/>
  <c r="O92" i="1"/>
  <c r="O93" i="1"/>
  <c r="O95" i="1"/>
  <c r="F414" i="29" s="1"/>
  <c r="G414" i="29" s="1"/>
  <c r="O96" i="1"/>
  <c r="P96" i="1" s="1"/>
  <c r="P97" i="1" s="1"/>
  <c r="O98" i="1"/>
  <c r="O99" i="1"/>
  <c r="P99" i="1" s="1"/>
  <c r="O100" i="1"/>
  <c r="O101" i="1"/>
  <c r="O102" i="1"/>
  <c r="O103" i="1"/>
  <c r="F421" i="29" s="1"/>
  <c r="G421" i="29" s="1"/>
  <c r="F422" i="29"/>
  <c r="G422" i="29" s="1"/>
  <c r="O105" i="1"/>
  <c r="O106" i="1"/>
  <c r="O107" i="1"/>
  <c r="F424" i="29" s="1"/>
  <c r="G424" i="29" s="1"/>
  <c r="Q110" i="1"/>
  <c r="O108" i="1"/>
  <c r="O109" i="1"/>
  <c r="O111" i="1"/>
  <c r="P111" i="1" s="1"/>
  <c r="Q111" i="1" s="1"/>
  <c r="O112" i="1"/>
  <c r="P112" i="1" s="1"/>
  <c r="F432" i="29"/>
  <c r="G432" i="29" s="1"/>
  <c r="O115" i="1"/>
  <c r="F433" i="29" s="1"/>
  <c r="G433" i="29" s="1"/>
  <c r="O117" i="1"/>
  <c r="O118" i="1"/>
  <c r="F435" i="29" s="1"/>
  <c r="G435" i="29" s="1"/>
  <c r="O119" i="1"/>
  <c r="P119" i="1" s="1"/>
  <c r="Q119" i="1" s="1"/>
  <c r="O120" i="1"/>
  <c r="F439" i="29" s="1"/>
  <c r="G439" i="29" s="1"/>
  <c r="O121" i="1"/>
  <c r="F440" i="29" s="1"/>
  <c r="G440" i="29" s="1"/>
  <c r="O122" i="1"/>
  <c r="F442" i="29" s="1"/>
  <c r="G442" i="29" s="1"/>
  <c r="Q122" i="1"/>
  <c r="O124" i="1"/>
  <c r="P124" i="1" s="1"/>
  <c r="F445" i="29"/>
  <c r="G445" i="29" s="1"/>
  <c r="O125" i="1"/>
  <c r="P125" i="1" s="1"/>
  <c r="O126" i="1"/>
  <c r="P126" i="1" s="1"/>
  <c r="O127" i="1"/>
  <c r="F448" i="29" s="1"/>
  <c r="G448" i="29" s="1"/>
  <c r="O128" i="1"/>
  <c r="O129" i="1"/>
  <c r="O130" i="1"/>
  <c r="O134" i="1"/>
  <c r="P134" i="1" s="1"/>
  <c r="O135" i="1"/>
  <c r="P135" i="1" s="1"/>
  <c r="F463" i="29"/>
  <c r="G463" i="29" s="1"/>
  <c r="O136" i="1"/>
  <c r="P136" i="1" s="1"/>
  <c r="Q136" i="1" s="1"/>
  <c r="O137" i="1"/>
  <c r="F466" i="29" s="1"/>
  <c r="G466" i="29" s="1"/>
  <c r="Q137" i="1"/>
  <c r="O139" i="1"/>
  <c r="F472" i="29" s="1"/>
  <c r="G472" i="29" s="1"/>
  <c r="O140" i="1"/>
  <c r="O141" i="1"/>
  <c r="F475" i="29" s="1"/>
  <c r="G475" i="29" s="1"/>
  <c r="O142" i="1"/>
  <c r="O143" i="1"/>
  <c r="O144" i="1"/>
  <c r="F478" i="29" s="1"/>
  <c r="G478" i="29" s="1"/>
  <c r="O145" i="1"/>
  <c r="P145" i="1" s="1"/>
  <c r="Q145" i="1" s="1"/>
  <c r="F480" i="29"/>
  <c r="G480" i="29" s="1"/>
  <c r="O146" i="1"/>
  <c r="F482" i="29" s="1"/>
  <c r="G482" i="29" s="1"/>
  <c r="F483" i="29"/>
  <c r="G483" i="29" s="1"/>
  <c r="F485" i="29"/>
  <c r="G485" i="29" s="1"/>
  <c r="O148" i="1"/>
  <c r="O149" i="1"/>
  <c r="O150" i="1"/>
  <c r="F493" i="29" s="1"/>
  <c r="G493" i="29" s="1"/>
  <c r="O151" i="1"/>
  <c r="P151" i="1" s="1"/>
  <c r="Q151" i="1" s="1"/>
  <c r="O152" i="1"/>
  <c r="O5" i="1"/>
  <c r="O6" i="1"/>
  <c r="P6" i="1" s="1"/>
  <c r="Q6" i="1" s="1"/>
  <c r="O7" i="1"/>
  <c r="F294" i="29" s="1"/>
  <c r="G294" i="29" s="1"/>
  <c r="O8" i="1"/>
  <c r="F295" i="29" s="1"/>
  <c r="G295" i="29" s="1"/>
  <c r="O9" i="1"/>
  <c r="O10" i="1"/>
  <c r="O11" i="1"/>
  <c r="F298" i="29" s="1"/>
  <c r="G298" i="29" s="1"/>
  <c r="F301" i="29"/>
  <c r="G301" i="29" s="1"/>
  <c r="O12" i="1"/>
  <c r="P12" i="1" s="1"/>
  <c r="O13" i="1"/>
  <c r="F306" i="29" s="1"/>
  <c r="G306" i="29" s="1"/>
  <c r="O14" i="1"/>
  <c r="F308" i="29" s="1"/>
  <c r="G308" i="29" s="1"/>
  <c r="O16" i="1"/>
  <c r="P16" i="1" s="1"/>
  <c r="O17" i="1"/>
  <c r="P17" i="1" s="1"/>
  <c r="Q17" i="1" s="1"/>
  <c r="O18" i="1"/>
  <c r="O19" i="1"/>
  <c r="F314" i="29" s="1"/>
  <c r="G314" i="29" s="1"/>
  <c r="O20" i="1"/>
  <c r="F331" i="29" s="1"/>
  <c r="G331" i="29" s="1"/>
  <c r="O21" i="1"/>
  <c r="O22" i="1"/>
  <c r="O23" i="1"/>
  <c r="P23" i="1" s="1"/>
  <c r="Q23" i="1" s="1"/>
  <c r="O24" i="1"/>
  <c r="F319" i="29" s="1"/>
  <c r="G319" i="29" s="1"/>
  <c r="O25" i="1"/>
  <c r="O26" i="1"/>
  <c r="O27" i="1"/>
  <c r="P27" i="1" s="1"/>
  <c r="O28" i="1"/>
  <c r="F323" i="29" s="1"/>
  <c r="G323" i="29" s="1"/>
  <c r="O29" i="1"/>
  <c r="O30" i="1"/>
  <c r="P30" i="1" s="1"/>
  <c r="Q30" i="1" s="1"/>
  <c r="O31" i="1"/>
  <c r="O32" i="1"/>
  <c r="F327" i="29" s="1"/>
  <c r="G327" i="29" s="1"/>
  <c r="F329" i="29"/>
  <c r="G329" i="29" s="1"/>
  <c r="O34" i="1"/>
  <c r="F332" i="29" s="1"/>
  <c r="G332" i="29" s="1"/>
  <c r="O35" i="1"/>
  <c r="F334" i="29" s="1"/>
  <c r="G334" i="29" s="1"/>
  <c r="O36" i="1"/>
  <c r="O37" i="1"/>
  <c r="P37" i="1" s="1"/>
  <c r="O39" i="1"/>
  <c r="P39" i="1" s="1"/>
  <c r="F337" i="29"/>
  <c r="G337" i="29" s="1"/>
  <c r="O41" i="1"/>
  <c r="O42" i="1"/>
  <c r="P42" i="1" s="1"/>
  <c r="Q42" i="1" s="1"/>
  <c r="O43" i="1"/>
  <c r="O44" i="1"/>
  <c r="O46" i="1"/>
  <c r="P46" i="1" s="1"/>
  <c r="Q47" i="1"/>
  <c r="O48" i="1"/>
  <c r="O49" i="1"/>
  <c r="F345" i="29" s="1"/>
  <c r="G345" i="29" s="1"/>
  <c r="O50" i="1"/>
  <c r="F346" i="29" s="1"/>
  <c r="G346" i="29" s="1"/>
  <c r="O51" i="1"/>
  <c r="O52" i="1"/>
  <c r="O53" i="1"/>
  <c r="F350" i="29" s="1"/>
  <c r="G350" i="29" s="1"/>
  <c r="O54" i="1"/>
  <c r="P54" i="1" s="1"/>
  <c r="F352" i="29"/>
  <c r="G352" i="29" s="1"/>
  <c r="P56" i="1"/>
  <c r="Q56" i="1" s="1"/>
  <c r="O57" i="1"/>
  <c r="F354" i="29" s="1"/>
  <c r="G354" i="29" s="1"/>
  <c r="O58" i="1"/>
  <c r="F356" i="29" s="1"/>
  <c r="G356" i="29" s="1"/>
  <c r="O59" i="1"/>
  <c r="P59" i="1" s="1"/>
  <c r="O61" i="1"/>
  <c r="F358" i="29" s="1"/>
  <c r="G358" i="29" s="1"/>
  <c r="F361" i="29"/>
  <c r="G361" i="29" s="1"/>
  <c r="O63" i="1"/>
  <c r="O64" i="1"/>
  <c r="O65" i="1"/>
  <c r="O66" i="1"/>
  <c r="O67" i="1"/>
  <c r="O68" i="1"/>
  <c r="O70" i="1"/>
  <c r="O71" i="1"/>
  <c r="F371" i="29" s="1"/>
  <c r="G371" i="29" s="1"/>
  <c r="F372" i="29"/>
  <c r="G372" i="29" s="1"/>
  <c r="O72" i="1"/>
  <c r="F373" i="29" s="1"/>
  <c r="G373" i="29" s="1"/>
  <c r="O74" i="1"/>
  <c r="F376" i="29" s="1"/>
  <c r="G376" i="29" s="1"/>
  <c r="O76" i="1"/>
  <c r="F309" i="29"/>
  <c r="G309" i="29" s="1"/>
  <c r="F310" i="29"/>
  <c r="G310" i="29" s="1"/>
  <c r="F385" i="29"/>
  <c r="G385" i="29" s="1"/>
  <c r="F386" i="29"/>
  <c r="G386" i="29" s="1"/>
  <c r="F387" i="29"/>
  <c r="G387" i="29" s="1"/>
  <c r="F388" i="29"/>
  <c r="G388" i="29" s="1"/>
  <c r="F390" i="29"/>
  <c r="G390" i="29" s="1"/>
  <c r="F391" i="29"/>
  <c r="G391" i="29" s="1"/>
  <c r="F392" i="29"/>
  <c r="G392" i="29" s="1"/>
  <c r="F393" i="29"/>
  <c r="G393" i="29" s="1"/>
  <c r="F403" i="29"/>
  <c r="G403" i="29" s="1"/>
  <c r="F404" i="29"/>
  <c r="G404" i="29" s="1"/>
  <c r="F405" i="29"/>
  <c r="G405" i="29" s="1"/>
  <c r="F406" i="29"/>
  <c r="G406" i="29" s="1"/>
  <c r="F407" i="29"/>
  <c r="G407" i="29" s="1"/>
  <c r="D1035" i="29"/>
  <c r="D286" i="29"/>
  <c r="C245" i="30"/>
  <c r="C246" i="30"/>
  <c r="C247" i="30"/>
  <c r="C248" i="30"/>
  <c r="C249" i="30"/>
  <c r="C250" i="30"/>
  <c r="C251" i="30"/>
  <c r="C252" i="30"/>
  <c r="C253" i="30"/>
  <c r="C254" i="30"/>
  <c r="C255" i="30"/>
  <c r="C256" i="30"/>
  <c r="C257" i="30"/>
  <c r="C258" i="30"/>
  <c r="C259" i="30"/>
  <c r="C260" i="30"/>
  <c r="C261" i="30"/>
  <c r="C262" i="30"/>
  <c r="C263" i="30"/>
  <c r="C264" i="30"/>
  <c r="C265" i="30"/>
  <c r="C266" i="30"/>
  <c r="C267" i="30"/>
  <c r="C268" i="30"/>
  <c r="C269" i="30"/>
  <c r="C270" i="30"/>
  <c r="C271" i="30"/>
  <c r="C272" i="30"/>
  <c r="C273" i="30"/>
  <c r="C274" i="30"/>
  <c r="C275" i="30"/>
  <c r="C276" i="30"/>
  <c r="C277" i="30"/>
  <c r="C278" i="30"/>
  <c r="C279" i="30"/>
  <c r="C280" i="30"/>
  <c r="C281" i="30"/>
  <c r="C282" i="30"/>
  <c r="C283" i="30"/>
  <c r="C284" i="30"/>
  <c r="C285" i="30"/>
  <c r="C286" i="30"/>
  <c r="C287" i="30"/>
  <c r="C288" i="30"/>
  <c r="C289" i="30"/>
  <c r="C290" i="30"/>
  <c r="C291" i="30"/>
  <c r="C292" i="30"/>
  <c r="C293" i="30"/>
  <c r="C294" i="30"/>
  <c r="C295" i="30"/>
  <c r="C296" i="30"/>
  <c r="C297" i="30"/>
  <c r="C298" i="30"/>
  <c r="C299" i="30"/>
  <c r="C300" i="30"/>
  <c r="C301" i="30"/>
  <c r="C302" i="30"/>
  <c r="C303" i="30"/>
  <c r="C304" i="30"/>
  <c r="C305" i="30"/>
  <c r="C306" i="30"/>
  <c r="C307" i="30"/>
  <c r="C308" i="30"/>
  <c r="C309" i="30"/>
  <c r="C310" i="30"/>
  <c r="C311" i="30"/>
  <c r="C312" i="30"/>
  <c r="C313" i="30"/>
  <c r="C314" i="30"/>
  <c r="C315" i="30"/>
  <c r="C316" i="30"/>
  <c r="C317" i="30"/>
  <c r="C318" i="30"/>
  <c r="C319" i="30"/>
  <c r="C320" i="30"/>
  <c r="C321" i="30"/>
  <c r="C322" i="30"/>
  <c r="C323" i="30"/>
  <c r="C324" i="30"/>
  <c r="C325" i="30"/>
  <c r="C326" i="30"/>
  <c r="C327" i="30"/>
  <c r="C328" i="30"/>
  <c r="C329" i="30"/>
  <c r="C330" i="30"/>
  <c r="C331" i="30"/>
  <c r="C332" i="30"/>
  <c r="C333" i="30"/>
  <c r="C334" i="30"/>
  <c r="C335" i="30"/>
  <c r="C336" i="30"/>
  <c r="C337" i="30"/>
  <c r="C338" i="30"/>
  <c r="C339" i="30"/>
  <c r="C340" i="30"/>
  <c r="C341" i="30"/>
  <c r="C342" i="30"/>
  <c r="C343" i="30"/>
  <c r="C344" i="30"/>
  <c r="C345" i="30"/>
  <c r="C346" i="30"/>
  <c r="C347" i="30"/>
  <c r="C348" i="30"/>
  <c r="C349" i="30"/>
  <c r="C350" i="30"/>
  <c r="C351" i="30"/>
  <c r="C352" i="30"/>
  <c r="C353" i="30"/>
  <c r="C354" i="30"/>
  <c r="C355" i="30"/>
  <c r="C356" i="30"/>
  <c r="C357" i="30"/>
  <c r="C358" i="30"/>
  <c r="C359" i="30"/>
  <c r="C360" i="30"/>
  <c r="C361" i="30"/>
  <c r="C362" i="30"/>
  <c r="C363" i="30"/>
  <c r="C364" i="30"/>
  <c r="C365" i="30"/>
  <c r="C366" i="30"/>
  <c r="C367" i="30"/>
  <c r="C368" i="30"/>
  <c r="C369" i="30"/>
  <c r="C370" i="30"/>
  <c r="C371" i="30"/>
  <c r="C372" i="30"/>
  <c r="C373" i="30"/>
  <c r="C374" i="30"/>
  <c r="C375" i="30"/>
  <c r="C376" i="30"/>
  <c r="C377" i="30"/>
  <c r="C378" i="30"/>
  <c r="C379" i="30"/>
  <c r="C380" i="30"/>
  <c r="C381" i="30"/>
  <c r="C382" i="30"/>
  <c r="C383" i="30"/>
  <c r="C384" i="30"/>
  <c r="C385" i="30"/>
  <c r="C386" i="30"/>
  <c r="C387" i="30"/>
  <c r="C388" i="30"/>
  <c r="C389" i="30"/>
  <c r="C390" i="30"/>
  <c r="C391" i="30"/>
  <c r="C392" i="30"/>
  <c r="C393" i="30"/>
  <c r="C394" i="30"/>
  <c r="C395" i="30"/>
  <c r="C396" i="30"/>
  <c r="C397" i="30"/>
  <c r="C398" i="30"/>
  <c r="C399" i="30"/>
  <c r="C400" i="30"/>
  <c r="C401" i="30"/>
  <c r="C402" i="30"/>
  <c r="C403" i="30"/>
  <c r="C404" i="30"/>
  <c r="C405" i="30"/>
  <c r="C406" i="30"/>
  <c r="C407" i="30"/>
  <c r="C408" i="30"/>
  <c r="C409" i="30"/>
  <c r="C410" i="30"/>
  <c r="C411" i="30"/>
  <c r="C412" i="30"/>
  <c r="C413" i="30"/>
  <c r="C414" i="30"/>
  <c r="C415" i="30"/>
  <c r="C416" i="30"/>
  <c r="C417" i="30"/>
  <c r="C418" i="30"/>
  <c r="C419" i="30"/>
  <c r="C420" i="30"/>
  <c r="C421" i="30"/>
  <c r="C422" i="30"/>
  <c r="C423" i="30"/>
  <c r="C424" i="30"/>
  <c r="C425" i="30"/>
  <c r="C426" i="30"/>
  <c r="C427" i="30"/>
  <c r="C428" i="30"/>
  <c r="C429" i="30"/>
  <c r="C430" i="30"/>
  <c r="C431" i="30"/>
  <c r="C432" i="30"/>
  <c r="C433" i="30"/>
  <c r="C434" i="30"/>
  <c r="C435" i="30"/>
  <c r="C436" i="30"/>
  <c r="C437" i="30"/>
  <c r="C438" i="30"/>
  <c r="C439" i="30"/>
  <c r="C440" i="30"/>
  <c r="C441" i="30"/>
  <c r="C442" i="30"/>
  <c r="C443" i="30"/>
  <c r="C444" i="30"/>
  <c r="C445" i="30"/>
  <c r="C446" i="30"/>
  <c r="C447" i="30"/>
  <c r="C448" i="30"/>
  <c r="C449" i="30"/>
  <c r="C450" i="30"/>
  <c r="C451" i="30"/>
  <c r="C452" i="30"/>
  <c r="C453" i="30"/>
  <c r="C454" i="30"/>
  <c r="C455" i="30"/>
  <c r="C456" i="30"/>
  <c r="C457" i="30"/>
  <c r="C458" i="30"/>
  <c r="C459" i="30"/>
  <c r="C460" i="30"/>
  <c r="C461" i="30"/>
  <c r="C462" i="30"/>
  <c r="C463" i="30"/>
  <c r="C464" i="30"/>
  <c r="C465" i="30"/>
  <c r="C466" i="30"/>
  <c r="C467" i="30"/>
  <c r="C468" i="30"/>
  <c r="C469" i="30"/>
  <c r="C470" i="30"/>
  <c r="C471" i="30"/>
  <c r="C472" i="30"/>
  <c r="C473" i="30"/>
  <c r="C474" i="30"/>
  <c r="C475" i="30"/>
  <c r="C476" i="30"/>
  <c r="C477" i="30"/>
  <c r="C478" i="30"/>
  <c r="C479" i="30"/>
  <c r="C480" i="30"/>
  <c r="C481" i="30"/>
  <c r="C482" i="30"/>
  <c r="C483" i="30"/>
  <c r="C484" i="30"/>
  <c r="C485" i="30"/>
  <c r="C486" i="30"/>
  <c r="C487" i="30"/>
  <c r="C488" i="30"/>
  <c r="C489" i="30"/>
  <c r="C490" i="30"/>
  <c r="C491" i="30"/>
  <c r="C492" i="30"/>
  <c r="C493" i="30"/>
  <c r="C494" i="30"/>
  <c r="C495" i="30"/>
  <c r="C496" i="30"/>
  <c r="C497" i="30"/>
  <c r="C498" i="30"/>
  <c r="C499" i="30"/>
  <c r="C500" i="30"/>
  <c r="C501" i="30"/>
  <c r="C502" i="30"/>
  <c r="C503" i="30"/>
  <c r="C504" i="30"/>
  <c r="C505" i="30"/>
  <c r="C506" i="30"/>
  <c r="C507" i="30"/>
  <c r="C508" i="30"/>
  <c r="C509" i="30"/>
  <c r="C510" i="30"/>
  <c r="C511" i="30"/>
  <c r="C512" i="30"/>
  <c r="C513" i="30"/>
  <c r="C514" i="30"/>
  <c r="C515" i="30"/>
  <c r="C516" i="30"/>
  <c r="C517" i="30"/>
  <c r="C518" i="30"/>
  <c r="C519" i="30"/>
  <c r="C520" i="30"/>
  <c r="C521" i="30"/>
  <c r="C522" i="30"/>
  <c r="C523" i="30"/>
  <c r="C524" i="30"/>
  <c r="C525" i="30"/>
  <c r="C526" i="30"/>
  <c r="C527" i="30"/>
  <c r="C528" i="30"/>
  <c r="C529" i="30"/>
  <c r="C530" i="30"/>
  <c r="C531" i="30"/>
  <c r="C532" i="30"/>
  <c r="C533" i="30"/>
  <c r="C534" i="30"/>
  <c r="C535" i="30"/>
  <c r="C536" i="30"/>
  <c r="C537" i="30"/>
  <c r="C538" i="30"/>
  <c r="C539" i="30"/>
  <c r="C540" i="30"/>
  <c r="C541" i="30"/>
  <c r="C542" i="30"/>
  <c r="C543" i="30"/>
  <c r="C544" i="30"/>
  <c r="C545" i="30"/>
  <c r="C546" i="30"/>
  <c r="C547" i="30"/>
  <c r="C548" i="30"/>
  <c r="C549" i="30"/>
  <c r="C550" i="30"/>
  <c r="C551" i="30"/>
  <c r="C552" i="30"/>
  <c r="C553" i="30"/>
  <c r="C554" i="30"/>
  <c r="C555" i="30"/>
  <c r="C556" i="30"/>
  <c r="C557" i="30"/>
  <c r="C558" i="30"/>
  <c r="C559" i="30"/>
  <c r="C560" i="30"/>
  <c r="C561" i="30"/>
  <c r="C562" i="30"/>
  <c r="C563" i="30"/>
  <c r="C564" i="30"/>
  <c r="C565" i="30"/>
  <c r="C566" i="30"/>
  <c r="C567" i="30"/>
  <c r="C568" i="30"/>
  <c r="C569" i="30"/>
  <c r="C570" i="30"/>
  <c r="C571" i="30"/>
  <c r="C572" i="30"/>
  <c r="C573" i="30"/>
  <c r="C574" i="30"/>
  <c r="C575" i="30"/>
  <c r="C576" i="30"/>
  <c r="C577" i="30"/>
  <c r="C578" i="30"/>
  <c r="C579" i="30"/>
  <c r="C580" i="30"/>
  <c r="C581" i="30"/>
  <c r="C582" i="30"/>
  <c r="C583" i="30"/>
  <c r="C584" i="30"/>
  <c r="C585" i="30"/>
  <c r="C586" i="30"/>
  <c r="C587" i="30"/>
  <c r="C588" i="30"/>
  <c r="C589" i="30"/>
  <c r="C590" i="30"/>
  <c r="C591" i="30"/>
  <c r="C592" i="30"/>
  <c r="C593" i="30"/>
  <c r="C594" i="30"/>
  <c r="C595" i="30"/>
  <c r="C596" i="30"/>
  <c r="C597" i="30"/>
  <c r="C598" i="30"/>
  <c r="C599" i="30"/>
  <c r="C600" i="30"/>
  <c r="C601" i="30"/>
  <c r="C602" i="30"/>
  <c r="C603" i="30"/>
  <c r="C604" i="30"/>
  <c r="C605" i="30"/>
  <c r="C606" i="30"/>
  <c r="C607" i="30"/>
  <c r="C608" i="30"/>
  <c r="C609" i="30"/>
  <c r="C610" i="30"/>
  <c r="C611" i="30"/>
  <c r="C612" i="30"/>
  <c r="C613" i="30"/>
  <c r="C614" i="30"/>
  <c r="C615" i="30"/>
  <c r="C616" i="30"/>
  <c r="C617" i="30"/>
  <c r="C618" i="30"/>
  <c r="C619" i="30"/>
  <c r="C620" i="30"/>
  <c r="C621" i="30"/>
  <c r="C622" i="30"/>
  <c r="C623" i="30"/>
  <c r="C624" i="30"/>
  <c r="C625" i="30"/>
  <c r="C626" i="30"/>
  <c r="C627" i="30"/>
  <c r="C628" i="30"/>
  <c r="C629" i="30"/>
  <c r="C630" i="30"/>
  <c r="C631" i="30"/>
  <c r="C632" i="30"/>
  <c r="C633" i="30"/>
  <c r="C634" i="30"/>
  <c r="C635" i="30"/>
  <c r="C636" i="30"/>
  <c r="C637" i="30"/>
  <c r="C638" i="30"/>
  <c r="C639" i="30"/>
  <c r="C640" i="30"/>
  <c r="C641" i="30"/>
  <c r="C642" i="30"/>
  <c r="C643" i="30"/>
  <c r="C644" i="30"/>
  <c r="C645" i="30"/>
  <c r="C646" i="30"/>
  <c r="C647" i="30"/>
  <c r="C648" i="30"/>
  <c r="C649" i="30"/>
  <c r="C650" i="30"/>
  <c r="C651" i="30"/>
  <c r="C652" i="30"/>
  <c r="C653" i="30"/>
  <c r="C654" i="30"/>
  <c r="C655" i="30"/>
  <c r="C656" i="30"/>
  <c r="C657" i="30"/>
  <c r="C658" i="30"/>
  <c r="C659" i="30"/>
  <c r="C660" i="30"/>
  <c r="C661" i="30"/>
  <c r="C662" i="30"/>
  <c r="C663" i="30"/>
  <c r="C664" i="30"/>
  <c r="C665" i="30"/>
  <c r="C666" i="30"/>
  <c r="C667" i="30"/>
  <c r="C668" i="30"/>
  <c r="C669" i="30"/>
  <c r="C670" i="30"/>
  <c r="C671" i="30"/>
  <c r="C672" i="30"/>
  <c r="C673" i="30"/>
  <c r="C674" i="30"/>
  <c r="C675" i="30"/>
  <c r="C676" i="30"/>
  <c r="C677" i="30"/>
  <c r="C678" i="30"/>
  <c r="C679" i="30"/>
  <c r="C680" i="30"/>
  <c r="C681" i="30"/>
  <c r="C682" i="30"/>
  <c r="C683" i="30"/>
  <c r="C684" i="30"/>
  <c r="C685" i="30"/>
  <c r="C686" i="30"/>
  <c r="C687" i="30"/>
  <c r="C688" i="30"/>
  <c r="C689" i="30"/>
  <c r="C690" i="30"/>
  <c r="C691" i="30"/>
  <c r="C692" i="30"/>
  <c r="C693" i="30"/>
  <c r="C694" i="30"/>
  <c r="C695" i="30"/>
  <c r="C696" i="30"/>
  <c r="C697" i="30"/>
  <c r="C698" i="30"/>
  <c r="C699" i="30"/>
  <c r="C700" i="30"/>
  <c r="C701" i="30"/>
  <c r="C702" i="30"/>
  <c r="C703" i="30"/>
  <c r="C704" i="30"/>
  <c r="C705" i="30"/>
  <c r="C706" i="30"/>
  <c r="C707" i="30"/>
  <c r="C708" i="30"/>
  <c r="C709" i="30"/>
  <c r="C710" i="30"/>
  <c r="C711" i="30"/>
  <c r="C712" i="30"/>
  <c r="C713" i="30"/>
  <c r="C714" i="30"/>
  <c r="C715" i="30"/>
  <c r="C716" i="30"/>
  <c r="C717" i="30"/>
  <c r="C718" i="30"/>
  <c r="C719" i="30"/>
  <c r="C720" i="30"/>
  <c r="C721" i="30"/>
  <c r="C722" i="30"/>
  <c r="C723" i="30"/>
  <c r="C724" i="30"/>
  <c r="C725" i="30"/>
  <c r="C726" i="30"/>
  <c r="C727" i="30"/>
  <c r="C728" i="30"/>
  <c r="C729" i="30"/>
  <c r="C730" i="30"/>
  <c r="C731" i="30"/>
  <c r="C732" i="30"/>
  <c r="C733" i="30"/>
  <c r="C734" i="30"/>
  <c r="C735" i="30"/>
  <c r="C736" i="30"/>
  <c r="C737" i="30"/>
  <c r="C738" i="30"/>
  <c r="C739" i="30"/>
  <c r="C740" i="30"/>
  <c r="C741" i="30"/>
  <c r="C742" i="30"/>
  <c r="C743" i="30"/>
  <c r="C744" i="30"/>
  <c r="C745" i="30"/>
  <c r="C746" i="30"/>
  <c r="C747" i="30"/>
  <c r="C748" i="30"/>
  <c r="C749" i="30"/>
  <c r="C750" i="30"/>
  <c r="C751" i="30"/>
  <c r="C752" i="30"/>
  <c r="C753" i="30"/>
  <c r="C754" i="30"/>
  <c r="C755" i="30"/>
  <c r="C756" i="30"/>
  <c r="C757" i="30"/>
  <c r="C758" i="30"/>
  <c r="C759" i="30"/>
  <c r="C760" i="30"/>
  <c r="C761" i="30"/>
  <c r="C762" i="30"/>
  <c r="C763" i="30"/>
  <c r="C764" i="30"/>
  <c r="C765" i="30"/>
  <c r="C766" i="30"/>
  <c r="C767" i="30"/>
  <c r="C768" i="30"/>
  <c r="C769" i="30"/>
  <c r="C770" i="30"/>
  <c r="C771" i="30"/>
  <c r="C772" i="30"/>
  <c r="C773" i="30"/>
  <c r="C774" i="30"/>
  <c r="C775" i="30"/>
  <c r="C776" i="30"/>
  <c r="C777" i="30"/>
  <c r="C778" i="30"/>
  <c r="C779" i="30"/>
  <c r="C780" i="30"/>
  <c r="C781" i="30"/>
  <c r="C782" i="30"/>
  <c r="C783" i="30"/>
  <c r="C784" i="30"/>
  <c r="C785" i="30"/>
  <c r="C786" i="30"/>
  <c r="C787" i="30"/>
  <c r="C788" i="30"/>
  <c r="C789" i="30"/>
  <c r="C790" i="30"/>
  <c r="C791" i="30"/>
  <c r="C792" i="30"/>
  <c r="C793" i="30"/>
  <c r="C794" i="30"/>
  <c r="C795" i="30"/>
  <c r="C796" i="30"/>
  <c r="C797" i="30"/>
  <c r="C798" i="30"/>
  <c r="C799" i="30"/>
  <c r="C800" i="30"/>
  <c r="C801" i="30"/>
  <c r="C802" i="30"/>
  <c r="C803" i="30"/>
  <c r="C804" i="30"/>
  <c r="C805" i="30"/>
  <c r="C806" i="30"/>
  <c r="C807" i="30"/>
  <c r="C808" i="30"/>
  <c r="C809" i="30"/>
  <c r="C810" i="30"/>
  <c r="C811" i="30"/>
  <c r="M520" i="1"/>
  <c r="M499" i="1"/>
  <c r="M490" i="1"/>
  <c r="M373" i="1"/>
  <c r="D454" i="1"/>
  <c r="E454" i="1" s="1"/>
  <c r="C445" i="1"/>
  <c r="D445" i="1"/>
  <c r="E445" i="1" s="1"/>
  <c r="C423" i="1"/>
  <c r="D423" i="1"/>
  <c r="E423" i="1" s="1"/>
  <c r="N361" i="1"/>
  <c r="N360" i="1"/>
  <c r="C357" i="1"/>
  <c r="B51" i="23" s="1"/>
  <c r="D357" i="1"/>
  <c r="C359" i="1"/>
  <c r="D359" i="1"/>
  <c r="E359" i="1" s="1"/>
  <c r="C360" i="1"/>
  <c r="D360" i="1"/>
  <c r="E360" i="1" s="1"/>
  <c r="C361" i="1"/>
  <c r="D361" i="1"/>
  <c r="E361" i="1" s="1"/>
  <c r="C303" i="1"/>
  <c r="B44" i="23" s="1"/>
  <c r="D303" i="1"/>
  <c r="B45" i="23"/>
  <c r="D45" i="23"/>
  <c r="C306" i="1"/>
  <c r="D306" i="1"/>
  <c r="E306" i="1" s="1"/>
  <c r="C307" i="1"/>
  <c r="B34" i="25" s="1"/>
  <c r="D307" i="1"/>
  <c r="C308" i="1"/>
  <c r="D308" i="1"/>
  <c r="E308" i="1" s="1"/>
  <c r="C309" i="1"/>
  <c r="D309" i="1"/>
  <c r="E309" i="1" s="1"/>
  <c r="C311" i="1"/>
  <c r="D311" i="1"/>
  <c r="E311" i="1" s="1"/>
  <c r="C319" i="1"/>
  <c r="D319" i="1"/>
  <c r="E319" i="1" s="1"/>
  <c r="C320" i="1"/>
  <c r="D320" i="1"/>
  <c r="E320" i="1" s="1"/>
  <c r="C321" i="1"/>
  <c r="D321" i="1"/>
  <c r="E321" i="1" s="1"/>
  <c r="C322" i="1"/>
  <c r="D322" i="1"/>
  <c r="E322" i="1" s="1"/>
  <c r="C323" i="1"/>
  <c r="D323" i="1"/>
  <c r="E323" i="1" s="1"/>
  <c r="N322" i="1"/>
  <c r="N321" i="1"/>
  <c r="N320" i="1"/>
  <c r="N319" i="1"/>
  <c r="C112" i="1"/>
  <c r="D112" i="1"/>
  <c r="E112" i="1" s="1"/>
  <c r="C111" i="1"/>
  <c r="D111" i="1"/>
  <c r="E111" i="1" s="1"/>
  <c r="N103" i="1"/>
  <c r="C103" i="1"/>
  <c r="D103" i="1"/>
  <c r="E103" i="1" s="1"/>
  <c r="L96" i="1"/>
  <c r="N96" i="1" s="1"/>
  <c r="N97" i="1" s="1"/>
  <c r="D96" i="1"/>
  <c r="E96" i="1" s="1"/>
  <c r="C96" i="1"/>
  <c r="D333" i="1"/>
  <c r="E333" i="1" s="1"/>
  <c r="C333" i="1"/>
  <c r="C340" i="1"/>
  <c r="D340" i="1"/>
  <c r="E340" i="1" s="1"/>
  <c r="E292" i="29"/>
  <c r="E293" i="29"/>
  <c r="E294" i="29"/>
  <c r="E295" i="29"/>
  <c r="E296" i="29"/>
  <c r="E297" i="29"/>
  <c r="E298" i="29"/>
  <c r="E299" i="29"/>
  <c r="E300" i="29"/>
  <c r="E301" i="29"/>
  <c r="E302" i="29"/>
  <c r="E303" i="29"/>
  <c r="E304" i="29"/>
  <c r="E305" i="29"/>
  <c r="E306" i="29"/>
  <c r="E307" i="29"/>
  <c r="E308" i="29"/>
  <c r="E309" i="29"/>
  <c r="E310" i="29"/>
  <c r="E311" i="29"/>
  <c r="E312" i="29"/>
  <c r="E313" i="29"/>
  <c r="E314" i="29"/>
  <c r="E315" i="29"/>
  <c r="E316" i="29"/>
  <c r="E317" i="29"/>
  <c r="E318" i="29"/>
  <c r="E319" i="29"/>
  <c r="E320" i="29"/>
  <c r="E321" i="29"/>
  <c r="E322" i="29"/>
  <c r="E323" i="29"/>
  <c r="E324" i="29"/>
  <c r="E325" i="29"/>
  <c r="E326" i="29"/>
  <c r="E327" i="29"/>
  <c r="E328" i="29"/>
  <c r="E329" i="29"/>
  <c r="E330" i="29"/>
  <c r="E331" i="29"/>
  <c r="E332" i="29"/>
  <c r="E333" i="29"/>
  <c r="E334" i="29"/>
  <c r="E335" i="29"/>
  <c r="E336" i="29"/>
  <c r="E337" i="29"/>
  <c r="E338" i="29"/>
  <c r="E339" i="29"/>
  <c r="E340" i="29"/>
  <c r="E341" i="29"/>
  <c r="E342" i="29"/>
  <c r="E343" i="29"/>
  <c r="E344" i="29"/>
  <c r="E345" i="29"/>
  <c r="E346" i="29"/>
  <c r="E347" i="29"/>
  <c r="E348" i="29"/>
  <c r="E349" i="29"/>
  <c r="E350" i="29"/>
  <c r="E351" i="29"/>
  <c r="E352" i="29"/>
  <c r="E353" i="29"/>
  <c r="E354" i="29"/>
  <c r="E355" i="29"/>
  <c r="E356" i="29"/>
  <c r="E357" i="29"/>
  <c r="E358" i="29"/>
  <c r="E359" i="29"/>
  <c r="E360" i="29"/>
  <c r="E361" i="29"/>
  <c r="E362" i="29"/>
  <c r="E363" i="29"/>
  <c r="E364" i="29"/>
  <c r="E365" i="29"/>
  <c r="E366" i="29"/>
  <c r="E367" i="29"/>
  <c r="E368" i="29"/>
  <c r="E369" i="29"/>
  <c r="E370" i="29"/>
  <c r="E371" i="29"/>
  <c r="E372" i="29"/>
  <c r="E373" i="29"/>
  <c r="E374" i="29"/>
  <c r="E375" i="29"/>
  <c r="E376" i="29"/>
  <c r="E377" i="29"/>
  <c r="E378" i="29"/>
  <c r="E379" i="29"/>
  <c r="E380" i="29"/>
  <c r="E381" i="29"/>
  <c r="E382" i="29"/>
  <c r="E383" i="29"/>
  <c r="E384" i="29"/>
  <c r="E385" i="29"/>
  <c r="E386" i="29"/>
  <c r="E387" i="29"/>
  <c r="E388" i="29"/>
  <c r="E389" i="29"/>
  <c r="E390" i="29"/>
  <c r="E391" i="29"/>
  <c r="E392" i="29"/>
  <c r="E393" i="29"/>
  <c r="E394" i="29"/>
  <c r="E395" i="29"/>
  <c r="E396" i="29"/>
  <c r="E397" i="29"/>
  <c r="E398" i="29"/>
  <c r="E399" i="29"/>
  <c r="E400" i="29"/>
  <c r="E401" i="29"/>
  <c r="E402" i="29"/>
  <c r="E403" i="29"/>
  <c r="E404" i="29"/>
  <c r="E405" i="29"/>
  <c r="E406" i="29"/>
  <c r="E407" i="29"/>
  <c r="E408" i="29"/>
  <c r="E409" i="29"/>
  <c r="E410" i="29"/>
  <c r="E411" i="29"/>
  <c r="E412" i="29"/>
  <c r="E413" i="29"/>
  <c r="E414" i="29"/>
  <c r="E415" i="29"/>
  <c r="E416" i="29"/>
  <c r="E417" i="29"/>
  <c r="E418" i="29"/>
  <c r="E419" i="29"/>
  <c r="E420" i="29"/>
  <c r="E421" i="29"/>
  <c r="E422" i="29"/>
  <c r="E423" i="29"/>
  <c r="E424" i="29"/>
  <c r="E425" i="29"/>
  <c r="E426" i="29"/>
  <c r="E427" i="29"/>
  <c r="E428" i="29"/>
  <c r="E429" i="29"/>
  <c r="E430" i="29"/>
  <c r="E431" i="29"/>
  <c r="E432" i="29"/>
  <c r="E433" i="29"/>
  <c r="E434" i="29"/>
  <c r="E435" i="29"/>
  <c r="E436" i="29"/>
  <c r="E437" i="29"/>
  <c r="E438" i="29"/>
  <c r="E439" i="29"/>
  <c r="E440" i="29"/>
  <c r="E441" i="29"/>
  <c r="E442" i="29"/>
  <c r="E443" i="29"/>
  <c r="E444" i="29"/>
  <c r="E445" i="29"/>
  <c r="E446" i="29"/>
  <c r="E447" i="29"/>
  <c r="E448" i="29"/>
  <c r="E449" i="29"/>
  <c r="E450" i="29"/>
  <c r="E451" i="29"/>
  <c r="E452" i="29"/>
  <c r="E453" i="29"/>
  <c r="E454" i="29"/>
  <c r="E455" i="29"/>
  <c r="E456" i="29"/>
  <c r="E457" i="29"/>
  <c r="E458" i="29"/>
  <c r="E459" i="29"/>
  <c r="E460" i="29"/>
  <c r="E461" i="29"/>
  <c r="E462" i="29"/>
  <c r="E463" i="29"/>
  <c r="E464" i="29"/>
  <c r="E465" i="29"/>
  <c r="E466" i="29"/>
  <c r="E467" i="29"/>
  <c r="E468" i="29"/>
  <c r="E469" i="29"/>
  <c r="E470" i="29"/>
  <c r="E471" i="29"/>
  <c r="E472" i="29"/>
  <c r="E473" i="29"/>
  <c r="E474" i="29"/>
  <c r="E475" i="29"/>
  <c r="E476" i="29"/>
  <c r="E477" i="29"/>
  <c r="E478" i="29"/>
  <c r="E479" i="29"/>
  <c r="E480" i="29"/>
  <c r="E481" i="29"/>
  <c r="E482" i="29"/>
  <c r="E483" i="29"/>
  <c r="E484" i="29"/>
  <c r="E485" i="29"/>
  <c r="E486" i="29"/>
  <c r="E487" i="29"/>
  <c r="E488" i="29"/>
  <c r="E489" i="29"/>
  <c r="E490" i="29"/>
  <c r="E491" i="29"/>
  <c r="E492" i="29"/>
  <c r="E493" i="29"/>
  <c r="E494" i="29"/>
  <c r="E495" i="29"/>
  <c r="E496" i="29"/>
  <c r="E497" i="29"/>
  <c r="E498" i="29"/>
  <c r="E499" i="29"/>
  <c r="E500" i="29"/>
  <c r="E501" i="29"/>
  <c r="E502" i="29"/>
  <c r="E503" i="29"/>
  <c r="E504" i="29"/>
  <c r="E505" i="29"/>
  <c r="E506" i="29"/>
  <c r="E507" i="29"/>
  <c r="E508" i="29"/>
  <c r="E509" i="29"/>
  <c r="E510" i="29"/>
  <c r="E511" i="29"/>
  <c r="E512" i="29"/>
  <c r="E513" i="29"/>
  <c r="E514" i="29"/>
  <c r="E515" i="29"/>
  <c r="E516" i="29"/>
  <c r="E517" i="29"/>
  <c r="E518" i="29"/>
  <c r="E519" i="29"/>
  <c r="E520" i="29"/>
  <c r="E521" i="29"/>
  <c r="E522" i="29"/>
  <c r="E523" i="29"/>
  <c r="E524" i="29"/>
  <c r="E525" i="29"/>
  <c r="E526" i="29"/>
  <c r="E527" i="29"/>
  <c r="E528" i="29"/>
  <c r="E529" i="29"/>
  <c r="E530" i="29"/>
  <c r="E531" i="29"/>
  <c r="E532" i="29"/>
  <c r="E533" i="29"/>
  <c r="E534" i="29"/>
  <c r="E535" i="29"/>
  <c r="E536" i="29"/>
  <c r="E537" i="29"/>
  <c r="E538" i="29"/>
  <c r="E539" i="29"/>
  <c r="E540" i="29"/>
  <c r="E541" i="29"/>
  <c r="E542" i="29"/>
  <c r="E543" i="29"/>
  <c r="E544" i="29"/>
  <c r="E545" i="29"/>
  <c r="E546" i="29"/>
  <c r="E547" i="29"/>
  <c r="E548" i="29"/>
  <c r="E549" i="29"/>
  <c r="E550" i="29"/>
  <c r="E551" i="29"/>
  <c r="E552" i="29"/>
  <c r="E553" i="29"/>
  <c r="E554" i="29"/>
  <c r="E555" i="29"/>
  <c r="E556" i="29"/>
  <c r="E557" i="29"/>
  <c r="E558" i="29"/>
  <c r="E559" i="29"/>
  <c r="E560" i="29"/>
  <c r="E561" i="29"/>
  <c r="E562" i="29"/>
  <c r="E563" i="29"/>
  <c r="E564" i="29"/>
  <c r="E565" i="29"/>
  <c r="E566" i="29"/>
  <c r="E567" i="29"/>
  <c r="E568" i="29"/>
  <c r="E569" i="29"/>
  <c r="E570" i="29"/>
  <c r="E571" i="29"/>
  <c r="E572" i="29"/>
  <c r="E573" i="29"/>
  <c r="E574" i="29"/>
  <c r="E575" i="29"/>
  <c r="E576" i="29"/>
  <c r="E577" i="29"/>
  <c r="E578" i="29"/>
  <c r="E579" i="29"/>
  <c r="E580" i="29"/>
  <c r="E581" i="29"/>
  <c r="E582" i="29"/>
  <c r="E583" i="29"/>
  <c r="E584" i="29"/>
  <c r="E585" i="29"/>
  <c r="E586" i="29"/>
  <c r="E587" i="29"/>
  <c r="E588" i="29"/>
  <c r="E589" i="29"/>
  <c r="E590" i="29"/>
  <c r="E591" i="29"/>
  <c r="E592" i="29"/>
  <c r="E593" i="29"/>
  <c r="E594" i="29"/>
  <c r="E595" i="29"/>
  <c r="E596" i="29"/>
  <c r="E597" i="29"/>
  <c r="E598" i="29"/>
  <c r="E599" i="29"/>
  <c r="E600" i="29"/>
  <c r="E601" i="29"/>
  <c r="E602" i="29"/>
  <c r="E603" i="29"/>
  <c r="E604" i="29"/>
  <c r="E605" i="29"/>
  <c r="E606" i="29"/>
  <c r="E607" i="29"/>
  <c r="E608" i="29"/>
  <c r="E609" i="29"/>
  <c r="E610" i="29"/>
  <c r="E611" i="29"/>
  <c r="E612" i="29"/>
  <c r="E613" i="29"/>
  <c r="E614" i="29"/>
  <c r="E615" i="29"/>
  <c r="E616" i="29"/>
  <c r="E617" i="29"/>
  <c r="E618" i="29"/>
  <c r="E619" i="29"/>
  <c r="E620" i="29"/>
  <c r="E621" i="29"/>
  <c r="E622" i="29"/>
  <c r="E623" i="29"/>
  <c r="E624" i="29"/>
  <c r="E625" i="29"/>
  <c r="E626" i="29"/>
  <c r="E627" i="29"/>
  <c r="E628" i="29"/>
  <c r="E629" i="29"/>
  <c r="E630" i="29"/>
  <c r="E631" i="29"/>
  <c r="E632" i="29"/>
  <c r="E633" i="29"/>
  <c r="E634" i="29"/>
  <c r="E635" i="29"/>
  <c r="E636" i="29"/>
  <c r="E637" i="29"/>
  <c r="E638" i="29"/>
  <c r="E639" i="29"/>
  <c r="E640" i="29"/>
  <c r="E641" i="29"/>
  <c r="E642" i="29"/>
  <c r="E643" i="29"/>
  <c r="E644" i="29"/>
  <c r="E645" i="29"/>
  <c r="E646" i="29"/>
  <c r="E647" i="29"/>
  <c r="E648" i="29"/>
  <c r="E649" i="29"/>
  <c r="E650" i="29"/>
  <c r="E651" i="29"/>
  <c r="E652" i="29"/>
  <c r="E653" i="29"/>
  <c r="E654" i="29"/>
  <c r="E655" i="29"/>
  <c r="E656" i="29"/>
  <c r="E657" i="29"/>
  <c r="E658" i="29"/>
  <c r="E659" i="29"/>
  <c r="E660" i="29"/>
  <c r="E661" i="29"/>
  <c r="E662" i="29"/>
  <c r="E663" i="29"/>
  <c r="E664" i="29"/>
  <c r="E665" i="29"/>
  <c r="E666" i="29"/>
  <c r="E667" i="29"/>
  <c r="E668" i="29"/>
  <c r="E669" i="29"/>
  <c r="E670" i="29"/>
  <c r="E671" i="29"/>
  <c r="E672" i="29"/>
  <c r="E673" i="29"/>
  <c r="E674" i="29"/>
  <c r="E675" i="29"/>
  <c r="E676" i="29"/>
  <c r="E677" i="29"/>
  <c r="E678" i="29"/>
  <c r="E679" i="29"/>
  <c r="E680" i="29"/>
  <c r="E681" i="29"/>
  <c r="E682" i="29"/>
  <c r="E683" i="29"/>
  <c r="E684" i="29"/>
  <c r="E685" i="29"/>
  <c r="E686" i="29"/>
  <c r="E687" i="29"/>
  <c r="E688" i="29"/>
  <c r="E689" i="29"/>
  <c r="E690" i="29"/>
  <c r="E691" i="29"/>
  <c r="E692" i="29"/>
  <c r="E693" i="29"/>
  <c r="E694" i="29"/>
  <c r="E695" i="29"/>
  <c r="E696" i="29"/>
  <c r="E697" i="29"/>
  <c r="E698" i="29"/>
  <c r="E699" i="29"/>
  <c r="E700" i="29"/>
  <c r="E701" i="29"/>
  <c r="E702" i="29"/>
  <c r="E703" i="29"/>
  <c r="E704" i="29"/>
  <c r="E705" i="29"/>
  <c r="E706" i="29"/>
  <c r="E707" i="29"/>
  <c r="E708" i="29"/>
  <c r="E709" i="29"/>
  <c r="E710" i="29"/>
  <c r="E711" i="29"/>
  <c r="E712" i="29"/>
  <c r="E713" i="29"/>
  <c r="E714" i="29"/>
  <c r="E715" i="29"/>
  <c r="E716" i="29"/>
  <c r="E717" i="29"/>
  <c r="E718" i="29"/>
  <c r="E719" i="29"/>
  <c r="E720" i="29"/>
  <c r="E721" i="29"/>
  <c r="E722" i="29"/>
  <c r="E723" i="29"/>
  <c r="E724" i="29"/>
  <c r="E725" i="29"/>
  <c r="E726" i="29"/>
  <c r="E727" i="29"/>
  <c r="E728" i="29"/>
  <c r="E729" i="29"/>
  <c r="E730" i="29"/>
  <c r="E731" i="29"/>
  <c r="E732" i="29"/>
  <c r="E733" i="29"/>
  <c r="E734" i="29"/>
  <c r="E735" i="29"/>
  <c r="E736" i="29"/>
  <c r="E737" i="29"/>
  <c r="E738" i="29"/>
  <c r="E739" i="29"/>
  <c r="E740" i="29"/>
  <c r="E741" i="29"/>
  <c r="E742" i="29"/>
  <c r="E743" i="29"/>
  <c r="E744" i="29"/>
  <c r="E745" i="29"/>
  <c r="E746" i="29"/>
  <c r="E747" i="29"/>
  <c r="E748" i="29"/>
  <c r="E749" i="29"/>
  <c r="E750" i="29"/>
  <c r="E751" i="29"/>
  <c r="E752" i="29"/>
  <c r="E753" i="29"/>
  <c r="E754" i="29"/>
  <c r="E755" i="29"/>
  <c r="E756" i="29"/>
  <c r="E757" i="29"/>
  <c r="E758" i="29"/>
  <c r="E759" i="29"/>
  <c r="E760" i="29"/>
  <c r="E761" i="29"/>
  <c r="E762" i="29"/>
  <c r="E763" i="29"/>
  <c r="E764" i="29"/>
  <c r="E765" i="29"/>
  <c r="E766" i="29"/>
  <c r="E767" i="29"/>
  <c r="E768" i="29"/>
  <c r="E769" i="29"/>
  <c r="E770" i="29"/>
  <c r="E771" i="29"/>
  <c r="E772" i="29"/>
  <c r="E773" i="29"/>
  <c r="E774" i="29"/>
  <c r="E775" i="29"/>
  <c r="E776" i="29"/>
  <c r="E777" i="29"/>
  <c r="E778" i="29"/>
  <c r="E779" i="29"/>
  <c r="E780" i="29"/>
  <c r="E781" i="29"/>
  <c r="E782" i="29"/>
  <c r="E783" i="29"/>
  <c r="E784" i="29"/>
  <c r="E785" i="29"/>
  <c r="E786" i="29"/>
  <c r="E787" i="29"/>
  <c r="E788" i="29"/>
  <c r="E789" i="29"/>
  <c r="E790" i="29"/>
  <c r="E791" i="29"/>
  <c r="E792" i="29"/>
  <c r="E793" i="29"/>
  <c r="E794" i="29"/>
  <c r="E795" i="29"/>
  <c r="E796" i="29"/>
  <c r="E797" i="29"/>
  <c r="E798" i="29"/>
  <c r="E799" i="29"/>
  <c r="E800" i="29"/>
  <c r="E801" i="29"/>
  <c r="E802" i="29"/>
  <c r="E803" i="29"/>
  <c r="E804" i="29"/>
  <c r="E805" i="29"/>
  <c r="E806" i="29"/>
  <c r="E807" i="29"/>
  <c r="E808" i="29"/>
  <c r="E809" i="29"/>
  <c r="E810" i="29"/>
  <c r="E811" i="29"/>
  <c r="E812" i="29"/>
  <c r="E813" i="29"/>
  <c r="E814" i="29"/>
  <c r="E815" i="29"/>
  <c r="E816" i="29"/>
  <c r="E817" i="29"/>
  <c r="E818" i="29"/>
  <c r="E819" i="29"/>
  <c r="E820" i="29"/>
  <c r="E821" i="29"/>
  <c r="E822" i="29"/>
  <c r="E823" i="29"/>
  <c r="E824" i="29"/>
  <c r="E825" i="29"/>
  <c r="E826" i="29"/>
  <c r="E827" i="29"/>
  <c r="E828" i="29"/>
  <c r="E829" i="29"/>
  <c r="E830" i="29"/>
  <c r="E831" i="29"/>
  <c r="E832" i="29"/>
  <c r="E833" i="29"/>
  <c r="E834" i="29"/>
  <c r="E835" i="29"/>
  <c r="E836" i="29"/>
  <c r="E837" i="29"/>
  <c r="E838" i="29"/>
  <c r="E839" i="29"/>
  <c r="E840" i="29"/>
  <c r="E841" i="29"/>
  <c r="E842" i="29"/>
  <c r="E843" i="29"/>
  <c r="E844" i="29"/>
  <c r="E845" i="29"/>
  <c r="E846" i="29"/>
  <c r="E847" i="29"/>
  <c r="E848" i="29"/>
  <c r="E849" i="29"/>
  <c r="E850" i="29"/>
  <c r="E851" i="29"/>
  <c r="E852" i="29"/>
  <c r="E853" i="29"/>
  <c r="E854" i="29"/>
  <c r="E855" i="29"/>
  <c r="E856" i="29"/>
  <c r="E857" i="29"/>
  <c r="E858" i="29"/>
  <c r="E859" i="29"/>
  <c r="E860" i="29"/>
  <c r="E861" i="29"/>
  <c r="E862" i="29"/>
  <c r="E863" i="29"/>
  <c r="E864" i="29"/>
  <c r="E865" i="29"/>
  <c r="E866" i="29"/>
  <c r="E867" i="29"/>
  <c r="E868" i="29"/>
  <c r="E869" i="29"/>
  <c r="E870" i="29"/>
  <c r="E871" i="29"/>
  <c r="E872" i="29"/>
  <c r="E873" i="29"/>
  <c r="E874" i="29"/>
  <c r="E875" i="29"/>
  <c r="E876" i="29"/>
  <c r="E877" i="29"/>
  <c r="E878" i="29"/>
  <c r="E879" i="29"/>
  <c r="E880" i="29"/>
  <c r="E881" i="29"/>
  <c r="E882" i="29"/>
  <c r="E883" i="29"/>
  <c r="E884" i="29"/>
  <c r="E885" i="29"/>
  <c r="E886" i="29"/>
  <c r="E887" i="29"/>
  <c r="E888" i="29"/>
  <c r="E889" i="29"/>
  <c r="E890" i="29"/>
  <c r="E891" i="29"/>
  <c r="E892" i="29"/>
  <c r="E893" i="29"/>
  <c r="E894" i="29"/>
  <c r="E895" i="29"/>
  <c r="E896" i="29"/>
  <c r="E897" i="29"/>
  <c r="E898" i="29"/>
  <c r="E899" i="29"/>
  <c r="E900" i="29"/>
  <c r="E901" i="29"/>
  <c r="E902" i="29"/>
  <c r="E903" i="29"/>
  <c r="E904" i="29"/>
  <c r="E905" i="29"/>
  <c r="E906" i="29"/>
  <c r="E907" i="29"/>
  <c r="E908" i="29"/>
  <c r="E909" i="29"/>
  <c r="E910" i="29"/>
  <c r="E911" i="29"/>
  <c r="E912" i="29"/>
  <c r="E913" i="29"/>
  <c r="E914" i="29"/>
  <c r="E915" i="29"/>
  <c r="E916" i="29"/>
  <c r="E917" i="29"/>
  <c r="E918" i="29"/>
  <c r="E919" i="29"/>
  <c r="E920" i="29"/>
  <c r="E921" i="29"/>
  <c r="E922" i="29"/>
  <c r="E923" i="29"/>
  <c r="E924" i="29"/>
  <c r="E925" i="29"/>
  <c r="E926" i="29"/>
  <c r="E927" i="29"/>
  <c r="E928" i="29"/>
  <c r="E929" i="29"/>
  <c r="E930" i="29"/>
  <c r="E931" i="29"/>
  <c r="E932" i="29"/>
  <c r="E933" i="29"/>
  <c r="E934" i="29"/>
  <c r="E935" i="29"/>
  <c r="E936" i="29"/>
  <c r="E937" i="29"/>
  <c r="E938" i="29"/>
  <c r="E939" i="29"/>
  <c r="E940" i="29"/>
  <c r="E941" i="29"/>
  <c r="E942" i="29"/>
  <c r="E943" i="29"/>
  <c r="E944" i="29"/>
  <c r="E945" i="29"/>
  <c r="E946" i="29"/>
  <c r="E947" i="29"/>
  <c r="E948" i="29"/>
  <c r="E949" i="29"/>
  <c r="E950" i="29"/>
  <c r="E951" i="29"/>
  <c r="E952" i="29"/>
  <c r="E953" i="29"/>
  <c r="E954" i="29"/>
  <c r="E955" i="29"/>
  <c r="E956" i="29"/>
  <c r="E957" i="29"/>
  <c r="E958" i="29"/>
  <c r="E959" i="29"/>
  <c r="E960" i="29"/>
  <c r="E961" i="29"/>
  <c r="E962" i="29"/>
  <c r="E963" i="29"/>
  <c r="E964" i="29"/>
  <c r="E965" i="29"/>
  <c r="E966" i="29"/>
  <c r="E967" i="29"/>
  <c r="E968" i="29"/>
  <c r="E969" i="29"/>
  <c r="E970" i="29"/>
  <c r="E971" i="29"/>
  <c r="E972" i="29"/>
  <c r="E973" i="29"/>
  <c r="E974" i="29"/>
  <c r="E975" i="29"/>
  <c r="E976" i="29"/>
  <c r="E977" i="29"/>
  <c r="E978" i="29"/>
  <c r="E979" i="29"/>
  <c r="E980" i="29"/>
  <c r="E981" i="29"/>
  <c r="E982" i="29"/>
  <c r="E983" i="29"/>
  <c r="E984" i="29"/>
  <c r="E985" i="29"/>
  <c r="E986" i="29"/>
  <c r="E987" i="29"/>
  <c r="E988" i="29"/>
  <c r="E989" i="29"/>
  <c r="E990" i="29"/>
  <c r="E991" i="29"/>
  <c r="E992" i="29"/>
  <c r="E993" i="29"/>
  <c r="E994" i="29"/>
  <c r="E995" i="29"/>
  <c r="E996" i="29"/>
  <c r="E997" i="29"/>
  <c r="E998" i="29"/>
  <c r="E999" i="29"/>
  <c r="E1000" i="29"/>
  <c r="E1001" i="29"/>
  <c r="E1002" i="29"/>
  <c r="E1003" i="29"/>
  <c r="E1004" i="29"/>
  <c r="E1005" i="29"/>
  <c r="E1006" i="29"/>
  <c r="E1007" i="29"/>
  <c r="E1008" i="29"/>
  <c r="E1009" i="29"/>
  <c r="E1010" i="29"/>
  <c r="E1011" i="29"/>
  <c r="E1012" i="29"/>
  <c r="E1013" i="29"/>
  <c r="E1014" i="29"/>
  <c r="E1015" i="29"/>
  <c r="E1016" i="29"/>
  <c r="E1017" i="29"/>
  <c r="E1018" i="29"/>
  <c r="E1019" i="29"/>
  <c r="E1020" i="29"/>
  <c r="E1021" i="29"/>
  <c r="E1022" i="29"/>
  <c r="E1023" i="29"/>
  <c r="E1024" i="29"/>
  <c r="E1025" i="29"/>
  <c r="E1026" i="29"/>
  <c r="E1027" i="29"/>
  <c r="E1028" i="29"/>
  <c r="E1029" i="29"/>
  <c r="E1030" i="29"/>
  <c r="E1031" i="29"/>
  <c r="E1032" i="29"/>
  <c r="E1033" i="29"/>
  <c r="E1034" i="29"/>
  <c r="E291" i="29"/>
  <c r="O157" i="1"/>
  <c r="O328" i="1"/>
  <c r="F779" i="29"/>
  <c r="G779" i="29" s="1"/>
  <c r="O375" i="1"/>
  <c r="F798" i="29" s="1"/>
  <c r="G798" i="29" s="1"/>
  <c r="O476" i="1"/>
  <c r="O483" i="1"/>
  <c r="F977" i="29" s="1"/>
  <c r="G977" i="29" s="1"/>
  <c r="O492" i="1"/>
  <c r="O501" i="1"/>
  <c r="O512" i="1"/>
  <c r="J40" i="4" s="1"/>
  <c r="O80" i="1"/>
  <c r="F353" i="29"/>
  <c r="G353" i="29" s="1"/>
  <c r="F380" i="29"/>
  <c r="G380" i="29" s="1"/>
  <c r="O4" i="1"/>
  <c r="F291" i="29" s="1"/>
  <c r="G291" i="29" s="1"/>
  <c r="C244" i="30"/>
  <c r="C243" i="30"/>
  <c r="C242" i="30"/>
  <c r="C241" i="30"/>
  <c r="C240" i="30"/>
  <c r="C239" i="30"/>
  <c r="C238" i="30"/>
  <c r="C237" i="30"/>
  <c r="C236" i="30"/>
  <c r="C235" i="30"/>
  <c r="C234" i="30"/>
  <c r="C233" i="30"/>
  <c r="C232" i="30"/>
  <c r="C231" i="30"/>
  <c r="C230" i="30"/>
  <c r="C229" i="30"/>
  <c r="C228" i="30"/>
  <c r="C227" i="30"/>
  <c r="C226" i="30"/>
  <c r="C225" i="30"/>
  <c r="C224" i="30"/>
  <c r="C223" i="30"/>
  <c r="C222" i="30"/>
  <c r="C221" i="30"/>
  <c r="C220" i="30"/>
  <c r="C219" i="30"/>
  <c r="C218" i="30"/>
  <c r="C217" i="30"/>
  <c r="C216" i="30"/>
  <c r="C215" i="30"/>
  <c r="C214" i="30"/>
  <c r="C213" i="30"/>
  <c r="C212" i="30"/>
  <c r="C211" i="30"/>
  <c r="C210" i="30"/>
  <c r="C209" i="30"/>
  <c r="C208" i="30"/>
  <c r="C207" i="30"/>
  <c r="C206" i="30"/>
  <c r="C205" i="30"/>
  <c r="C204" i="30"/>
  <c r="C203" i="30"/>
  <c r="C202" i="30"/>
  <c r="C201" i="30"/>
  <c r="C200" i="30"/>
  <c r="C199" i="30"/>
  <c r="C198" i="30"/>
  <c r="C197" i="30"/>
  <c r="C196" i="30"/>
  <c r="C195" i="30"/>
  <c r="C194" i="30"/>
  <c r="C193" i="30"/>
  <c r="C192" i="30"/>
  <c r="C191" i="30"/>
  <c r="C190" i="30"/>
  <c r="C189" i="30"/>
  <c r="C188" i="30"/>
  <c r="C187" i="30"/>
  <c r="C186" i="30"/>
  <c r="C185" i="30"/>
  <c r="C184" i="30"/>
  <c r="C183" i="30"/>
  <c r="C182" i="30"/>
  <c r="C181" i="30"/>
  <c r="C180" i="30"/>
  <c r="C179" i="30"/>
  <c r="C178" i="30"/>
  <c r="C177" i="30"/>
  <c r="C176" i="30"/>
  <c r="C175" i="30"/>
  <c r="C174" i="30"/>
  <c r="C173" i="30"/>
  <c r="C172" i="30"/>
  <c r="C171" i="30"/>
  <c r="C170" i="30"/>
  <c r="C169" i="30"/>
  <c r="C168" i="30"/>
  <c r="C167" i="30"/>
  <c r="C166" i="30"/>
  <c r="C165" i="30"/>
  <c r="C164" i="30"/>
  <c r="C163" i="30"/>
  <c r="C162" i="30"/>
  <c r="C161" i="30"/>
  <c r="C160" i="30"/>
  <c r="C159" i="30"/>
  <c r="C158" i="30"/>
  <c r="C157" i="30"/>
  <c r="C156" i="30"/>
  <c r="C155" i="30"/>
  <c r="C154" i="30"/>
  <c r="C153" i="30"/>
  <c r="C152" i="30"/>
  <c r="C151" i="30"/>
  <c r="C150" i="30"/>
  <c r="C149" i="30"/>
  <c r="C148" i="30"/>
  <c r="C147" i="30"/>
  <c r="C146" i="30"/>
  <c r="C145" i="30"/>
  <c r="C144" i="30"/>
  <c r="C143" i="30"/>
  <c r="C142" i="30"/>
  <c r="C141" i="30"/>
  <c r="C140" i="30"/>
  <c r="C139" i="30"/>
  <c r="C138" i="30"/>
  <c r="C137" i="30"/>
  <c r="C136" i="30"/>
  <c r="C135" i="30"/>
  <c r="C134" i="30"/>
  <c r="C133" i="30"/>
  <c r="C132" i="30"/>
  <c r="C131" i="30"/>
  <c r="C130" i="30"/>
  <c r="C129" i="30"/>
  <c r="C128" i="30"/>
  <c r="C127" i="30"/>
  <c r="C126" i="30"/>
  <c r="C125" i="30"/>
  <c r="C124" i="30"/>
  <c r="C123" i="30"/>
  <c r="C122" i="30"/>
  <c r="C121" i="30"/>
  <c r="C120" i="30"/>
  <c r="C119" i="30"/>
  <c r="C118" i="30"/>
  <c r="C117" i="30"/>
  <c r="C116" i="30"/>
  <c r="C115" i="30"/>
  <c r="C114" i="30"/>
  <c r="C113" i="30"/>
  <c r="C112" i="30"/>
  <c r="C111" i="30"/>
  <c r="C110" i="30"/>
  <c r="C109" i="30"/>
  <c r="C108" i="30"/>
  <c r="C107" i="30"/>
  <c r="C106" i="30"/>
  <c r="C105" i="30"/>
  <c r="C104" i="30"/>
  <c r="C103" i="30"/>
  <c r="C102" i="30"/>
  <c r="C101" i="30"/>
  <c r="C100" i="30"/>
  <c r="C99" i="30"/>
  <c r="C98" i="30"/>
  <c r="C97" i="30"/>
  <c r="C96" i="30"/>
  <c r="C95" i="30"/>
  <c r="C94" i="30"/>
  <c r="C93" i="30"/>
  <c r="C92" i="30"/>
  <c r="C91" i="30"/>
  <c r="C90" i="30"/>
  <c r="C89" i="30"/>
  <c r="C88" i="30"/>
  <c r="C87" i="30"/>
  <c r="C86" i="30"/>
  <c r="C85" i="30"/>
  <c r="C84" i="30"/>
  <c r="C83" i="30"/>
  <c r="C82" i="30"/>
  <c r="C81" i="30"/>
  <c r="C80" i="30"/>
  <c r="C79" i="30"/>
  <c r="C78" i="30"/>
  <c r="C77" i="30"/>
  <c r="C76" i="30"/>
  <c r="C75" i="30"/>
  <c r="C74" i="30"/>
  <c r="C73" i="30"/>
  <c r="C72" i="30"/>
  <c r="C71" i="30"/>
  <c r="C70" i="30"/>
  <c r="C69" i="30"/>
  <c r="C68" i="30"/>
  <c r="C67" i="30"/>
  <c r="C66" i="30"/>
  <c r="C65" i="30"/>
  <c r="C64" i="30"/>
  <c r="C63" i="30"/>
  <c r="C62" i="30"/>
  <c r="C61" i="30"/>
  <c r="C60" i="30"/>
  <c r="C59" i="30"/>
  <c r="C58" i="30"/>
  <c r="C57" i="30"/>
  <c r="C56" i="30"/>
  <c r="C55" i="30"/>
  <c r="C54" i="30"/>
  <c r="C53" i="30"/>
  <c r="C52" i="30"/>
  <c r="C51" i="30"/>
  <c r="C50" i="30"/>
  <c r="C49" i="30"/>
  <c r="C48" i="30"/>
  <c r="C47" i="30"/>
  <c r="C46" i="30"/>
  <c r="C45" i="30"/>
  <c r="C44" i="30"/>
  <c r="C43" i="30"/>
  <c r="C42" i="30"/>
  <c r="C41" i="30"/>
  <c r="C40" i="30"/>
  <c r="C39" i="30"/>
  <c r="C38" i="30"/>
  <c r="C37" i="30"/>
  <c r="C36" i="30"/>
  <c r="C35" i="30"/>
  <c r="C34" i="30"/>
  <c r="C33" i="30"/>
  <c r="C32" i="30"/>
  <c r="C31" i="30"/>
  <c r="C30" i="30"/>
  <c r="C29" i="30"/>
  <c r="C28" i="30"/>
  <c r="C27" i="30"/>
  <c r="C26" i="30"/>
  <c r="C25" i="30"/>
  <c r="C24" i="30"/>
  <c r="C23" i="30"/>
  <c r="C22" i="30"/>
  <c r="C21" i="30"/>
  <c r="C20" i="30"/>
  <c r="C19" i="30"/>
  <c r="C18" i="30"/>
  <c r="C17" i="30"/>
  <c r="C16" i="30"/>
  <c r="C15" i="30"/>
  <c r="C14" i="30"/>
  <c r="C13" i="30"/>
  <c r="C12" i="30"/>
  <c r="C11" i="30"/>
  <c r="C10" i="30"/>
  <c r="C9" i="30"/>
  <c r="C8" i="30"/>
  <c r="C7" i="30"/>
  <c r="C6" i="30"/>
  <c r="C5" i="30"/>
  <c r="C4" i="30"/>
  <c r="C3" i="30"/>
  <c r="C2" i="30"/>
  <c r="Q43" i="2"/>
  <c r="C43" i="2"/>
  <c r="D43" i="2"/>
  <c r="E43" i="2" s="1"/>
  <c r="Q218" i="2"/>
  <c r="R218" i="2" s="1"/>
  <c r="C218" i="2"/>
  <c r="D218" i="2"/>
  <c r="E218" i="2" s="1"/>
  <c r="Q169" i="2"/>
  <c r="R169" i="2" s="1"/>
  <c r="C169" i="2"/>
  <c r="D169" i="2"/>
  <c r="E169" i="2" s="1"/>
  <c r="Q20" i="2"/>
  <c r="R20" i="2" s="1"/>
  <c r="P20" i="2"/>
  <c r="C20" i="2"/>
  <c r="D20" i="2"/>
  <c r="E20" i="2" s="1"/>
  <c r="E3" i="29"/>
  <c r="E4" i="29"/>
  <c r="E5" i="29"/>
  <c r="E6" i="29"/>
  <c r="E7" i="29"/>
  <c r="E8" i="29"/>
  <c r="E9" i="29"/>
  <c r="E10" i="29"/>
  <c r="E11" i="29"/>
  <c r="E12" i="29"/>
  <c r="E13" i="29"/>
  <c r="E14" i="29"/>
  <c r="E15" i="29"/>
  <c r="E16" i="29"/>
  <c r="E17" i="29"/>
  <c r="E18" i="29"/>
  <c r="E19" i="29"/>
  <c r="E20" i="29"/>
  <c r="E21" i="29"/>
  <c r="E22" i="29"/>
  <c r="E23" i="29"/>
  <c r="E24" i="29"/>
  <c r="E25" i="29"/>
  <c r="E26" i="29"/>
  <c r="E27" i="29"/>
  <c r="E28" i="29"/>
  <c r="E29" i="29"/>
  <c r="E30" i="29"/>
  <c r="E31" i="29"/>
  <c r="E32" i="29"/>
  <c r="E33" i="29"/>
  <c r="E34" i="29"/>
  <c r="E35" i="29"/>
  <c r="E36" i="29"/>
  <c r="E37" i="29"/>
  <c r="E38" i="29"/>
  <c r="E39" i="29"/>
  <c r="E40" i="29"/>
  <c r="E41" i="29"/>
  <c r="E42" i="29"/>
  <c r="E43" i="29"/>
  <c r="E44" i="29"/>
  <c r="E45" i="29"/>
  <c r="E46" i="29"/>
  <c r="E47" i="29"/>
  <c r="E48" i="29"/>
  <c r="E49" i="29"/>
  <c r="E50" i="29"/>
  <c r="E51" i="29"/>
  <c r="E52" i="29"/>
  <c r="E53" i="29"/>
  <c r="E54" i="29"/>
  <c r="E55" i="29"/>
  <c r="E56" i="29"/>
  <c r="E57" i="29"/>
  <c r="E58" i="29"/>
  <c r="E59" i="29"/>
  <c r="E60" i="29"/>
  <c r="E61" i="29"/>
  <c r="E62" i="29"/>
  <c r="E63" i="29"/>
  <c r="E64" i="29"/>
  <c r="E65" i="29"/>
  <c r="E66" i="29"/>
  <c r="E67" i="29"/>
  <c r="E68" i="29"/>
  <c r="E69" i="29"/>
  <c r="E70" i="29"/>
  <c r="E71" i="29"/>
  <c r="E72" i="29"/>
  <c r="E73" i="29"/>
  <c r="E74" i="29"/>
  <c r="E75" i="29"/>
  <c r="E76" i="29"/>
  <c r="E77" i="29"/>
  <c r="E78" i="29"/>
  <c r="E79" i="29"/>
  <c r="E80" i="29"/>
  <c r="E81" i="29"/>
  <c r="E82" i="29"/>
  <c r="E83" i="29"/>
  <c r="E84" i="29"/>
  <c r="E85" i="29"/>
  <c r="E86" i="29"/>
  <c r="E87" i="29"/>
  <c r="E88" i="29"/>
  <c r="E89" i="29"/>
  <c r="E90" i="29"/>
  <c r="E91" i="29"/>
  <c r="E92" i="29"/>
  <c r="E93" i="29"/>
  <c r="E94" i="29"/>
  <c r="E95" i="29"/>
  <c r="E96" i="29"/>
  <c r="E97" i="29"/>
  <c r="E98" i="29"/>
  <c r="E99" i="29"/>
  <c r="E100" i="29"/>
  <c r="E101" i="29"/>
  <c r="E102" i="29"/>
  <c r="E103" i="29"/>
  <c r="E104" i="29"/>
  <c r="E105" i="29"/>
  <c r="E106" i="29"/>
  <c r="E107" i="29"/>
  <c r="E108" i="29"/>
  <c r="E109" i="29"/>
  <c r="E110" i="29"/>
  <c r="E111" i="29"/>
  <c r="E112" i="29"/>
  <c r="E113" i="29"/>
  <c r="E114" i="29"/>
  <c r="E115" i="29"/>
  <c r="E116" i="29"/>
  <c r="E117" i="29"/>
  <c r="E118" i="29"/>
  <c r="E119" i="29"/>
  <c r="E120" i="29"/>
  <c r="E121" i="29"/>
  <c r="E122" i="29"/>
  <c r="E123" i="29"/>
  <c r="E124" i="29"/>
  <c r="E125" i="29"/>
  <c r="E126" i="29"/>
  <c r="E127" i="29"/>
  <c r="E128" i="29"/>
  <c r="E129" i="29"/>
  <c r="E130" i="29"/>
  <c r="E131" i="29"/>
  <c r="E132" i="29"/>
  <c r="E133" i="29"/>
  <c r="E134" i="29"/>
  <c r="E135" i="29"/>
  <c r="E136" i="29"/>
  <c r="E137" i="29"/>
  <c r="E138" i="29"/>
  <c r="E139" i="29"/>
  <c r="E140" i="29"/>
  <c r="E141" i="29"/>
  <c r="E142" i="29"/>
  <c r="E143" i="29"/>
  <c r="E144" i="29"/>
  <c r="E145" i="29"/>
  <c r="E146" i="29"/>
  <c r="E147" i="29"/>
  <c r="E148" i="29"/>
  <c r="E149" i="29"/>
  <c r="E150" i="29"/>
  <c r="E151" i="29"/>
  <c r="E152" i="29"/>
  <c r="E153" i="29"/>
  <c r="E154" i="29"/>
  <c r="E155" i="29"/>
  <c r="E156" i="29"/>
  <c r="E157" i="29"/>
  <c r="E158" i="29"/>
  <c r="E159" i="29"/>
  <c r="E160" i="29"/>
  <c r="E161" i="29"/>
  <c r="E162" i="29"/>
  <c r="E163" i="29"/>
  <c r="E164" i="29"/>
  <c r="E165" i="29"/>
  <c r="E166" i="29"/>
  <c r="E167" i="29"/>
  <c r="E168" i="29"/>
  <c r="E169" i="29"/>
  <c r="E170" i="29"/>
  <c r="E171" i="29"/>
  <c r="E172" i="29"/>
  <c r="E173" i="29"/>
  <c r="E174" i="29"/>
  <c r="E175" i="29"/>
  <c r="E176" i="29"/>
  <c r="E177" i="29"/>
  <c r="E178" i="29"/>
  <c r="E179" i="29"/>
  <c r="E180" i="29"/>
  <c r="E181" i="29"/>
  <c r="E182" i="29"/>
  <c r="E183" i="29"/>
  <c r="E184" i="29"/>
  <c r="E185" i="29"/>
  <c r="E186" i="29"/>
  <c r="E187" i="29"/>
  <c r="E188" i="29"/>
  <c r="E189" i="29"/>
  <c r="E190" i="29"/>
  <c r="E191" i="29"/>
  <c r="E192" i="29"/>
  <c r="E193" i="29"/>
  <c r="E194" i="29"/>
  <c r="E195" i="29"/>
  <c r="E196" i="29"/>
  <c r="E197" i="29"/>
  <c r="E198" i="29"/>
  <c r="E199" i="29"/>
  <c r="E200" i="29"/>
  <c r="E201" i="29"/>
  <c r="E202" i="29"/>
  <c r="E203" i="29"/>
  <c r="E204" i="29"/>
  <c r="E205" i="29"/>
  <c r="E206" i="29"/>
  <c r="E207" i="29"/>
  <c r="E208" i="29"/>
  <c r="E209" i="29"/>
  <c r="E210" i="29"/>
  <c r="E211" i="29"/>
  <c r="E212" i="29"/>
  <c r="E213" i="29"/>
  <c r="E214" i="29"/>
  <c r="E215" i="29"/>
  <c r="E216" i="29"/>
  <c r="E217" i="29"/>
  <c r="E218" i="29"/>
  <c r="E219" i="29"/>
  <c r="E220" i="29"/>
  <c r="E221" i="29"/>
  <c r="E222" i="29"/>
  <c r="E223" i="29"/>
  <c r="E224" i="29"/>
  <c r="E225" i="29"/>
  <c r="E226" i="29"/>
  <c r="E227" i="29"/>
  <c r="E228" i="29"/>
  <c r="E229" i="29"/>
  <c r="E230" i="29"/>
  <c r="E231" i="29"/>
  <c r="E232" i="29"/>
  <c r="E233" i="29"/>
  <c r="E234" i="29"/>
  <c r="E235" i="29"/>
  <c r="E236" i="29"/>
  <c r="E237" i="29"/>
  <c r="E238" i="29"/>
  <c r="E239" i="29"/>
  <c r="E240" i="29"/>
  <c r="E241" i="29"/>
  <c r="E242" i="29"/>
  <c r="E243" i="29"/>
  <c r="E244" i="29"/>
  <c r="E245" i="29"/>
  <c r="E246" i="29"/>
  <c r="E247" i="29"/>
  <c r="E248" i="29"/>
  <c r="E249" i="29"/>
  <c r="E250" i="29"/>
  <c r="E251" i="29"/>
  <c r="E252" i="29"/>
  <c r="E253" i="29"/>
  <c r="E254" i="29"/>
  <c r="E255" i="29"/>
  <c r="E256" i="29"/>
  <c r="E257" i="29"/>
  <c r="E258" i="29"/>
  <c r="E259" i="29"/>
  <c r="E260" i="29"/>
  <c r="E261" i="29"/>
  <c r="E262" i="29"/>
  <c r="E263" i="29"/>
  <c r="E264" i="29"/>
  <c r="E265" i="29"/>
  <c r="E266" i="29"/>
  <c r="E267" i="29"/>
  <c r="E268" i="29"/>
  <c r="E269" i="29"/>
  <c r="E270" i="29"/>
  <c r="E271" i="29"/>
  <c r="E272" i="29"/>
  <c r="E273" i="29"/>
  <c r="E274" i="29"/>
  <c r="E275" i="29"/>
  <c r="E276" i="29"/>
  <c r="E277" i="29"/>
  <c r="E278" i="29"/>
  <c r="E279" i="29"/>
  <c r="E280" i="29"/>
  <c r="E281" i="29"/>
  <c r="E282" i="29"/>
  <c r="E283" i="29"/>
  <c r="E284" i="29"/>
  <c r="E285" i="29"/>
  <c r="E2" i="29"/>
  <c r="Q257" i="2"/>
  <c r="Q256" i="2"/>
  <c r="Q250" i="2"/>
  <c r="R250" i="2" s="1"/>
  <c r="Q248" i="2"/>
  <c r="R248" i="2" s="1"/>
  <c r="Q246" i="2"/>
  <c r="Q245" i="2"/>
  <c r="R245" i="2" s="1"/>
  <c r="Q244" i="2"/>
  <c r="R244" i="2" s="1"/>
  <c r="Q243" i="2"/>
  <c r="R243" i="2" s="1"/>
  <c r="Q242" i="2"/>
  <c r="R242" i="2" s="1"/>
  <c r="Q241" i="2"/>
  <c r="Q240" i="2"/>
  <c r="Q234" i="2"/>
  <c r="R234" i="2" s="1"/>
  <c r="Q233" i="2"/>
  <c r="R233" i="2" s="1"/>
  <c r="Q231" i="2"/>
  <c r="R231" i="2" s="1"/>
  <c r="Q230" i="2"/>
  <c r="R230" i="2" s="1"/>
  <c r="Q229" i="2"/>
  <c r="R229" i="2" s="1"/>
  <c r="Q228" i="2"/>
  <c r="R228" i="2" s="1"/>
  <c r="Q227" i="2"/>
  <c r="R227" i="2" s="1"/>
  <c r="Q226" i="2"/>
  <c r="R226" i="2" s="1"/>
  <c r="Q225" i="2"/>
  <c r="R225" i="2" s="1"/>
  <c r="Q224" i="2"/>
  <c r="R224" i="2" s="1"/>
  <c r="Q222" i="2"/>
  <c r="R222" i="2" s="1"/>
  <c r="Q221" i="2"/>
  <c r="R221" i="2" s="1"/>
  <c r="Q220" i="2"/>
  <c r="R220" i="2" s="1"/>
  <c r="S220" i="2" s="1"/>
  <c r="Q219" i="2"/>
  <c r="R219" i="2" s="1"/>
  <c r="Q217" i="2"/>
  <c r="R217" i="2" s="1"/>
  <c r="S217" i="2" s="1"/>
  <c r="Q216" i="2"/>
  <c r="R216" i="2" s="1"/>
  <c r="Q215" i="2"/>
  <c r="R215" i="2" s="1"/>
  <c r="Q214" i="2"/>
  <c r="R214" i="2" s="1"/>
  <c r="Q212" i="2"/>
  <c r="R212" i="2" s="1"/>
  <c r="Q211" i="2"/>
  <c r="R211" i="2" s="1"/>
  <c r="Q208" i="2"/>
  <c r="R208" i="2" s="1"/>
  <c r="Q207" i="2"/>
  <c r="R207" i="2" s="1"/>
  <c r="S207" i="2" s="1"/>
  <c r="Q205" i="2"/>
  <c r="R205" i="2" s="1"/>
  <c r="Q204" i="2"/>
  <c r="R204" i="2" s="1"/>
  <c r="Q203" i="2"/>
  <c r="R203" i="2" s="1"/>
  <c r="Q202" i="2"/>
  <c r="R202" i="2" s="1"/>
  <c r="Q201" i="2"/>
  <c r="Q200" i="2"/>
  <c r="R200" i="2" s="1"/>
  <c r="Q198" i="2"/>
  <c r="R198" i="2" s="1"/>
  <c r="Q197" i="2"/>
  <c r="R197" i="2" s="1"/>
  <c r="Q195" i="2"/>
  <c r="R195" i="2" s="1"/>
  <c r="S195" i="2" s="1"/>
  <c r="Q190" i="2"/>
  <c r="R190" i="2" s="1"/>
  <c r="Q189" i="2"/>
  <c r="R189" i="2" s="1"/>
  <c r="Q188" i="2"/>
  <c r="R188" i="2" s="1"/>
  <c r="S188" i="2" s="1"/>
  <c r="Q187" i="2"/>
  <c r="R187" i="2" s="1"/>
  <c r="Q186" i="2"/>
  <c r="R186" i="2" s="1"/>
  <c r="Q185" i="2"/>
  <c r="R185" i="2" s="1"/>
  <c r="S185" i="2" s="1"/>
  <c r="Q184" i="2"/>
  <c r="R184" i="2" s="1"/>
  <c r="Q183" i="2"/>
  <c r="R183" i="2" s="1"/>
  <c r="Q181" i="2"/>
  <c r="R181" i="2" s="1"/>
  <c r="Q180" i="2"/>
  <c r="R180" i="2" s="1"/>
  <c r="S180" i="2" s="1"/>
  <c r="Q177" i="2"/>
  <c r="R177" i="2" s="1"/>
  <c r="Q176" i="2"/>
  <c r="Q174" i="2"/>
  <c r="Q173" i="2"/>
  <c r="R173" i="2" s="1"/>
  <c r="Q172" i="2"/>
  <c r="R172" i="2" s="1"/>
  <c r="Q168" i="2"/>
  <c r="R168" i="2" s="1"/>
  <c r="S168" i="2" s="1"/>
  <c r="Q166" i="2"/>
  <c r="R166" i="2" s="1"/>
  <c r="Q165" i="2"/>
  <c r="R165" i="2" s="1"/>
  <c r="Q163" i="2"/>
  <c r="R163" i="2" s="1"/>
  <c r="Q164" i="2"/>
  <c r="R164" i="2" s="1"/>
  <c r="Q154" i="2"/>
  <c r="Q153" i="2"/>
  <c r="R153" i="2" s="1"/>
  <c r="Q152" i="2"/>
  <c r="J17" i="4" s="1"/>
  <c r="Q151" i="2"/>
  <c r="R151" i="2" s="1"/>
  <c r="Q150" i="2"/>
  <c r="Q148" i="2"/>
  <c r="R148" i="2" s="1"/>
  <c r="Q147" i="2"/>
  <c r="R147" i="2" s="1"/>
  <c r="Q116" i="2"/>
  <c r="R116" i="2" s="1"/>
  <c r="Q115" i="2"/>
  <c r="R115" i="2" s="1"/>
  <c r="Q114" i="2"/>
  <c r="R114" i="2" s="1"/>
  <c r="Q113" i="2"/>
  <c r="R113" i="2" s="1"/>
  <c r="Q112" i="2"/>
  <c r="R112" i="2" s="1"/>
  <c r="Q111" i="2"/>
  <c r="R111" i="2" s="1"/>
  <c r="Q101" i="2"/>
  <c r="R101" i="2" s="1"/>
  <c r="Q100" i="2"/>
  <c r="R100" i="2" s="1"/>
  <c r="Q99" i="2"/>
  <c r="R99" i="2" s="1"/>
  <c r="Q98" i="2"/>
  <c r="R98" i="2" s="1"/>
  <c r="Q97" i="2"/>
  <c r="R97" i="2" s="1"/>
  <c r="Q96" i="2"/>
  <c r="Q94" i="2"/>
  <c r="R94" i="2" s="1"/>
  <c r="S94" i="2" s="1"/>
  <c r="Q93" i="2"/>
  <c r="R93" i="2" s="1"/>
  <c r="Q91" i="2"/>
  <c r="Q89" i="2"/>
  <c r="R89" i="2" s="1"/>
  <c r="Q87" i="2"/>
  <c r="R87" i="2" s="1"/>
  <c r="Q86" i="2"/>
  <c r="R86" i="2" s="1"/>
  <c r="Q84" i="2"/>
  <c r="Q82" i="2"/>
  <c r="R82" i="2" s="1"/>
  <c r="Q81" i="2"/>
  <c r="R81" i="2" s="1"/>
  <c r="Q80" i="2"/>
  <c r="R80" i="2" s="1"/>
  <c r="Q79" i="2"/>
  <c r="R79" i="2" s="1"/>
  <c r="Q78" i="2"/>
  <c r="R78" i="2" s="1"/>
  <c r="Q77" i="2"/>
  <c r="R77" i="2" s="1"/>
  <c r="Q76" i="2"/>
  <c r="R76" i="2" s="1"/>
  <c r="Q75" i="2"/>
  <c r="R75" i="2" s="1"/>
  <c r="Q74" i="2"/>
  <c r="R74" i="2" s="1"/>
  <c r="Q73" i="2"/>
  <c r="R73" i="2" s="1"/>
  <c r="Q72" i="2"/>
  <c r="R72" i="2" s="1"/>
  <c r="Q71" i="2"/>
  <c r="R71" i="2" s="1"/>
  <c r="Q70" i="2"/>
  <c r="R70" i="2" s="1"/>
  <c r="Q69" i="2"/>
  <c r="R69" i="2" s="1"/>
  <c r="Q68" i="2"/>
  <c r="R68" i="2" s="1"/>
  <c r="Q67" i="2"/>
  <c r="R67" i="2" s="1"/>
  <c r="Q66" i="2"/>
  <c r="R66" i="2" s="1"/>
  <c r="Q65" i="2"/>
  <c r="R65" i="2" s="1"/>
  <c r="Q64" i="2"/>
  <c r="R64" i="2" s="1"/>
  <c r="Q63" i="2"/>
  <c r="R63" i="2" s="1"/>
  <c r="Q62" i="2"/>
  <c r="R62" i="2" s="1"/>
  <c r="Q61" i="2"/>
  <c r="R61" i="2" s="1"/>
  <c r="Q59" i="2"/>
  <c r="R59" i="2" s="1"/>
  <c r="Q58" i="2"/>
  <c r="R58" i="2" s="1"/>
  <c r="Q57" i="2"/>
  <c r="R57" i="2" s="1"/>
  <c r="Q56" i="2"/>
  <c r="R56" i="2" s="1"/>
  <c r="Q53" i="2"/>
  <c r="R53" i="2" s="1"/>
  <c r="Q52" i="2"/>
  <c r="R52" i="2" s="1"/>
  <c r="Q51" i="2"/>
  <c r="R51" i="2" s="1"/>
  <c r="Q49" i="2"/>
  <c r="R49" i="2" s="1"/>
  <c r="Q48" i="2"/>
  <c r="R48" i="2" s="1"/>
  <c r="Q47" i="2"/>
  <c r="R47" i="2" s="1"/>
  <c r="Q45" i="2"/>
  <c r="Q42" i="2"/>
  <c r="R42" i="2" s="1"/>
  <c r="Q39" i="2"/>
  <c r="R39" i="2" s="1"/>
  <c r="Q38" i="2"/>
  <c r="R38" i="2" s="1"/>
  <c r="Q36" i="2"/>
  <c r="R36" i="2" s="1"/>
  <c r="Q37" i="2"/>
  <c r="R37" i="2" s="1"/>
  <c r="Q34" i="2"/>
  <c r="R34" i="2" s="1"/>
  <c r="Q32" i="2"/>
  <c r="Q30" i="2"/>
  <c r="J20" i="4"/>
  <c r="Q9" i="2"/>
  <c r="J14" i="4" s="1"/>
  <c r="Q10" i="2"/>
  <c r="R10" i="2" s="1"/>
  <c r="Q11" i="2"/>
  <c r="J23" i="4" s="1"/>
  <c r="Q13" i="2"/>
  <c r="R13" i="2" s="1"/>
  <c r="Q16" i="2"/>
  <c r="R16" i="2" s="1"/>
  <c r="Q17" i="2"/>
  <c r="Q18" i="2"/>
  <c r="R18" i="2" s="1"/>
  <c r="Q26" i="2"/>
  <c r="R26" i="2" s="1"/>
  <c r="R27" i="2" s="1"/>
  <c r="Q19" i="2"/>
  <c r="R19" i="2" s="1"/>
  <c r="Q23" i="2"/>
  <c r="P5" i="2"/>
  <c r="P7" i="2"/>
  <c r="I20" i="4" s="1"/>
  <c r="P10" i="2"/>
  <c r="P11" i="2"/>
  <c r="I23" i="4" s="1"/>
  <c r="P13" i="2"/>
  <c r="P16" i="2"/>
  <c r="P17" i="2"/>
  <c r="P18" i="2"/>
  <c r="P26" i="2"/>
  <c r="P19" i="2"/>
  <c r="P23" i="2"/>
  <c r="P29" i="2"/>
  <c r="P30" i="2"/>
  <c r="P31" i="2" s="1"/>
  <c r="P32" i="2"/>
  <c r="P34" i="2"/>
  <c r="P37" i="2"/>
  <c r="P36" i="2"/>
  <c r="P38" i="2"/>
  <c r="P39" i="2"/>
  <c r="P42" i="2"/>
  <c r="P45" i="2"/>
  <c r="P47" i="2"/>
  <c r="P48" i="2"/>
  <c r="P49" i="2"/>
  <c r="P51" i="2"/>
  <c r="P52" i="2"/>
  <c r="P53" i="2"/>
  <c r="P56" i="2"/>
  <c r="P57" i="2"/>
  <c r="P58" i="2"/>
  <c r="P59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4" i="2"/>
  <c r="P86" i="2"/>
  <c r="P87" i="2"/>
  <c r="P89" i="2"/>
  <c r="P91" i="2"/>
  <c r="P92" i="2"/>
  <c r="P93" i="2"/>
  <c r="P94" i="2"/>
  <c r="P95" i="2"/>
  <c r="P96" i="2"/>
  <c r="P97" i="2"/>
  <c r="P98" i="2"/>
  <c r="P99" i="2"/>
  <c r="P100" i="2"/>
  <c r="P101" i="2"/>
  <c r="P111" i="2"/>
  <c r="P112" i="2"/>
  <c r="P113" i="2"/>
  <c r="P114" i="2"/>
  <c r="P115" i="2"/>
  <c r="P116" i="2"/>
  <c r="P147" i="2"/>
  <c r="P148" i="2"/>
  <c r="P150" i="2"/>
  <c r="P151" i="2"/>
  <c r="P152" i="2"/>
  <c r="I17" i="4" s="1"/>
  <c r="P160" i="2"/>
  <c r="P164" i="2"/>
  <c r="P163" i="2"/>
  <c r="P165" i="2"/>
  <c r="P166" i="2"/>
  <c r="P168" i="2"/>
  <c r="P171" i="2"/>
  <c r="P172" i="2"/>
  <c r="P173" i="2"/>
  <c r="P174" i="2"/>
  <c r="P176" i="2"/>
  <c r="P177" i="2"/>
  <c r="P180" i="2"/>
  <c r="P183" i="2"/>
  <c r="P184" i="2"/>
  <c r="P186" i="2"/>
  <c r="P187" i="2"/>
  <c r="P188" i="2"/>
  <c r="P189" i="2"/>
  <c r="P190" i="2"/>
  <c r="P197" i="2"/>
  <c r="P198" i="2"/>
  <c r="P200" i="2"/>
  <c r="P201" i="2"/>
  <c r="P202" i="2"/>
  <c r="P203" i="2"/>
  <c r="P204" i="2"/>
  <c r="P205" i="2"/>
  <c r="P207" i="2"/>
  <c r="P208" i="2"/>
  <c r="P209" i="2"/>
  <c r="P212" i="2"/>
  <c r="P214" i="2"/>
  <c r="P216" i="2"/>
  <c r="P217" i="2"/>
  <c r="P219" i="2"/>
  <c r="P221" i="2"/>
  <c r="P222" i="2"/>
  <c r="P224" i="2"/>
  <c r="P225" i="2"/>
  <c r="P227" i="2"/>
  <c r="P228" i="2"/>
  <c r="P230" i="2"/>
  <c r="P231" i="2"/>
  <c r="P233" i="2"/>
  <c r="P234" i="2"/>
  <c r="P239" i="2"/>
  <c r="P240" i="2"/>
  <c r="P241" i="2"/>
  <c r="P242" i="2"/>
  <c r="P243" i="2"/>
  <c r="P244" i="2"/>
  <c r="P245" i="2"/>
  <c r="P246" i="2"/>
  <c r="P248" i="2"/>
  <c r="P250" i="2"/>
  <c r="P256" i="2"/>
  <c r="P257" i="2"/>
  <c r="P4" i="2"/>
  <c r="N5" i="1"/>
  <c r="N6" i="1"/>
  <c r="N7" i="1"/>
  <c r="N8" i="1"/>
  <c r="N9" i="1"/>
  <c r="N10" i="1"/>
  <c r="N11" i="1"/>
  <c r="N12" i="1"/>
  <c r="N13" i="1"/>
  <c r="N14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4" i="1"/>
  <c r="N35" i="1"/>
  <c r="N36" i="1"/>
  <c r="N37" i="1"/>
  <c r="N39" i="1"/>
  <c r="N41" i="1"/>
  <c r="N42" i="1"/>
  <c r="N43" i="1"/>
  <c r="N44" i="1"/>
  <c r="N46" i="1"/>
  <c r="N48" i="1"/>
  <c r="N49" i="1"/>
  <c r="N53" i="1"/>
  <c r="N54" i="1"/>
  <c r="N57" i="1"/>
  <c r="N61" i="1"/>
  <c r="N65" i="1"/>
  <c r="N71" i="1"/>
  <c r="N72" i="1"/>
  <c r="N74" i="1"/>
  <c r="N75" i="1"/>
  <c r="N76" i="1"/>
  <c r="N80" i="1"/>
  <c r="N81" i="1"/>
  <c r="N82" i="1"/>
  <c r="N83" i="1"/>
  <c r="N86" i="1"/>
  <c r="N88" i="1"/>
  <c r="N90" i="1"/>
  <c r="N91" i="1"/>
  <c r="N92" i="1"/>
  <c r="N98" i="1"/>
  <c r="N99" i="1"/>
  <c r="N100" i="1"/>
  <c r="N101" i="1"/>
  <c r="N102" i="1"/>
  <c r="N105" i="1"/>
  <c r="N106" i="1"/>
  <c r="N108" i="1"/>
  <c r="N109" i="1"/>
  <c r="N111" i="1"/>
  <c r="N115" i="1"/>
  <c r="N119" i="1"/>
  <c r="N120" i="1"/>
  <c r="N121" i="1"/>
  <c r="N122" i="1"/>
  <c r="N124" i="1"/>
  <c r="N125" i="1"/>
  <c r="N126" i="1"/>
  <c r="N127" i="1"/>
  <c r="N128" i="1"/>
  <c r="N129" i="1"/>
  <c r="N130" i="1"/>
  <c r="N134" i="1"/>
  <c r="N135" i="1"/>
  <c r="N136" i="1"/>
  <c r="N137" i="1"/>
  <c r="N139" i="1"/>
  <c r="N140" i="1"/>
  <c r="N141" i="1"/>
  <c r="N142" i="1"/>
  <c r="N143" i="1"/>
  <c r="N144" i="1"/>
  <c r="N145" i="1"/>
  <c r="N146" i="1"/>
  <c r="N148" i="1"/>
  <c r="N149" i="1"/>
  <c r="N150" i="1"/>
  <c r="N151" i="1"/>
  <c r="N152" i="1"/>
  <c r="N157" i="1"/>
  <c r="N159" i="1"/>
  <c r="N160" i="1"/>
  <c r="N161" i="1"/>
  <c r="N162" i="1"/>
  <c r="N163" i="1"/>
  <c r="N164" i="1"/>
  <c r="N166" i="1"/>
  <c r="N167" i="1"/>
  <c r="N168" i="1"/>
  <c r="N169" i="1"/>
  <c r="N170" i="1"/>
  <c r="N171" i="1"/>
  <c r="N172" i="1"/>
  <c r="N173" i="1"/>
  <c r="N176" i="1"/>
  <c r="N177" i="1"/>
  <c r="N178" i="1"/>
  <c r="N179" i="1"/>
  <c r="N180" i="1"/>
  <c r="N182" i="1"/>
  <c r="N183" i="1"/>
  <c r="N184" i="1"/>
  <c r="N185" i="1"/>
  <c r="N186" i="1"/>
  <c r="N187" i="1"/>
  <c r="N188" i="1"/>
  <c r="N189" i="1"/>
  <c r="N190" i="1"/>
  <c r="N191" i="1"/>
  <c r="N192" i="1"/>
  <c r="N198" i="1"/>
  <c r="N199" i="1"/>
  <c r="N202" i="1"/>
  <c r="N204" i="1"/>
  <c r="N205" i="1"/>
  <c r="N208" i="1"/>
  <c r="N210" i="1"/>
  <c r="N211" i="1"/>
  <c r="N212" i="1"/>
  <c r="N214" i="1"/>
  <c r="N215" i="1"/>
  <c r="N217" i="1"/>
  <c r="N218" i="1"/>
  <c r="N219" i="1"/>
  <c r="N220" i="1"/>
  <c r="N222" i="1"/>
  <c r="N223" i="1"/>
  <c r="N225" i="1"/>
  <c r="N226" i="1"/>
  <c r="N227" i="1"/>
  <c r="N229" i="1"/>
  <c r="N232" i="1"/>
  <c r="N234" i="1"/>
  <c r="N238" i="1"/>
  <c r="N239" i="1"/>
  <c r="N240" i="1"/>
  <c r="N242" i="1"/>
  <c r="N244" i="1"/>
  <c r="N245" i="1"/>
  <c r="N246" i="1"/>
  <c r="N247" i="1"/>
  <c r="N248" i="1"/>
  <c r="N249" i="1"/>
  <c r="N250" i="1"/>
  <c r="N256" i="1"/>
  <c r="N259" i="1"/>
  <c r="N260" i="1"/>
  <c r="N261" i="1"/>
  <c r="N262" i="1"/>
  <c r="N263" i="1"/>
  <c r="N271" i="1"/>
  <c r="N272" i="1"/>
  <c r="N274" i="1"/>
  <c r="N275" i="1"/>
  <c r="N277" i="1"/>
  <c r="N278" i="1"/>
  <c r="N279" i="1"/>
  <c r="N280" i="1"/>
  <c r="N284" i="1"/>
  <c r="N285" i="1"/>
  <c r="N286" i="1"/>
  <c r="N287" i="1"/>
  <c r="N290" i="1"/>
  <c r="N293" i="1"/>
  <c r="N294" i="1"/>
  <c r="N297" i="1"/>
  <c r="N298" i="1"/>
  <c r="N299" i="1"/>
  <c r="N301" i="1"/>
  <c r="N302" i="1"/>
  <c r="N303" i="1"/>
  <c r="N307" i="1"/>
  <c r="N309" i="1"/>
  <c r="N311" i="1"/>
  <c r="N323" i="1"/>
  <c r="N328" i="1"/>
  <c r="N331" i="1"/>
  <c r="N333" i="1"/>
  <c r="N335" i="1"/>
  <c r="N336" i="1"/>
  <c r="N342" i="1"/>
  <c r="N343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9" i="1"/>
  <c r="N365" i="1"/>
  <c r="N366" i="1"/>
  <c r="N367" i="1"/>
  <c r="N368" i="1"/>
  <c r="N369" i="1"/>
  <c r="N370" i="1"/>
  <c r="N372" i="1"/>
  <c r="N375" i="1"/>
  <c r="N377" i="1"/>
  <c r="N378" i="1"/>
  <c r="N379" i="1"/>
  <c r="N381" i="1"/>
  <c r="N382" i="1"/>
  <c r="N383" i="1"/>
  <c r="N385" i="1"/>
  <c r="N386" i="1"/>
  <c r="N387" i="1"/>
  <c r="N390" i="1"/>
  <c r="N391" i="1"/>
  <c r="N396" i="1"/>
  <c r="N398" i="1"/>
  <c r="N399" i="1"/>
  <c r="N400" i="1"/>
  <c r="N401" i="1"/>
  <c r="N402" i="1"/>
  <c r="N403" i="1"/>
  <c r="N404" i="1"/>
  <c r="N405" i="1"/>
  <c r="N406" i="1"/>
  <c r="N407" i="1"/>
  <c r="N413" i="1"/>
  <c r="N416" i="1"/>
  <c r="N418" i="1"/>
  <c r="N428" i="1"/>
  <c r="N429" i="1"/>
  <c r="N430" i="1"/>
  <c r="N432" i="1"/>
  <c r="N435" i="1"/>
  <c r="N436" i="1"/>
  <c r="N438" i="1"/>
  <c r="N440" i="1"/>
  <c r="N441" i="1"/>
  <c r="N442" i="1"/>
  <c r="N443" i="1"/>
  <c r="N448" i="1"/>
  <c r="N451" i="1"/>
  <c r="N452" i="1"/>
  <c r="N455" i="1"/>
  <c r="N456" i="1"/>
  <c r="N457" i="1"/>
  <c r="N458" i="1"/>
  <c r="N460" i="1"/>
  <c r="N462" i="1"/>
  <c r="N463" i="1"/>
  <c r="N464" i="1"/>
  <c r="N465" i="1"/>
  <c r="N466" i="1"/>
  <c r="N469" i="1"/>
  <c r="N476" i="1"/>
  <c r="N477" i="1"/>
  <c r="N478" i="1"/>
  <c r="N480" i="1"/>
  <c r="N483" i="1"/>
  <c r="N485" i="1"/>
  <c r="N487" i="1"/>
  <c r="N488" i="1"/>
  <c r="N489" i="1"/>
  <c r="N492" i="1"/>
  <c r="N493" i="1"/>
  <c r="N494" i="1"/>
  <c r="N495" i="1"/>
  <c r="N496" i="1"/>
  <c r="N497" i="1"/>
  <c r="N501" i="1"/>
  <c r="N502" i="1"/>
  <c r="N503" i="1"/>
  <c r="N505" i="1"/>
  <c r="N506" i="1"/>
  <c r="N507" i="1"/>
  <c r="N508" i="1"/>
  <c r="N512" i="1"/>
  <c r="I40" i="4" s="1"/>
  <c r="N513" i="1"/>
  <c r="I42" i="4" s="1"/>
  <c r="N515" i="1"/>
  <c r="N516" i="1"/>
  <c r="N517" i="1"/>
  <c r="N519" i="1"/>
  <c r="I45" i="4" s="1"/>
  <c r="N4" i="1"/>
  <c r="N153" i="2"/>
  <c r="P153" i="2" s="1"/>
  <c r="N154" i="2"/>
  <c r="P154" i="2" s="1"/>
  <c r="K284" i="1"/>
  <c r="L197" i="1"/>
  <c r="K197" i="1"/>
  <c r="L340" i="1"/>
  <c r="N340" i="1" s="1"/>
  <c r="L339" i="1"/>
  <c r="L203" i="1"/>
  <c r="N203" i="1" s="1"/>
  <c r="L308" i="1"/>
  <c r="L107" i="1"/>
  <c r="L110" i="1" s="1"/>
  <c r="C37" i="1"/>
  <c r="D37" i="1"/>
  <c r="E37" i="1" s="1"/>
  <c r="K37" i="1"/>
  <c r="E353" i="1"/>
  <c r="E354" i="1"/>
  <c r="K379" i="1"/>
  <c r="K242" i="1"/>
  <c r="L268" i="1"/>
  <c r="J155" i="1"/>
  <c r="K268" i="1"/>
  <c r="D98" i="1"/>
  <c r="E98" i="1" s="1"/>
  <c r="D80" i="1"/>
  <c r="E80" i="1" s="1"/>
  <c r="J4" i="1"/>
  <c r="J34" i="1"/>
  <c r="K9" i="23" s="1"/>
  <c r="J217" i="1"/>
  <c r="K31" i="23" s="1"/>
  <c r="J307" i="1"/>
  <c r="H34" i="25" s="1"/>
  <c r="J363" i="1"/>
  <c r="J373" i="1"/>
  <c r="J473" i="1"/>
  <c r="J481" i="1"/>
  <c r="J490" i="1"/>
  <c r="J499" i="1"/>
  <c r="J510" i="1"/>
  <c r="J520" i="1"/>
  <c r="L252" i="2"/>
  <c r="L200" i="2"/>
  <c r="H257" i="33" s="1"/>
  <c r="L189" i="2"/>
  <c r="H242" i="33" s="1"/>
  <c r="L187" i="2"/>
  <c r="H240" i="33" s="1"/>
  <c r="L184" i="2"/>
  <c r="H233" i="33" s="1"/>
  <c r="L36" i="2"/>
  <c r="K42" i="1"/>
  <c r="K43" i="1"/>
  <c r="K46" i="1"/>
  <c r="L47" i="1"/>
  <c r="K50" i="1"/>
  <c r="L50" i="1" s="1"/>
  <c r="K51" i="1"/>
  <c r="L51" i="1" s="1"/>
  <c r="K52" i="1"/>
  <c r="L52" i="1" s="1"/>
  <c r="K53" i="1"/>
  <c r="K54" i="1"/>
  <c r="K56" i="1"/>
  <c r="K58" i="1"/>
  <c r="K59" i="1"/>
  <c r="L59" i="1" s="1"/>
  <c r="K61" i="1"/>
  <c r="K63" i="1"/>
  <c r="L63" i="1" s="1"/>
  <c r="K64" i="1"/>
  <c r="L64" i="1" s="1"/>
  <c r="K66" i="1"/>
  <c r="L66" i="1" s="1"/>
  <c r="K67" i="1"/>
  <c r="L67" i="1" s="1"/>
  <c r="K68" i="1"/>
  <c r="L68" i="1" s="1"/>
  <c r="K70" i="1"/>
  <c r="L70" i="1" s="1"/>
  <c r="K83" i="1"/>
  <c r="K93" i="1"/>
  <c r="N93" i="1"/>
  <c r="K117" i="1"/>
  <c r="L117" i="1" s="1"/>
  <c r="K118" i="1"/>
  <c r="L118" i="1" s="1"/>
  <c r="K129" i="1"/>
  <c r="K142" i="1"/>
  <c r="K156" i="1"/>
  <c r="L181" i="1"/>
  <c r="K196" i="1"/>
  <c r="L196" i="1" s="1"/>
  <c r="K200" i="1"/>
  <c r="K209" i="1"/>
  <c r="L209" i="1" s="1"/>
  <c r="K216" i="1"/>
  <c r="L216" i="1" s="1"/>
  <c r="K224" i="1"/>
  <c r="L224" i="1" s="1"/>
  <c r="K230" i="1"/>
  <c r="L230" i="1" s="1"/>
  <c r="K231" i="1"/>
  <c r="L231" i="1" s="1"/>
  <c r="K233" i="1"/>
  <c r="L233" i="1" s="1"/>
  <c r="K235" i="1"/>
  <c r="L235" i="1" s="1"/>
  <c r="K236" i="1"/>
  <c r="K237" i="1"/>
  <c r="L237" i="1" s="1"/>
  <c r="K264" i="1"/>
  <c r="N264" i="1"/>
  <c r="K269" i="1"/>
  <c r="N269" i="1"/>
  <c r="K270" i="1"/>
  <c r="L270" i="1" s="1"/>
  <c r="K290" i="1"/>
  <c r="K294" i="1"/>
  <c r="K306" i="1"/>
  <c r="L306" i="1" s="1"/>
  <c r="K326" i="1"/>
  <c r="K364" i="1"/>
  <c r="K371" i="1"/>
  <c r="K373" i="1" s="1"/>
  <c r="K374" i="1"/>
  <c r="K376" i="1"/>
  <c r="K377" i="1"/>
  <c r="K380" i="1"/>
  <c r="K384" i="1"/>
  <c r="L384" i="1" s="1"/>
  <c r="K393" i="1"/>
  <c r="L393" i="1" s="1"/>
  <c r="K394" i="1"/>
  <c r="K397" i="1"/>
  <c r="K412" i="1"/>
  <c r="L412" i="1" s="1"/>
  <c r="K414" i="1"/>
  <c r="L414" i="1" s="1"/>
  <c r="K415" i="1"/>
  <c r="L415" i="1" s="1"/>
  <c r="K417" i="1"/>
  <c r="L417" i="1" s="1"/>
  <c r="K422" i="1"/>
  <c r="K424" i="1"/>
  <c r="L424" i="1" s="1"/>
  <c r="K425" i="1"/>
  <c r="L425" i="1" s="1"/>
  <c r="L427" i="1"/>
  <c r="K431" i="1"/>
  <c r="L431" i="1" s="1"/>
  <c r="L437" i="1"/>
  <c r="K439" i="1"/>
  <c r="L439" i="1" s="1"/>
  <c r="K447" i="1"/>
  <c r="L447" i="1" s="1"/>
  <c r="K450" i="1"/>
  <c r="K453" i="1"/>
  <c r="L453" i="1" s="1"/>
  <c r="K474" i="1"/>
  <c r="K478" i="1"/>
  <c r="K482" i="1"/>
  <c r="K484" i="1"/>
  <c r="L484" i="1" s="1"/>
  <c r="K486" i="1"/>
  <c r="L486" i="1" s="1"/>
  <c r="K491" i="1"/>
  <c r="K498" i="1"/>
  <c r="K499" i="1" s="1"/>
  <c r="K500" i="1"/>
  <c r="K510" i="1"/>
  <c r="K511" i="1"/>
  <c r="G40" i="4"/>
  <c r="G42" i="4"/>
  <c r="K514" i="1"/>
  <c r="K518" i="1"/>
  <c r="L518" i="1" s="1"/>
  <c r="G45" i="4"/>
  <c r="G36" i="4"/>
  <c r="H42" i="4"/>
  <c r="G28" i="4"/>
  <c r="H28" i="4"/>
  <c r="H45" i="4"/>
  <c r="K12" i="1"/>
  <c r="K16" i="1"/>
  <c r="K17" i="1"/>
  <c r="K18" i="1"/>
  <c r="K21" i="1"/>
  <c r="K23" i="1"/>
  <c r="K28" i="1"/>
  <c r="K29" i="1"/>
  <c r="K30" i="1"/>
  <c r="K32" i="1"/>
  <c r="H40" i="4"/>
  <c r="H36" i="4"/>
  <c r="K8" i="1"/>
  <c r="K9" i="1"/>
  <c r="K10" i="1"/>
  <c r="K11" i="1"/>
  <c r="G5" i="4"/>
  <c r="H5" i="4"/>
  <c r="H6" i="4"/>
  <c r="H7" i="4"/>
  <c r="H9" i="4"/>
  <c r="H13" i="4"/>
  <c r="H15" i="4"/>
  <c r="H17" i="4"/>
  <c r="H20" i="4"/>
  <c r="H21" i="4"/>
  <c r="H23" i="4"/>
  <c r="G17" i="4"/>
  <c r="G20" i="4"/>
  <c r="G23" i="4"/>
  <c r="G15" i="4"/>
  <c r="M257" i="2"/>
  <c r="M244" i="2"/>
  <c r="M246" i="2"/>
  <c r="G6" i="4"/>
  <c r="M181" i="2"/>
  <c r="N181" i="2" s="1"/>
  <c r="M185" i="2"/>
  <c r="M195" i="2"/>
  <c r="N195" i="2" s="1"/>
  <c r="M211" i="2"/>
  <c r="N211" i="2" s="1"/>
  <c r="M215" i="2"/>
  <c r="N215" i="2" s="1"/>
  <c r="M220" i="2"/>
  <c r="N220" i="2" s="1"/>
  <c r="M226" i="2"/>
  <c r="N226" i="2" s="1"/>
  <c r="M229" i="2"/>
  <c r="N229" i="2" s="1"/>
  <c r="M32" i="2"/>
  <c r="M51" i="2"/>
  <c r="M57" i="2"/>
  <c r="M58" i="2"/>
  <c r="M62" i="2"/>
  <c r="M63" i="2"/>
  <c r="M64" i="2"/>
  <c r="M67" i="2"/>
  <c r="M68" i="2"/>
  <c r="M69" i="2"/>
  <c r="M71" i="2"/>
  <c r="M73" i="2"/>
  <c r="M74" i="2"/>
  <c r="M75" i="2"/>
  <c r="M78" i="2"/>
  <c r="M79" i="2"/>
  <c r="M80" i="2"/>
  <c r="M86" i="2"/>
  <c r="M89" i="2"/>
  <c r="M91" i="2"/>
  <c r="M93" i="2"/>
  <c r="M96" i="2"/>
  <c r="M99" i="2"/>
  <c r="M100" i="2"/>
  <c r="M101" i="2"/>
  <c r="M112" i="2"/>
  <c r="M114" i="2"/>
  <c r="M115" i="2"/>
  <c r="M150" i="2"/>
  <c r="M153" i="2"/>
  <c r="I4" i="7"/>
  <c r="I5" i="7"/>
  <c r="I30" i="7" s="1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J84" i="26"/>
  <c r="I84" i="26"/>
  <c r="H84" i="26"/>
  <c r="G84" i="26"/>
  <c r="F84" i="26"/>
  <c r="E84" i="26"/>
  <c r="J74" i="26"/>
  <c r="I74" i="26"/>
  <c r="H74" i="26"/>
  <c r="G74" i="26"/>
  <c r="F74" i="26"/>
  <c r="E74" i="26"/>
  <c r="J67" i="26"/>
  <c r="I67" i="26"/>
  <c r="H67" i="26"/>
  <c r="G67" i="26"/>
  <c r="F67" i="26"/>
  <c r="E67" i="26"/>
  <c r="J62" i="26"/>
  <c r="I62" i="26"/>
  <c r="H62" i="26"/>
  <c r="G62" i="26"/>
  <c r="F62" i="26"/>
  <c r="E62" i="26"/>
  <c r="J55" i="26"/>
  <c r="I55" i="26"/>
  <c r="H55" i="26"/>
  <c r="G55" i="26"/>
  <c r="F55" i="26"/>
  <c r="E55" i="26"/>
  <c r="J27" i="26"/>
  <c r="J30" i="26" s="1"/>
  <c r="I27" i="26"/>
  <c r="I30" i="26" s="1"/>
  <c r="H27" i="26"/>
  <c r="H30" i="26" s="1"/>
  <c r="G27" i="26"/>
  <c r="G30" i="26" s="1"/>
  <c r="F27" i="26"/>
  <c r="F30" i="26" s="1"/>
  <c r="E27" i="26"/>
  <c r="E30" i="26" s="1"/>
  <c r="J18" i="26"/>
  <c r="I18" i="26"/>
  <c r="H18" i="26"/>
  <c r="G18" i="26"/>
  <c r="F18" i="26"/>
  <c r="E18" i="26"/>
  <c r="J13" i="26"/>
  <c r="I13" i="26"/>
  <c r="H13" i="26"/>
  <c r="G13" i="26"/>
  <c r="F13" i="26"/>
  <c r="E13" i="26"/>
  <c r="J8" i="26"/>
  <c r="I8" i="26"/>
  <c r="H8" i="26"/>
  <c r="G8" i="26"/>
  <c r="F8" i="26"/>
  <c r="E8" i="26"/>
  <c r="H22" i="7"/>
  <c r="H23" i="7"/>
  <c r="H24" i="7"/>
  <c r="H25" i="7"/>
  <c r="H26" i="7"/>
  <c r="E22" i="7"/>
  <c r="E23" i="7"/>
  <c r="E24" i="7"/>
  <c r="E25" i="7"/>
  <c r="E26" i="7"/>
  <c r="E27" i="7"/>
  <c r="E28" i="7"/>
  <c r="H18" i="7"/>
  <c r="H19" i="7"/>
  <c r="H20" i="7"/>
  <c r="H21" i="7"/>
  <c r="E18" i="7"/>
  <c r="E19" i="7"/>
  <c r="E20" i="7"/>
  <c r="E21" i="7"/>
  <c r="H16" i="7"/>
  <c r="H17" i="7"/>
  <c r="E16" i="7"/>
  <c r="E17" i="7"/>
  <c r="H8" i="7"/>
  <c r="H9" i="7"/>
  <c r="H10" i="7"/>
  <c r="H11" i="7"/>
  <c r="H12" i="7"/>
  <c r="H13" i="7"/>
  <c r="H14" i="7"/>
  <c r="H15" i="7"/>
  <c r="E8" i="7"/>
  <c r="E9" i="7"/>
  <c r="E10" i="7"/>
  <c r="E11" i="7"/>
  <c r="E12" i="7"/>
  <c r="E13" i="7"/>
  <c r="E14" i="7"/>
  <c r="E15" i="7"/>
  <c r="H7" i="7"/>
  <c r="E7" i="7"/>
  <c r="H5" i="7"/>
  <c r="H30" i="7" s="1"/>
  <c r="H6" i="7"/>
  <c r="E5" i="7"/>
  <c r="E6" i="7"/>
  <c r="H4" i="7"/>
  <c r="G4" i="7"/>
  <c r="F4" i="7"/>
  <c r="B4" i="7"/>
  <c r="C4" i="7"/>
  <c r="D4" i="7"/>
  <c r="E4" i="7"/>
  <c r="B44" i="25"/>
  <c r="H43" i="25"/>
  <c r="I43" i="25"/>
  <c r="E43" i="25"/>
  <c r="F43" i="25"/>
  <c r="G43" i="25"/>
  <c r="A43" i="25"/>
  <c r="H42" i="25"/>
  <c r="I42" i="25"/>
  <c r="E42" i="25"/>
  <c r="F42" i="25"/>
  <c r="G42" i="25"/>
  <c r="A42" i="25"/>
  <c r="H41" i="25"/>
  <c r="I41" i="25"/>
  <c r="E41" i="25"/>
  <c r="F41" i="25"/>
  <c r="G41" i="25"/>
  <c r="A41" i="25"/>
  <c r="H40" i="25"/>
  <c r="I40" i="25"/>
  <c r="E40" i="25"/>
  <c r="F40" i="25"/>
  <c r="G40" i="25"/>
  <c r="A40" i="25"/>
  <c r="H39" i="25"/>
  <c r="I39" i="25"/>
  <c r="E39" i="25"/>
  <c r="F39" i="25"/>
  <c r="G39" i="25"/>
  <c r="A39" i="25"/>
  <c r="H38" i="25"/>
  <c r="I38" i="25"/>
  <c r="E38" i="25"/>
  <c r="F38" i="25"/>
  <c r="G38" i="25"/>
  <c r="A38" i="25"/>
  <c r="H37" i="25"/>
  <c r="I37" i="25"/>
  <c r="E37" i="25"/>
  <c r="F37" i="25"/>
  <c r="G37" i="25"/>
  <c r="A37" i="25"/>
  <c r="H36" i="25"/>
  <c r="I36" i="25"/>
  <c r="E36" i="25"/>
  <c r="F36" i="25"/>
  <c r="G36" i="25"/>
  <c r="A36" i="25"/>
  <c r="H35" i="25"/>
  <c r="I35" i="25"/>
  <c r="E35" i="25"/>
  <c r="F35" i="25"/>
  <c r="G35" i="25"/>
  <c r="A35" i="25"/>
  <c r="I34" i="25"/>
  <c r="E34" i="25"/>
  <c r="F34" i="25"/>
  <c r="G34" i="25"/>
  <c r="A34" i="25"/>
  <c r="H33" i="25"/>
  <c r="I33" i="25"/>
  <c r="E33" i="25"/>
  <c r="F33" i="25"/>
  <c r="G33" i="25"/>
  <c r="A33" i="25"/>
  <c r="H32" i="25"/>
  <c r="I32" i="25"/>
  <c r="E32" i="25"/>
  <c r="F32" i="25"/>
  <c r="G32" i="25"/>
  <c r="A32" i="25"/>
  <c r="H31" i="25"/>
  <c r="E31" i="25"/>
  <c r="F31" i="25"/>
  <c r="G31" i="25"/>
  <c r="A31" i="25"/>
  <c r="H30" i="25"/>
  <c r="I30" i="25"/>
  <c r="E30" i="25"/>
  <c r="F30" i="25"/>
  <c r="G30" i="25"/>
  <c r="A30" i="25"/>
  <c r="H29" i="25"/>
  <c r="I29" i="25"/>
  <c r="E29" i="25"/>
  <c r="F29" i="25"/>
  <c r="G29" i="25"/>
  <c r="A29" i="25"/>
  <c r="H28" i="25"/>
  <c r="I28" i="25"/>
  <c r="E28" i="25"/>
  <c r="F28" i="25"/>
  <c r="G28" i="25"/>
  <c r="A28" i="25"/>
  <c r="H27" i="25"/>
  <c r="I27" i="25"/>
  <c r="E27" i="25"/>
  <c r="F27" i="25"/>
  <c r="G27" i="25"/>
  <c r="A27" i="25"/>
  <c r="H26" i="25"/>
  <c r="I26" i="25"/>
  <c r="E26" i="25"/>
  <c r="F26" i="25"/>
  <c r="G26" i="25"/>
  <c r="A26" i="25"/>
  <c r="H25" i="25"/>
  <c r="I25" i="25"/>
  <c r="E25" i="25"/>
  <c r="F25" i="25"/>
  <c r="G25" i="25"/>
  <c r="A25" i="25"/>
  <c r="H24" i="25"/>
  <c r="I24" i="25"/>
  <c r="E24" i="25"/>
  <c r="F24" i="25"/>
  <c r="G24" i="25"/>
  <c r="A24" i="25"/>
  <c r="H22" i="25"/>
  <c r="I22" i="25"/>
  <c r="H23" i="25"/>
  <c r="I23" i="25"/>
  <c r="E22" i="25"/>
  <c r="F22" i="25"/>
  <c r="G22" i="25"/>
  <c r="E23" i="25"/>
  <c r="F23" i="25"/>
  <c r="G23" i="25"/>
  <c r="A22" i="25"/>
  <c r="A23" i="25"/>
  <c r="H21" i="25"/>
  <c r="I21" i="25"/>
  <c r="E21" i="25"/>
  <c r="F21" i="25"/>
  <c r="G21" i="25"/>
  <c r="A21" i="25"/>
  <c r="H17" i="25"/>
  <c r="I17" i="25"/>
  <c r="H18" i="25"/>
  <c r="I18" i="25"/>
  <c r="H19" i="25"/>
  <c r="I19" i="25"/>
  <c r="H20" i="25"/>
  <c r="I20" i="25"/>
  <c r="E17" i="25"/>
  <c r="F17" i="25"/>
  <c r="G17" i="25"/>
  <c r="E18" i="25"/>
  <c r="F18" i="25"/>
  <c r="G18" i="25"/>
  <c r="E19" i="25"/>
  <c r="F19" i="25"/>
  <c r="G19" i="25"/>
  <c r="E20" i="25"/>
  <c r="F20" i="25"/>
  <c r="G20" i="25"/>
  <c r="A17" i="25"/>
  <c r="A18" i="25"/>
  <c r="A19" i="25"/>
  <c r="A20" i="25"/>
  <c r="H16" i="25"/>
  <c r="I16" i="25"/>
  <c r="E16" i="25"/>
  <c r="F16" i="25"/>
  <c r="G16" i="25"/>
  <c r="A16" i="25"/>
  <c r="H14" i="25"/>
  <c r="I14" i="25"/>
  <c r="H15" i="25"/>
  <c r="I15" i="25"/>
  <c r="E14" i="25"/>
  <c r="F14" i="25"/>
  <c r="G14" i="25"/>
  <c r="E15" i="25"/>
  <c r="F15" i="25"/>
  <c r="G15" i="25"/>
  <c r="A14" i="25"/>
  <c r="A15" i="25"/>
  <c r="H13" i="25"/>
  <c r="I13" i="25"/>
  <c r="E13" i="25"/>
  <c r="F13" i="25"/>
  <c r="G13" i="25"/>
  <c r="A13" i="25"/>
  <c r="H12" i="25"/>
  <c r="I12" i="25"/>
  <c r="E12" i="25"/>
  <c r="F12" i="25"/>
  <c r="G12" i="25"/>
  <c r="A12" i="25"/>
  <c r="H11" i="25"/>
  <c r="I11" i="25"/>
  <c r="E11" i="25"/>
  <c r="F11" i="25"/>
  <c r="G11" i="25"/>
  <c r="A11" i="25"/>
  <c r="H10" i="25"/>
  <c r="I10" i="25"/>
  <c r="E10" i="25"/>
  <c r="F10" i="25"/>
  <c r="G10" i="25"/>
  <c r="A10" i="25"/>
  <c r="H9" i="25"/>
  <c r="I9" i="25"/>
  <c r="E9" i="25"/>
  <c r="F9" i="25"/>
  <c r="G9" i="25"/>
  <c r="A9" i="25"/>
  <c r="H8" i="25"/>
  <c r="I8" i="25"/>
  <c r="E8" i="25"/>
  <c r="F8" i="25"/>
  <c r="G8" i="25"/>
  <c r="A8" i="25"/>
  <c r="H7" i="25"/>
  <c r="I7" i="25"/>
  <c r="E7" i="25"/>
  <c r="F7" i="25"/>
  <c r="G7" i="25"/>
  <c r="A7" i="25"/>
  <c r="H6" i="25"/>
  <c r="I6" i="25"/>
  <c r="E6" i="25"/>
  <c r="F6" i="25"/>
  <c r="G6" i="25"/>
  <c r="A6" i="25"/>
  <c r="H4" i="25"/>
  <c r="I4" i="25"/>
  <c r="I44" i="25" s="1"/>
  <c r="H5" i="25"/>
  <c r="I5" i="25"/>
  <c r="E4" i="25"/>
  <c r="F4" i="25"/>
  <c r="G4" i="25"/>
  <c r="E5" i="25"/>
  <c r="F5" i="25"/>
  <c r="G5" i="25"/>
  <c r="A4" i="25"/>
  <c r="A5" i="25"/>
  <c r="H3" i="25"/>
  <c r="I3" i="25"/>
  <c r="J3" i="25"/>
  <c r="B3" i="25"/>
  <c r="C3" i="25"/>
  <c r="D3" i="25"/>
  <c r="E3" i="25"/>
  <c r="F3" i="25"/>
  <c r="G3" i="25"/>
  <c r="A3" i="25"/>
  <c r="J56" i="23"/>
  <c r="J61" i="23" s="1"/>
  <c r="I32" i="23"/>
  <c r="I35" i="23"/>
  <c r="I37" i="23"/>
  <c r="I56" i="23"/>
  <c r="J66" i="23"/>
  <c r="H66" i="23"/>
  <c r="F63" i="23"/>
  <c r="H63" i="23"/>
  <c r="J63" i="23"/>
  <c r="H61" i="23"/>
  <c r="F61" i="23"/>
  <c r="F55" i="23"/>
  <c r="H55" i="23"/>
  <c r="J55" i="23"/>
  <c r="J52" i="23"/>
  <c r="H52" i="23"/>
  <c r="F52" i="23"/>
  <c r="F23" i="23"/>
  <c r="H23" i="23"/>
  <c r="J23" i="23"/>
  <c r="J20" i="23"/>
  <c r="H20" i="23"/>
  <c r="F20" i="23"/>
  <c r="F18" i="23"/>
  <c r="H18" i="23"/>
  <c r="J18" i="23"/>
  <c r="J16" i="23"/>
  <c r="H16" i="23"/>
  <c r="F16" i="23"/>
  <c r="F14" i="23"/>
  <c r="H14" i="23"/>
  <c r="J14" i="23"/>
  <c r="J10" i="23"/>
  <c r="F10" i="23"/>
  <c r="H10" i="23"/>
  <c r="F46" i="23"/>
  <c r="F66" i="23"/>
  <c r="J26" i="23"/>
  <c r="J46" i="23" s="1"/>
  <c r="H37" i="23"/>
  <c r="H26" i="23"/>
  <c r="H19" i="1"/>
  <c r="H78" i="1" s="1"/>
  <c r="N2" i="24"/>
  <c r="N3" i="24"/>
  <c r="M4" i="24"/>
  <c r="O4" i="24"/>
  <c r="AC4" i="24"/>
  <c r="N5" i="24"/>
  <c r="N6" i="24"/>
  <c r="M7" i="24"/>
  <c r="O7" i="24"/>
  <c r="AC7" i="24"/>
  <c r="N8" i="24"/>
  <c r="N9" i="24"/>
  <c r="N10" i="24" s="1"/>
  <c r="M10" i="24"/>
  <c r="O10" i="24"/>
  <c r="AC10" i="24"/>
  <c r="N11" i="24"/>
  <c r="N12" i="24" s="1"/>
  <c r="M12" i="24"/>
  <c r="O12" i="24"/>
  <c r="AC12" i="24"/>
  <c r="N13" i="24"/>
  <c r="N14" i="24" s="1"/>
  <c r="M14" i="24"/>
  <c r="O14" i="24"/>
  <c r="AC14" i="24"/>
  <c r="N15" i="24"/>
  <c r="N16" i="24" s="1"/>
  <c r="M16" i="24"/>
  <c r="O16" i="24"/>
  <c r="AC16" i="24"/>
  <c r="N17" i="24"/>
  <c r="N18" i="24"/>
  <c r="M19" i="24"/>
  <c r="O19" i="24"/>
  <c r="AC19" i="24"/>
  <c r="N20" i="24"/>
  <c r="N21" i="24" s="1"/>
  <c r="M21" i="24"/>
  <c r="O21" i="24"/>
  <c r="AC21" i="24"/>
  <c r="N22" i="24"/>
  <c r="N23" i="24"/>
  <c r="M24" i="24"/>
  <c r="O24" i="24"/>
  <c r="AC24" i="24"/>
  <c r="N25" i="24"/>
  <c r="N26" i="24"/>
  <c r="N27" i="24"/>
  <c r="M28" i="24"/>
  <c r="O28" i="24"/>
  <c r="AC28" i="24"/>
  <c r="N29" i="24"/>
  <c r="N30" i="24" s="1"/>
  <c r="M30" i="24"/>
  <c r="O30" i="24"/>
  <c r="AC30" i="24"/>
  <c r="N31" i="24"/>
  <c r="N32" i="24"/>
  <c r="N33" i="24"/>
  <c r="N34" i="24"/>
  <c r="M35" i="24"/>
  <c r="O35" i="24"/>
  <c r="AC35" i="24"/>
  <c r="N36" i="24"/>
  <c r="N37" i="24" s="1"/>
  <c r="M37" i="24"/>
  <c r="O37" i="24"/>
  <c r="AC37" i="24"/>
  <c r="N38" i="24"/>
  <c r="N39" i="24" s="1"/>
  <c r="M39" i="24"/>
  <c r="O39" i="24"/>
  <c r="AC39" i="24"/>
  <c r="N40" i="24"/>
  <c r="N41" i="24" s="1"/>
  <c r="M41" i="24"/>
  <c r="O41" i="24"/>
  <c r="AC41" i="24"/>
  <c r="N42" i="24"/>
  <c r="N43" i="24"/>
  <c r="N44" i="24"/>
  <c r="N45" i="24"/>
  <c r="N46" i="24"/>
  <c r="N47" i="24"/>
  <c r="N48" i="24"/>
  <c r="N49" i="24"/>
  <c r="N50" i="24"/>
  <c r="N51" i="24"/>
  <c r="N52" i="24"/>
  <c r="N53" i="24"/>
  <c r="N54" i="24"/>
  <c r="N55" i="24"/>
  <c r="M56" i="24"/>
  <c r="O56" i="24"/>
  <c r="AC56" i="24"/>
  <c r="N57" i="24"/>
  <c r="N58" i="24"/>
  <c r="N59" i="24"/>
  <c r="N60" i="24"/>
  <c r="N61" i="24"/>
  <c r="N62" i="24"/>
  <c r="N63" i="24"/>
  <c r="N64" i="24"/>
  <c r="N65" i="24"/>
  <c r="N66" i="24"/>
  <c r="N67" i="24"/>
  <c r="N68" i="24"/>
  <c r="N69" i="24"/>
  <c r="N70" i="24"/>
  <c r="N71" i="24"/>
  <c r="N72" i="24"/>
  <c r="N73" i="24"/>
  <c r="N74" i="24"/>
  <c r="N75" i="24"/>
  <c r="N76" i="24"/>
  <c r="N77" i="24"/>
  <c r="N78" i="24"/>
  <c r="N79" i="24"/>
  <c r="N80" i="24"/>
  <c r="N81" i="24"/>
  <c r="N82" i="24"/>
  <c r="N83" i="24"/>
  <c r="M84" i="24"/>
  <c r="O84" i="24"/>
  <c r="AC84" i="24"/>
  <c r="N85" i="24"/>
  <c r="N86" i="24"/>
  <c r="N87" i="24"/>
  <c r="N88" i="24"/>
  <c r="N89" i="24"/>
  <c r="N90" i="24"/>
  <c r="N91" i="24"/>
  <c r="N92" i="24"/>
  <c r="N93" i="24"/>
  <c r="N94" i="24"/>
  <c r="N95" i="24"/>
  <c r="N96" i="24"/>
  <c r="M97" i="24"/>
  <c r="O97" i="24"/>
  <c r="AC97" i="24"/>
  <c r="N98" i="24"/>
  <c r="N99" i="24" s="1"/>
  <c r="M99" i="24"/>
  <c r="O99" i="24"/>
  <c r="AC99" i="24"/>
  <c r="N100" i="24"/>
  <c r="N101" i="24"/>
  <c r="M102" i="24"/>
  <c r="O102" i="24"/>
  <c r="AC102" i="24"/>
  <c r="N103" i="24"/>
  <c r="N104" i="24"/>
  <c r="N105" i="24"/>
  <c r="N106" i="24"/>
  <c r="N107" i="24"/>
  <c r="N108" i="24"/>
  <c r="N109" i="24"/>
  <c r="N110" i="24"/>
  <c r="N111" i="24"/>
  <c r="M112" i="24"/>
  <c r="O112" i="24"/>
  <c r="AC112" i="24"/>
  <c r="N113" i="24"/>
  <c r="N114" i="24" s="1"/>
  <c r="M114" i="24"/>
  <c r="O114" i="24"/>
  <c r="AC114" i="24"/>
  <c r="N115" i="24"/>
  <c r="N116" i="24"/>
  <c r="N117" i="24"/>
  <c r="N118" i="24"/>
  <c r="N119" i="24"/>
  <c r="N120" i="24"/>
  <c r="N121" i="24"/>
  <c r="N122" i="24"/>
  <c r="N123" i="24"/>
  <c r="M124" i="24"/>
  <c r="O124" i="24"/>
  <c r="AC124" i="24"/>
  <c r="N125" i="24"/>
  <c r="N126" i="24" s="1"/>
  <c r="M126" i="24"/>
  <c r="O126" i="24"/>
  <c r="AC126" i="24"/>
  <c r="N127" i="24"/>
  <c r="N128" i="24"/>
  <c r="N129" i="24"/>
  <c r="N130" i="24"/>
  <c r="N131" i="24"/>
  <c r="N132" i="24"/>
  <c r="N133" i="24"/>
  <c r="N134" i="24"/>
  <c r="N135" i="24"/>
  <c r="N136" i="24"/>
  <c r="N137" i="24"/>
  <c r="M138" i="24"/>
  <c r="O138" i="24"/>
  <c r="AC138" i="24"/>
  <c r="N139" i="24"/>
  <c r="N140" i="24" s="1"/>
  <c r="M140" i="24"/>
  <c r="O140" i="24"/>
  <c r="AC140" i="24"/>
  <c r="N141" i="24"/>
  <c r="N142" i="24"/>
  <c r="N143" i="24"/>
  <c r="N144" i="24"/>
  <c r="N145" i="24"/>
  <c r="N146" i="24"/>
  <c r="N147" i="24"/>
  <c r="M148" i="24"/>
  <c r="O148" i="24"/>
  <c r="AC148" i="24"/>
  <c r="N149" i="24"/>
  <c r="N150" i="24" s="1"/>
  <c r="M150" i="24"/>
  <c r="O150" i="24"/>
  <c r="AC150" i="24"/>
  <c r="N151" i="24"/>
  <c r="N152" i="24" s="1"/>
  <c r="M152" i="24"/>
  <c r="O152" i="24"/>
  <c r="AC152" i="24"/>
  <c r="N153" i="24"/>
  <c r="N154" i="24"/>
  <c r="N155" i="24"/>
  <c r="N156" i="24"/>
  <c r="N157" i="24"/>
  <c r="N158" i="24"/>
  <c r="N159" i="24"/>
  <c r="N160" i="24"/>
  <c r="N161" i="24"/>
  <c r="N162" i="24"/>
  <c r="N163" i="24"/>
  <c r="N164" i="24"/>
  <c r="N165" i="24"/>
  <c r="N166" i="24"/>
  <c r="N167" i="24"/>
  <c r="N168" i="24"/>
  <c r="N169" i="24"/>
  <c r="N170" i="24"/>
  <c r="N171" i="24"/>
  <c r="M172" i="24"/>
  <c r="O172" i="24"/>
  <c r="AC172" i="24"/>
  <c r="N173" i="24"/>
  <c r="N174" i="24"/>
  <c r="M175" i="24"/>
  <c r="O175" i="24"/>
  <c r="AC175" i="24"/>
  <c r="N176" i="24"/>
  <c r="N177" i="24"/>
  <c r="N178" i="24"/>
  <c r="N179" i="24"/>
  <c r="N180" i="24"/>
  <c r="N181" i="24"/>
  <c r="N182" i="24"/>
  <c r="N183" i="24"/>
  <c r="N184" i="24"/>
  <c r="N185" i="24"/>
  <c r="N186" i="24"/>
  <c r="N187" i="24"/>
  <c r="M188" i="24"/>
  <c r="O188" i="24"/>
  <c r="AC188" i="24"/>
  <c r="N189" i="24"/>
  <c r="N190" i="24"/>
  <c r="N191" i="24"/>
  <c r="N192" i="24"/>
  <c r="N193" i="24"/>
  <c r="N194" i="24"/>
  <c r="N195" i="24"/>
  <c r="N196" i="24"/>
  <c r="N197" i="24"/>
  <c r="N198" i="24"/>
  <c r="N199" i="24"/>
  <c r="N200" i="24"/>
  <c r="N201" i="24"/>
  <c r="N202" i="24"/>
  <c r="N203" i="24"/>
  <c r="N204" i="24"/>
  <c r="N205" i="24"/>
  <c r="N206" i="24"/>
  <c r="N207" i="24"/>
  <c r="N208" i="24"/>
  <c r="N209" i="24"/>
  <c r="N210" i="24"/>
  <c r="N211" i="24"/>
  <c r="N212" i="24"/>
  <c r="N213" i="24"/>
  <c r="N214" i="24"/>
  <c r="N215" i="24"/>
  <c r="N216" i="24"/>
  <c r="N217" i="24"/>
  <c r="N218" i="24"/>
  <c r="N219" i="24"/>
  <c r="N220" i="24"/>
  <c r="N221" i="24"/>
  <c r="N222" i="24"/>
  <c r="N223" i="24"/>
  <c r="N224" i="24"/>
  <c r="N225" i="24"/>
  <c r="N226" i="24"/>
  <c r="N227" i="24"/>
  <c r="N228" i="24"/>
  <c r="N229" i="24"/>
  <c r="N230" i="24"/>
  <c r="N231" i="24"/>
  <c r="N232" i="24"/>
  <c r="N233" i="24"/>
  <c r="N234" i="24"/>
  <c r="N235" i="24"/>
  <c r="N236" i="24"/>
  <c r="N237" i="24"/>
  <c r="N238" i="24"/>
  <c r="N239" i="24"/>
  <c r="N240" i="24"/>
  <c r="N241" i="24"/>
  <c r="N242" i="24"/>
  <c r="N243" i="24"/>
  <c r="N244" i="24"/>
  <c r="N245" i="24"/>
  <c r="N246" i="24"/>
  <c r="M247" i="24"/>
  <c r="O247" i="24"/>
  <c r="AC247" i="24"/>
  <c r="N248" i="24"/>
  <c r="N249" i="24"/>
  <c r="N250" i="24"/>
  <c r="N251" i="24"/>
  <c r="N252" i="24"/>
  <c r="N253" i="24"/>
  <c r="N254" i="24"/>
  <c r="M255" i="24"/>
  <c r="O255" i="24"/>
  <c r="AC255" i="24"/>
  <c r="N256" i="24"/>
  <c r="N257" i="24"/>
  <c r="N258" i="24"/>
  <c r="N259" i="24"/>
  <c r="N260" i="24"/>
  <c r="N261" i="24"/>
  <c r="N262" i="24"/>
  <c r="M263" i="24"/>
  <c r="O263" i="24"/>
  <c r="AC263" i="24"/>
  <c r="N264" i="24"/>
  <c r="N265" i="24"/>
  <c r="N266" i="24"/>
  <c r="N267" i="24"/>
  <c r="M268" i="24"/>
  <c r="O268" i="24"/>
  <c r="AC268" i="24"/>
  <c r="N269" i="24"/>
  <c r="N270" i="24"/>
  <c r="N271" i="24"/>
  <c r="N272" i="24"/>
  <c r="N273" i="24"/>
  <c r="N274" i="24"/>
  <c r="N275" i="24"/>
  <c r="N276" i="24"/>
  <c r="N277" i="24"/>
  <c r="N278" i="24"/>
  <c r="N279" i="24"/>
  <c r="N280" i="24"/>
  <c r="N281" i="24"/>
  <c r="N282" i="24"/>
  <c r="N283" i="24"/>
  <c r="N284" i="24"/>
  <c r="N285" i="24"/>
  <c r="N286" i="24"/>
  <c r="N287" i="24"/>
  <c r="M288" i="24"/>
  <c r="O288" i="24"/>
  <c r="AC288" i="24"/>
  <c r="N289" i="24"/>
  <c r="N290" i="24" s="1"/>
  <c r="M290" i="24"/>
  <c r="O290" i="24"/>
  <c r="AC290" i="24"/>
  <c r="N291" i="24"/>
  <c r="N292" i="24"/>
  <c r="N293" i="24"/>
  <c r="N294" i="24"/>
  <c r="N295" i="24"/>
  <c r="N296" i="24"/>
  <c r="N297" i="24"/>
  <c r="N298" i="24"/>
  <c r="M299" i="24"/>
  <c r="O299" i="24"/>
  <c r="AC299" i="24"/>
  <c r="N300" i="24"/>
  <c r="N301" i="24" s="1"/>
  <c r="M301" i="24"/>
  <c r="O301" i="24"/>
  <c r="AC301" i="24"/>
  <c r="N302" i="24"/>
  <c r="N303" i="24" s="1"/>
  <c r="M303" i="24"/>
  <c r="O303" i="24"/>
  <c r="AC303" i="24"/>
  <c r="N304" i="24"/>
  <c r="N305" i="24"/>
  <c r="N306" i="24"/>
  <c r="M307" i="24"/>
  <c r="O307" i="24"/>
  <c r="AC307" i="24"/>
  <c r="N308" i="24"/>
  <c r="N309" i="24"/>
  <c r="M310" i="24"/>
  <c r="O310" i="24"/>
  <c r="AC310" i="24"/>
  <c r="N311" i="24"/>
  <c r="N312" i="24"/>
  <c r="M313" i="24"/>
  <c r="O313" i="24"/>
  <c r="AC313" i="24"/>
  <c r="N314" i="24"/>
  <c r="N315" i="24"/>
  <c r="M316" i="24"/>
  <c r="O316" i="24"/>
  <c r="AC316" i="24"/>
  <c r="N317" i="24"/>
  <c r="N318" i="24"/>
  <c r="N319" i="24"/>
  <c r="M320" i="24"/>
  <c r="O320" i="24"/>
  <c r="AC320" i="24"/>
  <c r="N321" i="24"/>
  <c r="N322" i="24"/>
  <c r="N323" i="24"/>
  <c r="N324" i="24"/>
  <c r="N325" i="24"/>
  <c r="N326" i="24"/>
  <c r="N327" i="24"/>
  <c r="N328" i="24"/>
  <c r="N329" i="24"/>
  <c r="N330" i="24"/>
  <c r="N331" i="24"/>
  <c r="N332" i="24"/>
  <c r="N333" i="24"/>
  <c r="N334" i="24"/>
  <c r="N335" i="24"/>
  <c r="N336" i="24"/>
  <c r="N337" i="24"/>
  <c r="N338" i="24"/>
  <c r="N339" i="24"/>
  <c r="N340" i="24"/>
  <c r="M341" i="24"/>
  <c r="O341" i="24"/>
  <c r="AC341" i="24"/>
  <c r="N342" i="24"/>
  <c r="N343" i="24" s="1"/>
  <c r="M343" i="24"/>
  <c r="O343" i="24"/>
  <c r="AC343" i="24"/>
  <c r="N344" i="24"/>
  <c r="N345" i="24"/>
  <c r="M346" i="24"/>
  <c r="O346" i="24"/>
  <c r="AC346" i="24"/>
  <c r="N347" i="24"/>
  <c r="N348" i="24"/>
  <c r="M349" i="24"/>
  <c r="O349" i="24"/>
  <c r="AC349" i="24"/>
  <c r="N350" i="24"/>
  <c r="N351" i="24"/>
  <c r="M352" i="24"/>
  <c r="O352" i="24"/>
  <c r="AC352" i="24"/>
  <c r="N353" i="24"/>
  <c r="N354" i="24"/>
  <c r="M355" i="24"/>
  <c r="O355" i="24"/>
  <c r="AC355" i="24"/>
  <c r="G14" i="4"/>
  <c r="I31" i="25"/>
  <c r="J36" i="25"/>
  <c r="C355" i="1"/>
  <c r="B36" i="25" s="1"/>
  <c r="D355" i="1"/>
  <c r="E355" i="1" s="1"/>
  <c r="D36" i="25" s="1"/>
  <c r="J4" i="25"/>
  <c r="J44" i="25" s="1"/>
  <c r="J5" i="25"/>
  <c r="J6" i="25"/>
  <c r="J7" i="25"/>
  <c r="J8" i="25"/>
  <c r="J9" i="25"/>
  <c r="J10" i="25"/>
  <c r="J11" i="25"/>
  <c r="J12" i="25"/>
  <c r="J13" i="25"/>
  <c r="J14" i="25"/>
  <c r="J15" i="25"/>
  <c r="J16" i="25"/>
  <c r="J17" i="25"/>
  <c r="J18" i="25"/>
  <c r="J19" i="25"/>
  <c r="J20" i="25"/>
  <c r="J21" i="25"/>
  <c r="J22" i="25"/>
  <c r="J23" i="25"/>
  <c r="J24" i="25"/>
  <c r="J25" i="25"/>
  <c r="J26" i="25"/>
  <c r="J27" i="25"/>
  <c r="J28" i="25"/>
  <c r="J29" i="25"/>
  <c r="J30" i="25"/>
  <c r="J31" i="25"/>
  <c r="J32" i="25"/>
  <c r="J33" i="25"/>
  <c r="J34" i="25"/>
  <c r="J35" i="25"/>
  <c r="J38" i="25"/>
  <c r="J39" i="25"/>
  <c r="J41" i="25"/>
  <c r="J42" i="25"/>
  <c r="J43" i="25"/>
  <c r="J37" i="25"/>
  <c r="J40" i="25"/>
  <c r="K64" i="23"/>
  <c r="K65" i="23"/>
  <c r="E64" i="23"/>
  <c r="G64" i="23"/>
  <c r="I64" i="23"/>
  <c r="E65" i="23"/>
  <c r="G65" i="23"/>
  <c r="I65" i="23"/>
  <c r="K62" i="23"/>
  <c r="K63" i="23" s="1"/>
  <c r="E62" i="23"/>
  <c r="G62" i="23"/>
  <c r="G63" i="23" s="1"/>
  <c r="I62" i="23"/>
  <c r="I63" i="23" s="1"/>
  <c r="K60" i="23"/>
  <c r="E60" i="23"/>
  <c r="G60" i="23"/>
  <c r="I60" i="23"/>
  <c r="K59" i="23"/>
  <c r="E59" i="23"/>
  <c r="G59" i="23"/>
  <c r="I59" i="23"/>
  <c r="K58" i="23"/>
  <c r="E58" i="23"/>
  <c r="G58" i="23"/>
  <c r="I58" i="23"/>
  <c r="K57" i="23"/>
  <c r="E57" i="23"/>
  <c r="G57" i="23"/>
  <c r="I57" i="23"/>
  <c r="K56" i="23"/>
  <c r="E56" i="23"/>
  <c r="G56" i="23"/>
  <c r="K54" i="23"/>
  <c r="E54" i="23"/>
  <c r="G54" i="23"/>
  <c r="I54" i="23"/>
  <c r="K53" i="23"/>
  <c r="K55" i="23" s="1"/>
  <c r="E53" i="23"/>
  <c r="G53" i="23"/>
  <c r="G55" i="23" s="1"/>
  <c r="I53" i="23"/>
  <c r="I55" i="23" s="1"/>
  <c r="K51" i="23"/>
  <c r="E51" i="23"/>
  <c r="G51" i="23"/>
  <c r="I51" i="23"/>
  <c r="K49" i="23"/>
  <c r="K50" i="23"/>
  <c r="E49" i="23"/>
  <c r="G49" i="23"/>
  <c r="I49" i="23"/>
  <c r="E50" i="23"/>
  <c r="G50" i="23"/>
  <c r="I50" i="23"/>
  <c r="K48" i="23"/>
  <c r="E48" i="23"/>
  <c r="G48" i="23"/>
  <c r="I48" i="23"/>
  <c r="K47" i="23"/>
  <c r="E47" i="23"/>
  <c r="G47" i="23"/>
  <c r="I47" i="23"/>
  <c r="K44" i="23"/>
  <c r="K45" i="23"/>
  <c r="E44" i="23"/>
  <c r="G44" i="23"/>
  <c r="I44" i="23"/>
  <c r="E45" i="23"/>
  <c r="G45" i="23"/>
  <c r="I45" i="23"/>
  <c r="K43" i="23"/>
  <c r="E43" i="23"/>
  <c r="G43" i="23"/>
  <c r="I43" i="23"/>
  <c r="K42" i="23"/>
  <c r="E42" i="23"/>
  <c r="G42" i="23"/>
  <c r="I42" i="23"/>
  <c r="K41" i="23"/>
  <c r="E41" i="23"/>
  <c r="G41" i="23"/>
  <c r="I41" i="23"/>
  <c r="K40" i="23"/>
  <c r="E40" i="23"/>
  <c r="G40" i="23"/>
  <c r="I40" i="23"/>
  <c r="K39" i="23"/>
  <c r="E39" i="23"/>
  <c r="G39" i="23"/>
  <c r="I39" i="23"/>
  <c r="K38" i="23"/>
  <c r="E38" i="23"/>
  <c r="G38" i="23"/>
  <c r="I38" i="23"/>
  <c r="K37" i="23"/>
  <c r="E37" i="23"/>
  <c r="G37" i="23"/>
  <c r="K36" i="23"/>
  <c r="E36" i="23"/>
  <c r="G36" i="23"/>
  <c r="I36" i="23"/>
  <c r="K35" i="23"/>
  <c r="E35" i="23"/>
  <c r="G35" i="23"/>
  <c r="K34" i="23"/>
  <c r="E34" i="23"/>
  <c r="G34" i="23"/>
  <c r="I34" i="23"/>
  <c r="K33" i="23"/>
  <c r="E33" i="23"/>
  <c r="G33" i="23"/>
  <c r="I33" i="23"/>
  <c r="K32" i="23"/>
  <c r="E32" i="23"/>
  <c r="G32" i="23"/>
  <c r="E31" i="23"/>
  <c r="G31" i="23"/>
  <c r="I31" i="23"/>
  <c r="K30" i="23"/>
  <c r="E30" i="23"/>
  <c r="G30" i="23"/>
  <c r="I30" i="23"/>
  <c r="K29" i="23"/>
  <c r="E29" i="23"/>
  <c r="G29" i="23"/>
  <c r="I29" i="23"/>
  <c r="K28" i="23"/>
  <c r="E28" i="23"/>
  <c r="G28" i="23"/>
  <c r="I28" i="23"/>
  <c r="K27" i="23"/>
  <c r="E27" i="23"/>
  <c r="G27" i="23"/>
  <c r="I27" i="23"/>
  <c r="K26" i="23"/>
  <c r="E26" i="23"/>
  <c r="G26" i="23"/>
  <c r="I26" i="23"/>
  <c r="K25" i="23"/>
  <c r="E25" i="23"/>
  <c r="G25" i="23"/>
  <c r="I25" i="23"/>
  <c r="K24" i="23"/>
  <c r="E24" i="23"/>
  <c r="G24" i="23"/>
  <c r="I24" i="23"/>
  <c r="K22" i="23"/>
  <c r="E22" i="23"/>
  <c r="G22" i="23"/>
  <c r="I22" i="23"/>
  <c r="K21" i="23"/>
  <c r="E21" i="23"/>
  <c r="G21" i="23"/>
  <c r="I21" i="23"/>
  <c r="K19" i="23"/>
  <c r="K20" i="23" s="1"/>
  <c r="E19" i="23"/>
  <c r="G19" i="23"/>
  <c r="G20" i="23" s="1"/>
  <c r="I19" i="23"/>
  <c r="I20" i="23" s="1"/>
  <c r="K17" i="23"/>
  <c r="K18" i="23" s="1"/>
  <c r="E17" i="23"/>
  <c r="G17" i="23"/>
  <c r="G18" i="23" s="1"/>
  <c r="I17" i="23"/>
  <c r="I18" i="23" s="1"/>
  <c r="K15" i="23"/>
  <c r="K16" i="23" s="1"/>
  <c r="E15" i="23"/>
  <c r="G15" i="23"/>
  <c r="G16" i="23" s="1"/>
  <c r="I15" i="23"/>
  <c r="I16" i="23" s="1"/>
  <c r="K13" i="23"/>
  <c r="E13" i="23"/>
  <c r="G13" i="23"/>
  <c r="I13" i="23"/>
  <c r="K11" i="23"/>
  <c r="K12" i="23"/>
  <c r="E11" i="23"/>
  <c r="G11" i="23"/>
  <c r="I11" i="23"/>
  <c r="E12" i="23"/>
  <c r="G12" i="23"/>
  <c r="I12" i="23"/>
  <c r="E9" i="23"/>
  <c r="G9" i="23"/>
  <c r="I9" i="23"/>
  <c r="K8" i="23"/>
  <c r="E8" i="23"/>
  <c r="G8" i="23"/>
  <c r="K7" i="23"/>
  <c r="E7" i="23"/>
  <c r="G7" i="23"/>
  <c r="I7" i="23"/>
  <c r="E6" i="23"/>
  <c r="G6" i="23"/>
  <c r="I6" i="23"/>
  <c r="K5" i="23"/>
  <c r="B5" i="23"/>
  <c r="C5" i="23"/>
  <c r="D5" i="23"/>
  <c r="E5" i="23"/>
  <c r="G5" i="23"/>
  <c r="I5" i="23"/>
  <c r="I14" i="8"/>
  <c r="I16" i="8" s="1"/>
  <c r="I11" i="2"/>
  <c r="D23" i="4" s="1"/>
  <c r="J153" i="2"/>
  <c r="J151" i="2"/>
  <c r="J150" i="2"/>
  <c r="J147" i="2"/>
  <c r="J116" i="2"/>
  <c r="J115" i="2"/>
  <c r="J114" i="2"/>
  <c r="J113" i="2"/>
  <c r="J112" i="2"/>
  <c r="J111" i="2"/>
  <c r="J101" i="2"/>
  <c r="J100" i="2"/>
  <c r="J99" i="2"/>
  <c r="J98" i="2"/>
  <c r="J97" i="2"/>
  <c r="J96" i="2"/>
  <c r="J95" i="2"/>
  <c r="J94" i="2"/>
  <c r="J93" i="2"/>
  <c r="J92" i="2"/>
  <c r="J91" i="2"/>
  <c r="J89" i="2"/>
  <c r="J87" i="2"/>
  <c r="J86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59" i="2"/>
  <c r="J58" i="2"/>
  <c r="J57" i="2"/>
  <c r="J56" i="2"/>
  <c r="J51" i="2"/>
  <c r="J49" i="2"/>
  <c r="J48" i="2"/>
  <c r="J47" i="2"/>
  <c r="J45" i="2"/>
  <c r="J39" i="2"/>
  <c r="J38" i="2"/>
  <c r="J36" i="2"/>
  <c r="J34" i="2"/>
  <c r="J32" i="2"/>
  <c r="J30" i="2"/>
  <c r="G11" i="7"/>
  <c r="G12" i="7"/>
  <c r="G13" i="7"/>
  <c r="G15" i="7"/>
  <c r="J26" i="2"/>
  <c r="J19" i="2"/>
  <c r="G16" i="7" s="1"/>
  <c r="I152" i="2"/>
  <c r="J152" i="2" s="1"/>
  <c r="I18" i="2"/>
  <c r="J18" i="2" s="1"/>
  <c r="G14" i="7" s="1"/>
  <c r="I17" i="2"/>
  <c r="J17" i="2" s="1"/>
  <c r="G10" i="7" s="1"/>
  <c r="F10" i="14"/>
  <c r="G10" i="14"/>
  <c r="H10" i="14"/>
  <c r="F11" i="22"/>
  <c r="G11" i="22"/>
  <c r="H11" i="22"/>
  <c r="F19" i="21"/>
  <c r="G19" i="21"/>
  <c r="H19" i="21"/>
  <c r="F90" i="20"/>
  <c r="G90" i="20"/>
  <c r="H90" i="20"/>
  <c r="F13" i="19"/>
  <c r="G13" i="19"/>
  <c r="H13" i="19"/>
  <c r="F158" i="18"/>
  <c r="G158" i="18"/>
  <c r="H158" i="18"/>
  <c r="F36" i="17"/>
  <c r="G36" i="17"/>
  <c r="H36" i="17"/>
  <c r="F40" i="16"/>
  <c r="G40" i="16"/>
  <c r="H40" i="16"/>
  <c r="F192" i="15"/>
  <c r="G192" i="15"/>
  <c r="H192" i="15"/>
  <c r="F8" i="13"/>
  <c r="G8" i="13"/>
  <c r="H8" i="13"/>
  <c r="F69" i="11"/>
  <c r="G69" i="11"/>
  <c r="F92" i="10"/>
  <c r="G92" i="10"/>
  <c r="F7" i="9"/>
  <c r="G7" i="9"/>
  <c r="G16" i="8"/>
  <c r="H16" i="8"/>
  <c r="J16" i="8"/>
  <c r="F9" i="12"/>
  <c r="G9" i="12"/>
  <c r="H9" i="12"/>
  <c r="H69" i="11"/>
  <c r="H92" i="10"/>
  <c r="H7" i="9"/>
  <c r="K16" i="8"/>
  <c r="H520" i="1"/>
  <c r="I520" i="1"/>
  <c r="G520" i="1"/>
  <c r="H510" i="1"/>
  <c r="I510" i="1"/>
  <c r="G510" i="1"/>
  <c r="H499" i="1"/>
  <c r="I499" i="1"/>
  <c r="G499" i="1"/>
  <c r="H490" i="1"/>
  <c r="I490" i="1"/>
  <c r="G490" i="1"/>
  <c r="I252" i="2"/>
  <c r="K252" i="2"/>
  <c r="K238" i="2"/>
  <c r="K159" i="2"/>
  <c r="J5" i="2"/>
  <c r="J7" i="2"/>
  <c r="G5" i="7"/>
  <c r="G30" i="7" s="1"/>
  <c r="G6" i="7"/>
  <c r="J9" i="2"/>
  <c r="J10" i="2"/>
  <c r="J13" i="2"/>
  <c r="J16" i="2"/>
  <c r="G7" i="7" s="1"/>
  <c r="G8" i="7"/>
  <c r="G9" i="7"/>
  <c r="J23" i="2"/>
  <c r="G17" i="7" s="1"/>
  <c r="G18" i="7"/>
  <c r="J165" i="2"/>
  <c r="G19" i="7" s="1"/>
  <c r="G20" i="7"/>
  <c r="J166" i="2"/>
  <c r="G21" i="7" s="1"/>
  <c r="J168" i="2"/>
  <c r="J172" i="2"/>
  <c r="J173" i="2"/>
  <c r="J174" i="2"/>
  <c r="J176" i="2"/>
  <c r="J180" i="2"/>
  <c r="J181" i="2"/>
  <c r="J183" i="2"/>
  <c r="J184" i="2"/>
  <c r="J185" i="2"/>
  <c r="J186" i="2"/>
  <c r="J189" i="2"/>
  <c r="J190" i="2"/>
  <c r="J195" i="2"/>
  <c r="J197" i="2"/>
  <c r="J198" i="2"/>
  <c r="J201" i="2"/>
  <c r="J202" i="2"/>
  <c r="J203" i="2"/>
  <c r="J204" i="2"/>
  <c r="J205" i="2"/>
  <c r="J207" i="2"/>
  <c r="J208" i="2"/>
  <c r="J209" i="2"/>
  <c r="J211" i="2"/>
  <c r="J212" i="2"/>
  <c r="J214" i="2"/>
  <c r="J215" i="2"/>
  <c r="J216" i="2"/>
  <c r="J217" i="2"/>
  <c r="J219" i="2"/>
  <c r="J220" i="2"/>
  <c r="J221" i="2"/>
  <c r="J222" i="2"/>
  <c r="J224" i="2"/>
  <c r="J225" i="2"/>
  <c r="J226" i="2"/>
  <c r="J227" i="2"/>
  <c r="J228" i="2"/>
  <c r="J229" i="2"/>
  <c r="J230" i="2"/>
  <c r="J231" i="2"/>
  <c r="J240" i="2"/>
  <c r="J241" i="2"/>
  <c r="J242" i="2"/>
  <c r="G22" i="7" s="1"/>
  <c r="J243" i="2"/>
  <c r="G23" i="7" s="1"/>
  <c r="J244" i="2"/>
  <c r="G24" i="7" s="1"/>
  <c r="J245" i="2"/>
  <c r="G25" i="7" s="1"/>
  <c r="J246" i="2"/>
  <c r="G26" i="7" s="1"/>
  <c r="J248" i="2"/>
  <c r="G27" i="7" s="1"/>
  <c r="J250" i="2"/>
  <c r="G28" i="7" s="1"/>
  <c r="J256" i="2"/>
  <c r="J257" i="2"/>
  <c r="J4" i="2"/>
  <c r="H5" i="2"/>
  <c r="H7" i="2"/>
  <c r="F5" i="7"/>
  <c r="F30" i="7" s="1"/>
  <c r="F6" i="7"/>
  <c r="H9" i="2"/>
  <c r="H10" i="2"/>
  <c r="H11" i="2"/>
  <c r="H13" i="2"/>
  <c r="H16" i="2"/>
  <c r="F7" i="7" s="1"/>
  <c r="F8" i="7"/>
  <c r="F9" i="7"/>
  <c r="H17" i="2"/>
  <c r="F10" i="7" s="1"/>
  <c r="F11" i="7"/>
  <c r="F12" i="7"/>
  <c r="F13" i="7"/>
  <c r="H18" i="2"/>
  <c r="F14" i="7" s="1"/>
  <c r="F15" i="7"/>
  <c r="H26" i="2"/>
  <c r="H19" i="2"/>
  <c r="F16" i="7" s="1"/>
  <c r="H23" i="2"/>
  <c r="F17" i="7" s="1"/>
  <c r="H30" i="2"/>
  <c r="H32" i="2"/>
  <c r="H34" i="2"/>
  <c r="H36" i="2"/>
  <c r="H38" i="2"/>
  <c r="H39" i="2"/>
  <c r="H45" i="2"/>
  <c r="H47" i="2"/>
  <c r="H48" i="2"/>
  <c r="H49" i="2"/>
  <c r="H51" i="2"/>
  <c r="H56" i="2"/>
  <c r="H57" i="2"/>
  <c r="H58" i="2"/>
  <c r="H59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6" i="2"/>
  <c r="H87" i="2"/>
  <c r="H89" i="2"/>
  <c r="H91" i="2"/>
  <c r="H92" i="2"/>
  <c r="H93" i="2"/>
  <c r="H94" i="2"/>
  <c r="H95" i="2"/>
  <c r="H96" i="2"/>
  <c r="H97" i="2"/>
  <c r="H98" i="2"/>
  <c r="H99" i="2"/>
  <c r="H100" i="2"/>
  <c r="H101" i="2"/>
  <c r="H111" i="2"/>
  <c r="H112" i="2"/>
  <c r="H113" i="2"/>
  <c r="H114" i="2"/>
  <c r="H115" i="2"/>
  <c r="H116" i="2"/>
  <c r="H147" i="2"/>
  <c r="H150" i="2"/>
  <c r="H151" i="2"/>
  <c r="H152" i="2"/>
  <c r="H153" i="2"/>
  <c r="F18" i="7"/>
  <c r="H165" i="2"/>
  <c r="F19" i="7" s="1"/>
  <c r="F20" i="7"/>
  <c r="H166" i="2"/>
  <c r="F21" i="7" s="1"/>
  <c r="H168" i="2"/>
  <c r="H172" i="2"/>
  <c r="H173" i="2"/>
  <c r="H174" i="2"/>
  <c r="H176" i="2"/>
  <c r="H177" i="2"/>
  <c r="H180" i="2"/>
  <c r="H181" i="2"/>
  <c r="H183" i="2"/>
  <c r="H184" i="2"/>
  <c r="H185" i="2"/>
  <c r="H186" i="2"/>
  <c r="H187" i="2"/>
  <c r="H189" i="2"/>
  <c r="H190" i="2"/>
  <c r="H195" i="2"/>
  <c r="H197" i="2"/>
  <c r="H198" i="2"/>
  <c r="H200" i="2"/>
  <c r="H201" i="2"/>
  <c r="H202" i="2"/>
  <c r="H203" i="2"/>
  <c r="H204" i="2"/>
  <c r="H205" i="2"/>
  <c r="H207" i="2"/>
  <c r="H208" i="2"/>
  <c r="H209" i="2"/>
  <c r="H211" i="2"/>
  <c r="H212" i="2"/>
  <c r="H214" i="2"/>
  <c r="H215" i="2"/>
  <c r="H216" i="2"/>
  <c r="H217" i="2"/>
  <c r="H219" i="2"/>
  <c r="H220" i="2"/>
  <c r="H221" i="2"/>
  <c r="H222" i="2"/>
  <c r="H224" i="2"/>
  <c r="H225" i="2"/>
  <c r="H226" i="2"/>
  <c r="H227" i="2"/>
  <c r="H228" i="2"/>
  <c r="H229" i="2"/>
  <c r="H230" i="2"/>
  <c r="H231" i="2"/>
  <c r="H240" i="2"/>
  <c r="H241" i="2"/>
  <c r="H242" i="2"/>
  <c r="F22" i="7" s="1"/>
  <c r="H243" i="2"/>
  <c r="F23" i="7" s="1"/>
  <c r="H244" i="2"/>
  <c r="F24" i="7" s="1"/>
  <c r="H245" i="2"/>
  <c r="F25" i="7" s="1"/>
  <c r="H246" i="2"/>
  <c r="F26" i="7" s="1"/>
  <c r="H248" i="2"/>
  <c r="H250" i="2"/>
  <c r="F28" i="7" s="1"/>
  <c r="H256" i="2"/>
  <c r="H257" i="2"/>
  <c r="H4" i="2"/>
  <c r="K28" i="2"/>
  <c r="G28" i="2"/>
  <c r="G259" i="2" s="1"/>
  <c r="E5" i="4"/>
  <c r="E6" i="4"/>
  <c r="E7" i="4"/>
  <c r="E8" i="4"/>
  <c r="E9" i="4"/>
  <c r="E11" i="4"/>
  <c r="E12" i="4"/>
  <c r="E13" i="4"/>
  <c r="E14" i="4"/>
  <c r="E15" i="4"/>
  <c r="E17" i="4"/>
  <c r="E20" i="4"/>
  <c r="E21" i="4"/>
  <c r="E23" i="4"/>
  <c r="E26" i="4"/>
  <c r="E27" i="4"/>
  <c r="E28" i="4"/>
  <c r="E30" i="4"/>
  <c r="E31" i="4"/>
  <c r="E33" i="4"/>
  <c r="E34" i="4"/>
  <c r="E36" i="4"/>
  <c r="E37" i="4"/>
  <c r="E39" i="4"/>
  <c r="E40" i="4"/>
  <c r="E42" i="4"/>
  <c r="E43" i="4"/>
  <c r="E45" i="4"/>
  <c r="D27" i="4"/>
  <c r="F27" i="4"/>
  <c r="D28" i="4"/>
  <c r="F28" i="4"/>
  <c r="D30" i="4"/>
  <c r="D31" i="4"/>
  <c r="D33" i="4"/>
  <c r="F33" i="4"/>
  <c r="D34" i="4"/>
  <c r="F34" i="4"/>
  <c r="D36" i="4"/>
  <c r="F36" i="4"/>
  <c r="D37" i="4"/>
  <c r="F37" i="4"/>
  <c r="D39" i="4"/>
  <c r="F39" i="4"/>
  <c r="D40" i="4"/>
  <c r="F40" i="4"/>
  <c r="D42" i="4"/>
  <c r="F42" i="4"/>
  <c r="D43" i="4"/>
  <c r="F43" i="4"/>
  <c r="D45" i="4"/>
  <c r="F45" i="4"/>
  <c r="C45" i="4"/>
  <c r="C43" i="4"/>
  <c r="C42" i="4"/>
  <c r="C40" i="4"/>
  <c r="C39" i="4"/>
  <c r="C37" i="4"/>
  <c r="C36" i="4"/>
  <c r="C34" i="4"/>
  <c r="C33" i="4"/>
  <c r="C31" i="4"/>
  <c r="C30" i="4"/>
  <c r="C28" i="4"/>
  <c r="C27" i="4"/>
  <c r="C26" i="4"/>
  <c r="F23" i="4"/>
  <c r="F21" i="4"/>
  <c r="F20" i="4"/>
  <c r="F15" i="4"/>
  <c r="F14" i="4"/>
  <c r="F13" i="4"/>
  <c r="F9" i="4"/>
  <c r="F8" i="4"/>
  <c r="F7" i="4"/>
  <c r="F6" i="4"/>
  <c r="F5" i="4"/>
  <c r="C23" i="4"/>
  <c r="D5" i="4"/>
  <c r="D6" i="4"/>
  <c r="D8" i="4"/>
  <c r="D12" i="4"/>
  <c r="D13" i="4"/>
  <c r="D14" i="4"/>
  <c r="D15" i="4"/>
  <c r="F17" i="4"/>
  <c r="D20" i="4"/>
  <c r="D21" i="4"/>
  <c r="C21" i="4"/>
  <c r="C20" i="4"/>
  <c r="C17" i="4"/>
  <c r="C12" i="4"/>
  <c r="C13" i="4"/>
  <c r="C14" i="4"/>
  <c r="C15" i="4"/>
  <c r="C11" i="4"/>
  <c r="C6" i="4"/>
  <c r="C7" i="4"/>
  <c r="C8" i="4"/>
  <c r="C9" i="4"/>
  <c r="C5" i="4"/>
  <c r="C39" i="1"/>
  <c r="B10" i="25" s="1"/>
  <c r="D39" i="1"/>
  <c r="E39" i="1" s="1"/>
  <c r="D10" i="25" s="1"/>
  <c r="C41" i="1"/>
  <c r="D41" i="1"/>
  <c r="E41" i="1" s="1"/>
  <c r="C42" i="1"/>
  <c r="D42" i="1"/>
  <c r="E42" i="1" s="1"/>
  <c r="C43" i="1"/>
  <c r="D43" i="1"/>
  <c r="E43" i="1" s="1"/>
  <c r="C44" i="1"/>
  <c r="D44" i="1"/>
  <c r="E44" i="1" s="1"/>
  <c r="C46" i="1"/>
  <c r="D46" i="1"/>
  <c r="E46" i="1" s="1"/>
  <c r="C48" i="1"/>
  <c r="B11" i="23" s="1"/>
  <c r="D48" i="1"/>
  <c r="C49" i="1"/>
  <c r="B12" i="23" s="1"/>
  <c r="D49" i="1"/>
  <c r="C50" i="1"/>
  <c r="D50" i="1"/>
  <c r="E50" i="1" s="1"/>
  <c r="C51" i="1"/>
  <c r="D51" i="1"/>
  <c r="E51" i="1" s="1"/>
  <c r="C52" i="1"/>
  <c r="D52" i="1"/>
  <c r="E52" i="1" s="1"/>
  <c r="C53" i="1"/>
  <c r="D53" i="1"/>
  <c r="E53" i="1" s="1"/>
  <c r="C54" i="1"/>
  <c r="D54" i="1"/>
  <c r="E54" i="1" s="1"/>
  <c r="C56" i="1"/>
  <c r="D56" i="1"/>
  <c r="E56" i="1" s="1"/>
  <c r="C57" i="1"/>
  <c r="D57" i="1"/>
  <c r="E57" i="1" s="1"/>
  <c r="C58" i="1"/>
  <c r="D58" i="1"/>
  <c r="E58" i="1" s="1"/>
  <c r="C59" i="1"/>
  <c r="D59" i="1"/>
  <c r="E59" i="1" s="1"/>
  <c r="C61" i="1"/>
  <c r="B13" i="23" s="1"/>
  <c r="D61" i="1"/>
  <c r="C13" i="23" s="1"/>
  <c r="A13" i="23" s="1"/>
  <c r="C63" i="1"/>
  <c r="D63" i="1"/>
  <c r="E63" i="1" s="1"/>
  <c r="C64" i="1"/>
  <c r="D64" i="1"/>
  <c r="E64" i="1" s="1"/>
  <c r="C65" i="1"/>
  <c r="B11" i="25" s="1"/>
  <c r="D65" i="1"/>
  <c r="C66" i="1"/>
  <c r="D66" i="1"/>
  <c r="E66" i="1" s="1"/>
  <c r="C67" i="1"/>
  <c r="D67" i="1"/>
  <c r="E67" i="1" s="1"/>
  <c r="C68" i="1"/>
  <c r="D68" i="1"/>
  <c r="E68" i="1" s="1"/>
  <c r="C70" i="1"/>
  <c r="D70" i="1"/>
  <c r="E70" i="1" s="1"/>
  <c r="C71" i="1"/>
  <c r="D71" i="1"/>
  <c r="E71" i="1" s="1"/>
  <c r="C72" i="1"/>
  <c r="D72" i="1"/>
  <c r="E72" i="1" s="1"/>
  <c r="C74" i="1"/>
  <c r="D74" i="1"/>
  <c r="E74" i="1" s="1"/>
  <c r="C75" i="1"/>
  <c r="D75" i="1"/>
  <c r="E75" i="1" s="1"/>
  <c r="C76" i="1"/>
  <c r="D76" i="1"/>
  <c r="E76" i="1" s="1"/>
  <c r="C81" i="1"/>
  <c r="D81" i="1"/>
  <c r="E81" i="1" s="1"/>
  <c r="C82" i="1"/>
  <c r="B12" i="25" s="1"/>
  <c r="D82" i="1"/>
  <c r="C83" i="1"/>
  <c r="D83" i="1"/>
  <c r="E83" i="1" s="1"/>
  <c r="C86" i="1"/>
  <c r="D86" i="1"/>
  <c r="E86" i="1" s="1"/>
  <c r="C88" i="1"/>
  <c r="B15" i="23" s="1"/>
  <c r="D88" i="1"/>
  <c r="C90" i="1"/>
  <c r="D90" i="1"/>
  <c r="E90" i="1" s="1"/>
  <c r="C91" i="1"/>
  <c r="D91" i="1"/>
  <c r="E91" i="1" s="1"/>
  <c r="C92" i="1"/>
  <c r="B13" i="25" s="1"/>
  <c r="D92" i="1"/>
  <c r="C13" i="25" s="1"/>
  <c r="C93" i="1"/>
  <c r="D93" i="1"/>
  <c r="E93" i="1" s="1"/>
  <c r="C95" i="1"/>
  <c r="B17" i="23" s="1"/>
  <c r="D95" i="1"/>
  <c r="C17" i="23" s="1"/>
  <c r="A17" i="23" s="1"/>
  <c r="C99" i="1"/>
  <c r="D99" i="1"/>
  <c r="E99" i="1" s="1"/>
  <c r="C100" i="1"/>
  <c r="D100" i="1"/>
  <c r="E100" i="1" s="1"/>
  <c r="C101" i="1"/>
  <c r="D101" i="1"/>
  <c r="E101" i="1" s="1"/>
  <c r="C102" i="1"/>
  <c r="D102" i="1"/>
  <c r="E102" i="1" s="1"/>
  <c r="C105" i="1"/>
  <c r="D105" i="1"/>
  <c r="E105" i="1" s="1"/>
  <c r="C106" i="1"/>
  <c r="D106" i="1"/>
  <c r="E106" i="1" s="1"/>
  <c r="C107" i="1"/>
  <c r="D107" i="1"/>
  <c r="E107" i="1" s="1"/>
  <c r="C108" i="1"/>
  <c r="D108" i="1"/>
  <c r="E108" i="1" s="1"/>
  <c r="C109" i="1"/>
  <c r="D109" i="1"/>
  <c r="E109" i="1" s="1"/>
  <c r="C115" i="1"/>
  <c r="B19" i="23" s="1"/>
  <c r="D115" i="1"/>
  <c r="E115" i="1" s="1"/>
  <c r="D19" i="23" s="1"/>
  <c r="C117" i="1"/>
  <c r="D117" i="1"/>
  <c r="E117" i="1" s="1"/>
  <c r="C118" i="1"/>
  <c r="D118" i="1"/>
  <c r="E118" i="1" s="1"/>
  <c r="C119" i="1"/>
  <c r="D119" i="1"/>
  <c r="E119" i="1" s="1"/>
  <c r="C120" i="1"/>
  <c r="D120" i="1"/>
  <c r="E120" i="1" s="1"/>
  <c r="C121" i="1"/>
  <c r="D121" i="1"/>
  <c r="E121" i="1" s="1"/>
  <c r="C122" i="1"/>
  <c r="D122" i="1"/>
  <c r="E122" i="1" s="1"/>
  <c r="C124" i="1"/>
  <c r="B21" i="23" s="1"/>
  <c r="D124" i="1"/>
  <c r="C125" i="1"/>
  <c r="D125" i="1"/>
  <c r="E125" i="1" s="1"/>
  <c r="C126" i="1"/>
  <c r="D126" i="1"/>
  <c r="E126" i="1" s="1"/>
  <c r="C127" i="1"/>
  <c r="D127" i="1"/>
  <c r="E127" i="1" s="1"/>
  <c r="C128" i="1"/>
  <c r="D128" i="1"/>
  <c r="E128" i="1" s="1"/>
  <c r="C129" i="1"/>
  <c r="D129" i="1"/>
  <c r="E129" i="1" s="1"/>
  <c r="C130" i="1"/>
  <c r="D130" i="1"/>
  <c r="E130" i="1" s="1"/>
  <c r="C134" i="1"/>
  <c r="D134" i="1"/>
  <c r="E134" i="1" s="1"/>
  <c r="C135" i="1"/>
  <c r="D135" i="1"/>
  <c r="E135" i="1" s="1"/>
  <c r="C136" i="1"/>
  <c r="D136" i="1"/>
  <c r="E136" i="1" s="1"/>
  <c r="C137" i="1"/>
  <c r="D137" i="1"/>
  <c r="E137" i="1" s="1"/>
  <c r="C139" i="1"/>
  <c r="B22" i="23" s="1"/>
  <c r="D139" i="1"/>
  <c r="E139" i="1" s="1"/>
  <c r="D22" i="23" s="1"/>
  <c r="C140" i="1"/>
  <c r="D140" i="1"/>
  <c r="E140" i="1" s="1"/>
  <c r="C141" i="1"/>
  <c r="D141" i="1"/>
  <c r="E141" i="1" s="1"/>
  <c r="C142" i="1"/>
  <c r="D142" i="1"/>
  <c r="E142" i="1" s="1"/>
  <c r="C143" i="1"/>
  <c r="D143" i="1"/>
  <c r="E143" i="1" s="1"/>
  <c r="C144" i="1"/>
  <c r="D144" i="1"/>
  <c r="E144" i="1" s="1"/>
  <c r="C145" i="1"/>
  <c r="D145" i="1"/>
  <c r="E145" i="1" s="1"/>
  <c r="C146" i="1"/>
  <c r="D146" i="1"/>
  <c r="E146" i="1" s="1"/>
  <c r="C148" i="1"/>
  <c r="D148" i="1"/>
  <c r="E148" i="1" s="1"/>
  <c r="C149" i="1"/>
  <c r="D149" i="1"/>
  <c r="E149" i="1" s="1"/>
  <c r="C150" i="1"/>
  <c r="D150" i="1"/>
  <c r="E150" i="1" s="1"/>
  <c r="C151" i="1"/>
  <c r="D151" i="1"/>
  <c r="E151" i="1" s="1"/>
  <c r="C152" i="1"/>
  <c r="D152" i="1"/>
  <c r="E152" i="1" s="1"/>
  <c r="C157" i="1"/>
  <c r="B24" i="23" s="1"/>
  <c r="D157" i="1"/>
  <c r="C24" i="23" s="1"/>
  <c r="A24" i="23" s="1"/>
  <c r="C159" i="1"/>
  <c r="D159" i="1"/>
  <c r="E159" i="1" s="1"/>
  <c r="C160" i="1"/>
  <c r="D160" i="1"/>
  <c r="E160" i="1" s="1"/>
  <c r="C161" i="1"/>
  <c r="D161" i="1"/>
  <c r="E161" i="1" s="1"/>
  <c r="C162" i="1"/>
  <c r="D162" i="1"/>
  <c r="E162" i="1" s="1"/>
  <c r="C163" i="1"/>
  <c r="B14" i="25" s="1"/>
  <c r="D163" i="1"/>
  <c r="C164" i="1"/>
  <c r="B15" i="25" s="1"/>
  <c r="D164" i="1"/>
  <c r="C15" i="25" s="1"/>
  <c r="C166" i="1"/>
  <c r="B25" i="23" s="1"/>
  <c r="D166" i="1"/>
  <c r="E166" i="1" s="1"/>
  <c r="D25" i="23" s="1"/>
  <c r="C167" i="1"/>
  <c r="B16" i="25" s="1"/>
  <c r="D167" i="1"/>
  <c r="E167" i="1" s="1"/>
  <c r="D16" i="25" s="1"/>
  <c r="C168" i="1"/>
  <c r="D168" i="1"/>
  <c r="E168" i="1" s="1"/>
  <c r="C169" i="1"/>
  <c r="D169" i="1"/>
  <c r="E169" i="1" s="1"/>
  <c r="C170" i="1"/>
  <c r="B17" i="25" s="1"/>
  <c r="D170" i="1"/>
  <c r="C171" i="1"/>
  <c r="B18" i="25" s="1"/>
  <c r="D171" i="1"/>
  <c r="E171" i="1" s="1"/>
  <c r="D18" i="25" s="1"/>
  <c r="C172" i="1"/>
  <c r="B19" i="25" s="1"/>
  <c r="D172" i="1"/>
  <c r="C173" i="1"/>
  <c r="B20" i="25" s="1"/>
  <c r="D173" i="1"/>
  <c r="E173" i="1" s="1"/>
  <c r="D20" i="25" s="1"/>
  <c r="C179" i="1"/>
  <c r="B26" i="23" s="1"/>
  <c r="D179" i="1"/>
  <c r="C26" i="23" s="1"/>
  <c r="A26" i="23" s="1"/>
  <c r="C180" i="1"/>
  <c r="D180" i="1"/>
  <c r="E180" i="1" s="1"/>
  <c r="C181" i="1"/>
  <c r="B21" i="25" s="1"/>
  <c r="D181" i="1"/>
  <c r="E181" i="1" s="1"/>
  <c r="D21" i="25" s="1"/>
  <c r="C182" i="1"/>
  <c r="D182" i="1"/>
  <c r="E182" i="1" s="1"/>
  <c r="C183" i="1"/>
  <c r="B22" i="25" s="1"/>
  <c r="D183" i="1"/>
  <c r="C184" i="1"/>
  <c r="B23" i="25" s="1"/>
  <c r="D184" i="1"/>
  <c r="E184" i="1" s="1"/>
  <c r="D23" i="25" s="1"/>
  <c r="C186" i="1"/>
  <c r="D186" i="1"/>
  <c r="E186" i="1" s="1"/>
  <c r="C187" i="1"/>
  <c r="D187" i="1"/>
  <c r="E187" i="1" s="1"/>
  <c r="C188" i="1"/>
  <c r="B24" i="25" s="1"/>
  <c r="D188" i="1"/>
  <c r="E188" i="1" s="1"/>
  <c r="D24" i="25" s="1"/>
  <c r="C189" i="1"/>
  <c r="D189" i="1"/>
  <c r="E189" i="1" s="1"/>
  <c r="C190" i="1"/>
  <c r="D190" i="1"/>
  <c r="E190" i="1" s="1"/>
  <c r="C191" i="1"/>
  <c r="D191" i="1"/>
  <c r="E191" i="1" s="1"/>
  <c r="C192" i="1"/>
  <c r="D192" i="1"/>
  <c r="E192" i="1" s="1"/>
  <c r="C196" i="1"/>
  <c r="B27" i="23" s="1"/>
  <c r="D196" i="1"/>
  <c r="E196" i="1" s="1"/>
  <c r="D27" i="23" s="1"/>
  <c r="C197" i="1"/>
  <c r="B28" i="23" s="1"/>
  <c r="D197" i="1"/>
  <c r="E197" i="1" s="1"/>
  <c r="D28" i="23" s="1"/>
  <c r="C198" i="1"/>
  <c r="D198" i="1"/>
  <c r="E198" i="1" s="1"/>
  <c r="C199" i="1"/>
  <c r="D199" i="1"/>
  <c r="E199" i="1" s="1"/>
  <c r="C200" i="1"/>
  <c r="D200" i="1"/>
  <c r="E200" i="1" s="1"/>
  <c r="C202" i="1"/>
  <c r="B29" i="23" s="1"/>
  <c r="D202" i="1"/>
  <c r="E202" i="1" s="1"/>
  <c r="D29" i="23" s="1"/>
  <c r="C204" i="1"/>
  <c r="D204" i="1"/>
  <c r="E204" i="1" s="1"/>
  <c r="C205" i="1"/>
  <c r="D205" i="1"/>
  <c r="E205" i="1" s="1"/>
  <c r="C208" i="1"/>
  <c r="B30" i="23" s="1"/>
  <c r="D208" i="1"/>
  <c r="E208" i="1" s="1"/>
  <c r="D30" i="23" s="1"/>
  <c r="C209" i="1"/>
  <c r="D209" i="1"/>
  <c r="E209" i="1" s="1"/>
  <c r="C210" i="1"/>
  <c r="D210" i="1"/>
  <c r="E210" i="1" s="1"/>
  <c r="C211" i="1"/>
  <c r="D211" i="1"/>
  <c r="E211" i="1" s="1"/>
  <c r="C212" i="1"/>
  <c r="D212" i="1"/>
  <c r="E212" i="1" s="1"/>
  <c r="C214" i="1"/>
  <c r="B25" i="25" s="1"/>
  <c r="D214" i="1"/>
  <c r="E214" i="1" s="1"/>
  <c r="D25" i="25" s="1"/>
  <c r="C215" i="1"/>
  <c r="D215" i="1"/>
  <c r="E215" i="1" s="1"/>
  <c r="C216" i="1"/>
  <c r="D216" i="1"/>
  <c r="E216" i="1" s="1"/>
  <c r="C217" i="1"/>
  <c r="B31" i="23" s="1"/>
  <c r="D217" i="1"/>
  <c r="E217" i="1" s="1"/>
  <c r="D31" i="23" s="1"/>
  <c r="C218" i="1"/>
  <c r="D218" i="1"/>
  <c r="E218" i="1" s="1"/>
  <c r="C219" i="1"/>
  <c r="D219" i="1"/>
  <c r="E219" i="1" s="1"/>
  <c r="C220" i="1"/>
  <c r="D220" i="1"/>
  <c r="E220" i="1" s="1"/>
  <c r="C222" i="1"/>
  <c r="B26" i="25" s="1"/>
  <c r="D222" i="1"/>
  <c r="C26" i="25" s="1"/>
  <c r="C223" i="1"/>
  <c r="D223" i="1"/>
  <c r="E223" i="1" s="1"/>
  <c r="C224" i="1"/>
  <c r="D224" i="1"/>
  <c r="E224" i="1" s="1"/>
  <c r="C225" i="1"/>
  <c r="B32" i="23" s="1"/>
  <c r="D225" i="1"/>
  <c r="E225" i="1" s="1"/>
  <c r="D32" i="23" s="1"/>
  <c r="C226" i="1"/>
  <c r="D226" i="1"/>
  <c r="E226" i="1" s="1"/>
  <c r="C227" i="1"/>
  <c r="D227" i="1"/>
  <c r="E227" i="1" s="1"/>
  <c r="C229" i="1"/>
  <c r="B27" i="25" s="1"/>
  <c r="D229" i="1"/>
  <c r="E229" i="1" s="1"/>
  <c r="D27" i="25" s="1"/>
  <c r="C230" i="1"/>
  <c r="D230" i="1"/>
  <c r="E230" i="1" s="1"/>
  <c r="C231" i="1"/>
  <c r="D231" i="1"/>
  <c r="E231" i="1" s="1"/>
  <c r="C232" i="1"/>
  <c r="D232" i="1"/>
  <c r="E232" i="1" s="1"/>
  <c r="C233" i="1"/>
  <c r="D233" i="1"/>
  <c r="E233" i="1" s="1"/>
  <c r="C234" i="1"/>
  <c r="B33" i="23" s="1"/>
  <c r="D234" i="1"/>
  <c r="C33" i="23" s="1"/>
  <c r="A33" i="23" s="1"/>
  <c r="C235" i="1"/>
  <c r="D235" i="1"/>
  <c r="E235" i="1" s="1"/>
  <c r="C236" i="1"/>
  <c r="D236" i="1"/>
  <c r="E236" i="1" s="1"/>
  <c r="C237" i="1"/>
  <c r="D237" i="1"/>
  <c r="E237" i="1" s="1"/>
  <c r="C238" i="1"/>
  <c r="B28" i="25" s="1"/>
  <c r="D238" i="1"/>
  <c r="E238" i="1" s="1"/>
  <c r="D28" i="25" s="1"/>
  <c r="C239" i="1"/>
  <c r="D239" i="1"/>
  <c r="E239" i="1" s="1"/>
  <c r="C240" i="1"/>
  <c r="B34" i="23" s="1"/>
  <c r="D240" i="1"/>
  <c r="C242" i="1"/>
  <c r="B35" i="23" s="1"/>
  <c r="D242" i="1"/>
  <c r="C244" i="1"/>
  <c r="D244" i="1"/>
  <c r="E244" i="1" s="1"/>
  <c r="C245" i="1"/>
  <c r="D245" i="1"/>
  <c r="E245" i="1" s="1"/>
  <c r="C246" i="1"/>
  <c r="D246" i="1"/>
  <c r="E246" i="1" s="1"/>
  <c r="C247" i="1"/>
  <c r="B29" i="25" s="1"/>
  <c r="D247" i="1"/>
  <c r="C248" i="1"/>
  <c r="D248" i="1"/>
  <c r="E248" i="1" s="1"/>
  <c r="C249" i="1"/>
  <c r="B30" i="25" s="1"/>
  <c r="D249" i="1"/>
  <c r="C250" i="1"/>
  <c r="D250" i="1"/>
  <c r="E250" i="1" s="1"/>
  <c r="C256" i="1"/>
  <c r="B36" i="23" s="1"/>
  <c r="D256" i="1"/>
  <c r="C259" i="1"/>
  <c r="D259" i="1"/>
  <c r="E259" i="1" s="1"/>
  <c r="C260" i="1"/>
  <c r="D260" i="1"/>
  <c r="E260" i="1" s="1"/>
  <c r="C261" i="1"/>
  <c r="D261" i="1"/>
  <c r="E261" i="1" s="1"/>
  <c r="C262" i="1"/>
  <c r="B31" i="25" s="1"/>
  <c r="D262" i="1"/>
  <c r="C263" i="1"/>
  <c r="D263" i="1"/>
  <c r="E263" i="1" s="1"/>
  <c r="C264" i="1"/>
  <c r="D264" i="1"/>
  <c r="E264" i="1" s="1"/>
  <c r="C268" i="1"/>
  <c r="B37" i="23" s="1"/>
  <c r="D268" i="1"/>
  <c r="C269" i="1"/>
  <c r="D269" i="1"/>
  <c r="E269" i="1" s="1"/>
  <c r="C270" i="1"/>
  <c r="D270" i="1"/>
  <c r="E270" i="1" s="1"/>
  <c r="C271" i="1"/>
  <c r="D271" i="1"/>
  <c r="E271" i="1" s="1"/>
  <c r="C272" i="1"/>
  <c r="D272" i="1"/>
  <c r="E272" i="1" s="1"/>
  <c r="C274" i="1"/>
  <c r="D274" i="1"/>
  <c r="E274" i="1" s="1"/>
  <c r="C275" i="1"/>
  <c r="D275" i="1"/>
  <c r="E275" i="1" s="1"/>
  <c r="C277" i="1"/>
  <c r="B32" i="25" s="1"/>
  <c r="D277" i="1"/>
  <c r="C32" i="25" s="1"/>
  <c r="C278" i="1"/>
  <c r="D278" i="1"/>
  <c r="E278" i="1" s="1"/>
  <c r="C279" i="1"/>
  <c r="D279" i="1"/>
  <c r="E279" i="1" s="1"/>
  <c r="C280" i="1"/>
  <c r="D280" i="1"/>
  <c r="E280" i="1" s="1"/>
  <c r="C284" i="1"/>
  <c r="B38" i="23" s="1"/>
  <c r="D284" i="1"/>
  <c r="C285" i="1"/>
  <c r="D285" i="1"/>
  <c r="E285" i="1" s="1"/>
  <c r="C286" i="1"/>
  <c r="D286" i="1"/>
  <c r="E286" i="1" s="1"/>
  <c r="C287" i="1"/>
  <c r="D287" i="1"/>
  <c r="E287" i="1" s="1"/>
  <c r="C290" i="1"/>
  <c r="D290" i="1"/>
  <c r="E290" i="1" s="1"/>
  <c r="C293" i="1"/>
  <c r="B33" i="25" s="1"/>
  <c r="D293" i="1"/>
  <c r="E293" i="1" s="1"/>
  <c r="D33" i="25" s="1"/>
  <c r="C294" i="1"/>
  <c r="D294" i="1"/>
  <c r="E294" i="1" s="1"/>
  <c r="B39" i="23"/>
  <c r="C39" i="23"/>
  <c r="A39" i="23" s="1"/>
  <c r="B40" i="23"/>
  <c r="D40" i="23"/>
  <c r="C297" i="1"/>
  <c r="B41" i="23" s="1"/>
  <c r="D297" i="1"/>
  <c r="B42" i="23"/>
  <c r="D42" i="23"/>
  <c r="C298" i="1"/>
  <c r="D298" i="1"/>
  <c r="E298" i="1" s="1"/>
  <c r="C299" i="1"/>
  <c r="D299" i="1"/>
  <c r="E299" i="1" s="1"/>
  <c r="C301" i="1"/>
  <c r="B43" i="23" s="1"/>
  <c r="D301" i="1"/>
  <c r="C43" i="23" s="1"/>
  <c r="A43" i="23" s="1"/>
  <c r="C302" i="1"/>
  <c r="D302" i="1"/>
  <c r="E302" i="1" s="1"/>
  <c r="C328" i="1"/>
  <c r="D328" i="1"/>
  <c r="E328" i="1" s="1"/>
  <c r="C331" i="1"/>
  <c r="B47" i="23" s="1"/>
  <c r="D331" i="1"/>
  <c r="C335" i="1"/>
  <c r="B48" i="23" s="1"/>
  <c r="D335" i="1"/>
  <c r="C48" i="23" s="1"/>
  <c r="A48" i="23" s="1"/>
  <c r="C339" i="1"/>
  <c r="D339" i="1"/>
  <c r="E339" i="1" s="1"/>
  <c r="C342" i="1"/>
  <c r="D342" i="1"/>
  <c r="E342" i="1" s="1"/>
  <c r="C343" i="1"/>
  <c r="B49" i="23" s="1"/>
  <c r="D343" i="1"/>
  <c r="E343" i="1" s="1"/>
  <c r="D49" i="23" s="1"/>
  <c r="C345" i="1"/>
  <c r="B50" i="23" s="1"/>
  <c r="D345" i="1"/>
  <c r="E345" i="1" s="1"/>
  <c r="D50" i="23" s="1"/>
  <c r="C346" i="1"/>
  <c r="D346" i="1"/>
  <c r="E346" i="1" s="1"/>
  <c r="C347" i="1"/>
  <c r="D347" i="1"/>
  <c r="E347" i="1" s="1"/>
  <c r="C348" i="1"/>
  <c r="D348" i="1"/>
  <c r="E348" i="1" s="1"/>
  <c r="C349" i="1"/>
  <c r="D349" i="1"/>
  <c r="E349" i="1" s="1"/>
  <c r="C350" i="1"/>
  <c r="D350" i="1"/>
  <c r="E350" i="1" s="1"/>
  <c r="C351" i="1"/>
  <c r="B35" i="25" s="1"/>
  <c r="D351" i="1"/>
  <c r="C352" i="1"/>
  <c r="D352" i="1"/>
  <c r="E352" i="1" s="1"/>
  <c r="B53" i="23"/>
  <c r="C53" i="23"/>
  <c r="A53" i="23" s="1"/>
  <c r="C365" i="1"/>
  <c r="D365" i="1"/>
  <c r="E365" i="1" s="1"/>
  <c r="C366" i="1"/>
  <c r="D366" i="1"/>
  <c r="E366" i="1" s="1"/>
  <c r="C367" i="1"/>
  <c r="B54" i="23" s="1"/>
  <c r="D367" i="1"/>
  <c r="C54" i="23" s="1"/>
  <c r="A54" i="23" s="1"/>
  <c r="C368" i="1"/>
  <c r="D368" i="1"/>
  <c r="E368" i="1" s="1"/>
  <c r="C369" i="1"/>
  <c r="D369" i="1"/>
  <c r="E369" i="1" s="1"/>
  <c r="C370" i="1"/>
  <c r="D370" i="1"/>
  <c r="E370" i="1" s="1"/>
  <c r="C371" i="1"/>
  <c r="D371" i="1"/>
  <c r="E371" i="1" s="1"/>
  <c r="C372" i="1"/>
  <c r="D372" i="1"/>
  <c r="E372" i="1" s="1"/>
  <c r="C375" i="1"/>
  <c r="B37" i="25" s="1"/>
  <c r="D375" i="1"/>
  <c r="E375" i="1" s="1"/>
  <c r="D37" i="25" s="1"/>
  <c r="C376" i="1"/>
  <c r="D376" i="1"/>
  <c r="E376" i="1" s="1"/>
  <c r="C377" i="1"/>
  <c r="D377" i="1"/>
  <c r="E377" i="1" s="1"/>
  <c r="C378" i="1"/>
  <c r="B38" i="25" s="1"/>
  <c r="D378" i="1"/>
  <c r="C379" i="1"/>
  <c r="B56" i="23" s="1"/>
  <c r="D379" i="1"/>
  <c r="C56" i="23" s="1"/>
  <c r="A56" i="23" s="1"/>
  <c r="C380" i="1"/>
  <c r="D380" i="1"/>
  <c r="E380" i="1" s="1"/>
  <c r="C381" i="1"/>
  <c r="D381" i="1"/>
  <c r="E381" i="1" s="1"/>
  <c r="C382" i="1"/>
  <c r="D382" i="1"/>
  <c r="E382" i="1" s="1"/>
  <c r="C383" i="1"/>
  <c r="D383" i="1"/>
  <c r="E383" i="1" s="1"/>
  <c r="C384" i="1"/>
  <c r="B39" i="25" s="1"/>
  <c r="D384" i="1"/>
  <c r="C385" i="1"/>
  <c r="D385" i="1"/>
  <c r="E385" i="1" s="1"/>
  <c r="C386" i="1"/>
  <c r="D386" i="1"/>
  <c r="E386" i="1" s="1"/>
  <c r="C387" i="1"/>
  <c r="D387" i="1"/>
  <c r="E387" i="1" s="1"/>
  <c r="C390" i="1"/>
  <c r="D390" i="1"/>
  <c r="E390" i="1" s="1"/>
  <c r="C391" i="1"/>
  <c r="D391" i="1"/>
  <c r="E391" i="1" s="1"/>
  <c r="C393" i="1"/>
  <c r="D393" i="1"/>
  <c r="E393" i="1" s="1"/>
  <c r="C394" i="1"/>
  <c r="D394" i="1"/>
  <c r="E394" i="1" s="1"/>
  <c r="C396" i="1"/>
  <c r="B57" i="23" s="1"/>
  <c r="D396" i="1"/>
  <c r="E396" i="1" s="1"/>
  <c r="D57" i="23" s="1"/>
  <c r="C397" i="1"/>
  <c r="D397" i="1"/>
  <c r="E397" i="1" s="1"/>
  <c r="C398" i="1"/>
  <c r="D398" i="1"/>
  <c r="E398" i="1" s="1"/>
  <c r="C399" i="1"/>
  <c r="D399" i="1"/>
  <c r="E399" i="1" s="1"/>
  <c r="C400" i="1"/>
  <c r="D400" i="1"/>
  <c r="E400" i="1" s="1"/>
  <c r="C401" i="1"/>
  <c r="D401" i="1"/>
  <c r="E401" i="1" s="1"/>
  <c r="C402" i="1"/>
  <c r="D402" i="1"/>
  <c r="E402" i="1" s="1"/>
  <c r="C403" i="1"/>
  <c r="D403" i="1"/>
  <c r="E403" i="1" s="1"/>
  <c r="C404" i="1"/>
  <c r="D404" i="1"/>
  <c r="E404" i="1" s="1"/>
  <c r="C405" i="1"/>
  <c r="D405" i="1"/>
  <c r="E405" i="1" s="1"/>
  <c r="C407" i="1"/>
  <c r="D407" i="1"/>
  <c r="E407" i="1" s="1"/>
  <c r="C412" i="1"/>
  <c r="D412" i="1"/>
  <c r="E412" i="1" s="1"/>
  <c r="C413" i="1"/>
  <c r="B58" i="23" s="1"/>
  <c r="D413" i="1"/>
  <c r="E413" i="1" s="1"/>
  <c r="D58" i="23" s="1"/>
  <c r="C414" i="1"/>
  <c r="D414" i="1"/>
  <c r="E414" i="1" s="1"/>
  <c r="C415" i="1"/>
  <c r="D415" i="1"/>
  <c r="E415" i="1" s="1"/>
  <c r="C416" i="1"/>
  <c r="D416" i="1"/>
  <c r="E416" i="1" s="1"/>
  <c r="C417" i="1"/>
  <c r="D417" i="1"/>
  <c r="E417" i="1" s="1"/>
  <c r="C418" i="1"/>
  <c r="D418" i="1"/>
  <c r="E418" i="1" s="1"/>
  <c r="C422" i="1"/>
  <c r="D422" i="1"/>
  <c r="E422" i="1" s="1"/>
  <c r="C424" i="1"/>
  <c r="B59" i="23" s="1"/>
  <c r="D424" i="1"/>
  <c r="C59" i="23" s="1"/>
  <c r="A59" i="23" s="1"/>
  <c r="C425" i="1"/>
  <c r="D425" i="1"/>
  <c r="E425" i="1" s="1"/>
  <c r="C427" i="1"/>
  <c r="D427" i="1"/>
  <c r="E427" i="1" s="1"/>
  <c r="C428" i="1"/>
  <c r="D428" i="1"/>
  <c r="E428" i="1" s="1"/>
  <c r="C429" i="1"/>
  <c r="D429" i="1"/>
  <c r="E429" i="1" s="1"/>
  <c r="C430" i="1"/>
  <c r="D430" i="1"/>
  <c r="E430" i="1" s="1"/>
  <c r="C431" i="1"/>
  <c r="D431" i="1"/>
  <c r="E431" i="1" s="1"/>
  <c r="C432" i="1"/>
  <c r="B60" i="23" s="1"/>
  <c r="D432" i="1"/>
  <c r="E432" i="1" s="1"/>
  <c r="D60" i="23" s="1"/>
  <c r="C436" i="1"/>
  <c r="D436" i="1"/>
  <c r="E436" i="1" s="1"/>
  <c r="C437" i="1"/>
  <c r="D437" i="1"/>
  <c r="E437" i="1" s="1"/>
  <c r="C438" i="1"/>
  <c r="D438" i="1"/>
  <c r="E438" i="1" s="1"/>
  <c r="C439" i="1"/>
  <c r="D439" i="1"/>
  <c r="E439" i="1" s="1"/>
  <c r="C440" i="1"/>
  <c r="D440" i="1"/>
  <c r="E440" i="1" s="1"/>
  <c r="C441" i="1"/>
  <c r="D441" i="1"/>
  <c r="E441" i="1" s="1"/>
  <c r="C442" i="1"/>
  <c r="D442" i="1"/>
  <c r="E442" i="1" s="1"/>
  <c r="C443" i="1"/>
  <c r="D443" i="1"/>
  <c r="E443" i="1" s="1"/>
  <c r="C447" i="1"/>
  <c r="D447" i="1"/>
  <c r="E447" i="1" s="1"/>
  <c r="C448" i="1"/>
  <c r="D448" i="1"/>
  <c r="E448" i="1" s="1"/>
  <c r="C450" i="1"/>
  <c r="D450" i="1"/>
  <c r="E450" i="1" s="1"/>
  <c r="D451" i="1"/>
  <c r="E451" i="1" s="1"/>
  <c r="D452" i="1"/>
  <c r="E452" i="1" s="1"/>
  <c r="D453" i="1"/>
  <c r="E453" i="1" s="1"/>
  <c r="D455" i="1"/>
  <c r="E455" i="1" s="1"/>
  <c r="D456" i="1"/>
  <c r="E456" i="1" s="1"/>
  <c r="D457" i="1"/>
  <c r="E457" i="1" s="1"/>
  <c r="D458" i="1"/>
  <c r="E458" i="1" s="1"/>
  <c r="D460" i="1"/>
  <c r="E460" i="1" s="1"/>
  <c r="D462" i="1"/>
  <c r="E462" i="1" s="1"/>
  <c r="D463" i="1"/>
  <c r="E463" i="1" s="1"/>
  <c r="D465" i="1"/>
  <c r="E465" i="1" s="1"/>
  <c r="C476" i="1"/>
  <c r="D476" i="1"/>
  <c r="E476" i="1" s="1"/>
  <c r="C477" i="1"/>
  <c r="D477" i="1"/>
  <c r="E477" i="1" s="1"/>
  <c r="C478" i="1"/>
  <c r="D478" i="1"/>
  <c r="E478" i="1" s="1"/>
  <c r="C480" i="1"/>
  <c r="D480" i="1"/>
  <c r="E480" i="1" s="1"/>
  <c r="C483" i="1"/>
  <c r="B62" i="23" s="1"/>
  <c r="D483" i="1"/>
  <c r="C62" i="23" s="1"/>
  <c r="A62" i="23" s="1"/>
  <c r="C484" i="1"/>
  <c r="D484" i="1"/>
  <c r="E484" i="1" s="1"/>
  <c r="C485" i="1"/>
  <c r="D485" i="1"/>
  <c r="E485" i="1" s="1"/>
  <c r="C486" i="1"/>
  <c r="D486" i="1"/>
  <c r="E486" i="1" s="1"/>
  <c r="C487" i="1"/>
  <c r="D487" i="1"/>
  <c r="E487" i="1" s="1"/>
  <c r="C488" i="1"/>
  <c r="D488" i="1"/>
  <c r="E488" i="1" s="1"/>
  <c r="C489" i="1"/>
  <c r="D489" i="1"/>
  <c r="E489" i="1" s="1"/>
  <c r="C492" i="1"/>
  <c r="B40" i="25" s="1"/>
  <c r="D492" i="1"/>
  <c r="C40" i="25" s="1"/>
  <c r="C493" i="1"/>
  <c r="D493" i="1"/>
  <c r="E493" i="1" s="1"/>
  <c r="C494" i="1"/>
  <c r="B41" i="25" s="1"/>
  <c r="D494" i="1"/>
  <c r="E494" i="1" s="1"/>
  <c r="D41" i="25" s="1"/>
  <c r="C495" i="1"/>
  <c r="D495" i="1"/>
  <c r="E495" i="1" s="1"/>
  <c r="C496" i="1"/>
  <c r="B42" i="25" s="1"/>
  <c r="D496" i="1"/>
  <c r="C497" i="1"/>
  <c r="D497" i="1"/>
  <c r="E497" i="1" s="1"/>
  <c r="C498" i="1"/>
  <c r="D498" i="1"/>
  <c r="E498" i="1" s="1"/>
  <c r="C501" i="1"/>
  <c r="D501" i="1"/>
  <c r="E501" i="1" s="1"/>
  <c r="C502" i="1"/>
  <c r="D502" i="1"/>
  <c r="E502" i="1" s="1"/>
  <c r="C503" i="1"/>
  <c r="D503" i="1"/>
  <c r="E503" i="1" s="1"/>
  <c r="C505" i="1"/>
  <c r="D505" i="1"/>
  <c r="E505" i="1" s="1"/>
  <c r="C506" i="1"/>
  <c r="D506" i="1"/>
  <c r="E506" i="1" s="1"/>
  <c r="C507" i="1"/>
  <c r="D507" i="1"/>
  <c r="E507" i="1" s="1"/>
  <c r="C508" i="1"/>
  <c r="D508" i="1"/>
  <c r="E508" i="1" s="1"/>
  <c r="C512" i="1"/>
  <c r="B43" i="25" s="1"/>
  <c r="D512" i="1"/>
  <c r="C513" i="1"/>
  <c r="D513" i="1"/>
  <c r="E513" i="1" s="1"/>
  <c r="C514" i="1"/>
  <c r="B64" i="23" s="1"/>
  <c r="D514" i="1"/>
  <c r="C515" i="1"/>
  <c r="B65" i="23" s="1"/>
  <c r="D515" i="1"/>
  <c r="E515" i="1" s="1"/>
  <c r="D65" i="23" s="1"/>
  <c r="C516" i="1"/>
  <c r="D516" i="1"/>
  <c r="E516" i="1" s="1"/>
  <c r="C517" i="1"/>
  <c r="D517" i="1"/>
  <c r="E517" i="1" s="1"/>
  <c r="C518" i="1"/>
  <c r="D518" i="1"/>
  <c r="C519" i="1"/>
  <c r="D519" i="1"/>
  <c r="C4" i="1"/>
  <c r="B6" i="23" s="1"/>
  <c r="D4" i="1"/>
  <c r="E4" i="1" s="1"/>
  <c r="D6" i="23" s="1"/>
  <c r="C5" i="1"/>
  <c r="B4" i="25" s="1"/>
  <c r="D5" i="1"/>
  <c r="E5" i="1" s="1"/>
  <c r="D4" i="25" s="1"/>
  <c r="C6" i="1"/>
  <c r="B5" i="25" s="1"/>
  <c r="D6" i="1"/>
  <c r="C5" i="25" s="1"/>
  <c r="C7" i="1"/>
  <c r="D7" i="1"/>
  <c r="E7" i="1" s="1"/>
  <c r="C8" i="1"/>
  <c r="D8" i="1"/>
  <c r="E8" i="1" s="1"/>
  <c r="C9" i="1"/>
  <c r="D9" i="1"/>
  <c r="E9" i="1" s="1"/>
  <c r="C10" i="1"/>
  <c r="B6" i="25" s="1"/>
  <c r="D10" i="1"/>
  <c r="C11" i="1"/>
  <c r="D11" i="1"/>
  <c r="E11" i="1" s="1"/>
  <c r="C12" i="1"/>
  <c r="B7" i="25" s="1"/>
  <c r="D12" i="1"/>
  <c r="C7" i="25" s="1"/>
  <c r="C13" i="1"/>
  <c r="B8" i="25" s="1"/>
  <c r="D13" i="1"/>
  <c r="E13" i="1" s="1"/>
  <c r="D8" i="25" s="1"/>
  <c r="C14" i="1"/>
  <c r="B7" i="23" s="1"/>
  <c r="D14" i="1"/>
  <c r="E14" i="1" s="1"/>
  <c r="D7" i="23" s="1"/>
  <c r="C16" i="1"/>
  <c r="D16" i="1"/>
  <c r="E16" i="1" s="1"/>
  <c r="C17" i="1"/>
  <c r="D17" i="1"/>
  <c r="E17" i="1" s="1"/>
  <c r="C18" i="1"/>
  <c r="D18" i="1"/>
  <c r="E18" i="1" s="1"/>
  <c r="C19" i="1"/>
  <c r="B8" i="23" s="1"/>
  <c r="D19" i="1"/>
  <c r="C8" i="23" s="1"/>
  <c r="A8" i="23" s="1"/>
  <c r="C21" i="1"/>
  <c r="D21" i="1"/>
  <c r="E21" i="1" s="1"/>
  <c r="C22" i="1"/>
  <c r="D22" i="1"/>
  <c r="E22" i="1" s="1"/>
  <c r="C23" i="1"/>
  <c r="D23" i="1"/>
  <c r="E23" i="1" s="1"/>
  <c r="C24" i="1"/>
  <c r="D24" i="1"/>
  <c r="E24" i="1" s="1"/>
  <c r="C25" i="1"/>
  <c r="D25" i="1"/>
  <c r="E25" i="1" s="1"/>
  <c r="C26" i="1"/>
  <c r="D26" i="1"/>
  <c r="E26" i="1" s="1"/>
  <c r="C27" i="1"/>
  <c r="B9" i="25" s="1"/>
  <c r="D27" i="1"/>
  <c r="C9" i="25" s="1"/>
  <c r="C28" i="1"/>
  <c r="D28" i="1"/>
  <c r="E28" i="1" s="1"/>
  <c r="C29" i="1"/>
  <c r="D29" i="1"/>
  <c r="E29" i="1" s="1"/>
  <c r="C30" i="1"/>
  <c r="D30" i="1"/>
  <c r="E30" i="1" s="1"/>
  <c r="C31" i="1"/>
  <c r="D31" i="1"/>
  <c r="E31" i="1" s="1"/>
  <c r="C32" i="1"/>
  <c r="D32" i="1"/>
  <c r="E32" i="1" s="1"/>
  <c r="D34" i="1"/>
  <c r="C9" i="23" s="1"/>
  <c r="A9" i="23" s="1"/>
  <c r="C34" i="1"/>
  <c r="B9" i="23" s="1"/>
  <c r="M98" i="5"/>
  <c r="M94" i="5"/>
  <c r="M87" i="5"/>
  <c r="M79" i="5"/>
  <c r="M30" i="5"/>
  <c r="M26" i="5"/>
  <c r="M22" i="5"/>
  <c r="M15" i="5"/>
  <c r="M8" i="5"/>
  <c r="H99" i="5"/>
  <c r="H31" i="5"/>
  <c r="H100" i="5" s="1"/>
  <c r="C5" i="2"/>
  <c r="D5" i="2"/>
  <c r="E5" i="2" s="1"/>
  <c r="C7" i="2"/>
  <c r="D7" i="2"/>
  <c r="E7" i="2" s="1"/>
  <c r="B5" i="7"/>
  <c r="D5" i="7"/>
  <c r="B6" i="7"/>
  <c r="D6" i="7"/>
  <c r="C9" i="2"/>
  <c r="D9" i="2"/>
  <c r="E9" i="2" s="1"/>
  <c r="C10" i="2"/>
  <c r="D10" i="2"/>
  <c r="E10" i="2" s="1"/>
  <c r="C11" i="2"/>
  <c r="D11" i="2"/>
  <c r="C13" i="2"/>
  <c r="D13" i="2"/>
  <c r="E13" i="2" s="1"/>
  <c r="C16" i="2"/>
  <c r="B7" i="7" s="1"/>
  <c r="D16" i="2"/>
  <c r="C7" i="7" s="1"/>
  <c r="B8" i="7"/>
  <c r="D8" i="7"/>
  <c r="B9" i="7"/>
  <c r="C9" i="7"/>
  <c r="C17" i="2"/>
  <c r="B10" i="7" s="1"/>
  <c r="D17" i="2"/>
  <c r="C10" i="7" s="1"/>
  <c r="B11" i="7"/>
  <c r="D11" i="7"/>
  <c r="B12" i="7"/>
  <c r="D12" i="7"/>
  <c r="B13" i="7"/>
  <c r="C13" i="7"/>
  <c r="C18" i="2"/>
  <c r="B14" i="7" s="1"/>
  <c r="D18" i="2"/>
  <c r="E18" i="2" s="1"/>
  <c r="D14" i="7" s="1"/>
  <c r="B15" i="7"/>
  <c r="C15" i="7"/>
  <c r="C26" i="2"/>
  <c r="D26" i="2"/>
  <c r="E26" i="2" s="1"/>
  <c r="C19" i="2"/>
  <c r="B16" i="7" s="1"/>
  <c r="D19" i="2"/>
  <c r="C16" i="7" s="1"/>
  <c r="C23" i="2"/>
  <c r="B17" i="7" s="1"/>
  <c r="D23" i="2"/>
  <c r="E23" i="2" s="1"/>
  <c r="D17" i="7" s="1"/>
  <c r="C30" i="2"/>
  <c r="D30" i="2"/>
  <c r="E30" i="2" s="1"/>
  <c r="C32" i="2"/>
  <c r="D32" i="2"/>
  <c r="E32" i="2" s="1"/>
  <c r="C34" i="2"/>
  <c r="D34" i="2"/>
  <c r="E34" i="2" s="1"/>
  <c r="C36" i="2"/>
  <c r="D36" i="2"/>
  <c r="E36" i="2" s="1"/>
  <c r="C38" i="2"/>
  <c r="D38" i="2"/>
  <c r="E38" i="2" s="1"/>
  <c r="C39" i="2"/>
  <c r="D39" i="2"/>
  <c r="E39" i="2" s="1"/>
  <c r="C45" i="2"/>
  <c r="D45" i="2"/>
  <c r="E45" i="2" s="1"/>
  <c r="C147" i="2"/>
  <c r="D147" i="2"/>
  <c r="E147" i="2" s="1"/>
  <c r="C150" i="2"/>
  <c r="D150" i="2"/>
  <c r="E150" i="2" s="1"/>
  <c r="C151" i="2"/>
  <c r="D151" i="2"/>
  <c r="E151" i="2" s="1"/>
  <c r="C152" i="2"/>
  <c r="D152" i="2"/>
  <c r="E152" i="2" s="1"/>
  <c r="C153" i="2"/>
  <c r="D153" i="2"/>
  <c r="E153" i="2" s="1"/>
  <c r="B18" i="7"/>
  <c r="D18" i="7"/>
  <c r="C165" i="2"/>
  <c r="B19" i="7" s="1"/>
  <c r="D165" i="2"/>
  <c r="C19" i="7" s="1"/>
  <c r="B20" i="7"/>
  <c r="D20" i="7"/>
  <c r="C166" i="2"/>
  <c r="B21" i="7" s="1"/>
  <c r="D166" i="2"/>
  <c r="C21" i="7" s="1"/>
  <c r="C168" i="2"/>
  <c r="D168" i="2"/>
  <c r="E168" i="2" s="1"/>
  <c r="C172" i="2"/>
  <c r="D172" i="2"/>
  <c r="E172" i="2" s="1"/>
  <c r="C173" i="2"/>
  <c r="D173" i="2"/>
  <c r="E173" i="2" s="1"/>
  <c r="C174" i="2"/>
  <c r="D174" i="2"/>
  <c r="E174" i="2" s="1"/>
  <c r="C176" i="2"/>
  <c r="D176" i="2"/>
  <c r="E176" i="2" s="1"/>
  <c r="C177" i="2"/>
  <c r="D177" i="2"/>
  <c r="E177" i="2" s="1"/>
  <c r="C181" i="2"/>
  <c r="D181" i="2"/>
  <c r="E181" i="2" s="1"/>
  <c r="C183" i="2"/>
  <c r="D183" i="2"/>
  <c r="E183" i="2" s="1"/>
  <c r="C184" i="2"/>
  <c r="D184" i="2"/>
  <c r="E184" i="2" s="1"/>
  <c r="C185" i="2"/>
  <c r="D185" i="2"/>
  <c r="E185" i="2" s="1"/>
  <c r="C186" i="2"/>
  <c r="D186" i="2"/>
  <c r="E186" i="2" s="1"/>
  <c r="C187" i="2"/>
  <c r="D187" i="2"/>
  <c r="E187" i="2" s="1"/>
  <c r="C189" i="2"/>
  <c r="D189" i="2"/>
  <c r="E189" i="2" s="1"/>
  <c r="C190" i="2"/>
  <c r="D190" i="2"/>
  <c r="E190" i="2" s="1"/>
  <c r="C195" i="2"/>
  <c r="D195" i="2"/>
  <c r="E195" i="2" s="1"/>
  <c r="C197" i="2"/>
  <c r="D197" i="2"/>
  <c r="E197" i="2" s="1"/>
  <c r="C198" i="2"/>
  <c r="D198" i="2"/>
  <c r="E198" i="2" s="1"/>
  <c r="C200" i="2"/>
  <c r="D200" i="2"/>
  <c r="E200" i="2" s="1"/>
  <c r="C201" i="2"/>
  <c r="D201" i="2"/>
  <c r="E201" i="2" s="1"/>
  <c r="C202" i="2"/>
  <c r="D202" i="2"/>
  <c r="E202" i="2" s="1"/>
  <c r="C203" i="2"/>
  <c r="D203" i="2"/>
  <c r="E203" i="2" s="1"/>
  <c r="C204" i="2"/>
  <c r="D204" i="2"/>
  <c r="E204" i="2" s="1"/>
  <c r="C205" i="2"/>
  <c r="D205" i="2"/>
  <c r="E205" i="2" s="1"/>
  <c r="C207" i="2"/>
  <c r="D207" i="2"/>
  <c r="E207" i="2" s="1"/>
  <c r="C208" i="2"/>
  <c r="D208" i="2"/>
  <c r="E208" i="2" s="1"/>
  <c r="C209" i="2"/>
  <c r="D209" i="2"/>
  <c r="E209" i="2" s="1"/>
  <c r="C211" i="2"/>
  <c r="D211" i="2"/>
  <c r="E211" i="2" s="1"/>
  <c r="C212" i="2"/>
  <c r="D212" i="2"/>
  <c r="E212" i="2" s="1"/>
  <c r="C214" i="2"/>
  <c r="D214" i="2"/>
  <c r="E214" i="2" s="1"/>
  <c r="C215" i="2"/>
  <c r="D215" i="2"/>
  <c r="E215" i="2" s="1"/>
  <c r="C216" i="2"/>
  <c r="D216" i="2"/>
  <c r="E216" i="2" s="1"/>
  <c r="C217" i="2"/>
  <c r="D217" i="2"/>
  <c r="E217" i="2" s="1"/>
  <c r="C219" i="2"/>
  <c r="D219" i="2"/>
  <c r="E219" i="2" s="1"/>
  <c r="C220" i="2"/>
  <c r="D220" i="2"/>
  <c r="E220" i="2" s="1"/>
  <c r="C221" i="2"/>
  <c r="D221" i="2"/>
  <c r="E221" i="2" s="1"/>
  <c r="C222" i="2"/>
  <c r="D222" i="2"/>
  <c r="E222" i="2" s="1"/>
  <c r="C224" i="2"/>
  <c r="D224" i="2"/>
  <c r="E224" i="2" s="1"/>
  <c r="C225" i="2"/>
  <c r="D225" i="2"/>
  <c r="E225" i="2" s="1"/>
  <c r="C226" i="2"/>
  <c r="D226" i="2"/>
  <c r="E226" i="2" s="1"/>
  <c r="C227" i="2"/>
  <c r="D227" i="2"/>
  <c r="E227" i="2" s="1"/>
  <c r="C228" i="2"/>
  <c r="D228" i="2"/>
  <c r="E228" i="2" s="1"/>
  <c r="C229" i="2"/>
  <c r="D229" i="2"/>
  <c r="E229" i="2" s="1"/>
  <c r="C230" i="2"/>
  <c r="D230" i="2"/>
  <c r="E230" i="2" s="1"/>
  <c r="C231" i="2"/>
  <c r="D231" i="2"/>
  <c r="E231" i="2" s="1"/>
  <c r="C240" i="2"/>
  <c r="D240" i="2"/>
  <c r="E240" i="2" s="1"/>
  <c r="C241" i="2"/>
  <c r="D241" i="2"/>
  <c r="E241" i="2" s="1"/>
  <c r="C242" i="2"/>
  <c r="B22" i="7" s="1"/>
  <c r="D242" i="2"/>
  <c r="E242" i="2" s="1"/>
  <c r="D22" i="7" s="1"/>
  <c r="C243" i="2"/>
  <c r="B23" i="7" s="1"/>
  <c r="D243" i="2"/>
  <c r="C23" i="7" s="1"/>
  <c r="C244" i="2"/>
  <c r="B24" i="7" s="1"/>
  <c r="D244" i="2"/>
  <c r="C24" i="7" s="1"/>
  <c r="C245" i="2"/>
  <c r="B25" i="7" s="1"/>
  <c r="D245" i="2"/>
  <c r="E245" i="2" s="1"/>
  <c r="D25" i="7" s="1"/>
  <c r="C246" i="2"/>
  <c r="B26" i="7" s="1"/>
  <c r="D246" i="2"/>
  <c r="C248" i="2"/>
  <c r="B27" i="7" s="1"/>
  <c r="D248" i="2"/>
  <c r="C27" i="7" s="1"/>
  <c r="C250" i="2"/>
  <c r="B28" i="7" s="1"/>
  <c r="D250" i="2"/>
  <c r="C28" i="7" s="1"/>
  <c r="C256" i="2"/>
  <c r="D256" i="2"/>
  <c r="E256" i="2" s="1"/>
  <c r="C257" i="2"/>
  <c r="D257" i="2"/>
  <c r="E257" i="2" s="1"/>
  <c r="D4" i="2"/>
  <c r="C4" i="2"/>
  <c r="G363" i="1"/>
  <c r="H363" i="1"/>
  <c r="I363" i="1"/>
  <c r="G325" i="1"/>
  <c r="H325" i="1"/>
  <c r="I325" i="1"/>
  <c r="G481" i="1"/>
  <c r="H481" i="1"/>
  <c r="I481" i="1"/>
  <c r="G473" i="1"/>
  <c r="H473" i="1"/>
  <c r="I473" i="1"/>
  <c r="G373" i="1"/>
  <c r="H373" i="1"/>
  <c r="I373" i="1"/>
  <c r="G155" i="1"/>
  <c r="H155" i="1"/>
  <c r="I155" i="1"/>
  <c r="F728" i="29"/>
  <c r="G728" i="29" s="1"/>
  <c r="F702" i="29"/>
  <c r="G702" i="29" s="1"/>
  <c r="Q480" i="1"/>
  <c r="F727" i="29"/>
  <c r="G727" i="29" s="1"/>
  <c r="F736" i="29"/>
  <c r="G736" i="29" s="1"/>
  <c r="F1025" i="29"/>
  <c r="G1025" i="29" s="1"/>
  <c r="P514" i="1"/>
  <c r="Q514" i="1" s="1"/>
  <c r="K40" i="4"/>
  <c r="L40" i="4"/>
  <c r="L36" i="4"/>
  <c r="C6" i="7"/>
  <c r="L15" i="4"/>
  <c r="F644" i="29"/>
  <c r="G644" i="29" s="1"/>
  <c r="F782" i="29"/>
  <c r="G782" i="29" s="1"/>
  <c r="F664" i="29"/>
  <c r="G664" i="29" s="1"/>
  <c r="F494" i="29"/>
  <c r="G494" i="29" s="1"/>
  <c r="F700" i="29"/>
  <c r="G700" i="29" s="1"/>
  <c r="F1012" i="29"/>
  <c r="G1012" i="29" s="1"/>
  <c r="F797" i="29"/>
  <c r="G797" i="29" s="1"/>
  <c r="F648" i="29"/>
  <c r="G648" i="29" s="1"/>
  <c r="F552" i="29"/>
  <c r="G552" i="29" s="1"/>
  <c r="F706" i="29"/>
  <c r="G706" i="29" s="1"/>
  <c r="F788" i="29"/>
  <c r="G788" i="29" s="1"/>
  <c r="F503" i="29"/>
  <c r="G503" i="29" s="1"/>
  <c r="F668" i="29"/>
  <c r="G668" i="29" s="1"/>
  <c r="F638" i="29"/>
  <c r="G638" i="29" s="1"/>
  <c r="F586" i="29"/>
  <c r="G586" i="29" s="1"/>
  <c r="F622" i="29"/>
  <c r="G622" i="29" s="1"/>
  <c r="F709" i="29"/>
  <c r="G709" i="29" s="1"/>
  <c r="F940" i="29"/>
  <c r="G940" i="29" s="1"/>
  <c r="F740" i="29"/>
  <c r="G740" i="29" s="1"/>
  <c r="F607" i="29"/>
  <c r="G607" i="29" s="1"/>
  <c r="F707" i="29"/>
  <c r="G707" i="29" s="1"/>
  <c r="F623" i="29"/>
  <c r="G623" i="29" s="1"/>
  <c r="F701" i="29"/>
  <c r="G701" i="29" s="1"/>
  <c r="F780" i="29"/>
  <c r="G780" i="29" s="1"/>
  <c r="F687" i="29"/>
  <c r="G687" i="29" s="1"/>
  <c r="F831" i="29"/>
  <c r="G831" i="29" s="1"/>
  <c r="F568" i="29"/>
  <c r="G568" i="29" s="1"/>
  <c r="F796" i="29"/>
  <c r="G796" i="29" s="1"/>
  <c r="F600" i="29"/>
  <c r="G600" i="29" s="1"/>
  <c r="F605" i="29"/>
  <c r="G605" i="29" s="1"/>
  <c r="F814" i="29"/>
  <c r="G814" i="29" s="1"/>
  <c r="F498" i="29"/>
  <c r="G498" i="29" s="1"/>
  <c r="F651" i="29"/>
  <c r="G651" i="29" s="1"/>
  <c r="F589" i="29"/>
  <c r="G589" i="29" s="1"/>
  <c r="F712" i="29"/>
  <c r="G712" i="29" s="1"/>
  <c r="F645" i="29"/>
  <c r="G645" i="29" s="1"/>
  <c r="F640" i="29"/>
  <c r="G640" i="29" s="1"/>
  <c r="F512" i="29"/>
  <c r="G512" i="29" s="1"/>
  <c r="F481" i="29"/>
  <c r="G481" i="29" s="1"/>
  <c r="F549" i="29"/>
  <c r="G549" i="29" s="1"/>
  <c r="F663" i="29"/>
  <c r="G663" i="29" s="1"/>
  <c r="F601" i="29"/>
  <c r="G601" i="29" s="1"/>
  <c r="F593" i="29"/>
  <c r="G593" i="29" s="1"/>
  <c r="F592" i="29"/>
  <c r="G592" i="29" s="1"/>
  <c r="F625" i="29"/>
  <c r="G625" i="29" s="1"/>
  <c r="F499" i="29"/>
  <c r="G499" i="29" s="1"/>
  <c r="F595" i="29"/>
  <c r="G595" i="29" s="1"/>
  <c r="F492" i="29"/>
  <c r="G492" i="29" s="1"/>
  <c r="F555" i="29"/>
  <c r="G555" i="29" s="1"/>
  <c r="F652" i="29"/>
  <c r="G652" i="29" s="1"/>
  <c r="F744" i="29"/>
  <c r="G744" i="29" s="1"/>
  <c r="F496" i="29"/>
  <c r="G496" i="29" s="1"/>
  <c r="F502" i="29"/>
  <c r="G502" i="29" s="1"/>
  <c r="F510" i="29"/>
  <c r="G510" i="29" s="1"/>
  <c r="F738" i="29"/>
  <c r="G738" i="29" s="1"/>
  <c r="F699" i="29"/>
  <c r="G699" i="29" s="1"/>
  <c r="F580" i="29"/>
  <c r="G580" i="29" s="1"/>
  <c r="F741" i="29"/>
  <c r="G741" i="29" s="1"/>
  <c r="F635" i="29"/>
  <c r="G635" i="29" s="1"/>
  <c r="F501" i="29"/>
  <c r="G501" i="29" s="1"/>
  <c r="F608" i="29"/>
  <c r="G608" i="29" s="1"/>
  <c r="F484" i="29"/>
  <c r="G484" i="29" s="1"/>
  <c r="F757" i="29"/>
  <c r="G757" i="29" s="1"/>
  <c r="F590" i="29"/>
  <c r="G590" i="29" s="1"/>
  <c r="F825" i="29"/>
  <c r="G825" i="29" s="1"/>
  <c r="F548" i="29"/>
  <c r="G548" i="29" s="1"/>
  <c r="F745" i="29"/>
  <c r="G745" i="29" s="1"/>
  <c r="F551" i="29"/>
  <c r="G551" i="29" s="1"/>
  <c r="I26" i="7"/>
  <c r="C8" i="7"/>
  <c r="C5" i="7"/>
  <c r="C11" i="7"/>
  <c r="D13" i="7"/>
  <c r="H27" i="7"/>
  <c r="I27" i="7"/>
  <c r="H28" i="7"/>
  <c r="D9" i="7"/>
  <c r="C12" i="7"/>
  <c r="D15" i="7"/>
  <c r="Q342" i="1"/>
  <c r="I238" i="2"/>
  <c r="K258" i="2"/>
  <c r="L28" i="2"/>
  <c r="O258" i="2"/>
  <c r="I28" i="7"/>
  <c r="K170" i="2"/>
  <c r="R258" i="2"/>
  <c r="L258" i="2"/>
  <c r="M28" i="2"/>
  <c r="L170" i="2"/>
  <c r="I258" i="2"/>
  <c r="I170" i="2"/>
  <c r="N258" i="2"/>
  <c r="S258" i="2"/>
  <c r="J5" i="4"/>
  <c r="K21" i="4"/>
  <c r="F578" i="29"/>
  <c r="G578" i="29" s="1"/>
  <c r="F511" i="29"/>
  <c r="G511" i="29" s="1"/>
  <c r="L289" i="1"/>
  <c r="D53" i="23"/>
  <c r="C40" i="23"/>
  <c r="A40" i="23" s="1"/>
  <c r="C42" i="23"/>
  <c r="A42" i="23" s="1"/>
  <c r="L154" i="1"/>
  <c r="Q509" i="1"/>
  <c r="L252" i="1"/>
  <c r="D39" i="23"/>
  <c r="C20" i="7"/>
  <c r="AV176" i="2"/>
  <c r="L509" i="1"/>
  <c r="F524" i="29"/>
  <c r="G524" i="29" s="1"/>
  <c r="P9" i="2"/>
  <c r="I14" i="4" s="1"/>
  <c r="H14" i="4"/>
  <c r="N14" i="2"/>
  <c r="F525" i="29"/>
  <c r="G525" i="29" s="1"/>
  <c r="N56" i="1"/>
  <c r="N58" i="1"/>
  <c r="N200" i="1"/>
  <c r="N514" i="1"/>
  <c r="J78" i="1" l="1"/>
  <c r="N349" i="24"/>
  <c r="H40" i="32"/>
  <c r="Y53" i="2"/>
  <c r="H144" i="32"/>
  <c r="Y205" i="2"/>
  <c r="H108" i="32"/>
  <c r="Y153" i="2"/>
  <c r="H99" i="32"/>
  <c r="Y142" i="2"/>
  <c r="H32" i="32"/>
  <c r="Y42" i="2"/>
  <c r="H100" i="32"/>
  <c r="Y143" i="2"/>
  <c r="H69" i="32"/>
  <c r="Y89" i="2"/>
  <c r="H101" i="32"/>
  <c r="Y144" i="2"/>
  <c r="H103" i="32"/>
  <c r="Y147" i="2"/>
  <c r="H120" i="32"/>
  <c r="Y174" i="2"/>
  <c r="H160" i="32"/>
  <c r="Y225" i="2"/>
  <c r="H106" i="32"/>
  <c r="Y151" i="2"/>
  <c r="H105" i="32"/>
  <c r="Y150" i="2"/>
  <c r="H104" i="32"/>
  <c r="Y149" i="2"/>
  <c r="H44" i="32"/>
  <c r="Y56" i="2"/>
  <c r="H15" i="32"/>
  <c r="Y17" i="2"/>
  <c r="R78" i="1"/>
  <c r="K78" i="1"/>
  <c r="Y77" i="2"/>
  <c r="D17" i="4"/>
  <c r="H366" i="32"/>
  <c r="H369" i="32"/>
  <c r="H267" i="32"/>
  <c r="H551" i="32"/>
  <c r="H475" i="32"/>
  <c r="H307" i="32"/>
  <c r="H273" i="32"/>
  <c r="H457" i="32"/>
  <c r="H293" i="32"/>
  <c r="H254" i="32"/>
  <c r="H418" i="32"/>
  <c r="H320" i="32"/>
  <c r="H389" i="32"/>
  <c r="H287" i="32"/>
  <c r="H490" i="32"/>
  <c r="H382" i="32"/>
  <c r="H261" i="32"/>
  <c r="H452" i="32"/>
  <c r="H525" i="32"/>
  <c r="H543" i="32"/>
  <c r="H445" i="32"/>
  <c r="H472" i="32"/>
  <c r="H368" i="32"/>
  <c r="H348" i="32"/>
  <c r="H470" i="32"/>
  <c r="H421" i="32"/>
  <c r="H378" i="32"/>
  <c r="H299" i="32"/>
  <c r="H446" i="32"/>
  <c r="H395" i="32"/>
  <c r="H285" i="32"/>
  <c r="H220" i="32"/>
  <c r="H342" i="32"/>
  <c r="H514" i="32"/>
  <c r="H462" i="32"/>
  <c r="H371" i="32"/>
  <c r="H227" i="32"/>
  <c r="H324" i="32"/>
  <c r="H315" i="32"/>
  <c r="H458" i="32"/>
  <c r="H290" i="32"/>
  <c r="H263" i="32"/>
  <c r="H185" i="32"/>
  <c r="H353" i="32"/>
  <c r="H226" i="32"/>
  <c r="H504" i="32"/>
  <c r="H408" i="32"/>
  <c r="H356" i="32"/>
  <c r="H322" i="32"/>
  <c r="H286" i="32"/>
  <c r="H489" i="32"/>
  <c r="H401" i="32"/>
  <c r="H450" i="32"/>
  <c r="H266" i="32"/>
  <c r="H280" i="32"/>
  <c r="H498" i="32"/>
  <c r="H454" i="32"/>
  <c r="H314" i="32"/>
  <c r="H231" i="32"/>
  <c r="H485" i="32"/>
  <c r="H370" i="32"/>
  <c r="H394" i="32"/>
  <c r="H271" i="32"/>
  <c r="H473" i="32"/>
  <c r="H400" i="32"/>
  <c r="Y34" i="2"/>
  <c r="Y190" i="2"/>
  <c r="Y76" i="2"/>
  <c r="Y68" i="2"/>
  <c r="Y57" i="2"/>
  <c r="Y166" i="2"/>
  <c r="Y73" i="2"/>
  <c r="Y72" i="2"/>
  <c r="Y202" i="2"/>
  <c r="Y45" i="2"/>
  <c r="Y38" i="2"/>
  <c r="Y188" i="2"/>
  <c r="Y215" i="2"/>
  <c r="Y94" i="2"/>
  <c r="Y65" i="2"/>
  <c r="Y59" i="2"/>
  <c r="Y165" i="2"/>
  <c r="Y78" i="2"/>
  <c r="Y74" i="2"/>
  <c r="Y64" i="2"/>
  <c r="Y69" i="2"/>
  <c r="Y209" i="2"/>
  <c r="Y26" i="2"/>
  <c r="Y116" i="2"/>
  <c r="V175" i="2"/>
  <c r="Y175" i="2" s="1"/>
  <c r="O13" i="4"/>
  <c r="L23" i="4"/>
  <c r="F11" i="4"/>
  <c r="H55" i="33"/>
  <c r="O8" i="4"/>
  <c r="V90" i="2"/>
  <c r="Y90" i="2" s="1"/>
  <c r="O7" i="4"/>
  <c r="V24" i="2"/>
  <c r="Y24" i="2" s="1"/>
  <c r="V158" i="2"/>
  <c r="Y158" i="2" s="1"/>
  <c r="V44" i="2"/>
  <c r="Y44" i="2" s="1"/>
  <c r="V85" i="2"/>
  <c r="Y85" i="2" s="1"/>
  <c r="V130" i="2"/>
  <c r="P220" i="2"/>
  <c r="V128" i="2"/>
  <c r="P229" i="2"/>
  <c r="P226" i="2"/>
  <c r="H84" i="32"/>
  <c r="P215" i="2"/>
  <c r="H86" i="32"/>
  <c r="V133" i="2"/>
  <c r="V210" i="2"/>
  <c r="Y210" i="2" s="1"/>
  <c r="V27" i="2"/>
  <c r="Y27" i="2" s="1"/>
  <c r="V132" i="2"/>
  <c r="P195" i="2"/>
  <c r="P210" i="2" s="1"/>
  <c r="P211" i="2"/>
  <c r="P181" i="2"/>
  <c r="P182" i="2" s="1"/>
  <c r="V131" i="2"/>
  <c r="V129" i="2"/>
  <c r="V237" i="2"/>
  <c r="Y237" i="2" s="1"/>
  <c r="H85" i="32"/>
  <c r="N197" i="1"/>
  <c r="N24" i="24"/>
  <c r="Q341" i="1"/>
  <c r="N9" i="4"/>
  <c r="N10" i="4" s="1"/>
  <c r="N17" i="4"/>
  <c r="N188" i="24"/>
  <c r="N231" i="1"/>
  <c r="N117" i="1"/>
  <c r="H556" i="32"/>
  <c r="H306" i="32"/>
  <c r="H555" i="32"/>
  <c r="H537" i="32"/>
  <c r="H390" i="32"/>
  <c r="H534" i="32"/>
  <c r="H357" i="32"/>
  <c r="N484" i="1"/>
  <c r="N453" i="1"/>
  <c r="N424" i="1"/>
  <c r="N414" i="1"/>
  <c r="N233" i="1"/>
  <c r="N216" i="1"/>
  <c r="H560" i="32"/>
  <c r="H518" i="32"/>
  <c r="H467" i="32"/>
  <c r="H352" i="32"/>
  <c r="H257" i="32"/>
  <c r="H513" i="32"/>
  <c r="H310" i="32"/>
  <c r="H255" i="32"/>
  <c r="H478" i="32"/>
  <c r="H338" i="32"/>
  <c r="H522" i="32"/>
  <c r="H416" i="32"/>
  <c r="H542" i="32"/>
  <c r="H453" i="32"/>
  <c r="H405" i="32"/>
  <c r="H561" i="32"/>
  <c r="H545" i="32"/>
  <c r="H515" i="32"/>
  <c r="H483" i="32"/>
  <c r="H439" i="32"/>
  <c r="H424" i="32"/>
  <c r="H319" i="32"/>
  <c r="H304" i="32"/>
  <c r="H279" i="32"/>
  <c r="H256" i="32"/>
  <c r="H240" i="32"/>
  <c r="H275" i="32"/>
  <c r="H422" i="32"/>
  <c r="H387" i="32"/>
  <c r="H511" i="32"/>
  <c r="H274" i="32"/>
  <c r="H252" i="32"/>
  <c r="N427" i="1"/>
  <c r="N417" i="1"/>
  <c r="N230" i="1"/>
  <c r="H552" i="32"/>
  <c r="H533" i="32"/>
  <c r="H437" i="32"/>
  <c r="H413" i="32"/>
  <c r="H388" i="32"/>
  <c r="H362" i="32"/>
  <c r="H344" i="32"/>
  <c r="H502" i="32"/>
  <c r="H381" i="32"/>
  <c r="H554" i="32"/>
  <c r="H516" i="32"/>
  <c r="H488" i="32"/>
  <c r="H430" i="32"/>
  <c r="H532" i="32"/>
  <c r="H461" i="32"/>
  <c r="H380" i="32"/>
  <c r="H553" i="32"/>
  <c r="H529" i="32"/>
  <c r="H505" i="32"/>
  <c r="H336" i="32"/>
  <c r="H312" i="32"/>
  <c r="H447" i="32"/>
  <c r="H331" i="32"/>
  <c r="H311" i="32"/>
  <c r="H294" i="32"/>
  <c r="H278" i="32"/>
  <c r="H251" i="32"/>
  <c r="H507" i="32"/>
  <c r="H268" i="32"/>
  <c r="H558" i="32"/>
  <c r="H521" i="32"/>
  <c r="H492" i="32"/>
  <c r="H402" i="32"/>
  <c r="H419" i="32"/>
  <c r="H393" i="32"/>
  <c r="H341" i="32"/>
  <c r="H300" i="32"/>
  <c r="N486" i="1"/>
  <c r="N439" i="1"/>
  <c r="N425" i="1"/>
  <c r="N415" i="1"/>
  <c r="N224" i="1"/>
  <c r="H527" i="32"/>
  <c r="H471" i="32"/>
  <c r="H456" i="32"/>
  <c r="H340" i="32"/>
  <c r="H377" i="32"/>
  <c r="H347" i="32"/>
  <c r="H289" i="32"/>
  <c r="H259" i="32"/>
  <c r="H566" i="32"/>
  <c r="H536" i="32"/>
  <c r="H512" i="32"/>
  <c r="H484" i="32"/>
  <c r="H420" i="32"/>
  <c r="H354" i="32"/>
  <c r="H301" i="32"/>
  <c r="H526" i="32"/>
  <c r="H410" i="32"/>
  <c r="H524" i="32"/>
  <c r="H487" i="32"/>
  <c r="H444" i="32"/>
  <c r="H404" i="32"/>
  <c r="H323" i="32"/>
  <c r="H308" i="32"/>
  <c r="H283" i="32"/>
  <c r="H245" i="32"/>
  <c r="N66" i="1"/>
  <c r="N59" i="1"/>
  <c r="N70" i="1"/>
  <c r="I39" i="4" s="1"/>
  <c r="N52" i="1"/>
  <c r="H199" i="32"/>
  <c r="H232" i="32"/>
  <c r="H203" i="32"/>
  <c r="N63" i="1"/>
  <c r="N51" i="1"/>
  <c r="H189" i="32"/>
  <c r="H198" i="32"/>
  <c r="H221" i="32"/>
  <c r="N67" i="1"/>
  <c r="N50" i="1"/>
  <c r="H235" i="32"/>
  <c r="H213" i="32"/>
  <c r="H214" i="32"/>
  <c r="H204" i="32"/>
  <c r="N172" i="24"/>
  <c r="N175" i="24"/>
  <c r="N299" i="24"/>
  <c r="N263" i="24"/>
  <c r="N4" i="24"/>
  <c r="G78" i="26"/>
  <c r="I78" i="26"/>
  <c r="N165" i="1"/>
  <c r="F500" i="29"/>
  <c r="G500" i="29" s="1"/>
  <c r="O165" i="1"/>
  <c r="S165" i="1"/>
  <c r="N346" i="24"/>
  <c r="N255" i="24"/>
  <c r="N102" i="24"/>
  <c r="N313" i="24"/>
  <c r="N355" i="24"/>
  <c r="N247" i="24"/>
  <c r="J78" i="26"/>
  <c r="M356" i="24"/>
  <c r="N19" i="24"/>
  <c r="N352" i="24"/>
  <c r="N56" i="24"/>
  <c r="G19" i="26"/>
  <c r="G86" i="26" s="1"/>
  <c r="J99" i="26" s="1"/>
  <c r="J108" i="26" s="1"/>
  <c r="H392" i="32"/>
  <c r="N28" i="24"/>
  <c r="F78" i="26"/>
  <c r="N310" i="24"/>
  <c r="H19" i="26"/>
  <c r="I19" i="26"/>
  <c r="N268" i="24"/>
  <c r="F19" i="26"/>
  <c r="E78" i="26"/>
  <c r="N307" i="24"/>
  <c r="N316" i="24"/>
  <c r="E19" i="26"/>
  <c r="D7" i="4"/>
  <c r="U14" i="2"/>
  <c r="N12" i="4"/>
  <c r="S141" i="2"/>
  <c r="R170" i="2"/>
  <c r="Q170" i="2"/>
  <c r="U170" i="2"/>
  <c r="P170" i="2"/>
  <c r="N339" i="1"/>
  <c r="N341" i="1" s="1"/>
  <c r="L341" i="1"/>
  <c r="T38" i="1"/>
  <c r="Z38" i="1" s="1"/>
  <c r="H206" i="32"/>
  <c r="S38" i="1"/>
  <c r="T97" i="1"/>
  <c r="Z97" i="1" s="1"/>
  <c r="H386" i="32"/>
  <c r="H436" i="32"/>
  <c r="F739" i="29"/>
  <c r="G739" i="29" s="1"/>
  <c r="O341" i="1"/>
  <c r="H429" i="32"/>
  <c r="S341" i="1"/>
  <c r="Q481" i="1"/>
  <c r="N481" i="1"/>
  <c r="Q194" i="2"/>
  <c r="V194" i="2"/>
  <c r="Y194" i="2" s="1"/>
  <c r="Q141" i="2"/>
  <c r="P141" i="2"/>
  <c r="U141" i="2"/>
  <c r="J11" i="2"/>
  <c r="J28" i="2" s="1"/>
  <c r="D9" i="4"/>
  <c r="L159" i="2"/>
  <c r="N11" i="4"/>
  <c r="E243" i="2"/>
  <c r="D23" i="7" s="1"/>
  <c r="I159" i="2"/>
  <c r="I28" i="2"/>
  <c r="R91" i="2"/>
  <c r="R141" i="2" s="1"/>
  <c r="S14" i="2"/>
  <c r="S28" i="2" s="1"/>
  <c r="E16" i="2"/>
  <c r="D7" i="7" s="1"/>
  <c r="C25" i="7"/>
  <c r="N85" i="1"/>
  <c r="H238" i="32"/>
  <c r="S85" i="1"/>
  <c r="P80" i="1"/>
  <c r="O85" i="1"/>
  <c r="P476" i="1"/>
  <c r="P481" i="1" s="1"/>
  <c r="O481" i="1"/>
  <c r="H540" i="32"/>
  <c r="S481" i="1"/>
  <c r="O411" i="1"/>
  <c r="S411" i="1"/>
  <c r="Q397" i="1"/>
  <c r="F836" i="29"/>
  <c r="G836" i="29" s="1"/>
  <c r="H482" i="32"/>
  <c r="I23" i="23"/>
  <c r="N268" i="1"/>
  <c r="L283" i="1"/>
  <c r="G23" i="23"/>
  <c r="H477" i="32"/>
  <c r="S395" i="1"/>
  <c r="O395" i="1"/>
  <c r="K23" i="23"/>
  <c r="O283" i="1"/>
  <c r="S283" i="1"/>
  <c r="N39" i="4"/>
  <c r="H385" i="32"/>
  <c r="F657" i="29"/>
  <c r="G657" i="29" s="1"/>
  <c r="F642" i="29"/>
  <c r="G642" i="29" s="1"/>
  <c r="O267" i="1"/>
  <c r="N267" i="1"/>
  <c r="H375" i="32"/>
  <c r="S267" i="1"/>
  <c r="R325" i="1"/>
  <c r="G61" i="23"/>
  <c r="K61" i="23"/>
  <c r="F379" i="29"/>
  <c r="G379" i="29" s="1"/>
  <c r="P496" i="1"/>
  <c r="J42" i="4"/>
  <c r="F685" i="29"/>
  <c r="G685" i="29" s="1"/>
  <c r="F805" i="29"/>
  <c r="G805" i="29" s="1"/>
  <c r="P211" i="1"/>
  <c r="P437" i="1"/>
  <c r="Q437" i="1" s="1"/>
  <c r="S77" i="1"/>
  <c r="P447" i="1"/>
  <c r="Q447" i="1" s="1"/>
  <c r="F517" i="29"/>
  <c r="G517" i="29" s="1"/>
  <c r="F395" i="29"/>
  <c r="G395" i="29" s="1"/>
  <c r="F374" i="29"/>
  <c r="G374" i="29" s="1"/>
  <c r="S45" i="1"/>
  <c r="R510" i="1"/>
  <c r="S97" i="1"/>
  <c r="F795" i="29"/>
  <c r="G795" i="29" s="1"/>
  <c r="L104" i="1"/>
  <c r="P178" i="1"/>
  <c r="Q178" i="1" s="1"/>
  <c r="F461" i="29"/>
  <c r="G461" i="29" s="1"/>
  <c r="N40" i="1"/>
  <c r="S94" i="1"/>
  <c r="K6" i="23"/>
  <c r="K10" i="23" s="1"/>
  <c r="S154" i="1"/>
  <c r="P422" i="1"/>
  <c r="Q422" i="1" s="1"/>
  <c r="F342" i="29"/>
  <c r="G342" i="29" s="1"/>
  <c r="F658" i="29"/>
  <c r="G658" i="29" s="1"/>
  <c r="P53" i="1"/>
  <c r="L97" i="1"/>
  <c r="P50" i="1"/>
  <c r="S73" i="1"/>
  <c r="F669" i="29"/>
  <c r="G669" i="29" s="1"/>
  <c r="P20" i="1"/>
  <c r="Q20" i="1" s="1"/>
  <c r="N107" i="1"/>
  <c r="N110" i="1" s="1"/>
  <c r="F30" i="4"/>
  <c r="F947" i="29"/>
  <c r="G947" i="29" s="1"/>
  <c r="P354" i="1"/>
  <c r="Q354" i="1" s="1"/>
  <c r="P192" i="1"/>
  <c r="P191" i="1"/>
  <c r="F926" i="29"/>
  <c r="G926" i="29" s="1"/>
  <c r="S289" i="1"/>
  <c r="E424" i="1"/>
  <c r="D59" i="23" s="1"/>
  <c r="P394" i="1"/>
  <c r="L510" i="1"/>
  <c r="S114" i="1"/>
  <c r="N37" i="4"/>
  <c r="H46" i="23"/>
  <c r="H67" i="23" s="1"/>
  <c r="L490" i="1"/>
  <c r="F349" i="29"/>
  <c r="G349" i="29" s="1"/>
  <c r="E492" i="1"/>
  <c r="D40" i="25" s="1"/>
  <c r="F804" i="29"/>
  <c r="G804" i="29" s="1"/>
  <c r="L380" i="1"/>
  <c r="Q190" i="1"/>
  <c r="S147" i="1"/>
  <c r="S490" i="1"/>
  <c r="T504" i="1"/>
  <c r="Z504" i="1" s="1"/>
  <c r="N437" i="1"/>
  <c r="N181" i="1"/>
  <c r="L236" i="1"/>
  <c r="S324" i="1"/>
  <c r="T69" i="1"/>
  <c r="Z69" i="1" s="1"/>
  <c r="T373" i="1"/>
  <c r="Z373" i="1" s="1"/>
  <c r="T201" i="1"/>
  <c r="Z201" i="1" s="1"/>
  <c r="L450" i="1"/>
  <c r="E27" i="1"/>
  <c r="D9" i="25" s="1"/>
  <c r="L394" i="1"/>
  <c r="S472" i="1"/>
  <c r="N34" i="4"/>
  <c r="N36" i="4"/>
  <c r="T388" i="1"/>
  <c r="Z388" i="1" s="1"/>
  <c r="S446" i="1"/>
  <c r="R363" i="1"/>
  <c r="S40" i="1"/>
  <c r="S504" i="1"/>
  <c r="S509" i="1"/>
  <c r="S426" i="1"/>
  <c r="T362" i="1"/>
  <c r="Z362" i="1" s="1"/>
  <c r="T123" i="1"/>
  <c r="Z123" i="1" s="1"/>
  <c r="T520" i="1"/>
  <c r="Z520" i="1" s="1"/>
  <c r="T289" i="1"/>
  <c r="Z289" i="1" s="1"/>
  <c r="N28" i="4"/>
  <c r="T40" i="1"/>
  <c r="Z40" i="1" s="1"/>
  <c r="H210" i="32"/>
  <c r="S388" i="1"/>
  <c r="S110" i="1"/>
  <c r="S69" i="1"/>
  <c r="N26" i="4"/>
  <c r="S15" i="1"/>
  <c r="S373" i="1"/>
  <c r="S104" i="1"/>
  <c r="S60" i="1"/>
  <c r="N27" i="4"/>
  <c r="T446" i="1"/>
  <c r="Z446" i="1" s="1"/>
  <c r="T15" i="1"/>
  <c r="N31" i="4"/>
  <c r="T426" i="1"/>
  <c r="Z426" i="1" s="1"/>
  <c r="T147" i="1"/>
  <c r="Z147" i="1" s="1"/>
  <c r="T87" i="1"/>
  <c r="Z87" i="1" s="1"/>
  <c r="H242" i="32"/>
  <c r="O36" i="4"/>
  <c r="H557" i="32"/>
  <c r="O33" i="4"/>
  <c r="H468" i="32"/>
  <c r="O31" i="4"/>
  <c r="H297" i="32"/>
  <c r="S241" i="1"/>
  <c r="S520" i="1"/>
  <c r="S123" i="1"/>
  <c r="S33" i="1"/>
  <c r="S362" i="1"/>
  <c r="S201" i="1"/>
  <c r="N30" i="4"/>
  <c r="T110" i="1"/>
  <c r="Z110" i="1" s="1"/>
  <c r="T509" i="1"/>
  <c r="Z509" i="1" s="1"/>
  <c r="T241" i="1"/>
  <c r="Z241" i="1" s="1"/>
  <c r="T33" i="1"/>
  <c r="Z33" i="1" s="1"/>
  <c r="N33" i="4"/>
  <c r="T324" i="1"/>
  <c r="Z324" i="1" s="1"/>
  <c r="O37" i="4"/>
  <c r="H234" i="32"/>
  <c r="O40" i="4"/>
  <c r="H562" i="32"/>
  <c r="O34" i="4"/>
  <c r="H464" i="32"/>
  <c r="H296" i="32"/>
  <c r="M32" i="4"/>
  <c r="M29" i="4"/>
  <c r="M35" i="4"/>
  <c r="M38" i="4"/>
  <c r="C58" i="23"/>
  <c r="A58" i="23" s="1"/>
  <c r="C4" i="25"/>
  <c r="C37" i="25"/>
  <c r="C22" i="23"/>
  <c r="A22" i="23" s="1"/>
  <c r="G30" i="4"/>
  <c r="C60" i="23"/>
  <c r="A60" i="23" s="1"/>
  <c r="E379" i="1"/>
  <c r="D56" i="23" s="1"/>
  <c r="F1013" i="29"/>
  <c r="G1013" i="29" s="1"/>
  <c r="P118" i="1"/>
  <c r="Q118" i="1" s="1"/>
  <c r="G52" i="23"/>
  <c r="F862" i="29"/>
  <c r="G862" i="29" s="1"/>
  <c r="P386" i="1"/>
  <c r="E19" i="1"/>
  <c r="D8" i="23" s="1"/>
  <c r="E164" i="1"/>
  <c r="D15" i="25" s="1"/>
  <c r="L324" i="1"/>
  <c r="F26" i="4"/>
  <c r="F29" i="4" s="1"/>
  <c r="C20" i="25"/>
  <c r="C14" i="7"/>
  <c r="N252" i="2"/>
  <c r="U252" i="2"/>
  <c r="V252" i="2"/>
  <c r="Y252" i="2" s="1"/>
  <c r="P8" i="2"/>
  <c r="C18" i="7"/>
  <c r="I5" i="4"/>
  <c r="P251" i="2"/>
  <c r="M10" i="4"/>
  <c r="T238" i="2"/>
  <c r="M16" i="4"/>
  <c r="E250" i="2"/>
  <c r="D28" i="7" s="1"/>
  <c r="T28" i="2"/>
  <c r="E244" i="2"/>
  <c r="D24" i="7" s="1"/>
  <c r="P27" i="2"/>
  <c r="R155" i="1"/>
  <c r="R473" i="1"/>
  <c r="H270" i="32"/>
  <c r="S138" i="1"/>
  <c r="H549" i="32"/>
  <c r="S499" i="1"/>
  <c r="E95" i="1"/>
  <c r="D17" i="23" s="1"/>
  <c r="C28" i="23"/>
  <c r="A28" i="23" s="1"/>
  <c r="E6" i="1"/>
  <c r="D5" i="25" s="1"/>
  <c r="E277" i="1"/>
  <c r="D32" i="25" s="1"/>
  <c r="H364" i="32"/>
  <c r="S252" i="1"/>
  <c r="K490" i="1"/>
  <c r="F312" i="29"/>
  <c r="G312" i="29" s="1"/>
  <c r="P160" i="1"/>
  <c r="P51" i="1"/>
  <c r="F347" i="29"/>
  <c r="G347" i="29" s="1"/>
  <c r="P10" i="1"/>
  <c r="F297" i="29"/>
  <c r="G297" i="29" s="1"/>
  <c r="F474" i="29"/>
  <c r="G474" i="29" s="1"/>
  <c r="P140" i="1"/>
  <c r="Q125" i="1"/>
  <c r="P188" i="1"/>
  <c r="F541" i="29"/>
  <c r="G541" i="29" s="1"/>
  <c r="F874" i="29"/>
  <c r="G874" i="29" s="1"/>
  <c r="P423" i="1"/>
  <c r="P398" i="1"/>
  <c r="F838" i="29"/>
  <c r="G838" i="29" s="1"/>
  <c r="F987" i="29"/>
  <c r="G987" i="29" s="1"/>
  <c r="P487" i="1"/>
  <c r="F999" i="29"/>
  <c r="G999" i="29" s="1"/>
  <c r="P494" i="1"/>
  <c r="Q374" i="1"/>
  <c r="P91" i="1"/>
  <c r="F462" i="29"/>
  <c r="G462" i="29" s="1"/>
  <c r="F322" i="29"/>
  <c r="G322" i="29" s="1"/>
  <c r="P506" i="1"/>
  <c r="F381" i="29"/>
  <c r="G381" i="29" s="1"/>
  <c r="F1009" i="29"/>
  <c r="G1009" i="29" s="1"/>
  <c r="P501" i="1"/>
  <c r="F384" i="29"/>
  <c r="G384" i="29" s="1"/>
  <c r="P66" i="1"/>
  <c r="F366" i="29"/>
  <c r="G366" i="29" s="1"/>
  <c r="F335" i="29"/>
  <c r="G335" i="29" s="1"/>
  <c r="P36" i="1"/>
  <c r="F416" i="29"/>
  <c r="G416" i="29" s="1"/>
  <c r="P98" i="1"/>
  <c r="F408" i="29"/>
  <c r="G408" i="29" s="1"/>
  <c r="P90" i="1"/>
  <c r="F654" i="29"/>
  <c r="G654" i="29" s="1"/>
  <c r="P263" i="1"/>
  <c r="F613" i="29"/>
  <c r="G613" i="29" s="1"/>
  <c r="P232" i="1"/>
  <c r="F587" i="29"/>
  <c r="G587" i="29" s="1"/>
  <c r="P218" i="1"/>
  <c r="F567" i="29"/>
  <c r="G567" i="29" s="1"/>
  <c r="P205" i="1"/>
  <c r="F522" i="29"/>
  <c r="G522" i="29" s="1"/>
  <c r="P172" i="1"/>
  <c r="F518" i="29"/>
  <c r="G518" i="29" s="1"/>
  <c r="P168" i="1"/>
  <c r="F778" i="29"/>
  <c r="G778" i="29" s="1"/>
  <c r="F761" i="29"/>
  <c r="G761" i="29" s="1"/>
  <c r="P346" i="1"/>
  <c r="Q346" i="1" s="1"/>
  <c r="F934" i="29"/>
  <c r="G934" i="29" s="1"/>
  <c r="P458" i="1"/>
  <c r="P441" i="1"/>
  <c r="F918" i="29"/>
  <c r="G918" i="29" s="1"/>
  <c r="F885" i="29"/>
  <c r="G885" i="29" s="1"/>
  <c r="P431" i="1"/>
  <c r="Q431" i="1" s="1"/>
  <c r="P486" i="1"/>
  <c r="F986" i="29"/>
  <c r="G986" i="29" s="1"/>
  <c r="P493" i="1"/>
  <c r="F997" i="29"/>
  <c r="G997" i="29" s="1"/>
  <c r="N306" i="1"/>
  <c r="C27" i="23"/>
  <c r="A27" i="23" s="1"/>
  <c r="P350" i="1"/>
  <c r="F333" i="29"/>
  <c r="G333" i="29" s="1"/>
  <c r="F602" i="29"/>
  <c r="G602" i="29" s="1"/>
  <c r="F832" i="29"/>
  <c r="G832" i="29" s="1"/>
  <c r="F837" i="29"/>
  <c r="G837" i="29" s="1"/>
  <c r="E10" i="1"/>
  <c r="D6" i="25" s="1"/>
  <c r="C6" i="25"/>
  <c r="E384" i="1"/>
  <c r="D39" i="25" s="1"/>
  <c r="C39" i="25"/>
  <c r="C34" i="23"/>
  <c r="A34" i="23" s="1"/>
  <c r="E240" i="1"/>
  <c r="D34" i="23" s="1"/>
  <c r="E82" i="1"/>
  <c r="D12" i="25" s="1"/>
  <c r="C12" i="25"/>
  <c r="E183" i="1"/>
  <c r="D22" i="25" s="1"/>
  <c r="C22" i="25"/>
  <c r="N393" i="1"/>
  <c r="N147" i="1"/>
  <c r="L147" i="1"/>
  <c r="N94" i="1"/>
  <c r="L94" i="1"/>
  <c r="E307" i="1"/>
  <c r="D34" i="25" s="1"/>
  <c r="C34" i="25"/>
  <c r="E357" i="1"/>
  <c r="D51" i="23" s="1"/>
  <c r="C51" i="23"/>
  <c r="A51" i="23" s="1"/>
  <c r="F367" i="29"/>
  <c r="G367" i="29" s="1"/>
  <c r="P31" i="1"/>
  <c r="F326" i="29"/>
  <c r="G326" i="29" s="1"/>
  <c r="P129" i="1"/>
  <c r="F450" i="29"/>
  <c r="G450" i="29" s="1"/>
  <c r="P233" i="1"/>
  <c r="Q233" i="1" s="1"/>
  <c r="F614" i="29"/>
  <c r="G614" i="29" s="1"/>
  <c r="C45" i="23"/>
  <c r="A45" i="23" s="1"/>
  <c r="I8" i="23"/>
  <c r="I10" i="23" s="1"/>
  <c r="D26" i="4"/>
  <c r="D29" i="4" s="1"/>
  <c r="F370" i="29"/>
  <c r="G370" i="29" s="1"/>
  <c r="P70" i="1"/>
  <c r="F362" i="29"/>
  <c r="G362" i="29" s="1"/>
  <c r="P63" i="1"/>
  <c r="P41" i="1"/>
  <c r="F338" i="29"/>
  <c r="G338" i="29" s="1"/>
  <c r="F321" i="29"/>
  <c r="G321" i="29" s="1"/>
  <c r="P26" i="1"/>
  <c r="P108" i="1"/>
  <c r="F426" i="29"/>
  <c r="G426" i="29" s="1"/>
  <c r="P93" i="1"/>
  <c r="F412" i="29"/>
  <c r="G412" i="29" s="1"/>
  <c r="F633" i="29"/>
  <c r="G633" i="29" s="1"/>
  <c r="P246" i="1"/>
  <c r="Q246" i="1" s="1"/>
  <c r="P215" i="1"/>
  <c r="F582" i="29"/>
  <c r="G582" i="29" s="1"/>
  <c r="P183" i="1"/>
  <c r="F536" i="29"/>
  <c r="G536" i="29" s="1"/>
  <c r="F789" i="29"/>
  <c r="G789" i="29" s="1"/>
  <c r="P368" i="1"/>
  <c r="F881" i="29"/>
  <c r="G881" i="29" s="1"/>
  <c r="P427" i="1"/>
  <c r="P417" i="1"/>
  <c r="Q417" i="1" s="1"/>
  <c r="F869" i="29"/>
  <c r="G869" i="29" s="1"/>
  <c r="P383" i="1"/>
  <c r="F811" i="29"/>
  <c r="G811" i="29" s="1"/>
  <c r="F1033" i="29"/>
  <c r="G1033" i="29" s="1"/>
  <c r="J43" i="4"/>
  <c r="L371" i="1"/>
  <c r="F1006" i="29"/>
  <c r="G1006" i="29" s="1"/>
  <c r="P454" i="1"/>
  <c r="F317" i="29"/>
  <c r="G317" i="29" s="1"/>
  <c r="F293" i="29"/>
  <c r="G293" i="29" s="1"/>
  <c r="P144" i="1"/>
  <c r="Q144" i="1" s="1"/>
  <c r="F507" i="29"/>
  <c r="G507" i="29" s="1"/>
  <c r="F431" i="29"/>
  <c r="G431" i="29" s="1"/>
  <c r="P187" i="1"/>
  <c r="Q187" i="1" s="1"/>
  <c r="F860" i="29"/>
  <c r="G860" i="29" s="1"/>
  <c r="F325" i="29"/>
  <c r="G325" i="29" s="1"/>
  <c r="P365" i="1"/>
  <c r="Q365" i="1" s="1"/>
  <c r="N270" i="1"/>
  <c r="P375" i="1"/>
  <c r="Q375" i="1" s="1"/>
  <c r="L498" i="1"/>
  <c r="P518" i="1"/>
  <c r="Q518" i="1" s="1"/>
  <c r="L28" i="4"/>
  <c r="F710" i="29"/>
  <c r="G710" i="29" s="1"/>
  <c r="F359" i="29"/>
  <c r="G359" i="29" s="1"/>
  <c r="F355" i="29"/>
  <c r="G355" i="29" s="1"/>
  <c r="P180" i="1"/>
  <c r="P236" i="1"/>
  <c r="Q236" i="1" s="1"/>
  <c r="P294" i="1"/>
  <c r="F858" i="29"/>
  <c r="G858" i="29" s="1"/>
  <c r="F851" i="29"/>
  <c r="G851" i="29" s="1"/>
  <c r="E35" i="4"/>
  <c r="L87" i="1"/>
  <c r="N509" i="1"/>
  <c r="I28" i="4"/>
  <c r="N154" i="1"/>
  <c r="O87" i="1"/>
  <c r="E222" i="1"/>
  <c r="D26" i="25" s="1"/>
  <c r="E234" i="1"/>
  <c r="D33" i="23" s="1"/>
  <c r="C24" i="25"/>
  <c r="C33" i="25"/>
  <c r="C18" i="25"/>
  <c r="F444" i="29"/>
  <c r="G444" i="29" s="1"/>
  <c r="F357" i="29"/>
  <c r="G357" i="29" s="1"/>
  <c r="C49" i="23"/>
  <c r="A49" i="23" s="1"/>
  <c r="P453" i="1"/>
  <c r="Q453" i="1" s="1"/>
  <c r="N47" i="1"/>
  <c r="E92" i="1"/>
  <c r="D13" i="25" s="1"/>
  <c r="C16" i="25"/>
  <c r="C30" i="23"/>
  <c r="A30" i="23" s="1"/>
  <c r="C28" i="25"/>
  <c r="C27" i="25"/>
  <c r="N252" i="1"/>
  <c r="C31" i="23"/>
  <c r="A31" i="23" s="1"/>
  <c r="E61" i="1"/>
  <c r="D13" i="23" s="1"/>
  <c r="P8" i="1"/>
  <c r="Q8" i="1" s="1"/>
  <c r="C41" i="25"/>
  <c r="L73" i="1"/>
  <c r="N33" i="1"/>
  <c r="N15" i="1"/>
  <c r="P76" i="1"/>
  <c r="F378" i="29"/>
  <c r="G378" i="29" s="1"/>
  <c r="P68" i="1"/>
  <c r="Q68" i="1" s="1"/>
  <c r="F369" i="29"/>
  <c r="G369" i="29" s="1"/>
  <c r="P25" i="1"/>
  <c r="F320" i="29"/>
  <c r="G320" i="29" s="1"/>
  <c r="F303" i="29"/>
  <c r="G303" i="29" s="1"/>
  <c r="F486" i="29"/>
  <c r="G486" i="29" s="1"/>
  <c r="P148" i="1"/>
  <c r="F418" i="29"/>
  <c r="G418" i="29" s="1"/>
  <c r="P101" i="1"/>
  <c r="F688" i="29"/>
  <c r="G688" i="29" s="1"/>
  <c r="P319" i="1"/>
  <c r="P302" i="1"/>
  <c r="F715" i="29"/>
  <c r="G715" i="29" s="1"/>
  <c r="F646" i="29"/>
  <c r="G646" i="29" s="1"/>
  <c r="P259" i="1"/>
  <c r="F632" i="29"/>
  <c r="G632" i="29" s="1"/>
  <c r="P245" i="1"/>
  <c r="P204" i="1"/>
  <c r="F566" i="29"/>
  <c r="G566" i="29" s="1"/>
  <c r="Q177" i="1"/>
  <c r="F506" i="29"/>
  <c r="G506" i="29" s="1"/>
  <c r="F769" i="29"/>
  <c r="G769" i="29" s="1"/>
  <c r="P349" i="1"/>
  <c r="F764" i="29"/>
  <c r="G764" i="29" s="1"/>
  <c r="P445" i="1"/>
  <c r="F921" i="29"/>
  <c r="G921" i="29" s="1"/>
  <c r="P436" i="1"/>
  <c r="F913" i="29"/>
  <c r="G913" i="29" s="1"/>
  <c r="F880" i="29"/>
  <c r="G880" i="29" s="1"/>
  <c r="P425" i="1"/>
  <c r="Q425" i="1" s="1"/>
  <c r="P406" i="1"/>
  <c r="F859" i="29"/>
  <c r="G859" i="29" s="1"/>
  <c r="P400" i="1"/>
  <c r="Q400" i="1" s="1"/>
  <c r="F840" i="29"/>
  <c r="G840" i="29" s="1"/>
  <c r="P382" i="1"/>
  <c r="F807" i="29"/>
  <c r="G807" i="29" s="1"/>
  <c r="Q517" i="1"/>
  <c r="Q364" i="1"/>
  <c r="G39" i="4"/>
  <c r="F543" i="29"/>
  <c r="G543" i="29" s="1"/>
  <c r="F437" i="29"/>
  <c r="G437" i="29" s="1"/>
  <c r="P49" i="1"/>
  <c r="F531" i="29"/>
  <c r="G531" i="29" s="1"/>
  <c r="F428" i="29"/>
  <c r="G428" i="29" s="1"/>
  <c r="C57" i="23"/>
  <c r="A57" i="23" s="1"/>
  <c r="I82" i="5"/>
  <c r="C10" i="25"/>
  <c r="H39" i="4"/>
  <c r="F521" i="29"/>
  <c r="G521" i="29" s="1"/>
  <c r="F616" i="29"/>
  <c r="G616" i="29" s="1"/>
  <c r="P115" i="1"/>
  <c r="F884" i="29"/>
  <c r="G884" i="29" s="1"/>
  <c r="P353" i="1"/>
  <c r="E514" i="1"/>
  <c r="D64" i="23" s="1"/>
  <c r="C64" i="23"/>
  <c r="A64" i="23" s="1"/>
  <c r="C43" i="25"/>
  <c r="E512" i="1"/>
  <c r="D43" i="25" s="1"/>
  <c r="E256" i="1"/>
  <c r="D36" i="23" s="1"/>
  <c r="C36" i="23"/>
  <c r="A36" i="23" s="1"/>
  <c r="C30" i="25"/>
  <c r="E249" i="1"/>
  <c r="D30" i="25" s="1"/>
  <c r="E247" i="1"/>
  <c r="D29" i="25" s="1"/>
  <c r="C29" i="25"/>
  <c r="E242" i="1"/>
  <c r="D35" i="23" s="1"/>
  <c r="C35" i="23"/>
  <c r="A35" i="23" s="1"/>
  <c r="C38" i="25"/>
  <c r="E378" i="1"/>
  <c r="D38" i="25" s="1"/>
  <c r="E268" i="1"/>
  <c r="D37" i="23" s="1"/>
  <c r="C37" i="23"/>
  <c r="A37" i="23" s="1"/>
  <c r="C11" i="23"/>
  <c r="A11" i="23" s="1"/>
  <c r="E48" i="1"/>
  <c r="D11" i="23" s="1"/>
  <c r="F341" i="29"/>
  <c r="G341" i="29" s="1"/>
  <c r="P44" i="1"/>
  <c r="F476" i="29"/>
  <c r="G476" i="29" s="1"/>
  <c r="P142" i="1"/>
  <c r="Q142" i="1" s="1"/>
  <c r="P272" i="1"/>
  <c r="F661" i="29"/>
  <c r="G661" i="29" s="1"/>
  <c r="P249" i="1"/>
  <c r="F637" i="29"/>
  <c r="G637" i="29" s="1"/>
  <c r="F612" i="29"/>
  <c r="G612" i="29" s="1"/>
  <c r="P231" i="1"/>
  <c r="Q231" i="1" s="1"/>
  <c r="P222" i="1"/>
  <c r="Q222" i="1" s="1"/>
  <c r="F594" i="29"/>
  <c r="G594" i="29" s="1"/>
  <c r="P212" i="1"/>
  <c r="Q212" i="1" s="1"/>
  <c r="F575" i="29"/>
  <c r="G575" i="29" s="1"/>
  <c r="F557" i="29"/>
  <c r="G557" i="29" s="1"/>
  <c r="P200" i="1"/>
  <c r="F539" i="29"/>
  <c r="G539" i="29" s="1"/>
  <c r="P186" i="1"/>
  <c r="F950" i="29"/>
  <c r="G950" i="29" s="1"/>
  <c r="P467" i="1"/>
  <c r="P440" i="1"/>
  <c r="F917" i="29"/>
  <c r="G917" i="29" s="1"/>
  <c r="P378" i="1"/>
  <c r="F801" i="29"/>
  <c r="G801" i="29" s="1"/>
  <c r="P485" i="1"/>
  <c r="F981" i="29"/>
  <c r="G981" i="29" s="1"/>
  <c r="L42" i="4"/>
  <c r="F535" i="29"/>
  <c r="G535" i="29" s="1"/>
  <c r="P412" i="1"/>
  <c r="Q412" i="1" s="1"/>
  <c r="F653" i="29"/>
  <c r="G653" i="29" s="1"/>
  <c r="F420" i="29"/>
  <c r="G420" i="29" s="1"/>
  <c r="F1011" i="29"/>
  <c r="G1011" i="29" s="1"/>
  <c r="F868" i="29"/>
  <c r="G868" i="29" s="1"/>
  <c r="F1016" i="29"/>
  <c r="G1016" i="29" s="1"/>
  <c r="F1031" i="29"/>
  <c r="G1031" i="29" s="1"/>
  <c r="D98" i="5"/>
  <c r="F76" i="5"/>
  <c r="F995" i="29"/>
  <c r="G995" i="29" s="1"/>
  <c r="P492" i="1"/>
  <c r="Q492" i="1" s="1"/>
  <c r="E303" i="1"/>
  <c r="D44" i="23" s="1"/>
  <c r="C44" i="23"/>
  <c r="A44" i="23" s="1"/>
  <c r="F365" i="29"/>
  <c r="G365" i="29" s="1"/>
  <c r="P65" i="1"/>
  <c r="F299" i="29"/>
  <c r="G299" i="29" s="1"/>
  <c r="P293" i="1"/>
  <c r="F697" i="29"/>
  <c r="G697" i="29" s="1"/>
  <c r="P239" i="1"/>
  <c r="F620" i="29"/>
  <c r="G620" i="29" s="1"/>
  <c r="P227" i="1"/>
  <c r="Q227" i="1" s="1"/>
  <c r="F606" i="29"/>
  <c r="G606" i="29" s="1"/>
  <c r="P361" i="1"/>
  <c r="F748" i="29"/>
  <c r="G748" i="29" s="1"/>
  <c r="P371" i="1"/>
  <c r="Q371" i="1" s="1"/>
  <c r="F794" i="29"/>
  <c r="G794" i="29" s="1"/>
  <c r="P457" i="1"/>
  <c r="F933" i="29"/>
  <c r="G933" i="29" s="1"/>
  <c r="P404" i="1"/>
  <c r="Q404" i="1" s="1"/>
  <c r="F854" i="29"/>
  <c r="G854" i="29" s="1"/>
  <c r="E301" i="1"/>
  <c r="D43" i="23" s="1"/>
  <c r="F464" i="29"/>
  <c r="G464" i="29" s="1"/>
  <c r="P127" i="1"/>
  <c r="Q127" i="1" s="1"/>
  <c r="F527" i="29"/>
  <c r="G527" i="29" s="1"/>
  <c r="F383" i="29"/>
  <c r="G383" i="29" s="1"/>
  <c r="F672" i="29"/>
  <c r="G672" i="29" s="1"/>
  <c r="P210" i="1"/>
  <c r="Q510" i="1"/>
  <c r="P465" i="1"/>
  <c r="C11" i="25"/>
  <c r="E65" i="1"/>
  <c r="D11" i="25" s="1"/>
  <c r="E483" i="1"/>
  <c r="D62" i="23" s="1"/>
  <c r="C7" i="23"/>
  <c r="A7" i="23" s="1"/>
  <c r="C19" i="23"/>
  <c r="A19" i="23" s="1"/>
  <c r="C35" i="4"/>
  <c r="I14" i="23"/>
  <c r="I52" i="23"/>
  <c r="I61" i="23"/>
  <c r="N77" i="1"/>
  <c r="N45" i="1"/>
  <c r="N38" i="1"/>
  <c r="O45" i="1"/>
  <c r="O499" i="1"/>
  <c r="O509" i="1"/>
  <c r="O504" i="1"/>
  <c r="N28" i="2"/>
  <c r="T159" i="2"/>
  <c r="T252" i="2"/>
  <c r="U238" i="2"/>
  <c r="D14" i="5"/>
  <c r="E248" i="2"/>
  <c r="D27" i="7" s="1"/>
  <c r="E17" i="2"/>
  <c r="D10" i="7" s="1"/>
  <c r="P258" i="2"/>
  <c r="P175" i="2"/>
  <c r="I9" i="4"/>
  <c r="D6" i="5"/>
  <c r="J170" i="2"/>
  <c r="G7" i="4"/>
  <c r="O159" i="2"/>
  <c r="O259" i="2" s="1"/>
  <c r="K259" i="2"/>
  <c r="Q258" i="2"/>
  <c r="P247" i="2"/>
  <c r="J21" i="4"/>
  <c r="I21" i="4"/>
  <c r="H28" i="2"/>
  <c r="H238" i="2"/>
  <c r="H170" i="2"/>
  <c r="H159" i="2"/>
  <c r="I13" i="4"/>
  <c r="P85" i="2"/>
  <c r="P44" i="2"/>
  <c r="P14" i="2"/>
  <c r="J258" i="2"/>
  <c r="P24" i="2"/>
  <c r="M258" i="2"/>
  <c r="E165" i="2"/>
  <c r="D19" i="7" s="1"/>
  <c r="G9" i="4"/>
  <c r="N237" i="2"/>
  <c r="N210" i="2"/>
  <c r="I24" i="5"/>
  <c r="J252" i="2"/>
  <c r="J159" i="2"/>
  <c r="F10" i="5"/>
  <c r="I15" i="4"/>
  <c r="C22" i="7"/>
  <c r="G21" i="4"/>
  <c r="E19" i="2"/>
  <c r="D16" i="7" s="1"/>
  <c r="D28" i="5"/>
  <c r="N182" i="2"/>
  <c r="F22" i="5"/>
  <c r="C17" i="7"/>
  <c r="C16" i="4"/>
  <c r="H252" i="2"/>
  <c r="E11" i="2"/>
  <c r="H258" i="2"/>
  <c r="O201" i="1"/>
  <c r="P443" i="1"/>
  <c r="F526" i="29"/>
  <c r="G526" i="29" s="1"/>
  <c r="F429" i="29"/>
  <c r="G429" i="29" s="1"/>
  <c r="F523" i="29"/>
  <c r="G523" i="29" s="1"/>
  <c r="F375" i="29"/>
  <c r="G375" i="29" s="1"/>
  <c r="P456" i="1"/>
  <c r="Q456" i="1" s="1"/>
  <c r="F537" i="29"/>
  <c r="G537" i="29" s="1"/>
  <c r="F1022" i="29"/>
  <c r="G1022" i="29" s="1"/>
  <c r="P47" i="1"/>
  <c r="F330" i="29"/>
  <c r="G330" i="29" s="1"/>
  <c r="F351" i="29"/>
  <c r="G351" i="29" s="1"/>
  <c r="F659" i="29"/>
  <c r="G659" i="29" s="1"/>
  <c r="F305" i="29"/>
  <c r="G305" i="29" s="1"/>
  <c r="F446" i="29"/>
  <c r="G446" i="29" s="1"/>
  <c r="O47" i="1"/>
  <c r="F318" i="29"/>
  <c r="G318" i="29" s="1"/>
  <c r="F363" i="29"/>
  <c r="G363" i="29" s="1"/>
  <c r="P58" i="1"/>
  <c r="P351" i="1"/>
  <c r="F519" i="29"/>
  <c r="G519" i="29" s="1"/>
  <c r="F396" i="29"/>
  <c r="G396" i="29" s="1"/>
  <c r="F508" i="29"/>
  <c r="G508" i="29" s="1"/>
  <c r="F611" i="29"/>
  <c r="G611" i="29" s="1"/>
  <c r="F923" i="29"/>
  <c r="G923" i="29" s="1"/>
  <c r="K66" i="23"/>
  <c r="H37" i="4"/>
  <c r="H38" i="4" s="1"/>
  <c r="F839" i="29"/>
  <c r="G839" i="29" s="1"/>
  <c r="F343" i="29"/>
  <c r="G343" i="29" s="1"/>
  <c r="P120" i="1"/>
  <c r="F311" i="29"/>
  <c r="G311" i="29" s="1"/>
  <c r="F339" i="29"/>
  <c r="G339" i="29" s="1"/>
  <c r="F762" i="29"/>
  <c r="G762" i="29" s="1"/>
  <c r="P71" i="1"/>
  <c r="F915" i="29"/>
  <c r="G915" i="29" s="1"/>
  <c r="F1008" i="29"/>
  <c r="G1008" i="29" s="1"/>
  <c r="F680" i="29"/>
  <c r="G680" i="29" s="1"/>
  <c r="G44" i="25"/>
  <c r="J33" i="4"/>
  <c r="O490" i="1"/>
  <c r="F479" i="29"/>
  <c r="G479" i="29" s="1"/>
  <c r="G66" i="23"/>
  <c r="J67" i="23"/>
  <c r="F67" i="23"/>
  <c r="I46" i="23"/>
  <c r="F44" i="25"/>
  <c r="O289" i="1"/>
  <c r="D38" i="4"/>
  <c r="D35" i="4"/>
  <c r="E29" i="4"/>
  <c r="G14" i="23"/>
  <c r="P32" i="1"/>
  <c r="O40" i="1"/>
  <c r="F336" i="29"/>
  <c r="G336" i="29" s="1"/>
  <c r="P13" i="1"/>
  <c r="F660" i="29"/>
  <c r="G660" i="29" s="1"/>
  <c r="C29" i="4"/>
  <c r="F38" i="4"/>
  <c r="F35" i="4"/>
  <c r="N118" i="1"/>
  <c r="O73" i="1"/>
  <c r="P64" i="1"/>
  <c r="F364" i="29"/>
  <c r="G364" i="29" s="1"/>
  <c r="P52" i="1"/>
  <c r="F348" i="29"/>
  <c r="G348" i="29" s="1"/>
  <c r="P21" i="1"/>
  <c r="F315" i="29"/>
  <c r="G315" i="29" s="1"/>
  <c r="F443" i="29"/>
  <c r="G443" i="29" s="1"/>
  <c r="P100" i="1"/>
  <c r="F417" i="29"/>
  <c r="G417" i="29" s="1"/>
  <c r="Q94" i="1"/>
  <c r="F410" i="29"/>
  <c r="G410" i="29" s="1"/>
  <c r="F643" i="29"/>
  <c r="G643" i="29" s="1"/>
  <c r="P209" i="1"/>
  <c r="Q209" i="1" s="1"/>
  <c r="F570" i="29"/>
  <c r="G570" i="29" s="1"/>
  <c r="F534" i="29"/>
  <c r="G534" i="29" s="1"/>
  <c r="F785" i="29"/>
  <c r="G785" i="29" s="1"/>
  <c r="P366" i="1"/>
  <c r="P464" i="1"/>
  <c r="F951" i="29"/>
  <c r="G951" i="29" s="1"/>
  <c r="P429" i="1"/>
  <c r="F883" i="29"/>
  <c r="G883" i="29" s="1"/>
  <c r="P418" i="1"/>
  <c r="F870" i="29"/>
  <c r="G870" i="29" s="1"/>
  <c r="P403" i="1"/>
  <c r="F853" i="29"/>
  <c r="G853" i="29" s="1"/>
  <c r="F824" i="29"/>
  <c r="G824" i="29" s="1"/>
  <c r="F806" i="29"/>
  <c r="G806" i="29" s="1"/>
  <c r="J30" i="4"/>
  <c r="P203" i="1"/>
  <c r="O388" i="1"/>
  <c r="F340" i="29"/>
  <c r="G340" i="29" s="1"/>
  <c r="F542" i="29"/>
  <c r="G542" i="29" s="1"/>
  <c r="P24" i="1"/>
  <c r="F302" i="29"/>
  <c r="G302" i="29" s="1"/>
  <c r="F636" i="29"/>
  <c r="G636" i="29" s="1"/>
  <c r="F425" i="29"/>
  <c r="G425" i="29" s="1"/>
  <c r="P106" i="1"/>
  <c r="P309" i="1"/>
  <c r="F724" i="29"/>
  <c r="G724" i="29" s="1"/>
  <c r="P264" i="1"/>
  <c r="F655" i="29"/>
  <c r="G655" i="29" s="1"/>
  <c r="P260" i="1"/>
  <c r="F649" i="29"/>
  <c r="G649" i="29" s="1"/>
  <c r="P237" i="1"/>
  <c r="Q237" i="1" s="1"/>
  <c r="F618" i="29"/>
  <c r="G618" i="29" s="1"/>
  <c r="F597" i="29"/>
  <c r="G597" i="29" s="1"/>
  <c r="P223" i="1"/>
  <c r="P198" i="1"/>
  <c r="F554" i="29"/>
  <c r="G554" i="29" s="1"/>
  <c r="P159" i="1"/>
  <c r="F504" i="29"/>
  <c r="G504" i="29" s="1"/>
  <c r="P359" i="1"/>
  <c r="F777" i="29"/>
  <c r="G777" i="29" s="1"/>
  <c r="F768" i="29"/>
  <c r="G768" i="29" s="1"/>
  <c r="P355" i="1"/>
  <c r="Q355" i="1" s="1"/>
  <c r="F755" i="29"/>
  <c r="G755" i="29" s="1"/>
  <c r="P336" i="1"/>
  <c r="O373" i="1"/>
  <c r="F935" i="29"/>
  <c r="G935" i="29" s="1"/>
  <c r="P460" i="1"/>
  <c r="P455" i="1"/>
  <c r="F931" i="29"/>
  <c r="G931" i="29" s="1"/>
  <c r="F927" i="29"/>
  <c r="G927" i="29" s="1"/>
  <c r="P451" i="1"/>
  <c r="P442" i="1"/>
  <c r="F919" i="29"/>
  <c r="G919" i="29" s="1"/>
  <c r="F882" i="29"/>
  <c r="G882" i="29" s="1"/>
  <c r="P428" i="1"/>
  <c r="F866" i="29"/>
  <c r="G866" i="29" s="1"/>
  <c r="P414" i="1"/>
  <c r="Q414" i="1" s="1"/>
  <c r="L33" i="4" s="1"/>
  <c r="P402" i="1"/>
  <c r="F852" i="29"/>
  <c r="G852" i="29" s="1"/>
  <c r="P393" i="1"/>
  <c r="F834" i="29"/>
  <c r="G834" i="29" s="1"/>
  <c r="P376" i="1"/>
  <c r="Q376" i="1" s="1"/>
  <c r="F799" i="29"/>
  <c r="G799" i="29" s="1"/>
  <c r="P519" i="1"/>
  <c r="J45" i="4"/>
  <c r="P11" i="1"/>
  <c r="O38" i="1"/>
  <c r="F756" i="29"/>
  <c r="G756" i="29" s="1"/>
  <c r="F666" i="29"/>
  <c r="G666" i="29" s="1"/>
  <c r="F394" i="29"/>
  <c r="G394" i="29" s="1"/>
  <c r="F813" i="29"/>
  <c r="G813" i="29" s="1"/>
  <c r="O252" i="1"/>
  <c r="P278" i="1"/>
  <c r="P299" i="1"/>
  <c r="P247" i="1"/>
  <c r="F610" i="29"/>
  <c r="G610" i="29" s="1"/>
  <c r="P43" i="1"/>
  <c r="F948" i="29"/>
  <c r="G948" i="29" s="1"/>
  <c r="F665" i="29"/>
  <c r="G665" i="29" s="1"/>
  <c r="F817" i="29"/>
  <c r="G817" i="29" s="1"/>
  <c r="P7" i="1"/>
  <c r="F650" i="29"/>
  <c r="G650" i="29" s="1"/>
  <c r="P121" i="1"/>
  <c r="F382" i="29"/>
  <c r="G382" i="29" s="1"/>
  <c r="F812" i="29"/>
  <c r="G812" i="29" s="1"/>
  <c r="P28" i="1"/>
  <c r="Q28" i="1" s="1"/>
  <c r="F556" i="29"/>
  <c r="G556" i="29" s="1"/>
  <c r="P141" i="1"/>
  <c r="P244" i="1"/>
  <c r="F436" i="29"/>
  <c r="G436" i="29" s="1"/>
  <c r="C32" i="4"/>
  <c r="C38" i="4"/>
  <c r="E38" i="4"/>
  <c r="E32" i="4"/>
  <c r="F430" i="29"/>
  <c r="G430" i="29" s="1"/>
  <c r="F423" i="29"/>
  <c r="G423" i="29" s="1"/>
  <c r="P105" i="1"/>
  <c r="P102" i="1"/>
  <c r="F419" i="29"/>
  <c r="G419" i="29" s="1"/>
  <c r="F368" i="29"/>
  <c r="G368" i="29" s="1"/>
  <c r="P67" i="1"/>
  <c r="Q67" i="1" s="1"/>
  <c r="F360" i="29"/>
  <c r="G360" i="29" s="1"/>
  <c r="O69" i="1"/>
  <c r="O60" i="1"/>
  <c r="F344" i="29"/>
  <c r="G344" i="29" s="1"/>
  <c r="F451" i="29"/>
  <c r="G451" i="29" s="1"/>
  <c r="F401" i="29"/>
  <c r="G401" i="29" s="1"/>
  <c r="P311" i="1"/>
  <c r="F726" i="29"/>
  <c r="G726" i="29" s="1"/>
  <c r="F690" i="29"/>
  <c r="G690" i="29" s="1"/>
  <c r="O324" i="1"/>
  <c r="P279" i="1"/>
  <c r="Q279" i="1" s="1"/>
  <c r="F671" i="29"/>
  <c r="G671" i="29" s="1"/>
  <c r="P238" i="1"/>
  <c r="F619" i="29"/>
  <c r="G619" i="29" s="1"/>
  <c r="P224" i="1"/>
  <c r="Q224" i="1" s="1"/>
  <c r="F598" i="29"/>
  <c r="G598" i="29" s="1"/>
  <c r="P220" i="1"/>
  <c r="F591" i="29"/>
  <c r="G591" i="29" s="1"/>
  <c r="P185" i="1"/>
  <c r="Q185" i="1" s="1"/>
  <c r="F538" i="29"/>
  <c r="G538" i="29" s="1"/>
  <c r="P170" i="1"/>
  <c r="Q170" i="1" s="1"/>
  <c r="F520" i="29"/>
  <c r="G520" i="29" s="1"/>
  <c r="P162" i="1"/>
  <c r="F509" i="29"/>
  <c r="G509" i="29" s="1"/>
  <c r="F767" i="29"/>
  <c r="G767" i="29" s="1"/>
  <c r="P352" i="1"/>
  <c r="P348" i="1"/>
  <c r="F763" i="29"/>
  <c r="G763" i="29" s="1"/>
  <c r="F861" i="29"/>
  <c r="G861" i="29" s="1"/>
  <c r="P488" i="1"/>
  <c r="J28" i="4"/>
  <c r="P495" i="1"/>
  <c r="F1000" i="29"/>
  <c r="G1000" i="29" s="1"/>
  <c r="M521" i="1"/>
  <c r="O33" i="1"/>
  <c r="O472" i="1"/>
  <c r="I37" i="4"/>
  <c r="J39" i="4"/>
  <c r="O147" i="1"/>
  <c r="F415" i="29"/>
  <c r="G415" i="29" s="1"/>
  <c r="P86" i="1"/>
  <c r="F400" i="29"/>
  <c r="G400" i="29" s="1"/>
  <c r="P285" i="1"/>
  <c r="P289" i="1" s="1"/>
  <c r="O520" i="1"/>
  <c r="J31" i="4"/>
  <c r="G37" i="4"/>
  <c r="G38" i="4" s="1"/>
  <c r="J36" i="4"/>
  <c r="O241" i="1"/>
  <c r="P390" i="1"/>
  <c r="O446" i="1"/>
  <c r="F413" i="29"/>
  <c r="G413" i="29" s="1"/>
  <c r="F641" i="29"/>
  <c r="G641" i="29" s="1"/>
  <c r="F588" i="29"/>
  <c r="G588" i="29" s="1"/>
  <c r="P484" i="1"/>
  <c r="Q484" i="1" s="1"/>
  <c r="F879" i="29"/>
  <c r="G879" i="29" s="1"/>
  <c r="F790" i="29"/>
  <c r="G790" i="29" s="1"/>
  <c r="P439" i="1"/>
  <c r="Q439" i="1" s="1"/>
  <c r="P181" i="1"/>
  <c r="F863" i="29"/>
  <c r="G863" i="29" s="1"/>
  <c r="F928" i="29"/>
  <c r="G928" i="29" s="1"/>
  <c r="P466" i="1"/>
  <c r="F771" i="29"/>
  <c r="G771" i="29" s="1"/>
  <c r="F495" i="29"/>
  <c r="G495" i="29" s="1"/>
  <c r="F800" i="29"/>
  <c r="G800" i="29" s="1"/>
  <c r="P74" i="1"/>
  <c r="F579" i="29"/>
  <c r="G579" i="29" s="1"/>
  <c r="F720" i="29"/>
  <c r="G720" i="29" s="1"/>
  <c r="F583" i="29"/>
  <c r="G583" i="29" s="1"/>
  <c r="F447" i="29"/>
  <c r="G447" i="29" s="1"/>
  <c r="F328" i="29"/>
  <c r="G328" i="29" s="1"/>
  <c r="P29" i="1"/>
  <c r="F324" i="29"/>
  <c r="G324" i="29" s="1"/>
  <c r="F316" i="29"/>
  <c r="G316" i="29" s="1"/>
  <c r="P22" i="1"/>
  <c r="P18" i="1"/>
  <c r="F313" i="29"/>
  <c r="G313" i="29" s="1"/>
  <c r="P152" i="1"/>
  <c r="F497" i="29"/>
  <c r="G497" i="29" s="1"/>
  <c r="P130" i="1"/>
  <c r="F452" i="29"/>
  <c r="G452" i="29" s="1"/>
  <c r="F441" i="29"/>
  <c r="G441" i="29" s="1"/>
  <c r="O114" i="1"/>
  <c r="K46" i="23"/>
  <c r="Q27" i="2"/>
  <c r="J6" i="4"/>
  <c r="S244" i="2"/>
  <c r="R44" i="2"/>
  <c r="R90" i="2"/>
  <c r="E10" i="4"/>
  <c r="Q251" i="2"/>
  <c r="Q44" i="2"/>
  <c r="J7" i="4"/>
  <c r="Q237" i="2"/>
  <c r="R24" i="2"/>
  <c r="L13" i="4"/>
  <c r="S169" i="2"/>
  <c r="L11" i="4"/>
  <c r="S226" i="2"/>
  <c r="R251" i="2"/>
  <c r="Q24" i="2"/>
  <c r="J13" i="4"/>
  <c r="Q14" i="2"/>
  <c r="Q90" i="2"/>
  <c r="J15" i="4"/>
  <c r="J8" i="4"/>
  <c r="C10" i="4"/>
  <c r="E16" i="4"/>
  <c r="E86" i="26"/>
  <c r="L520" i="1"/>
  <c r="H43" i="4"/>
  <c r="R237" i="2"/>
  <c r="F12" i="4"/>
  <c r="D84" i="5"/>
  <c r="F81" i="5"/>
  <c r="D26" i="5"/>
  <c r="K13" i="4"/>
  <c r="C41" i="23"/>
  <c r="A41" i="23" s="1"/>
  <c r="E297" i="1"/>
  <c r="D41" i="23" s="1"/>
  <c r="C17" i="25"/>
  <c r="E170" i="1"/>
  <c r="D17" i="25" s="1"/>
  <c r="C21" i="23"/>
  <c r="A21" i="23" s="1"/>
  <c r="E124" i="1"/>
  <c r="D21" i="23" s="1"/>
  <c r="C15" i="23"/>
  <c r="A15" i="23" s="1"/>
  <c r="E88" i="1"/>
  <c r="D15" i="23" s="1"/>
  <c r="O356" i="24"/>
  <c r="M238" i="2"/>
  <c r="G12" i="4"/>
  <c r="K8" i="4"/>
  <c r="R174" i="2"/>
  <c r="R175" i="2" s="1"/>
  <c r="Q175" i="2"/>
  <c r="J12" i="4"/>
  <c r="R201" i="2"/>
  <c r="Q210" i="2"/>
  <c r="R246" i="2"/>
  <c r="J9" i="4"/>
  <c r="F300" i="29"/>
  <c r="G300" i="29" s="1"/>
  <c r="P9" i="1"/>
  <c r="Q9" i="1" s="1"/>
  <c r="F296" i="29"/>
  <c r="G296" i="29" s="1"/>
  <c r="P5" i="1"/>
  <c r="O15" i="1"/>
  <c r="J27" i="4"/>
  <c r="F292" i="29"/>
  <c r="G292" i="29" s="1"/>
  <c r="F491" i="29"/>
  <c r="G491" i="29" s="1"/>
  <c r="P149" i="1"/>
  <c r="P143" i="1"/>
  <c r="F477" i="29"/>
  <c r="G477" i="29" s="1"/>
  <c r="F473" i="29"/>
  <c r="G473" i="29" s="1"/>
  <c r="F465" i="29"/>
  <c r="G465" i="29" s="1"/>
  <c r="F449" i="29"/>
  <c r="G449" i="29" s="1"/>
  <c r="P128" i="1"/>
  <c r="O138" i="1"/>
  <c r="F434" i="29"/>
  <c r="G434" i="29" s="1"/>
  <c r="P117" i="1"/>
  <c r="O123" i="1"/>
  <c r="F427" i="29"/>
  <c r="G427" i="29" s="1"/>
  <c r="O110" i="1"/>
  <c r="P103" i="1"/>
  <c r="O104" i="1"/>
  <c r="F411" i="29"/>
  <c r="G411" i="29" s="1"/>
  <c r="P92" i="1"/>
  <c r="F398" i="29"/>
  <c r="G398" i="29" s="1"/>
  <c r="P81" i="1"/>
  <c r="F760" i="29"/>
  <c r="G760" i="29" s="1"/>
  <c r="P345" i="1"/>
  <c r="P339" i="1"/>
  <c r="F753" i="29"/>
  <c r="G753" i="29" s="1"/>
  <c r="K5" i="4"/>
  <c r="F377" i="29"/>
  <c r="G377" i="29" s="1"/>
  <c r="O77" i="1"/>
  <c r="P444" i="1"/>
  <c r="J34" i="4"/>
  <c r="C25" i="23"/>
  <c r="A25" i="23" s="1"/>
  <c r="F91" i="5"/>
  <c r="O94" i="1"/>
  <c r="O154" i="1"/>
  <c r="J26" i="4"/>
  <c r="J37" i="4"/>
  <c r="O362" i="1"/>
  <c r="D13" i="5"/>
  <c r="D5" i="5"/>
  <c r="I26" i="5"/>
  <c r="N26" i="5" s="1"/>
  <c r="F15" i="5"/>
  <c r="F18" i="5"/>
  <c r="I21" i="5"/>
  <c r="F7" i="5"/>
  <c r="D21" i="5"/>
  <c r="I20" i="5"/>
  <c r="F8" i="5"/>
  <c r="I13" i="5"/>
  <c r="N196" i="1"/>
  <c r="C50" i="23"/>
  <c r="A50" i="23" s="1"/>
  <c r="F721" i="29"/>
  <c r="G721" i="29" s="1"/>
  <c r="Q96" i="1"/>
  <c r="P322" i="1"/>
  <c r="F304" i="29"/>
  <c r="G304" i="29" s="1"/>
  <c r="R8" i="2"/>
  <c r="F438" i="29"/>
  <c r="G438" i="29" s="1"/>
  <c r="G521" i="1"/>
  <c r="E4" i="2"/>
  <c r="D19" i="5"/>
  <c r="I8" i="5"/>
  <c r="N8" i="5" s="1"/>
  <c r="F12" i="5"/>
  <c r="F21" i="5"/>
  <c r="I28" i="5"/>
  <c r="F14" i="5"/>
  <c r="F29" i="5"/>
  <c r="D30" i="5"/>
  <c r="D22" i="5"/>
  <c r="F20" i="5"/>
  <c r="F19" i="5"/>
  <c r="D17" i="5"/>
  <c r="I29" i="5"/>
  <c r="F6" i="5"/>
  <c r="I25" i="5"/>
  <c r="I6" i="5"/>
  <c r="I10" i="5"/>
  <c r="D18" i="5"/>
  <c r="F24" i="5"/>
  <c r="I7" i="5"/>
  <c r="I15" i="5"/>
  <c r="N15" i="5" s="1"/>
  <c r="F28" i="5"/>
  <c r="D8" i="5"/>
  <c r="I12" i="5"/>
  <c r="F30" i="5"/>
  <c r="D29" i="5"/>
  <c r="F13" i="5"/>
  <c r="F17" i="5"/>
  <c r="D11" i="5"/>
  <c r="D15" i="5"/>
  <c r="D24" i="5"/>
  <c r="D25" i="5"/>
  <c r="D7" i="5"/>
  <c r="I22" i="5"/>
  <c r="N22" i="5" s="1"/>
  <c r="C26" i="7"/>
  <c r="E246" i="2"/>
  <c r="D26" i="7" s="1"/>
  <c r="N138" i="24"/>
  <c r="N124" i="24"/>
  <c r="N97" i="24"/>
  <c r="N84" i="24"/>
  <c r="N35" i="24"/>
  <c r="M170" i="2"/>
  <c r="G13" i="4"/>
  <c r="R45" i="2"/>
  <c r="Q85" i="2"/>
  <c r="R150" i="2"/>
  <c r="R158" i="2" s="1"/>
  <c r="Q158" i="2"/>
  <c r="Q182" i="2"/>
  <c r="R176" i="2"/>
  <c r="S181" i="2"/>
  <c r="S182" i="2" s="1"/>
  <c r="N87" i="1"/>
  <c r="C35" i="25"/>
  <c r="E351" i="1"/>
  <c r="D35" i="25" s="1"/>
  <c r="C38" i="23"/>
  <c r="A38" i="23" s="1"/>
  <c r="E284" i="1"/>
  <c r="D38" i="23" s="1"/>
  <c r="N341" i="24"/>
  <c r="G43" i="4"/>
  <c r="K520" i="1"/>
  <c r="K481" i="1"/>
  <c r="N447" i="1"/>
  <c r="N431" i="1"/>
  <c r="L446" i="1"/>
  <c r="N412" i="1"/>
  <c r="L426" i="1"/>
  <c r="L397" i="1"/>
  <c r="L376" i="1"/>
  <c r="G34" i="4"/>
  <c r="K363" i="1"/>
  <c r="I87" i="5"/>
  <c r="N87" i="5" s="1"/>
  <c r="F25" i="5"/>
  <c r="I19" i="5"/>
  <c r="F26" i="5"/>
  <c r="D12" i="5"/>
  <c r="I17" i="5"/>
  <c r="K473" i="1"/>
  <c r="E367" i="1"/>
  <c r="D54" i="23" s="1"/>
  <c r="C31" i="25"/>
  <c r="E262" i="1"/>
  <c r="D31" i="25" s="1"/>
  <c r="E172" i="1"/>
  <c r="D19" i="25" s="1"/>
  <c r="C19" i="25"/>
  <c r="C14" i="25"/>
  <c r="E163" i="1"/>
  <c r="D14" i="25" s="1"/>
  <c r="I93" i="5"/>
  <c r="C32" i="23"/>
  <c r="A32" i="23" s="1"/>
  <c r="F83" i="5"/>
  <c r="D77" i="5"/>
  <c r="I14" i="5"/>
  <c r="I11" i="5"/>
  <c r="D10" i="5"/>
  <c r="I18" i="5"/>
  <c r="I5" i="5"/>
  <c r="I30" i="5"/>
  <c r="D20" i="5"/>
  <c r="F11" i="5"/>
  <c r="F5" i="5"/>
  <c r="Q247" i="2"/>
  <c r="C25" i="25"/>
  <c r="P146" i="1"/>
  <c r="P75" i="1"/>
  <c r="D11" i="4"/>
  <c r="D16" i="4" s="1"/>
  <c r="E166" i="2"/>
  <c r="D21" i="7" s="1"/>
  <c r="F94" i="5"/>
  <c r="I81" i="5"/>
  <c r="D89" i="5"/>
  <c r="D85" i="5"/>
  <c r="F98" i="5"/>
  <c r="C12" i="23"/>
  <c r="A12" i="23" s="1"/>
  <c r="E49" i="1"/>
  <c r="D12" i="23" s="1"/>
  <c r="F27" i="7"/>
  <c r="J238" i="2"/>
  <c r="C36" i="25"/>
  <c r="J19" i="26"/>
  <c r="J86" i="26" s="1"/>
  <c r="H78" i="26"/>
  <c r="H86" i="26" s="1"/>
  <c r="G11" i="4"/>
  <c r="M159" i="2"/>
  <c r="N185" i="2"/>
  <c r="G8" i="4"/>
  <c r="G31" i="4"/>
  <c r="L138" i="1"/>
  <c r="K155" i="1"/>
  <c r="F31" i="4"/>
  <c r="J325" i="1"/>
  <c r="G33" i="4"/>
  <c r="H11" i="4"/>
  <c r="N158" i="2"/>
  <c r="I36" i="4"/>
  <c r="N504" i="1"/>
  <c r="N289" i="1"/>
  <c r="P158" i="2"/>
  <c r="P90" i="2"/>
  <c r="I7" i="4"/>
  <c r="I11" i="4"/>
  <c r="K15" i="4"/>
  <c r="R14" i="2"/>
  <c r="Q31" i="2"/>
  <c r="J11" i="4"/>
  <c r="F10" i="4"/>
  <c r="N148" i="24"/>
  <c r="N112" i="24"/>
  <c r="F307" i="29"/>
  <c r="G307" i="29" s="1"/>
  <c r="O97" i="1"/>
  <c r="F389" i="29"/>
  <c r="G389" i="29" s="1"/>
  <c r="P370" i="1"/>
  <c r="F793" i="29"/>
  <c r="G793" i="29" s="1"/>
  <c r="P435" i="1"/>
  <c r="F910" i="29"/>
  <c r="G910" i="29" s="1"/>
  <c r="F867" i="29"/>
  <c r="G867" i="29" s="1"/>
  <c r="O426" i="1"/>
  <c r="P380" i="1"/>
  <c r="F803" i="29"/>
  <c r="G803" i="29" s="1"/>
  <c r="P507" i="1"/>
  <c r="F1015" i="29"/>
  <c r="G1015" i="29" s="1"/>
  <c r="P502" i="1"/>
  <c r="F1010" i="29"/>
  <c r="G1010" i="29" s="1"/>
  <c r="C21" i="25"/>
  <c r="E34" i="1"/>
  <c r="D9" i="23" s="1"/>
  <c r="E179" i="1"/>
  <c r="D26" i="23" s="1"/>
  <c r="C29" i="23"/>
  <c r="A29" i="23" s="1"/>
  <c r="H521" i="1"/>
  <c r="E331" i="1"/>
  <c r="D47" i="23" s="1"/>
  <c r="C47" i="23"/>
  <c r="A47" i="23" s="1"/>
  <c r="N320" i="24"/>
  <c r="N288" i="24"/>
  <c r="N7" i="24"/>
  <c r="L238" i="2"/>
  <c r="N308" i="1"/>
  <c r="I6" i="4"/>
  <c r="L14" i="4"/>
  <c r="N68" i="1"/>
  <c r="N235" i="1"/>
  <c r="Q216" i="1"/>
  <c r="K14" i="23"/>
  <c r="N104" i="1"/>
  <c r="I86" i="5"/>
  <c r="F87" i="5"/>
  <c r="I98" i="5"/>
  <c r="N98" i="5" s="1"/>
  <c r="I85" i="5"/>
  <c r="D86" i="5"/>
  <c r="I83" i="5"/>
  <c r="C23" i="25"/>
  <c r="C6" i="23"/>
  <c r="A6" i="23" s="1"/>
  <c r="E335" i="1"/>
  <c r="D48" i="23" s="1"/>
  <c r="E157" i="1"/>
  <c r="D24" i="23" s="1"/>
  <c r="D87" i="5"/>
  <c r="D78" i="5"/>
  <c r="I77" i="5"/>
  <c r="D76" i="5"/>
  <c r="I89" i="5"/>
  <c r="D75" i="5"/>
  <c r="D96" i="5"/>
  <c r="D91" i="5"/>
  <c r="I84" i="5"/>
  <c r="D90" i="5"/>
  <c r="D94" i="5"/>
  <c r="D83" i="5"/>
  <c r="F85" i="5"/>
  <c r="D79" i="5"/>
  <c r="F82" i="5"/>
  <c r="F92" i="5"/>
  <c r="F86" i="5"/>
  <c r="I96" i="5"/>
  <c r="F89" i="5"/>
  <c r="F93" i="5"/>
  <c r="F77" i="5"/>
  <c r="F97" i="5"/>
  <c r="E12" i="1"/>
  <c r="D7" i="25" s="1"/>
  <c r="C8" i="25"/>
  <c r="I75" i="5"/>
  <c r="F90" i="5"/>
  <c r="D81" i="5"/>
  <c r="I90" i="5"/>
  <c r="D92" i="5"/>
  <c r="I78" i="5"/>
  <c r="D82" i="5"/>
  <c r="D97" i="5"/>
  <c r="F96" i="5"/>
  <c r="I94" i="5"/>
  <c r="N94" i="5" s="1"/>
  <c r="F78" i="5"/>
  <c r="F75" i="5"/>
  <c r="I91" i="5"/>
  <c r="I97" i="5"/>
  <c r="I92" i="5"/>
  <c r="D93" i="5"/>
  <c r="I79" i="5"/>
  <c r="N79" i="5" s="1"/>
  <c r="F84" i="5"/>
  <c r="I76" i="5"/>
  <c r="N237" i="1"/>
  <c r="Q37" i="1"/>
  <c r="N64" i="1"/>
  <c r="I521" i="1"/>
  <c r="I66" i="23"/>
  <c r="K325" i="1"/>
  <c r="N384" i="1"/>
  <c r="N518" i="1"/>
  <c r="D32" i="4"/>
  <c r="G46" i="23"/>
  <c r="N209" i="1"/>
  <c r="G27" i="4"/>
  <c r="G26" i="4"/>
  <c r="F969" i="29"/>
  <c r="G969" i="29" s="1"/>
  <c r="F79" i="5"/>
  <c r="E496" i="1"/>
  <c r="D42" i="25" s="1"/>
  <c r="C42" i="25"/>
  <c r="C65" i="23"/>
  <c r="A65" i="23" s="1"/>
  <c r="H44" i="25"/>
  <c r="K52" i="23"/>
  <c r="G10" i="23"/>
  <c r="L201" i="1"/>
  <c r="H30" i="4"/>
  <c r="H90" i="32" l="1"/>
  <c r="Y131" i="2"/>
  <c r="H91" i="32"/>
  <c r="Y132" i="2"/>
  <c r="H87" i="32"/>
  <c r="Y128" i="2"/>
  <c r="H88" i="32"/>
  <c r="Y129" i="2"/>
  <c r="H92" i="32"/>
  <c r="Y133" i="2"/>
  <c r="H89" i="32"/>
  <c r="Y130" i="2"/>
  <c r="S78" i="1"/>
  <c r="T78" i="1"/>
  <c r="Z78" i="1" s="1"/>
  <c r="Z15" i="1"/>
  <c r="O78" i="1"/>
  <c r="U28" i="2"/>
  <c r="U159" i="2"/>
  <c r="V141" i="2"/>
  <c r="F16" i="4"/>
  <c r="V28" i="2"/>
  <c r="Y28" i="2" s="1"/>
  <c r="S159" i="2"/>
  <c r="S170" i="2"/>
  <c r="I86" i="26"/>
  <c r="N60" i="1"/>
  <c r="N490" i="1"/>
  <c r="Q97" i="1"/>
  <c r="Q283" i="1"/>
  <c r="N426" i="1"/>
  <c r="L373" i="1"/>
  <c r="N236" i="1"/>
  <c r="N241" i="1" s="1"/>
  <c r="N394" i="1"/>
  <c r="N395" i="1" s="1"/>
  <c r="L411" i="1"/>
  <c r="N498" i="1"/>
  <c r="N499" i="1" s="1"/>
  <c r="N450" i="1"/>
  <c r="N472" i="1" s="1"/>
  <c r="N380" i="1"/>
  <c r="I33" i="4" s="1"/>
  <c r="H569" i="32"/>
  <c r="Q38" i="1"/>
  <c r="N356" i="24"/>
  <c r="P165" i="1"/>
  <c r="F86" i="26"/>
  <c r="D10" i="4"/>
  <c r="D19" i="4" s="1"/>
  <c r="D22" i="4" s="1"/>
  <c r="D24" i="4" s="1"/>
  <c r="N16" i="4"/>
  <c r="N19" i="4" s="1"/>
  <c r="I259" i="2"/>
  <c r="H111" i="32"/>
  <c r="V170" i="2"/>
  <c r="Y170" i="2" s="1"/>
  <c r="O9" i="4"/>
  <c r="O10" i="4" s="1"/>
  <c r="N194" i="2"/>
  <c r="P341" i="1"/>
  <c r="H125" i="32"/>
  <c r="V238" i="2"/>
  <c r="Y238" i="2" s="1"/>
  <c r="O12" i="4"/>
  <c r="S194" i="2"/>
  <c r="R194" i="2"/>
  <c r="O11" i="4"/>
  <c r="H70" i="32"/>
  <c r="P85" i="1"/>
  <c r="M19" i="4"/>
  <c r="M22" i="4" s="1"/>
  <c r="M24" i="4" s="1"/>
  <c r="N283" i="1"/>
  <c r="I30" i="4"/>
  <c r="P411" i="1"/>
  <c r="L395" i="1"/>
  <c r="P395" i="1"/>
  <c r="P283" i="1"/>
  <c r="P267" i="1"/>
  <c r="S325" i="1"/>
  <c r="L472" i="1"/>
  <c r="L241" i="1"/>
  <c r="L60" i="1"/>
  <c r="N446" i="1"/>
  <c r="F32" i="4"/>
  <c r="F41" i="4" s="1"/>
  <c r="F44" i="4" s="1"/>
  <c r="F46" i="4" s="1"/>
  <c r="L388" i="1"/>
  <c r="N510" i="1"/>
  <c r="N38" i="4"/>
  <c r="N324" i="1"/>
  <c r="S155" i="1"/>
  <c r="L69" i="1"/>
  <c r="S510" i="1"/>
  <c r="P520" i="1"/>
  <c r="H31" i="4"/>
  <c r="H32" i="4" s="1"/>
  <c r="T363" i="1"/>
  <c r="Z363" i="1" s="1"/>
  <c r="N32" i="4"/>
  <c r="N35" i="4"/>
  <c r="Q353" i="1"/>
  <c r="Q143" i="1"/>
  <c r="Q264" i="1"/>
  <c r="Q120" i="1"/>
  <c r="H33" i="4"/>
  <c r="Q493" i="1"/>
  <c r="Q494" i="1"/>
  <c r="Q386" i="1"/>
  <c r="L499" i="1"/>
  <c r="Q322" i="1"/>
  <c r="Q103" i="1"/>
  <c r="Q149" i="1"/>
  <c r="Q247" i="1"/>
  <c r="Q418" i="1"/>
  <c r="Q64" i="1"/>
  <c r="Q148" i="1"/>
  <c r="S363" i="1"/>
  <c r="S473" i="1"/>
  <c r="Q443" i="1"/>
  <c r="Q382" i="1"/>
  <c r="N201" i="1"/>
  <c r="N371" i="1"/>
  <c r="N373" i="1" s="1"/>
  <c r="P252" i="1"/>
  <c r="Q299" i="1"/>
  <c r="Q260" i="1"/>
  <c r="Q249" i="1"/>
  <c r="T510" i="1"/>
  <c r="Z510" i="1" s="1"/>
  <c r="N29" i="4"/>
  <c r="T473" i="1"/>
  <c r="Z473" i="1" s="1"/>
  <c r="O38" i="4"/>
  <c r="O35" i="4"/>
  <c r="H547" i="32"/>
  <c r="O28" i="4"/>
  <c r="T490" i="1"/>
  <c r="Z490" i="1" s="1"/>
  <c r="M41" i="4"/>
  <c r="M44" i="4" s="1"/>
  <c r="M46" i="4" s="1"/>
  <c r="J521" i="1"/>
  <c r="G32" i="4"/>
  <c r="T138" i="1"/>
  <c r="O26" i="4"/>
  <c r="T325" i="1"/>
  <c r="Z325" i="1" s="1"/>
  <c r="O30" i="4"/>
  <c r="O32" i="4" s="1"/>
  <c r="T499" i="1"/>
  <c r="Z499" i="1" s="1"/>
  <c r="O27" i="4"/>
  <c r="L43" i="4"/>
  <c r="P252" i="2"/>
  <c r="L8" i="4"/>
  <c r="T259" i="2"/>
  <c r="K11" i="4"/>
  <c r="I38" i="4"/>
  <c r="J29" i="4"/>
  <c r="J38" i="4"/>
  <c r="C19" i="4"/>
  <c r="C22" i="4" s="1"/>
  <c r="C24" i="4" s="1"/>
  <c r="K67" i="23"/>
  <c r="R521" i="1"/>
  <c r="O510" i="1"/>
  <c r="Q486" i="1"/>
  <c r="N73" i="1"/>
  <c r="J35" i="4"/>
  <c r="Q472" i="1"/>
  <c r="Q66" i="1"/>
  <c r="O325" i="1"/>
  <c r="Q41" i="1"/>
  <c r="Q520" i="1"/>
  <c r="K43" i="4"/>
  <c r="P45" i="1"/>
  <c r="P154" i="1"/>
  <c r="N138" i="1"/>
  <c r="I67" i="23"/>
  <c r="C41" i="4"/>
  <c r="C44" i="4" s="1"/>
  <c r="C46" i="4" s="1"/>
  <c r="Q114" i="1"/>
  <c r="P33" i="1"/>
  <c r="P38" i="1"/>
  <c r="AD148" i="24"/>
  <c r="Q440" i="1"/>
  <c r="Q40" i="1"/>
  <c r="P40" i="1"/>
  <c r="Q406" i="1"/>
  <c r="Q349" i="1"/>
  <c r="H259" i="2"/>
  <c r="M259" i="2"/>
  <c r="P237" i="2"/>
  <c r="P28" i="2"/>
  <c r="G10" i="4"/>
  <c r="P159" i="2"/>
  <c r="J10" i="4"/>
  <c r="J259" i="2"/>
  <c r="K31" i="4"/>
  <c r="AD124" i="24"/>
  <c r="P15" i="1"/>
  <c r="P73" i="1"/>
  <c r="D41" i="4"/>
  <c r="D44" i="4" s="1"/>
  <c r="D46" i="4" s="1"/>
  <c r="K36" i="4"/>
  <c r="J32" i="4"/>
  <c r="P60" i="1"/>
  <c r="P69" i="1"/>
  <c r="G67" i="23"/>
  <c r="G29" i="4"/>
  <c r="P504" i="1"/>
  <c r="Q60" i="1"/>
  <c r="AD313" i="24"/>
  <c r="O155" i="1"/>
  <c r="Q21" i="1"/>
  <c r="AD310" i="24"/>
  <c r="AD84" i="24"/>
  <c r="P94" i="1"/>
  <c r="I99" i="5"/>
  <c r="K521" i="1"/>
  <c r="P201" i="1"/>
  <c r="N69" i="1"/>
  <c r="P324" i="1"/>
  <c r="P426" i="1"/>
  <c r="Q159" i="1"/>
  <c r="Q366" i="1"/>
  <c r="AD355" i="24"/>
  <c r="F99" i="5"/>
  <c r="P388" i="1"/>
  <c r="P490" i="1"/>
  <c r="K26" i="4"/>
  <c r="P241" i="1"/>
  <c r="G35" i="4"/>
  <c r="Q285" i="1"/>
  <c r="K30" i="4"/>
  <c r="P499" i="1"/>
  <c r="Q220" i="1"/>
  <c r="E41" i="4"/>
  <c r="E44" i="4" s="1"/>
  <c r="E46" i="4" s="1"/>
  <c r="Q244" i="1"/>
  <c r="K45" i="4"/>
  <c r="Q393" i="1"/>
  <c r="Q429" i="1"/>
  <c r="K39" i="4"/>
  <c r="Q73" i="1"/>
  <c r="Q29" i="1"/>
  <c r="K28" i="4"/>
  <c r="Q348" i="1"/>
  <c r="P110" i="1"/>
  <c r="AD290" i="24"/>
  <c r="AD30" i="24"/>
  <c r="P362" i="1"/>
  <c r="K34" i="4"/>
  <c r="P114" i="1"/>
  <c r="AD37" i="24"/>
  <c r="P446" i="1"/>
  <c r="O473" i="1"/>
  <c r="P472" i="1"/>
  <c r="Q201" i="1"/>
  <c r="Q252" i="2"/>
  <c r="S237" i="2"/>
  <c r="J16" i="4"/>
  <c r="E19" i="4"/>
  <c r="E22" i="4" s="1"/>
  <c r="E24" i="4" s="1"/>
  <c r="Q28" i="2"/>
  <c r="D31" i="5"/>
  <c r="N397" i="1"/>
  <c r="N411" i="1" s="1"/>
  <c r="AD268" i="24"/>
  <c r="AD152" i="24"/>
  <c r="AD346" i="24"/>
  <c r="AD301" i="24"/>
  <c r="AD99" i="24"/>
  <c r="H34" i="4"/>
  <c r="Q370" i="1"/>
  <c r="G16" i="4"/>
  <c r="S210" i="2"/>
  <c r="AD24" i="24"/>
  <c r="K27" i="4"/>
  <c r="AD316" i="24"/>
  <c r="P77" i="1"/>
  <c r="Q159" i="2"/>
  <c r="I31" i="5"/>
  <c r="N30" i="5"/>
  <c r="N376" i="1"/>
  <c r="L259" i="2"/>
  <c r="R182" i="2"/>
  <c r="R28" i="2"/>
  <c r="H12" i="4"/>
  <c r="H16" i="4" s="1"/>
  <c r="F19" i="4"/>
  <c r="F22" i="4" s="1"/>
  <c r="F24" i="4" s="1"/>
  <c r="N159" i="2"/>
  <c r="R85" i="2"/>
  <c r="Q117" i="1"/>
  <c r="K12" i="4"/>
  <c r="L362" i="1"/>
  <c r="P185" i="2"/>
  <c r="I8" i="4" s="1"/>
  <c r="I10" i="4" s="1"/>
  <c r="H8" i="4"/>
  <c r="H10" i="4" s="1"/>
  <c r="R210" i="2"/>
  <c r="AD343" i="24"/>
  <c r="AD288" i="24"/>
  <c r="AD138" i="24"/>
  <c r="AD263" i="24"/>
  <c r="AD172" i="24"/>
  <c r="AD247" i="24"/>
  <c r="AD56" i="24"/>
  <c r="P104" i="1"/>
  <c r="N362" i="1"/>
  <c r="N363" i="1" s="1"/>
  <c r="AD188" i="24"/>
  <c r="AD102" i="24"/>
  <c r="AD112" i="24"/>
  <c r="AD307" i="24"/>
  <c r="AD320" i="24"/>
  <c r="AD299" i="24"/>
  <c r="P147" i="1"/>
  <c r="K37" i="4"/>
  <c r="P123" i="1"/>
  <c r="P373" i="1"/>
  <c r="P138" i="1"/>
  <c r="K33" i="4"/>
  <c r="K7" i="4"/>
  <c r="P509" i="1"/>
  <c r="F31" i="5"/>
  <c r="O363" i="1"/>
  <c r="P87" i="1"/>
  <c r="S246" i="2"/>
  <c r="K9" i="4"/>
  <c r="R247" i="2"/>
  <c r="Q238" i="2"/>
  <c r="D99" i="5"/>
  <c r="AD28" i="24"/>
  <c r="AD14" i="24"/>
  <c r="AD35" i="24"/>
  <c r="AD21" i="24"/>
  <c r="AD16" i="24"/>
  <c r="AD10" i="24"/>
  <c r="AD19" i="24"/>
  <c r="AD4" i="24"/>
  <c r="AD12" i="24"/>
  <c r="AD7" i="24"/>
  <c r="L37" i="4"/>
  <c r="L38" i="4" s="1"/>
  <c r="N520" i="1"/>
  <c r="I43" i="4"/>
  <c r="L123" i="1"/>
  <c r="H27" i="4"/>
  <c r="H26" i="4"/>
  <c r="L114" i="1"/>
  <c r="V159" i="2" l="1"/>
  <c r="Y159" i="2" s="1"/>
  <c r="Y141" i="2"/>
  <c r="N78" i="1"/>
  <c r="L78" i="1"/>
  <c r="P78" i="1"/>
  <c r="T155" i="1"/>
  <c r="Z155" i="1" s="1"/>
  <c r="Z138" i="1"/>
  <c r="U259" i="2"/>
  <c r="N22" i="4"/>
  <c r="N24" i="4" s="1"/>
  <c r="Q395" i="1"/>
  <c r="Q165" i="1"/>
  <c r="L363" i="1"/>
  <c r="Q45" i="1"/>
  <c r="L12" i="4"/>
  <c r="L16" i="4" s="1"/>
  <c r="O16" i="4"/>
  <c r="P194" i="2"/>
  <c r="P238" i="2" s="1"/>
  <c r="P259" i="2" s="1"/>
  <c r="M47" i="4"/>
  <c r="Q411" i="1"/>
  <c r="Q267" i="1"/>
  <c r="L325" i="1"/>
  <c r="Q154" i="1"/>
  <c r="H35" i="4"/>
  <c r="Q147" i="1"/>
  <c r="Q252" i="1"/>
  <c r="Q324" i="1"/>
  <c r="L473" i="1"/>
  <c r="Q69" i="1"/>
  <c r="Q123" i="1"/>
  <c r="Q499" i="1"/>
  <c r="Q426" i="1"/>
  <c r="S521" i="1"/>
  <c r="N41" i="4"/>
  <c r="N44" i="4" s="1"/>
  <c r="N46" i="4" s="1"/>
  <c r="Q104" i="1"/>
  <c r="Q446" i="1"/>
  <c r="Q388" i="1"/>
  <c r="O29" i="4"/>
  <c r="O41" i="4" s="1"/>
  <c r="O44" i="4" s="1"/>
  <c r="O46" i="4" s="1"/>
  <c r="C47" i="4"/>
  <c r="K16" i="4"/>
  <c r="L9" i="4"/>
  <c r="L10" i="4" s="1"/>
  <c r="J19" i="4"/>
  <c r="J22" i="4" s="1"/>
  <c r="J24" i="4" s="1"/>
  <c r="G19" i="4"/>
  <c r="G22" i="4" s="1"/>
  <c r="G24" i="4" s="1"/>
  <c r="G41" i="4"/>
  <c r="G44" i="4" s="1"/>
  <c r="G46" i="4" s="1"/>
  <c r="Q490" i="1"/>
  <c r="K32" i="4"/>
  <c r="P155" i="1"/>
  <c r="K38" i="4"/>
  <c r="J41" i="4"/>
  <c r="J44" i="4" s="1"/>
  <c r="J46" i="4" s="1"/>
  <c r="L31" i="4"/>
  <c r="I34" i="4"/>
  <c r="I35" i="4" s="1"/>
  <c r="N388" i="1"/>
  <c r="N473" i="1" s="1"/>
  <c r="F47" i="4"/>
  <c r="F100" i="5"/>
  <c r="Q15" i="1"/>
  <c r="D47" i="4"/>
  <c r="N325" i="1"/>
  <c r="D100" i="5"/>
  <c r="I100" i="5"/>
  <c r="S238" i="2"/>
  <c r="P473" i="1"/>
  <c r="Q373" i="1"/>
  <c r="P325" i="1"/>
  <c r="Q241" i="1"/>
  <c r="P363" i="1"/>
  <c r="P510" i="1"/>
  <c r="E47" i="4"/>
  <c r="O521" i="1"/>
  <c r="K35" i="4"/>
  <c r="L34" i="4"/>
  <c r="L35" i="4" s="1"/>
  <c r="K29" i="4"/>
  <c r="Q289" i="1"/>
  <c r="L30" i="4"/>
  <c r="Q362" i="1"/>
  <c r="Q138" i="1"/>
  <c r="L39" i="4"/>
  <c r="Q33" i="1"/>
  <c r="K10" i="4"/>
  <c r="H19" i="4"/>
  <c r="H22" i="4" s="1"/>
  <c r="H24" i="4" s="1"/>
  <c r="Q259" i="2"/>
  <c r="L26" i="4"/>
  <c r="S247" i="2"/>
  <c r="Q87" i="1"/>
  <c r="N238" i="2"/>
  <c r="I31" i="4"/>
  <c r="I32" i="4" s="1"/>
  <c r="R159" i="2"/>
  <c r="I12" i="4"/>
  <c r="I16" i="4" s="1"/>
  <c r="I19" i="4" s="1"/>
  <c r="I22" i="4" s="1"/>
  <c r="I24" i="4" s="1"/>
  <c r="L27" i="4"/>
  <c r="R252" i="2"/>
  <c r="R238" i="2"/>
  <c r="H29" i="4"/>
  <c r="N114" i="1"/>
  <c r="I26" i="4"/>
  <c r="I27" i="4"/>
  <c r="N123" i="1"/>
  <c r="L155" i="1"/>
  <c r="V259" i="2" l="1"/>
  <c r="Y259" i="2" s="1"/>
  <c r="Q78" i="1"/>
  <c r="T521" i="1"/>
  <c r="Z521" i="1" s="1"/>
  <c r="S252" i="2"/>
  <c r="N47" i="4"/>
  <c r="O19" i="4"/>
  <c r="O22" i="4" s="1"/>
  <c r="O24" i="4" s="1"/>
  <c r="O47" i="4" s="1"/>
  <c r="L19" i="4"/>
  <c r="L22" i="4" s="1"/>
  <c r="L24" i="4" s="1"/>
  <c r="K19" i="4"/>
  <c r="K22" i="4" s="1"/>
  <c r="K24" i="4" s="1"/>
  <c r="L521" i="1"/>
  <c r="H41" i="4"/>
  <c r="H44" i="4" s="1"/>
  <c r="H46" i="4" s="1"/>
  <c r="H47" i="4" s="1"/>
  <c r="Q155" i="1"/>
  <c r="Q473" i="1"/>
  <c r="G47" i="4"/>
  <c r="J47" i="4"/>
  <c r="L32" i="4"/>
  <c r="P521" i="1"/>
  <c r="K41" i="4"/>
  <c r="K44" i="4" s="1"/>
  <c r="K46" i="4" s="1"/>
  <c r="Q363" i="1"/>
  <c r="L29" i="4"/>
  <c r="I29" i="4"/>
  <c r="I41" i="4" s="1"/>
  <c r="I44" i="4" s="1"/>
  <c r="I46" i="4" s="1"/>
  <c r="I47" i="4" s="1"/>
  <c r="Q325" i="1"/>
  <c r="N259" i="2"/>
  <c r="R259" i="2"/>
  <c r="N155" i="1"/>
  <c r="N521" i="1" s="1"/>
  <c r="S259" i="2" l="1"/>
  <c r="K47" i="4"/>
  <c r="L41" i="4"/>
  <c r="L44" i="4" s="1"/>
  <c r="L46" i="4" s="1"/>
  <c r="L47" i="4" s="1"/>
  <c r="Q521" i="1"/>
</calcChain>
</file>

<file path=xl/sharedStrings.xml><?xml version="1.0" encoding="utf-8"?>
<sst xmlns="http://schemas.openxmlformats.org/spreadsheetml/2006/main" count="8135" uniqueCount="2134">
  <si>
    <t>חשבון</t>
  </si>
  <si>
    <t>שם חשבון</t>
  </si>
  <si>
    <t>יתרת תקציב יחסי</t>
  </si>
  <si>
    <t>נבחרים-שכר</t>
  </si>
  <si>
    <t>אירוח וכיבוד</t>
  </si>
  <si>
    <t>מתנות נבחרים</t>
  </si>
  <si>
    <t>השתלמיות</t>
  </si>
  <si>
    <t>ספרות מקצועית ועתונים</t>
  </si>
  <si>
    <t>דמי חבר סגני ראשי רשויות</t>
  </si>
  <si>
    <t>הוצאות רכב ראש המועצה</t>
  </si>
  <si>
    <t>רכב ראש המועצה-דלק ושמנים</t>
  </si>
  <si>
    <t>רכב ראש מועצה-תיקונים</t>
  </si>
  <si>
    <t>רכב ראש מועצה-רישוי ובטוח</t>
  </si>
  <si>
    <t>טלפון ותקשורת</t>
  </si>
  <si>
    <t>צרכי משרד</t>
  </si>
  <si>
    <t>יעוץ מוניציפלי</t>
  </si>
  <si>
    <t>בחירות</t>
  </si>
  <si>
    <t>החזר הוצאות חברי מועצה</t>
  </si>
  <si>
    <t>הוצאות שונות</t>
  </si>
  <si>
    <t>ציוד יסודי</t>
  </si>
  <si>
    <t>לשכת ר"המועצה שכר</t>
  </si>
  <si>
    <t>דמי חבר -מבקר הרשות</t>
  </si>
  <si>
    <t>פרסומים</t>
  </si>
  <si>
    <t>מבקר הרשות-ציוד יסודי</t>
  </si>
  <si>
    <t>מזכירות - שכר</t>
  </si>
  <si>
    <t>פיצויים</t>
  </si>
  <si>
    <t>חשמל</t>
  </si>
  <si>
    <t>כיבוד</t>
  </si>
  <si>
    <t>דמי חבר בארגונים</t>
  </si>
  <si>
    <t>דאר טלפון ותקשורת</t>
  </si>
  <si>
    <t>הוצאות פרסום</t>
  </si>
  <si>
    <t>הובלות והסעות קבלניות</t>
  </si>
  <si>
    <t>חומרים</t>
  </si>
  <si>
    <t>כלים וציוד</t>
  </si>
  <si>
    <t>קבלניות</t>
  </si>
  <si>
    <t>השתתפות ותרומות</t>
  </si>
  <si>
    <t>מרכז השלטון המקומי-ד.חבר</t>
  </si>
  <si>
    <t>מס הוצ' עודפות</t>
  </si>
  <si>
    <t>מבקר פנים-שכר</t>
  </si>
  <si>
    <t>כח אדם</t>
  </si>
  <si>
    <t>השתלמויות ע. מועצה</t>
  </si>
  <si>
    <t>השתל' עובדים-אונ' חיפה</t>
  </si>
  <si>
    <t>הוצאות משפטיות-אגרות</t>
  </si>
  <si>
    <t>הוצאות משפטיות</t>
  </si>
  <si>
    <t>משפטיות- שכ"ט יעוץ</t>
  </si>
  <si>
    <t>שכ"ט עו"ד-גבייה</t>
  </si>
  <si>
    <t>הוצאות בחירות</t>
  </si>
  <si>
    <t>הפרשה להבראה</t>
  </si>
  <si>
    <t>מינהל רכש ואספקה</t>
  </si>
  <si>
    <t>גזברות והנה"ח שכר</t>
  </si>
  <si>
    <t>דואר וטלפון</t>
  </si>
  <si>
    <t>פרסום</t>
  </si>
  <si>
    <t>משרדיות</t>
  </si>
  <si>
    <t>מיכון-אוטומציה</t>
  </si>
  <si>
    <t>הוצאות מחשוב</t>
  </si>
  <si>
    <t>מינהל הרכש</t>
  </si>
  <si>
    <t>עבודות קבלניות שכ"ט</t>
  </si>
  <si>
    <t>רכש ואספקה</t>
  </si>
  <si>
    <t>שונות</t>
  </si>
  <si>
    <t>גבייה-משכורת</t>
  </si>
  <si>
    <t>מיכון אוטומציה</t>
  </si>
  <si>
    <t>משפטיות גבייה(שכ"ט)</t>
  </si>
  <si>
    <t>עבודות קבלניות</t>
  </si>
  <si>
    <t>שכ"ט עו"ד</t>
  </si>
  <si>
    <t>עמלות בנק</t>
  </si>
  <si>
    <t>הוצאות מימון-ריבית</t>
  </si>
  <si>
    <t>ריבית בטוח לאומי ומ"ה</t>
  </si>
  <si>
    <t>ריבית מספקים</t>
  </si>
  <si>
    <t>ריבית על קרנות</t>
  </si>
  <si>
    <t>מיון פ"מ הלואות ביוב</t>
  </si>
  <si>
    <t>קרן</t>
  </si>
  <si>
    <t>ריבית</t>
  </si>
  <si>
    <t>הצמדה</t>
  </si>
  <si>
    <t>קרן פרעון מלוות</t>
  </si>
  <si>
    <t>ריבית פרעון מלוות</t>
  </si>
  <si>
    <t>הצמדה פרעון מלוות</t>
  </si>
  <si>
    <t>ע"ח קרן-רגילות</t>
  </si>
  <si>
    <t>ע"ח ריבית-רגילות</t>
  </si>
  <si>
    <t>ע"ח הצמדה-רגילות</t>
  </si>
  <si>
    <t>פינוי פסולת בנייה</t>
  </si>
  <si>
    <t>פנוי אשפה-שמוש בתחנה</t>
  </si>
  <si>
    <t>כלי אצירה</t>
  </si>
  <si>
    <t>פיקוח תברואי-משכורת</t>
  </si>
  <si>
    <t>אגוד ערים וטרינרי</t>
  </si>
  <si>
    <t>הדברת מזיקים-חומרים</t>
  </si>
  <si>
    <t>הדברת מזיקים-קבלניות</t>
  </si>
  <si>
    <t>שמירה-משכורת</t>
  </si>
  <si>
    <t>רכבי מועצה-דלק ושמנים</t>
  </si>
  <si>
    <t>רכבי המועצה-תיקונים</t>
  </si>
  <si>
    <t>רכבי  המועצה-רישוי וביטוח</t>
  </si>
  <si>
    <t>השתתפות בהג"א ארצי</t>
  </si>
  <si>
    <t>השתתפות בהג"א מקומי</t>
  </si>
  <si>
    <t>עיר ללא אלימות</t>
  </si>
  <si>
    <t>אגוד ערים-כיבוי אש</t>
  </si>
  <si>
    <t>בטיחות בדרכים</t>
  </si>
  <si>
    <t>פס"ח מל"ח -קבלניות</t>
  </si>
  <si>
    <t>פס"ח מל"ח-שונות</t>
  </si>
  <si>
    <t>מהנדס-משכורת</t>
  </si>
  <si>
    <t>בטוח מהנדסים</t>
  </si>
  <si>
    <t>ציוד משרדי</t>
  </si>
  <si>
    <t>עבודות קבלניות-מדידות</t>
  </si>
  <si>
    <t>תכנון כללי</t>
  </si>
  <si>
    <t>הוצ' ועדה לתכנון ובניה</t>
  </si>
  <si>
    <t>נכסים ציבוריים-משכורת</t>
  </si>
  <si>
    <t>טלפון</t>
  </si>
  <si>
    <t>חומרים -אחזקה כללית</t>
  </si>
  <si>
    <t>טרקטור-דלק ושמנים</t>
  </si>
  <si>
    <t>טרקטור-תיקונים</t>
  </si>
  <si>
    <t>טרקטור-רישוי ובטוח</t>
  </si>
  <si>
    <t>תאורת רחובו ע.קבלניות</t>
  </si>
  <si>
    <t>תאורת רחוב-חשמל</t>
  </si>
  <si>
    <t>בטיחות בדרכים-ע.קבלניות</t>
  </si>
  <si>
    <t>בטיחות בדרכים-שונות</t>
  </si>
  <si>
    <t>תיעול וניקוז-ע.קבלניות</t>
  </si>
  <si>
    <t>אגוד ערים-רשות ניקוז</t>
  </si>
  <si>
    <t>חוף רחצה-משכורת</t>
  </si>
  <si>
    <t>חוף רחצה-חשמל</t>
  </si>
  <si>
    <t>חוף רחצה-מים</t>
  </si>
  <si>
    <t>חומרי ניכוי</t>
  </si>
  <si>
    <t>ביטוח</t>
  </si>
  <si>
    <t>אופנוע חוף הים</t>
  </si>
  <si>
    <t>*****מבוטל*****</t>
  </si>
  <si>
    <t>בית עלמין-מים</t>
  </si>
  <si>
    <t>חגיגות וטכסים</t>
  </si>
  <si>
    <t>ועד עובדים השת' מועצה</t>
  </si>
  <si>
    <t>בטוח אלמנטרי לרשות</t>
  </si>
  <si>
    <t>פיצוי נזקים</t>
  </si>
  <si>
    <t>שיטור קהילתי-טלפון</t>
  </si>
  <si>
    <t>שיטור קהילתי- משרדיות</t>
  </si>
  <si>
    <t>שיטור קהילתי-חומרים</t>
  </si>
  <si>
    <t>ע. קבלניות</t>
  </si>
  <si>
    <t>מנהל חינוך-משכורת</t>
  </si>
  <si>
    <t>השתלמויות</t>
  </si>
  <si>
    <t>ספרות מקצועית</t>
  </si>
  <si>
    <t>הוצאות תקשורת וטלפון</t>
  </si>
  <si>
    <t>מיכון ועבוד נתונים</t>
  </si>
  <si>
    <t>השתת התק ברכ מחשבים מוס ח</t>
  </si>
  <si>
    <t>רזרבת חינוך</t>
  </si>
  <si>
    <t>ציוד ורהוט מוסדות חינוך</t>
  </si>
  <si>
    <t>שיפוצים מוסדות חינוך</t>
  </si>
  <si>
    <t>גני"י חובה-משכורת</t>
  </si>
  <si>
    <t>אחזקת מבנה</t>
  </si>
  <si>
    <t>גני ילדים חובה</t>
  </si>
  <si>
    <t>צ. מים גני ילדים</t>
  </si>
  <si>
    <t>חומרי ניקוי</t>
  </si>
  <si>
    <t>חומרים גני חובה</t>
  </si>
  <si>
    <t>גנים ט.חובה-משכורת</t>
  </si>
  <si>
    <t>גנים-פיצויים</t>
  </si>
  <si>
    <t>גנים ט.חובה-שכ"ד</t>
  </si>
  <si>
    <t>שיפוץ מושכר שהתפנה גנ"י</t>
  </si>
  <si>
    <t>אחזקת מבנים</t>
  </si>
  <si>
    <t>טרום חובה גנים</t>
  </si>
  <si>
    <t>טרום חובה</t>
  </si>
  <si>
    <t>ציוד משרדי גנ"י חובה</t>
  </si>
  <si>
    <t>חומרים לפעולות</t>
  </si>
  <si>
    <t>כלים מכשירים וציוד</t>
  </si>
  <si>
    <t>גננות עובדות מדינה</t>
  </si>
  <si>
    <t>טלפון -קט גן</t>
  </si>
  <si>
    <t>קט גן ציוד יסודי</t>
  </si>
  <si>
    <t>שכר</t>
  </si>
  <si>
    <t>גן טיפולי-הסעות</t>
  </si>
  <si>
    <t>גנים טיפולים חומרים שונים</t>
  </si>
  <si>
    <t>גנים טיפוליים-משכורת</t>
  </si>
  <si>
    <t>גנים טיפוליים-שכ"ד</t>
  </si>
  <si>
    <t>גנים טיפוליים-אח.מבנה</t>
  </si>
  <si>
    <t>מים</t>
  </si>
  <si>
    <t>שרותי הפעלה קייטנות קיץ</t>
  </si>
  <si>
    <t>הוצ' שונות -מפעל הזנה</t>
  </si>
  <si>
    <t>ב"ס א -משכורת</t>
  </si>
  <si>
    <t>ב"ס א-אחזקת מבנה</t>
  </si>
  <si>
    <t>ב"ס א-חשמל</t>
  </si>
  <si>
    <t>ב"ס א -מים</t>
  </si>
  <si>
    <t>ב"ס א -חומרי ניקוי</t>
  </si>
  <si>
    <t>שרותי נקיון</t>
  </si>
  <si>
    <t>ב"ס א -טלפון</t>
  </si>
  <si>
    <t>ב"ס א -צרכי משרד</t>
  </si>
  <si>
    <t>ב"ס א - חומרים</t>
  </si>
  <si>
    <t>ב"ס א -ע.קבלניות</t>
  </si>
  <si>
    <t>ב"ס א -שונות</t>
  </si>
  <si>
    <t>ב"ס א -החזר הוצאות</t>
  </si>
  <si>
    <t>ניהול עצמי יסודי א</t>
  </si>
  <si>
    <t>ב"ס א -ציוד יסודי</t>
  </si>
  <si>
    <t>ב"ס ב -משכורת</t>
  </si>
  <si>
    <t>ב"ס ב פיצויים</t>
  </si>
  <si>
    <t>ב"ס ב -אחזקת מבנה</t>
  </si>
  <si>
    <t>ב"ס ב -חשמל</t>
  </si>
  <si>
    <t>מים ב"ס ב</t>
  </si>
  <si>
    <t>ב"ס ב-חומרי ניקוי</t>
  </si>
  <si>
    <t>ב"ס ב -טלפון</t>
  </si>
  <si>
    <t>ב"ס ב -צרכי משרד</t>
  </si>
  <si>
    <t>ב"ס ב -חומרים</t>
  </si>
  <si>
    <t>ב"ס ב -ע.קבלניות</t>
  </si>
  <si>
    <t>ב"ס ב -שונות</t>
  </si>
  <si>
    <t>ב"ס ב החזר הוצאות</t>
  </si>
  <si>
    <t>ניהול עצמי יסודי ב</t>
  </si>
  <si>
    <t>ב"ס ב -ציוד יסודי</t>
  </si>
  <si>
    <t>ב"ס ג חדשני-משכורת</t>
  </si>
  <si>
    <t>ב"ס ג -אחזקת מבנים</t>
  </si>
  <si>
    <t>ב"ס ג -חשמל</t>
  </si>
  <si>
    <t>ב"ס ג -מים</t>
  </si>
  <si>
    <t>ב"ס ג -חומרי ניקוי</t>
  </si>
  <si>
    <t>ב"ס ג -טלפון</t>
  </si>
  <si>
    <t>ב"ס ג -הוצאות משרדיות</t>
  </si>
  <si>
    <t>ב"ס ג -חומרים</t>
  </si>
  <si>
    <t>ציוד לבי"ס חדשני</t>
  </si>
  <si>
    <t>ב"ס ג -ע.קבלניות</t>
  </si>
  <si>
    <t>ב"ס ג- החזר הוצאות</t>
  </si>
  <si>
    <t>ניהול עצמי יסודי ג</t>
  </si>
  <si>
    <t>ב"ס ג -ציוד יסודי</t>
  </si>
  <si>
    <t>משכורת ב"ס יסודי ד</t>
  </si>
  <si>
    <t>בי"ס יסודי ד חשמל</t>
  </si>
  <si>
    <t>בי"ס יסודי ד-מים</t>
  </si>
  <si>
    <t>בי"ס יסודי ד טלפון</t>
  </si>
  <si>
    <t>ב"ס ד עבודות קבלניות</t>
  </si>
  <si>
    <t>ב"ס ד ניהול עמי</t>
  </si>
  <si>
    <t>מעברים - הסעות</t>
  </si>
  <si>
    <t>משכורתב"ס לחינוך מיוחד</t>
  </si>
  <si>
    <t>תקשורת</t>
  </si>
  <si>
    <t>בי"ס אלוופא-מזון</t>
  </si>
  <si>
    <t>ציוד וחומרים</t>
  </si>
  <si>
    <t>הקצבות יעודיות</t>
  </si>
  <si>
    <t>אג"ח חינוך מיוחד</t>
  </si>
  <si>
    <t>חט"ב-משכורת</t>
  </si>
  <si>
    <t>חט"ב-תחזוקת מבנים</t>
  </si>
  <si>
    <t>חט"ב-חשמל</t>
  </si>
  <si>
    <t>חט"ב-מים</t>
  </si>
  <si>
    <t>חט"ב-חומרי ניקוי</t>
  </si>
  <si>
    <t>חט"ב-טלפון</t>
  </si>
  <si>
    <t>חט"ב-משרדיות</t>
  </si>
  <si>
    <t>חט"ב-חומרים</t>
  </si>
  <si>
    <t>כלים ומכשירים לחטיבה</t>
  </si>
  <si>
    <t>חט"ב- ע.קבלניות</t>
  </si>
  <si>
    <t>חט"ב-החזר הוצאות</t>
  </si>
  <si>
    <t>ב"ס תיכון-משכורת</t>
  </si>
  <si>
    <t>ב"ס תיכון-אחזקת מבנים</t>
  </si>
  <si>
    <t>ב"ס תיכון-חשמל</t>
  </si>
  <si>
    <t>ב"ס תיכון- מים</t>
  </si>
  <si>
    <t>ב"ס תיכון- חומרי ניקוי</t>
  </si>
  <si>
    <t>רהוט והחזקתו</t>
  </si>
  <si>
    <t>ב"ס תיכון- טלפון</t>
  </si>
  <si>
    <t>ב"ס תיכון-משרדיות</t>
  </si>
  <si>
    <t>ב"ס תיכון- חומרים</t>
  </si>
  <si>
    <t>ב"ס תיכון-כלים ומכשירים</t>
  </si>
  <si>
    <t>בתי ספר- ע.קבלניות</t>
  </si>
  <si>
    <t>יעוץ פיננסי לחינוך</t>
  </si>
  <si>
    <t>ב"ס תיכון-הוצאות שונות</t>
  </si>
  <si>
    <t>ב"ס תיכון -החזר הוצאות</t>
  </si>
  <si>
    <t>שפ"י - משכורת</t>
  </si>
  <si>
    <t>פיצויים-פסיכולוגים</t>
  </si>
  <si>
    <t>השתלמיות -שפ"י</t>
  </si>
  <si>
    <t>ציוד יסודי-פסיכולוג</t>
  </si>
  <si>
    <t>שפ"י - הדרכה</t>
  </si>
  <si>
    <t>מרפאת שיניים-פיצויים</t>
  </si>
  <si>
    <t>מרפאת שיניים-חומרים</t>
  </si>
  <si>
    <t>ביטוח תלמידים</t>
  </si>
  <si>
    <t>שיקום שכונות-שונות</t>
  </si>
  <si>
    <t>ציוד יסודי-רווחה חינוכית</t>
  </si>
  <si>
    <t>שכר אומץ</t>
  </si>
  <si>
    <t>ה'.מתנ"ס במסגרת שיקום שכו</t>
  </si>
  <si>
    <t>מועדוניות-שיקום שכונות</t>
  </si>
  <si>
    <t>תוכנית אומץ</t>
  </si>
  <si>
    <t>קב"סים-משכורת</t>
  </si>
  <si>
    <t>חשמל -מעדונית</t>
  </si>
  <si>
    <t>מים שכירות מועדונית</t>
  </si>
  <si>
    <t>הוצאות שונות קב"סים</t>
  </si>
  <si>
    <t>שכר מועדוניות</t>
  </si>
  <si>
    <t>חומרי לימוד</t>
  </si>
  <si>
    <t>שונות מועדוניות</t>
  </si>
  <si>
    <t>מלווים -משכורת</t>
  </si>
  <si>
    <t>הסעות תלמידים</t>
  </si>
  <si>
    <t>שכר פסיכומטרי</t>
  </si>
  <si>
    <t>פר"ח-הסעות</t>
  </si>
  <si>
    <t>שקום שכונות הוצ' שונות</t>
  </si>
  <si>
    <t>השת.בפעילות חינוך בלתי פורמאלי</t>
  </si>
  <si>
    <t>מים שכירות מתנ"ס</t>
  </si>
  <si>
    <t>מתנ"ס הקצבות לא יעודיות</t>
  </si>
  <si>
    <t>הקצבה יעודית (ללא שח"ר)</t>
  </si>
  <si>
    <t>תרבות ואומנות</t>
  </si>
  <si>
    <t>הקצבה רזרבה</t>
  </si>
  <si>
    <t>חוגי נוער-שכר</t>
  </si>
  <si>
    <t>חוגי נוער</t>
  </si>
  <si>
    <t>שבוע "לא לאלימות"</t>
  </si>
  <si>
    <t>קייטנות</t>
  </si>
  <si>
    <t>חשמל אולם ספורט</t>
  </si>
  <si>
    <t>מנהל ספורט_-משכורת</t>
  </si>
  <si>
    <t>מדריכי ספורט-שכר</t>
  </si>
  <si>
    <t>מגרש ספורט- חשמל</t>
  </si>
  <si>
    <t>צ. מים מגרש כדורגל</t>
  </si>
  <si>
    <t>הוצאות טלפון</t>
  </si>
  <si>
    <t>חומרים מח' ספורט</t>
  </si>
  <si>
    <t>מגרש ספורט</t>
  </si>
  <si>
    <t>תמיכות ספורט</t>
  </si>
  <si>
    <t>רכישת ציוד יסודי</t>
  </si>
  <si>
    <t>שכר מדריכי ספורט</t>
  </si>
  <si>
    <t>פעולות ספורט</t>
  </si>
  <si>
    <t>חשמל-בריאות המשפחה-דרום</t>
  </si>
  <si>
    <t>מרפאת שניים-משכורת</t>
  </si>
  <si>
    <t>מרפאת שניים-חשמל</t>
  </si>
  <si>
    <t>מרפאת שניים -ביטוח</t>
  </si>
  <si>
    <t>מרפאת שניים-טלפון</t>
  </si>
  <si>
    <t>בריאות המשפחה-משכורת</t>
  </si>
  <si>
    <t>בריאות המשפחה-חשמל</t>
  </si>
  <si>
    <t>בריאות המשפחה-מים</t>
  </si>
  <si>
    <t>בריאות המשפחה - ע.קבלניות</t>
  </si>
  <si>
    <t>בריאות המשפחה-שונות</t>
  </si>
  <si>
    <t>איגוד ערים-מד"א</t>
  </si>
  <si>
    <t>ניסוי "קהילה 2000"</t>
  </si>
  <si>
    <t>תחזוקת מבנים</t>
  </si>
  <si>
    <t>מינהל הרווחה/חשמל</t>
  </si>
  <si>
    <t>שכר עובדי מחלקה</t>
  </si>
  <si>
    <t>כ"א לחינוך המיוחד</t>
  </si>
  <si>
    <t>רווחה-שכ"ד</t>
  </si>
  <si>
    <t>הוצאות משרדיות</t>
  </si>
  <si>
    <t>מיכון ועיבוד נתונים</t>
  </si>
  <si>
    <t>הוצ ארגוניות רווחה-ציוד</t>
  </si>
  <si>
    <t>משפחות במצוקה בקהילה</t>
  </si>
  <si>
    <t>קייטנות לאמהות-שונות</t>
  </si>
  <si>
    <t>קייטנות לאמהות</t>
  </si>
  <si>
    <t>הסעות-ביטוח רפואי ואישפוז</t>
  </si>
  <si>
    <t>עזרא ליולדות</t>
  </si>
  <si>
    <t>בטוח רפואי ואשפוז-הסעות</t>
  </si>
  <si>
    <t>ביטוח רפואי ואשפוז</t>
  </si>
  <si>
    <t>בטוח רפואי ואישפוז</t>
  </si>
  <si>
    <t>סיוע למשפחות עם ילדים</t>
  </si>
  <si>
    <t>טיפול בפרט ובמשפחה</t>
  </si>
  <si>
    <t>מרכזי טיפול באלימות</t>
  </si>
  <si>
    <t>רכזות משפחתונים-שכר</t>
  </si>
  <si>
    <t>רכזות משפחתונים</t>
  </si>
  <si>
    <t>טיפול במשפחות אומנה</t>
  </si>
  <si>
    <t>טיפול בילד בקהילה</t>
  </si>
  <si>
    <t>מועדוניות-חומרי לימוד</t>
  </si>
  <si>
    <t>מועדוניות-מזון</t>
  </si>
  <si>
    <t>מועדוניות-ע.קבלניות</t>
  </si>
  <si>
    <t>מועדוניות-הוצאות שונות</t>
  </si>
  <si>
    <t>מועדוניות משותפות</t>
  </si>
  <si>
    <t>אחזקת ילדים בפנימיות</t>
  </si>
  <si>
    <t>השתלמות משפחתונים</t>
  </si>
  <si>
    <t>משפחטונים-שכר מטפלות</t>
  </si>
  <si>
    <t>ילדים במעונות יום</t>
  </si>
  <si>
    <t>מעונות יום-ציוד יסודי</t>
  </si>
  <si>
    <t>אחזקת זקנים במעונות</t>
  </si>
  <si>
    <t>מועדונים לזקנים-שכר</t>
  </si>
  <si>
    <t>מועדונים לזקנים-חשמל</t>
  </si>
  <si>
    <t>מועדונים לזקנים-מים</t>
  </si>
  <si>
    <t>מועדונים לזקנים-ח.ניקוי</t>
  </si>
  <si>
    <t>טיפול בזקן בקהילה</t>
  </si>
  <si>
    <t>מרכזי ועדתחוק וסיעוד</t>
  </si>
  <si>
    <t>שכר מועדון לקשיש</t>
  </si>
  <si>
    <t>מסגרות יומיות לזקן</t>
  </si>
  <si>
    <t>מ.יום שיקומי לאוטיסט</t>
  </si>
  <si>
    <t>סדור מפגרים במוסדות</t>
  </si>
  <si>
    <t>משפחות אומנה למפגר</t>
  </si>
  <si>
    <t>משפחות אומנה לשיקום</t>
  </si>
  <si>
    <t>מפגרים במוסד ממשלתי</t>
  </si>
  <si>
    <t>מעשי"ם</t>
  </si>
  <si>
    <t>מעון יום-מטפלות</t>
  </si>
  <si>
    <t>מסגרות יום ארוך</t>
  </si>
  <si>
    <t>מפגרים במעון אמוני</t>
  </si>
  <si>
    <t>מפגרים במעון טפולי</t>
  </si>
  <si>
    <t>מעש"ים</t>
  </si>
  <si>
    <t>מפגרים במעון אימוני</t>
  </si>
  <si>
    <t>שרותים תומכים למפגר</t>
  </si>
  <si>
    <t>נופשונים למפגר</t>
  </si>
  <si>
    <t>הסעות למ. יום למפגר</t>
  </si>
  <si>
    <t>אחזקת נכים בפנימיות</t>
  </si>
  <si>
    <t>דמי ליווי לעוור</t>
  </si>
  <si>
    <t>הדרכה עוור ובני ביתו</t>
  </si>
  <si>
    <t>מפעלי שיקום לעיוור</t>
  </si>
  <si>
    <t>מכונים לראייה ירודה</t>
  </si>
  <si>
    <t>נכים במשפחות אומנה</t>
  </si>
  <si>
    <t>תעסוקה מוגנת למוגבל</t>
  </si>
  <si>
    <t>הסעות נכים לתעסוקה</t>
  </si>
  <si>
    <t>מ. יום שיקומי לנכים</t>
  </si>
  <si>
    <t>תוכניות לילד החריג</t>
  </si>
  <si>
    <t>הסעות למ. יום שיקומי</t>
  </si>
  <si>
    <t>ליווי למ.יום שיקומי</t>
  </si>
  <si>
    <t>מרכזי איבחון ושיקום</t>
  </si>
  <si>
    <t>דמי תקשורת לחירשים</t>
  </si>
  <si>
    <t>טיפול בנערות במצוקה-הסעות</t>
  </si>
  <si>
    <t>טפול בנערות במצוקה-שונות</t>
  </si>
  <si>
    <t>טפול בנשים ובנער כ"א</t>
  </si>
  <si>
    <t>טפול בנשים ובנערות-כ"א</t>
  </si>
  <si>
    <t>שהות במקלט לנערות</t>
  </si>
  <si>
    <t>מקלטים לנשים מוכות</t>
  </si>
  <si>
    <t>פרוייקט וינגט</t>
  </si>
  <si>
    <t>מעונות חסות</t>
  </si>
  <si>
    <t>סמים-טפול בקהילה</t>
  </si>
  <si>
    <t>בדיקות למשתמשי סמים</t>
  </si>
  <si>
    <t>מפת"ן מקומי-ממשלה</t>
  </si>
  <si>
    <t>הכשרת מקצועית פעולות</t>
  </si>
  <si>
    <t>עובדי שיקום שכונות</t>
  </si>
  <si>
    <t>שיקום שכונות</t>
  </si>
  <si>
    <t>מלגות סטודנטים-שיקום שכ'</t>
  </si>
  <si>
    <t>מסגד- מים</t>
  </si>
  <si>
    <t>מסגד- ע.קבלניות</t>
  </si>
  <si>
    <t>איגוד ערים -אכות הסביבה</t>
  </si>
  <si>
    <t>מנהל המים-משכורת</t>
  </si>
  <si>
    <t>טלפון מנהל המים</t>
  </si>
  <si>
    <t>קרן שיקום צנרת</t>
  </si>
  <si>
    <t>קנית מים</t>
  </si>
  <si>
    <t>כיבוד ע. מועצה</t>
  </si>
  <si>
    <t>דואר טלפון ותקשורת</t>
  </si>
  <si>
    <t>ע"ח קרן הלואות ביוב</t>
  </si>
  <si>
    <t>ע"ח ריבית הלואות ביוב</t>
  </si>
  <si>
    <t>ע"ח הצמדה הלואות ביוב</t>
  </si>
  <si>
    <t>ביוב-חומרים</t>
  </si>
  <si>
    <t>ביוב-עבודות קבלניות</t>
  </si>
  <si>
    <t>תחנת שאיבה</t>
  </si>
  <si>
    <t>חשמל תחנת שאיבה</t>
  </si>
  <si>
    <t>טהור מי ביוב-החב' להשבת מ</t>
  </si>
  <si>
    <t>הוצאות שנים קודמות</t>
  </si>
  <si>
    <t>הנחות ממסים-מצב סוציאלי</t>
  </si>
  <si>
    <t>פנסיה נבחרים</t>
  </si>
  <si>
    <t>פנסיונרים-משכורת</t>
  </si>
  <si>
    <t>שמירה מ.הפנים</t>
  </si>
  <si>
    <t>מענק לכיסוי גרעון</t>
  </si>
  <si>
    <t>הצעת תקציב 2015</t>
  </si>
  <si>
    <t>הערות</t>
  </si>
  <si>
    <t>תקציב שנתי 2014</t>
  </si>
  <si>
    <t>ביצוע  שנתי 2014</t>
  </si>
  <si>
    <t xml:space="preserve">מועצה מקומית ג'סר אלזרקא </t>
  </si>
  <si>
    <t>המועצה המקומית גסר אלזרקא</t>
  </si>
  <si>
    <t>תקציב 2014</t>
  </si>
  <si>
    <t>ביצוע 2014</t>
  </si>
  <si>
    <t>יתרת תקציב 2014</t>
  </si>
  <si>
    <t>תקציב שנתי 2015</t>
  </si>
  <si>
    <t>ארנונה שוטפת</t>
  </si>
  <si>
    <t>ארנונה פיגורים</t>
  </si>
  <si>
    <t>הנחות מצב סוציאלי</t>
  </si>
  <si>
    <t>תעודות ואישורים</t>
  </si>
  <si>
    <t>הכנסות ממכרזים</t>
  </si>
  <si>
    <t>מענק כללי לאיזון</t>
  </si>
  <si>
    <t>מענק מיוחד מ.הפנים</t>
  </si>
  <si>
    <t>מענק מותנה גביה</t>
  </si>
  <si>
    <t>מענק אחר מ.הפנים</t>
  </si>
  <si>
    <t>מענק פנים -תוכנית_הבראה</t>
  </si>
  <si>
    <t>השתת' תושבים בפינוי אשפה</t>
  </si>
  <si>
    <t>השתת' איכות הסביבה-הדברה</t>
  </si>
  <si>
    <t>תכניות מפורטות-הש.תושבים</t>
  </si>
  <si>
    <t>אגרת ועדה לבניה</t>
  </si>
  <si>
    <t>אגרות הועדה</t>
  </si>
  <si>
    <t>אגרות בניה-ועדה לתכ ובניה</t>
  </si>
  <si>
    <t>הכנסות ועדה מקומית</t>
  </si>
  <si>
    <t>אגרות בנ מהועדה המקומית</t>
  </si>
  <si>
    <t>הוטל השבחה-ועדה לתכ ובניה</t>
  </si>
  <si>
    <t>השתתפות בעלים בכבישים</t>
  </si>
  <si>
    <t>הכנסות שונות</t>
  </si>
  <si>
    <t>החזר הוצאות משפטיות</t>
  </si>
  <si>
    <t>מפעל הפיס-רהוט בתי ספר</t>
  </si>
  <si>
    <t>משרד החינוך-רהוט ב"ס</t>
  </si>
  <si>
    <t>החזר שכ"ד גני"י</t>
  </si>
  <si>
    <t>הכנסות גננות עובדות מדינה</t>
  </si>
  <si>
    <t>עוזרות גננות</t>
  </si>
  <si>
    <t>שכל"מ הורים טרום חובה</t>
  </si>
  <si>
    <t>שכל"ם גנים טרום חובה</t>
  </si>
  <si>
    <t>תשלומי הורים חומרים</t>
  </si>
  <si>
    <t>גנים - יוח"א</t>
  </si>
  <si>
    <t>עצמיות ב"ס יסודי</t>
  </si>
  <si>
    <t>הכנסות חינוך</t>
  </si>
  <si>
    <t>ניהול עצמי בתי ספר יסודיים</t>
  </si>
  <si>
    <t>סייעות חריגות</t>
  </si>
  <si>
    <t>הבראה וביגוד</t>
  </si>
  <si>
    <t>הכנ עצמיות (לקיזוז)</t>
  </si>
  <si>
    <t>ב"ס א חינוך כללי</t>
  </si>
  <si>
    <t>ב"ס א שרתים</t>
  </si>
  <si>
    <t>ב"ס א -מזכירים</t>
  </si>
  <si>
    <t>ב"ס א- תשלומי הורים</t>
  </si>
  <si>
    <t>ב"ס א- אגרת שכפול</t>
  </si>
  <si>
    <t>ב"ס א-סייעות</t>
  </si>
  <si>
    <t>אגרת שכפול יוח"א</t>
  </si>
  <si>
    <t>ב"ס א- יוח"א</t>
  </si>
  <si>
    <t>הכ' עצמיות (הש. ביטוח)</t>
  </si>
  <si>
    <t>ב"ס יסודי ב' מ. הפיס</t>
  </si>
  <si>
    <t>ב"ס ב- הכנסות חינוך</t>
  </si>
  <si>
    <t>ב"ס ב- שרתים</t>
  </si>
  <si>
    <t>ב"ס ב -מזכירים</t>
  </si>
  <si>
    <t>ב"ס ב- תשלומי הורים</t>
  </si>
  <si>
    <t>ב"ס ב- אגרת שכפול</t>
  </si>
  <si>
    <t>ב"ס ב- סייעות</t>
  </si>
  <si>
    <t>ב"ס ב- יוח"א</t>
  </si>
  <si>
    <t>הכ' עצמיות (לקיזוז)</t>
  </si>
  <si>
    <t>ג' חדשני-הכנסות חינוך</t>
  </si>
  <si>
    <t>ג חדשני-שרתים</t>
  </si>
  <si>
    <t>ג חדשני -מזכירים</t>
  </si>
  <si>
    <t>ג חדשני-תשלומי הורים</t>
  </si>
  <si>
    <t>ג חדשני- אגרת שכפול</t>
  </si>
  <si>
    <t>ג חדשני-סייעות</t>
  </si>
  <si>
    <t>ג חדשני- יוח"א</t>
  </si>
  <si>
    <t>יסודי ד ניהול עצמי</t>
  </si>
  <si>
    <t>ב"ס יסודי ד שרתים</t>
  </si>
  <si>
    <t>ב"ס יסודי ד מזכירים</t>
  </si>
  <si>
    <t>אגרת תלמידי חוץ</t>
  </si>
  <si>
    <t>קרן שלם ציוד אלופא</t>
  </si>
  <si>
    <t>אג תלמידי חוץ חינוך מיוחד</t>
  </si>
  <si>
    <t>אלוופה-הכנסות חינוך</t>
  </si>
  <si>
    <t>אלוופה-שרתים</t>
  </si>
  <si>
    <t>אלוופה=מזכירים</t>
  </si>
  <si>
    <t>אלוופה-תשלומי הורים</t>
  </si>
  <si>
    <t>אלוופה-אגרת שכפול</t>
  </si>
  <si>
    <t>אלוופה-סייעות</t>
  </si>
  <si>
    <t>סייעות כית.חריגות וצמודות</t>
  </si>
  <si>
    <t>אלוופה-יוח"א</t>
  </si>
  <si>
    <t>סל תלמיד חט"ב</t>
  </si>
  <si>
    <t>הכנסות חינוך -יזמות</t>
  </si>
  <si>
    <t>חינוך חיפה-יזמות</t>
  </si>
  <si>
    <t>חומרים הורים - חט"ב</t>
  </si>
  <si>
    <t>אגרת שכפול</t>
  </si>
  <si>
    <t>שחיקת חט"ב</t>
  </si>
  <si>
    <t>שכ"ד קיוסק</t>
  </si>
  <si>
    <t>מקיף-הכנסות חינוך</t>
  </si>
  <si>
    <t>דמי שתיה</t>
  </si>
  <si>
    <t>רכב מנהלים</t>
  </si>
  <si>
    <t>גמול טיולים</t>
  </si>
  <si>
    <t>השלמת בגרות</t>
  </si>
  <si>
    <t>דמי שכפול על יסודי</t>
  </si>
  <si>
    <t>הכנסות מדמי בחינות</t>
  </si>
  <si>
    <t>החזר חדר חשמל</t>
  </si>
  <si>
    <t>שכ"ל על יסודי</t>
  </si>
  <si>
    <t>הבראה וביגוד-שכ"ל</t>
  </si>
  <si>
    <t>החזר שכ"ל למורים</t>
  </si>
  <si>
    <t>שחיקת שכ"ל ונלוות</t>
  </si>
  <si>
    <t>קרן השתלמות</t>
  </si>
  <si>
    <t>מענקי תשלומים - מקיף</t>
  </si>
  <si>
    <t>השתתפות בעלויות טיולים</t>
  </si>
  <si>
    <t>אבטחת מוסדות חינוך</t>
  </si>
  <si>
    <t>שפ"י</t>
  </si>
  <si>
    <t>שפ"י הדרכה</t>
  </si>
  <si>
    <t>רווחה חינוכית</t>
  </si>
  <si>
    <t>אומץ</t>
  </si>
  <si>
    <t>מ.השיכון-תנופה</t>
  </si>
  <si>
    <t>שיקום שכונות-עצמיות</t>
  </si>
  <si>
    <t>תוכנית אומץ-משה"ח</t>
  </si>
  <si>
    <t>מועדוניות עצמיות</t>
  </si>
  <si>
    <t>מועדניות ברשיות</t>
  </si>
  <si>
    <t>שחיקת מועדוניות</t>
  </si>
  <si>
    <t>קב"סים</t>
  </si>
  <si>
    <t>השתתפות בהסעות</t>
  </si>
  <si>
    <t>הסעות חינוך מיוחד</t>
  </si>
  <si>
    <t>השתתפות קרן קיסריה</t>
  </si>
  <si>
    <t>ליווי הסעות ח. מיוחד</t>
  </si>
  <si>
    <t>הכנסות מ.חינוך ניהול עצמי</t>
  </si>
  <si>
    <t>השתת בקיטנה</t>
  </si>
  <si>
    <t>תרומות למח' ספורט</t>
  </si>
  <si>
    <t>השת תלמ' בחוגי ספורט</t>
  </si>
  <si>
    <t>הכנסות משרדי ממשלה</t>
  </si>
  <si>
    <t>מ. הבריאות-מענק השן</t>
  </si>
  <si>
    <t>מ.הבריאות -ב. במשפחה</t>
  </si>
  <si>
    <t>השתת' תושבים ברווחה</t>
  </si>
  <si>
    <t>שכר עובדי לשכות</t>
  </si>
  <si>
    <t>כ"א לחינוך מיוחד</t>
  </si>
  <si>
    <t>משפחת במצוקה-בקהילה</t>
  </si>
  <si>
    <t>עזרה ליולדות</t>
  </si>
  <si>
    <t>רכזות משפחות</t>
  </si>
  <si>
    <t>טיפול במשפחות אמנה</t>
  </si>
  <si>
    <t>מעונות יום מ. הרווחה</t>
  </si>
  <si>
    <t>מרכזי ועדות-חוק סעוד</t>
  </si>
  <si>
    <t>מסגרות יום ארוך-ילדי חוץ</t>
  </si>
  <si>
    <t>מפגרים במעון אמוני-ילדי ח</t>
  </si>
  <si>
    <t>מע"שים</t>
  </si>
  <si>
    <t>הסעות למ.יום למפגר .</t>
  </si>
  <si>
    <t>דמי לויי לעור</t>
  </si>
  <si>
    <t>הדרכת עוור ובי ביתו</t>
  </si>
  <si>
    <t>מפעלי שיקום לעוור</t>
  </si>
  <si>
    <t>נכים במשפחות אמנה</t>
  </si>
  <si>
    <t>מ.יום שיקומי לנכים</t>
  </si>
  <si>
    <t>אבח ושקום נכים-עולים</t>
  </si>
  <si>
    <t>פרויקט וינגיט</t>
  </si>
  <si>
    <t>טפול בנערות במצוקה</t>
  </si>
  <si>
    <t>טיפול בחבורות רחוב</t>
  </si>
  <si>
    <t>מעונות חסות ממשלתי</t>
  </si>
  <si>
    <t>סמים-טיפול בקהילה</t>
  </si>
  <si>
    <t>מפת"ן מקומי</t>
  </si>
  <si>
    <t>הכשרה מקצועית</t>
  </si>
  <si>
    <t>שיקום שכונות-פעולות</t>
  </si>
  <si>
    <t>אגרות מים מתושבים</t>
  </si>
  <si>
    <t>אגרות מים פגורים</t>
  </si>
  <si>
    <t>מדי מים</t>
  </si>
  <si>
    <t>אגרות צנרת</t>
  </si>
  <si>
    <t>חלק המועצה היטל בצורת</t>
  </si>
  <si>
    <t>רשיונות עסקים</t>
  </si>
  <si>
    <t>הכ שונות ותרומות</t>
  </si>
  <si>
    <t>אגרות ביוב</t>
  </si>
  <si>
    <t>היטל ביוב</t>
  </si>
  <si>
    <t>מענק פנים לכיס גרעון</t>
  </si>
  <si>
    <t>הלואה לכיסוי גרעון-הבראה</t>
  </si>
  <si>
    <t>הג"א קבלניות</t>
  </si>
  <si>
    <t>קב"ט ציוד יסודי</t>
  </si>
  <si>
    <t>הכנסות ספורט מהשכרה</t>
  </si>
  <si>
    <t>סה"כ</t>
  </si>
  <si>
    <t>בתי ספר יסודיים - שכר</t>
  </si>
  <si>
    <t>משכורת -תוכנית יסודי</t>
  </si>
  <si>
    <t>שיקום שכונות -משכורות</t>
  </si>
  <si>
    <t>משכורת- חינוך בלתי מפורמלי</t>
  </si>
  <si>
    <t>תרבות וספריה</t>
  </si>
  <si>
    <t>הש.ברכישת רכב</t>
  </si>
  <si>
    <t>קוד</t>
  </si>
  <si>
    <t>סעיף</t>
  </si>
  <si>
    <t>פרק</t>
  </si>
  <si>
    <t>ראש פרק</t>
  </si>
  <si>
    <t>סעיף תקציבי</t>
  </si>
  <si>
    <t>תקציב 2015</t>
  </si>
  <si>
    <t>ארנונה  כללית</t>
  </si>
  <si>
    <t>מפעל המים</t>
  </si>
  <si>
    <t xml:space="preserve"> עצמיות חינוך</t>
  </si>
  <si>
    <t xml:space="preserve"> עצמיות רווחה</t>
  </si>
  <si>
    <t xml:space="preserve"> עצמיות אחר</t>
  </si>
  <si>
    <t>סה"כ הכנסות עצמיות</t>
  </si>
  <si>
    <t>משרד החינוך</t>
  </si>
  <si>
    <t>משרד הרווחה</t>
  </si>
  <si>
    <t xml:space="preserve"> תקבולים ממשלתיים אחרים</t>
  </si>
  <si>
    <t>מענקים אחרים ממשרד הפנים</t>
  </si>
  <si>
    <t>סה"כ תקבולי ממשלה</t>
  </si>
  <si>
    <t xml:space="preserve">תקבולים אחרים </t>
  </si>
  <si>
    <t>הכנסות משנים קודמות</t>
  </si>
  <si>
    <t>סה"כ הכנסות לפני הנחות בארנונה וכיסוי גרעון נצבר</t>
  </si>
  <si>
    <t>הנחות ארנונה</t>
  </si>
  <si>
    <t>הכנסה  לכיסוי גרעון נצבר</t>
  </si>
  <si>
    <t>סה"כ הכנסות ללא מותנה</t>
  </si>
  <si>
    <t>הכנסה מותנה</t>
  </si>
  <si>
    <t>סה"כ הכנסות כולל מותנה</t>
  </si>
  <si>
    <t>הוצאות</t>
  </si>
  <si>
    <t>שכר כללי</t>
  </si>
  <si>
    <t>פעולות כלליות</t>
  </si>
  <si>
    <t>סה"כ הוצאות כלליות</t>
  </si>
  <si>
    <t xml:space="preserve">שכר חינוך </t>
  </si>
  <si>
    <t xml:space="preserve">פעולות חינוך </t>
  </si>
  <si>
    <t>סה"כ חינוך</t>
  </si>
  <si>
    <t>שכר רווחה</t>
  </si>
  <si>
    <t>פעולות רווחה</t>
  </si>
  <si>
    <t>סה"כ רווחה</t>
  </si>
  <si>
    <t>פרעון מילוות מים וביוב</t>
  </si>
  <si>
    <t>פרעון מילוות אחר</t>
  </si>
  <si>
    <t>סה"כ פרעון מלוות</t>
  </si>
  <si>
    <t>הוצאות מימון</t>
  </si>
  <si>
    <t>הוצאה  שנים קודמות</t>
  </si>
  <si>
    <t>סה"כ הוצאות לפני הנחות בארנונה וכיסוי גרעון נצבר</t>
  </si>
  <si>
    <t>הוצאה לכיסוי גרעון נצבר</t>
  </si>
  <si>
    <t>סה"כ הוצאות ללא מותנה</t>
  </si>
  <si>
    <t>הוצאה מותנה</t>
  </si>
  <si>
    <t>סה"כ הוצאות כולל מותנה</t>
  </si>
  <si>
    <t>עודף (גרעון)</t>
  </si>
  <si>
    <t>התפלגות ההכנסות לפי פרקים</t>
  </si>
  <si>
    <t>ביצוע שנת 2014</t>
  </si>
  <si>
    <t>טיוטת תקציב</t>
  </si>
  <si>
    <t>לגרף</t>
  </si>
  <si>
    <t>מיסים ומענק כללי</t>
  </si>
  <si>
    <t>סה"כ 11 -  ארנונה</t>
  </si>
  <si>
    <t>סה"כ 12 -  אגרות</t>
  </si>
  <si>
    <t>סה"כ 19 -  מענקים כלליים</t>
  </si>
  <si>
    <t>סה"כ 1 -  מיסים ומענק כללי</t>
  </si>
  <si>
    <t>שירותים מקומיים</t>
  </si>
  <si>
    <t>סה"כ 22 -  שמירה ובטחון</t>
  </si>
  <si>
    <t>סה"כ 23 -  תכנון ובנין עיר</t>
  </si>
  <si>
    <t>סה"כ 24 -  נכסים ציבוריים</t>
  </si>
  <si>
    <t>סה"כ 26 -  שירותים עירוניים שונים</t>
  </si>
  <si>
    <t>סה"כ 2 -  שירותים מקומיים</t>
  </si>
  <si>
    <t>שירותים ממלכתיים</t>
  </si>
  <si>
    <t>סה"כ 31 -  חינוך</t>
  </si>
  <si>
    <t>סה"כ 32 -  תרבות</t>
  </si>
  <si>
    <t>סה"כ 33 - בריאות</t>
  </si>
  <si>
    <t>סה"כ 34 -  רווחה</t>
  </si>
  <si>
    <t>סה"כ 37 - איכות הסביבה</t>
  </si>
  <si>
    <t>סה"כ 3 -  שירותים ממלכתיים</t>
  </si>
  <si>
    <t>מפעלים</t>
  </si>
  <si>
    <t>סה"כ 41 -  מים</t>
  </si>
  <si>
    <t>סה"כ 47 -  מפעל הביוב</t>
  </si>
  <si>
    <t>סה"כ 4 -  מפעלים</t>
  </si>
  <si>
    <t>תקבולים בלתי רגילים</t>
  </si>
  <si>
    <t>סה"כ 51 -  ריבית והחזר הוצאות שנים קודמות</t>
  </si>
  <si>
    <t>סה"כ 59 -  החזר מקרנות והכנסות מיוחדות</t>
  </si>
  <si>
    <t>סה"כ 5 -  תקבולים בלתי רגילים</t>
  </si>
  <si>
    <t>ס ה " כ   ת ק ב ו ל י ם</t>
  </si>
  <si>
    <t>התפלגות הוצאות לפי פרקים</t>
  </si>
  <si>
    <t>הנהלה וכלליות</t>
  </si>
  <si>
    <t>סה"כ 61 -  מינהל כללי</t>
  </si>
  <si>
    <t>סה"כ 62 -  מינהל כספי</t>
  </si>
  <si>
    <t>סה"כ 63 -  הוצאות מימון</t>
  </si>
  <si>
    <t>סה"כ 64 -  פרעון מלוות</t>
  </si>
  <si>
    <t>סה"כ 6 -  הנהלה וכלליות</t>
  </si>
  <si>
    <t>סה"כ 71 -  תברואה</t>
  </si>
  <si>
    <t>סה"כ 72 -  שמירה ובטחון</t>
  </si>
  <si>
    <t>סה"כ 73 -  תכנון ובנין עיר</t>
  </si>
  <si>
    <t>סה"כ 74 -  נכסים ציבוריים</t>
  </si>
  <si>
    <t>סה"כ 75 - חגיגות וטכסים</t>
  </si>
  <si>
    <t>סה"כ 76 -  שירותים עירוניים שונים</t>
  </si>
  <si>
    <t>סה"כ 7 -  שירותים מקומיים</t>
  </si>
  <si>
    <t>סה"כ 81 -  חינוך</t>
  </si>
  <si>
    <t>סה"כ 82 -  תרבות</t>
  </si>
  <si>
    <t>סה"כ 83 -  בריאות</t>
  </si>
  <si>
    <t>סה"כ 84 -  רווחה</t>
  </si>
  <si>
    <t>סה"כ 85 -  דת</t>
  </si>
  <si>
    <t>סה"כ 8 -  שירותים ממלכתיים</t>
  </si>
  <si>
    <t>מפעלים ותשלומים בלתי רגילים</t>
  </si>
  <si>
    <t>סה"כ 91 -  מים</t>
  </si>
  <si>
    <t>סה"כ 99 -  תשלומים בלתי רגילים</t>
  </si>
  <si>
    <t>סה"כ 9 -  מפעלים ותשלומים בלתי רגילים</t>
  </si>
  <si>
    <t>ס ה " כ   ת ש ל ו מ י ם</t>
  </si>
  <si>
    <t>ס ה " כ   עודף / גרעון</t>
  </si>
  <si>
    <t>יתרה</t>
  </si>
  <si>
    <t>סה"כ 21 - שירותים מקומיים שונים</t>
  </si>
  <si>
    <t xml:space="preserve">מועצה מקומית </t>
  </si>
  <si>
    <t>ג'סר א-זרקא</t>
  </si>
  <si>
    <t>מחלקת חינוך</t>
  </si>
  <si>
    <t>מיסים אגרות ומענקים</t>
  </si>
  <si>
    <t>סה"כ מיסים אגרות ומענקים</t>
  </si>
  <si>
    <t>סה"כ מחלקת חינוך</t>
  </si>
  <si>
    <t>תרבות וספורט</t>
  </si>
  <si>
    <t>תרבות בריאות וספורט</t>
  </si>
  <si>
    <t>סה"כ תרבות בריאות וספורט</t>
  </si>
  <si>
    <t>מחלקת רווחה</t>
  </si>
  <si>
    <t>סה"כ מחלקת רווחה</t>
  </si>
  <si>
    <t>אגרות מים וביוב</t>
  </si>
  <si>
    <t>סה"כ אגרות מים וביוב</t>
  </si>
  <si>
    <t>תקבולים חד פעמיים ומיוחדים</t>
  </si>
  <si>
    <t>סה"כ תקבולים חד פעמיים ומיוחדים</t>
  </si>
  <si>
    <t>סה"כ תקבולים</t>
  </si>
  <si>
    <t>סה"כ הנהלה וכלליות</t>
  </si>
  <si>
    <t>סה"כ שירותים מקומיים</t>
  </si>
  <si>
    <t>סה"כ תרבות וספורט</t>
  </si>
  <si>
    <t>בריאות</t>
  </si>
  <si>
    <t>סה"כ בריאות</t>
  </si>
  <si>
    <t>שירותי דת</t>
  </si>
  <si>
    <t>סה"כ שירותי דת</t>
  </si>
  <si>
    <t>מחלקת מים</t>
  </si>
  <si>
    <t>אחרות בניין מועצה</t>
  </si>
  <si>
    <t>סה"כ מחלקת מים</t>
  </si>
  <si>
    <t xml:space="preserve">סה"כ </t>
  </si>
  <si>
    <t>הוצאות ביוב</t>
  </si>
  <si>
    <t>סה"כ הוצאות ביוב</t>
  </si>
  <si>
    <t>סה"כ תשלומים חד פעמיים ומיוחדים</t>
  </si>
  <si>
    <t>תשלומים חד פעמיים ומיוחדים</t>
  </si>
  <si>
    <t xml:space="preserve">סה"כ תשלומים </t>
  </si>
  <si>
    <t>420</t>
  </si>
  <si>
    <t>710</t>
  </si>
  <si>
    <t>790</t>
  </si>
  <si>
    <t>810</t>
  </si>
  <si>
    <t>690</t>
  </si>
  <si>
    <t>691</t>
  </si>
  <si>
    <t>41</t>
  </si>
  <si>
    <t>410</t>
  </si>
  <si>
    <t>210</t>
  </si>
  <si>
    <t>סה"כ עצמיות אחר</t>
  </si>
  <si>
    <t>740</t>
  </si>
  <si>
    <t>311000</t>
  </si>
  <si>
    <t>31</t>
  </si>
  <si>
    <t>920</t>
  </si>
  <si>
    <t>311020</t>
  </si>
  <si>
    <t>312000</t>
  </si>
  <si>
    <t>312200</t>
  </si>
  <si>
    <t>312201</t>
  </si>
  <si>
    <t>312300</t>
  </si>
  <si>
    <t>923</t>
  </si>
  <si>
    <t>929</t>
  </si>
  <si>
    <t>313200</t>
  </si>
  <si>
    <t>921</t>
  </si>
  <si>
    <t>922</t>
  </si>
  <si>
    <t>925</t>
  </si>
  <si>
    <t>927</t>
  </si>
  <si>
    <t>313210</t>
  </si>
  <si>
    <t>924</t>
  </si>
  <si>
    <t>313220</t>
  </si>
  <si>
    <t>926</t>
  </si>
  <si>
    <t>313230</t>
  </si>
  <si>
    <t>313240</t>
  </si>
  <si>
    <t>313300</t>
  </si>
  <si>
    <t>314000</t>
  </si>
  <si>
    <t>314001</t>
  </si>
  <si>
    <t>315200</t>
  </si>
  <si>
    <t>928</t>
  </si>
  <si>
    <t>315201</t>
  </si>
  <si>
    <t>315202</t>
  </si>
  <si>
    <t>315203</t>
  </si>
  <si>
    <t>315204</t>
  </si>
  <si>
    <t>315205</t>
  </si>
  <si>
    <t>315206</t>
  </si>
  <si>
    <t>315208</t>
  </si>
  <si>
    <t>990</t>
  </si>
  <si>
    <t>317100</t>
  </si>
  <si>
    <t>317301</t>
  </si>
  <si>
    <t>317302</t>
  </si>
  <si>
    <t>317610</t>
  </si>
  <si>
    <t>980</t>
  </si>
  <si>
    <t>317620</t>
  </si>
  <si>
    <t>317630</t>
  </si>
  <si>
    <t>317700</t>
  </si>
  <si>
    <t>317701</t>
  </si>
  <si>
    <t>317710</t>
  </si>
  <si>
    <t>317800</t>
  </si>
  <si>
    <t>317810</t>
  </si>
  <si>
    <t>317820</t>
  </si>
  <si>
    <t>317900</t>
  </si>
  <si>
    <t>משרד חינוך</t>
  </si>
  <si>
    <t>עצמיות חינוך</t>
  </si>
  <si>
    <t>סה"כ עצמיות חינוך</t>
  </si>
  <si>
    <t>341000</t>
  </si>
  <si>
    <t>34</t>
  </si>
  <si>
    <t>עצמיות רווחה</t>
  </si>
  <si>
    <t>סה"כ עצמיות רווחה</t>
  </si>
  <si>
    <t>930</t>
  </si>
  <si>
    <t>341001</t>
  </si>
  <si>
    <t>341002</t>
  </si>
  <si>
    <t>342202</t>
  </si>
  <si>
    <t>342203</t>
  </si>
  <si>
    <t>342204</t>
  </si>
  <si>
    <t>342205</t>
  </si>
  <si>
    <t>342206</t>
  </si>
  <si>
    <t>342401</t>
  </si>
  <si>
    <t>342402</t>
  </si>
  <si>
    <t>343501</t>
  </si>
  <si>
    <t>343502</t>
  </si>
  <si>
    <t>343503</t>
  </si>
  <si>
    <t>343504</t>
  </si>
  <si>
    <t>343801</t>
  </si>
  <si>
    <t>343901</t>
  </si>
  <si>
    <t>932</t>
  </si>
  <si>
    <t>344300</t>
  </si>
  <si>
    <t>344402</t>
  </si>
  <si>
    <t>344403</t>
  </si>
  <si>
    <t>344500</t>
  </si>
  <si>
    <t>345100</t>
  </si>
  <si>
    <t>345101</t>
  </si>
  <si>
    <t>345102</t>
  </si>
  <si>
    <t>345103</t>
  </si>
  <si>
    <t>345104</t>
  </si>
  <si>
    <t>345200</t>
  </si>
  <si>
    <t>345201</t>
  </si>
  <si>
    <t>931</t>
  </si>
  <si>
    <t>345202</t>
  </si>
  <si>
    <t>345203</t>
  </si>
  <si>
    <t>345301</t>
  </si>
  <si>
    <t>345302</t>
  </si>
  <si>
    <t>345303</t>
  </si>
  <si>
    <t>346301</t>
  </si>
  <si>
    <t>346302</t>
  </si>
  <si>
    <t>346401</t>
  </si>
  <si>
    <t>346402</t>
  </si>
  <si>
    <t>346500</t>
  </si>
  <si>
    <t>346501</t>
  </si>
  <si>
    <t>346601</t>
  </si>
  <si>
    <t>346602</t>
  </si>
  <si>
    <t>346701</t>
  </si>
  <si>
    <t>346702</t>
  </si>
  <si>
    <t>346703</t>
  </si>
  <si>
    <t>346704</t>
  </si>
  <si>
    <t>346800</t>
  </si>
  <si>
    <t>346801</t>
  </si>
  <si>
    <t>346802</t>
  </si>
  <si>
    <t>347100</t>
  </si>
  <si>
    <t>347101</t>
  </si>
  <si>
    <t>347102</t>
  </si>
  <si>
    <t>347103</t>
  </si>
  <si>
    <t>347104</t>
  </si>
  <si>
    <t>347105</t>
  </si>
  <si>
    <t>347106</t>
  </si>
  <si>
    <t>347201</t>
  </si>
  <si>
    <t>347202</t>
  </si>
  <si>
    <t>347301</t>
  </si>
  <si>
    <t>347302</t>
  </si>
  <si>
    <t>347400</t>
  </si>
  <si>
    <t>348501</t>
  </si>
  <si>
    <t>348502</t>
  </si>
  <si>
    <t xml:space="preserve">משרד רווחה </t>
  </si>
  <si>
    <t>סה"כ משרד רווחה</t>
  </si>
  <si>
    <t>100</t>
  </si>
  <si>
    <t>111000</t>
  </si>
  <si>
    <t>11</t>
  </si>
  <si>
    <t>111200</t>
  </si>
  <si>
    <t>116000</t>
  </si>
  <si>
    <t>ארנונה</t>
  </si>
  <si>
    <t>סה"כ ארנונה</t>
  </si>
  <si>
    <t>413100</t>
  </si>
  <si>
    <t>413110</t>
  </si>
  <si>
    <t>סה"כ אגרות מים</t>
  </si>
  <si>
    <t>אגרות מים</t>
  </si>
  <si>
    <t>511</t>
  </si>
  <si>
    <t>611100</t>
  </si>
  <si>
    <t>61</t>
  </si>
  <si>
    <t>514</t>
  </si>
  <si>
    <t>521</t>
  </si>
  <si>
    <t>522</t>
  </si>
  <si>
    <t>523</t>
  </si>
  <si>
    <t>530</t>
  </si>
  <si>
    <t>531</t>
  </si>
  <si>
    <t>532</t>
  </si>
  <si>
    <t>533</t>
  </si>
  <si>
    <t>540</t>
  </si>
  <si>
    <t>560</t>
  </si>
  <si>
    <t>750</t>
  </si>
  <si>
    <t>751</t>
  </si>
  <si>
    <t>760</t>
  </si>
  <si>
    <t>780</t>
  </si>
  <si>
    <t>612000</t>
  </si>
  <si>
    <t>550</t>
  </si>
  <si>
    <t>431</t>
  </si>
  <si>
    <t>613000</t>
  </si>
  <si>
    <t>720</t>
  </si>
  <si>
    <t>830</t>
  </si>
  <si>
    <t>970</t>
  </si>
  <si>
    <t>615000</t>
  </si>
  <si>
    <t>616000</t>
  </si>
  <si>
    <t>616100</t>
  </si>
  <si>
    <t>581</t>
  </si>
  <si>
    <t>617000</t>
  </si>
  <si>
    <t>582</t>
  </si>
  <si>
    <t>619000</t>
  </si>
  <si>
    <t>621300</t>
  </si>
  <si>
    <t>62</t>
  </si>
  <si>
    <t>570</t>
  </si>
  <si>
    <t>571</t>
  </si>
  <si>
    <t>752</t>
  </si>
  <si>
    <t>623000</t>
  </si>
  <si>
    <t>712200</t>
  </si>
  <si>
    <t>71</t>
  </si>
  <si>
    <t>712300</t>
  </si>
  <si>
    <t>714100</t>
  </si>
  <si>
    <t>715300</t>
  </si>
  <si>
    <t>731</t>
  </si>
  <si>
    <t>722000</t>
  </si>
  <si>
    <t>72</t>
  </si>
  <si>
    <t>732</t>
  </si>
  <si>
    <t>733</t>
  </si>
  <si>
    <t>723000</t>
  </si>
  <si>
    <t>811</t>
  </si>
  <si>
    <t>724000</t>
  </si>
  <si>
    <t>725000</t>
  </si>
  <si>
    <t>726100</t>
  </si>
  <si>
    <t>440</t>
  </si>
  <si>
    <t>731000</t>
  </si>
  <si>
    <t>73</t>
  </si>
  <si>
    <t>732100</t>
  </si>
  <si>
    <t>950</t>
  </si>
  <si>
    <t>733400</t>
  </si>
  <si>
    <t>741000</t>
  </si>
  <si>
    <t>74</t>
  </si>
  <si>
    <t>743000</t>
  </si>
  <si>
    <t>771</t>
  </si>
  <si>
    <t>744000</t>
  </si>
  <si>
    <t>745000</t>
  </si>
  <si>
    <t>747200</t>
  </si>
  <si>
    <t>432</t>
  </si>
  <si>
    <t>433</t>
  </si>
  <si>
    <t>730</t>
  </si>
  <si>
    <t>747210</t>
  </si>
  <si>
    <t>748000</t>
  </si>
  <si>
    <t>752000</t>
  </si>
  <si>
    <t>75</t>
  </si>
  <si>
    <t>870</t>
  </si>
  <si>
    <t>766000</t>
  </si>
  <si>
    <t>76</t>
  </si>
  <si>
    <t>441</t>
  </si>
  <si>
    <t>767000</t>
  </si>
  <si>
    <t>442</t>
  </si>
  <si>
    <t>769500</t>
  </si>
  <si>
    <t>824000</t>
  </si>
  <si>
    <t>82</t>
  </si>
  <si>
    <t>824010</t>
  </si>
  <si>
    <t>824020</t>
  </si>
  <si>
    <t>824030</t>
  </si>
  <si>
    <t>824050</t>
  </si>
  <si>
    <t>824060</t>
  </si>
  <si>
    <t>828300</t>
  </si>
  <si>
    <t>828400</t>
  </si>
  <si>
    <t>829000</t>
  </si>
  <si>
    <t>829200</t>
  </si>
  <si>
    <t>829300</t>
  </si>
  <si>
    <t>832000</t>
  </si>
  <si>
    <t>83</t>
  </si>
  <si>
    <t>832300</t>
  </si>
  <si>
    <t>832400</t>
  </si>
  <si>
    <t>836100</t>
  </si>
  <si>
    <t>840</t>
  </si>
  <si>
    <t>838020</t>
  </si>
  <si>
    <t>853000</t>
  </si>
  <si>
    <t>85</t>
  </si>
  <si>
    <t>879000</t>
  </si>
  <si>
    <t>87</t>
  </si>
  <si>
    <t>911000</t>
  </si>
  <si>
    <t>91</t>
  </si>
  <si>
    <t>913000</t>
  </si>
  <si>
    <t>772</t>
  </si>
  <si>
    <t>913100</t>
  </si>
  <si>
    <t>938000</t>
  </si>
  <si>
    <t>93</t>
  </si>
  <si>
    <t>972000</t>
  </si>
  <si>
    <t>97</t>
  </si>
  <si>
    <t>973000</t>
  </si>
  <si>
    <t>999000</t>
  </si>
  <si>
    <t>99</t>
  </si>
  <si>
    <t>פעולות כלליות כולל רכישת מים</t>
  </si>
  <si>
    <t>110</t>
  </si>
  <si>
    <t>611110</t>
  </si>
  <si>
    <t>320</t>
  </si>
  <si>
    <t>399</t>
  </si>
  <si>
    <t>619999</t>
  </si>
  <si>
    <t>621200</t>
  </si>
  <si>
    <t>629999</t>
  </si>
  <si>
    <t>713000</t>
  </si>
  <si>
    <t>719999</t>
  </si>
  <si>
    <t>729999</t>
  </si>
  <si>
    <t>739999</t>
  </si>
  <si>
    <t>829100</t>
  </si>
  <si>
    <t>829210</t>
  </si>
  <si>
    <t>829999</t>
  </si>
  <si>
    <t>839999</t>
  </si>
  <si>
    <t>310</t>
  </si>
  <si>
    <t>811000</t>
  </si>
  <si>
    <t>81</t>
  </si>
  <si>
    <t>812200</t>
  </si>
  <si>
    <t>812300</t>
  </si>
  <si>
    <t>812400</t>
  </si>
  <si>
    <t>812500</t>
  </si>
  <si>
    <t>813200</t>
  </si>
  <si>
    <t>813210</t>
  </si>
  <si>
    <t>813220</t>
  </si>
  <si>
    <t>813230</t>
  </si>
  <si>
    <t>813240</t>
  </si>
  <si>
    <t>813250</t>
  </si>
  <si>
    <t>813300</t>
  </si>
  <si>
    <t>814000</t>
  </si>
  <si>
    <t>815200</t>
  </si>
  <si>
    <t>817300</t>
  </si>
  <si>
    <t>817400</t>
  </si>
  <si>
    <t>817610</t>
  </si>
  <si>
    <t>817630</t>
  </si>
  <si>
    <t>817700</t>
  </si>
  <si>
    <t>817710</t>
  </si>
  <si>
    <t>817800</t>
  </si>
  <si>
    <t>817900</t>
  </si>
  <si>
    <t>817910</t>
  </si>
  <si>
    <t>שכר חינוך</t>
  </si>
  <si>
    <t>910</t>
  </si>
  <si>
    <t>960</t>
  </si>
  <si>
    <t>811010</t>
  </si>
  <si>
    <t>811020</t>
  </si>
  <si>
    <t>411</t>
  </si>
  <si>
    <t>812310</t>
  </si>
  <si>
    <t>434</t>
  </si>
  <si>
    <t>871</t>
  </si>
  <si>
    <t>721</t>
  </si>
  <si>
    <t>781</t>
  </si>
  <si>
    <t>813303</t>
  </si>
  <si>
    <t>450</t>
  </si>
  <si>
    <t>817301</t>
  </si>
  <si>
    <t>817401</t>
  </si>
  <si>
    <t>817500</t>
  </si>
  <si>
    <t>817600</t>
  </si>
  <si>
    <t>817620</t>
  </si>
  <si>
    <t>פעולות חינוך</t>
  </si>
  <si>
    <t>841001</t>
  </si>
  <si>
    <t>84</t>
  </si>
  <si>
    <t>843501</t>
  </si>
  <si>
    <t>844401</t>
  </si>
  <si>
    <t>844500</t>
  </si>
  <si>
    <t>845201</t>
  </si>
  <si>
    <t>841000</t>
  </si>
  <si>
    <t>841002</t>
  </si>
  <si>
    <t>841003</t>
  </si>
  <si>
    <t>842202</t>
  </si>
  <si>
    <t>842203</t>
  </si>
  <si>
    <t>842204</t>
  </si>
  <si>
    <t>842205</t>
  </si>
  <si>
    <t>842206</t>
  </si>
  <si>
    <t>842401</t>
  </si>
  <si>
    <t>842402</t>
  </si>
  <si>
    <t>843502</t>
  </si>
  <si>
    <t>843503</t>
  </si>
  <si>
    <t>843504</t>
  </si>
  <si>
    <t>843801</t>
  </si>
  <si>
    <t>843901</t>
  </si>
  <si>
    <t>844300</t>
  </si>
  <si>
    <t>844402</t>
  </si>
  <si>
    <t>844403</t>
  </si>
  <si>
    <t>845100</t>
  </si>
  <si>
    <t>845101</t>
  </si>
  <si>
    <t>845102</t>
  </si>
  <si>
    <t>845103</t>
  </si>
  <si>
    <t>845104</t>
  </si>
  <si>
    <t>845202</t>
  </si>
  <si>
    <t>845203</t>
  </si>
  <si>
    <t>845204</t>
  </si>
  <si>
    <t>845205</t>
  </si>
  <si>
    <t>845301</t>
  </si>
  <si>
    <t>845302</t>
  </si>
  <si>
    <t>845303</t>
  </si>
  <si>
    <t>845304</t>
  </si>
  <si>
    <t>846301</t>
  </si>
  <si>
    <t>846302</t>
  </si>
  <si>
    <t>846401</t>
  </si>
  <si>
    <t>846402</t>
  </si>
  <si>
    <t>846500</t>
  </si>
  <si>
    <t>846501</t>
  </si>
  <si>
    <t>846601</t>
  </si>
  <si>
    <t>846602</t>
  </si>
  <si>
    <t>846701</t>
  </si>
  <si>
    <t>846702</t>
  </si>
  <si>
    <t>846703</t>
  </si>
  <si>
    <t>846704</t>
  </si>
  <si>
    <t>846801</t>
  </si>
  <si>
    <t>847101</t>
  </si>
  <si>
    <t>847103</t>
  </si>
  <si>
    <t>847104</t>
  </si>
  <si>
    <t>847301</t>
  </si>
  <si>
    <t>847302</t>
  </si>
  <si>
    <t>847400</t>
  </si>
  <si>
    <t>848501</t>
  </si>
  <si>
    <t>848502</t>
  </si>
  <si>
    <t>850</t>
  </si>
  <si>
    <t>610</t>
  </si>
  <si>
    <t>631000</t>
  </si>
  <si>
    <t>63</t>
  </si>
  <si>
    <t>620</t>
  </si>
  <si>
    <t>632000</t>
  </si>
  <si>
    <t>640</t>
  </si>
  <si>
    <t>650</t>
  </si>
  <si>
    <t>64</t>
  </si>
  <si>
    <t>648000</t>
  </si>
  <si>
    <t>692</t>
  </si>
  <si>
    <t>693</t>
  </si>
  <si>
    <t>649100</t>
  </si>
  <si>
    <t>פרעון מלוות ומימון</t>
  </si>
  <si>
    <t>סה"כ מימון ומלוות</t>
  </si>
  <si>
    <t>הוצאות מותנה</t>
  </si>
  <si>
    <t>כיסוי גרעון</t>
  </si>
  <si>
    <t>993000</t>
  </si>
  <si>
    <t>860</t>
  </si>
  <si>
    <t>995000</t>
  </si>
  <si>
    <t>999100</t>
  </si>
  <si>
    <t>999900</t>
  </si>
  <si>
    <t>192010</t>
  </si>
  <si>
    <t>19</t>
  </si>
  <si>
    <t>197000</t>
  </si>
  <si>
    <t>599100</t>
  </si>
  <si>
    <t>59</t>
  </si>
  <si>
    <t>599900</t>
  </si>
  <si>
    <t>תקבולים מיוחדים</t>
  </si>
  <si>
    <t>מועצה מקומית ג'סר א-זרקא</t>
  </si>
  <si>
    <t>61 סה"כ</t>
  </si>
  <si>
    <t>62 סה"כ</t>
  </si>
  <si>
    <t>71 סה"כ</t>
  </si>
  <si>
    <t>72 סה"כ</t>
  </si>
  <si>
    <t>73 סה"כ</t>
  </si>
  <si>
    <t>74 סה"כ</t>
  </si>
  <si>
    <t>81 סה"כ</t>
  </si>
  <si>
    <t>82 סה"כ</t>
  </si>
  <si>
    <t>83 סה"כ</t>
  </si>
  <si>
    <t>84 סה"כ</t>
  </si>
  <si>
    <t>91 סה"כ</t>
  </si>
  <si>
    <t>99 סה"כ</t>
  </si>
  <si>
    <t>סכום כולל</t>
  </si>
  <si>
    <t>999000 סה"כ</t>
  </si>
  <si>
    <t xml:space="preserve"> </t>
  </si>
  <si>
    <t>2014/01</t>
  </si>
  <si>
    <t>עזאדין</t>
  </si>
  <si>
    <t xml:space="preserve">עמאש </t>
  </si>
  <si>
    <t xml:space="preserve">נסרה </t>
  </si>
  <si>
    <t>913000 סה"כ</t>
  </si>
  <si>
    <t xml:space="preserve">יונס </t>
  </si>
  <si>
    <t xml:space="preserve">חמזה </t>
  </si>
  <si>
    <t>845200 סה"כ</t>
  </si>
  <si>
    <t xml:space="preserve">לילא </t>
  </si>
  <si>
    <t xml:space="preserve">עמאש)חסן( </t>
  </si>
  <si>
    <t>מואיאד</t>
  </si>
  <si>
    <t>844500 סה"כ</t>
  </si>
  <si>
    <t xml:space="preserve">נמר </t>
  </si>
  <si>
    <t>וג'יהה</t>
  </si>
  <si>
    <t>843501 סה"כ</t>
  </si>
  <si>
    <t xml:space="preserve">נאהד </t>
  </si>
  <si>
    <t xml:space="preserve">אגבריה </t>
  </si>
  <si>
    <t>841000 סה"כ</t>
  </si>
  <si>
    <t xml:space="preserve">חנאן </t>
  </si>
  <si>
    <t xml:space="preserve">אבו זרד </t>
  </si>
  <si>
    <t xml:space="preserve">מחמוד </t>
  </si>
  <si>
    <t xml:space="preserve">מרים </t>
  </si>
  <si>
    <t xml:space="preserve">גרבאן </t>
  </si>
  <si>
    <t>שהרזאד</t>
  </si>
  <si>
    <t xml:space="preserve">אבו שאח </t>
  </si>
  <si>
    <t xml:space="preserve">מוחמד </t>
  </si>
  <si>
    <t xml:space="preserve">מחאמיד </t>
  </si>
  <si>
    <t xml:space="preserve">אריג' </t>
  </si>
  <si>
    <t xml:space="preserve">בואקנה </t>
  </si>
  <si>
    <t xml:space="preserve">גמילה </t>
  </si>
  <si>
    <t xml:space="preserve">רשואן </t>
  </si>
  <si>
    <t xml:space="preserve">סאבר </t>
  </si>
  <si>
    <t xml:space="preserve">שהאב </t>
  </si>
  <si>
    <t xml:space="preserve">אמנה </t>
  </si>
  <si>
    <t xml:space="preserve">ראסם </t>
  </si>
  <si>
    <t xml:space="preserve">סעד </t>
  </si>
  <si>
    <t xml:space="preserve">ג'ראיסי </t>
  </si>
  <si>
    <t xml:space="preserve">ג'ריס </t>
  </si>
  <si>
    <t xml:space="preserve">מארון </t>
  </si>
  <si>
    <t xml:space="preserve">תחריר </t>
  </si>
  <si>
    <t xml:space="preserve">סמיר </t>
  </si>
  <si>
    <t xml:space="preserve">ותד </t>
  </si>
  <si>
    <t xml:space="preserve">אסואן </t>
  </si>
  <si>
    <t xml:space="preserve">ברייה </t>
  </si>
  <si>
    <t xml:space="preserve">זהייה </t>
  </si>
  <si>
    <t xml:space="preserve">אסמאא </t>
  </si>
  <si>
    <t xml:space="preserve">עודי </t>
  </si>
  <si>
    <t xml:space="preserve">רמדאן </t>
  </si>
  <si>
    <t>832400 סה"כ</t>
  </si>
  <si>
    <t xml:space="preserve">פאטמה </t>
  </si>
  <si>
    <t xml:space="preserve">חסן </t>
  </si>
  <si>
    <t xml:space="preserve">רסמיה </t>
  </si>
  <si>
    <t>832300 סה"כ</t>
  </si>
  <si>
    <t xml:space="preserve">יוסף </t>
  </si>
  <si>
    <t xml:space="preserve">מסארווה </t>
  </si>
  <si>
    <t xml:space="preserve">נעימה </t>
  </si>
  <si>
    <t>829210 סה"כ</t>
  </si>
  <si>
    <t xml:space="preserve">עאטף </t>
  </si>
  <si>
    <t xml:space="preserve">טואטחה </t>
  </si>
  <si>
    <t>829200 סה"כ</t>
  </si>
  <si>
    <t xml:space="preserve">רדואן </t>
  </si>
  <si>
    <t xml:space="preserve">ח'ליל </t>
  </si>
  <si>
    <t>828300 סה"כ</t>
  </si>
  <si>
    <t xml:space="preserve">פתחי </t>
  </si>
  <si>
    <t xml:space="preserve">גיסר </t>
  </si>
  <si>
    <t>828100 סה"כ</t>
  </si>
  <si>
    <t>עמאש)חמדאן</t>
  </si>
  <si>
    <t>824030 סה"כ</t>
  </si>
  <si>
    <t xml:space="preserve">חסיב </t>
  </si>
  <si>
    <t>817910 סה"כ</t>
  </si>
  <si>
    <t xml:space="preserve">הדיל </t>
  </si>
  <si>
    <t xml:space="preserve">ראונק </t>
  </si>
  <si>
    <t xml:space="preserve">עאישה </t>
  </si>
  <si>
    <t xml:space="preserve">מסרי </t>
  </si>
  <si>
    <t xml:space="preserve">אימאן </t>
  </si>
  <si>
    <t>סנאביל</t>
  </si>
  <si>
    <t xml:space="preserve">ורדה </t>
  </si>
  <si>
    <t xml:space="preserve">הלא </t>
  </si>
  <si>
    <t xml:space="preserve">אלגמל </t>
  </si>
  <si>
    <t xml:space="preserve">ניבין </t>
  </si>
  <si>
    <t>817900 סה"כ</t>
  </si>
  <si>
    <t xml:space="preserve">ודאד </t>
  </si>
  <si>
    <t>817800 סה"כ</t>
  </si>
  <si>
    <t xml:space="preserve">מיסא </t>
  </si>
  <si>
    <t xml:space="preserve">מרוא </t>
  </si>
  <si>
    <t xml:space="preserve">יסמה </t>
  </si>
  <si>
    <t>מיסעדה</t>
  </si>
  <si>
    <t xml:space="preserve">שרוק </t>
  </si>
  <si>
    <t xml:space="preserve">שורוק </t>
  </si>
  <si>
    <t xml:space="preserve">שרין </t>
  </si>
  <si>
    <t xml:space="preserve">חמיסה </t>
  </si>
  <si>
    <t xml:space="preserve">ראיס </t>
  </si>
  <si>
    <t xml:space="preserve">אבו-זרד </t>
  </si>
  <si>
    <t>סודקיה</t>
  </si>
  <si>
    <t xml:space="preserve">שאירה </t>
  </si>
  <si>
    <t>גרבאן )עיס</t>
  </si>
  <si>
    <t xml:space="preserve">סאחרה </t>
  </si>
  <si>
    <t xml:space="preserve">סמירה </t>
  </si>
  <si>
    <t xml:space="preserve">נגאר </t>
  </si>
  <si>
    <t xml:space="preserve">נביל </t>
  </si>
  <si>
    <t xml:space="preserve">יוסרה </t>
  </si>
  <si>
    <t xml:space="preserve">חיר </t>
  </si>
  <si>
    <t xml:space="preserve">עמאש פואז </t>
  </si>
  <si>
    <t>817700 סה"כ</t>
  </si>
  <si>
    <t>אסמאעי</t>
  </si>
  <si>
    <t xml:space="preserve">ג'רבאן </t>
  </si>
  <si>
    <t>חוסיין</t>
  </si>
  <si>
    <t>817300 סה"כ</t>
  </si>
  <si>
    <t xml:space="preserve">סעיד </t>
  </si>
  <si>
    <t xml:space="preserve">זייד </t>
  </si>
  <si>
    <t xml:space="preserve">ראאד </t>
  </si>
  <si>
    <t xml:space="preserve">ויסאם </t>
  </si>
  <si>
    <t xml:space="preserve">עדוי </t>
  </si>
  <si>
    <t>ג'אודת</t>
  </si>
  <si>
    <t xml:space="preserve">עאסלה </t>
  </si>
  <si>
    <t xml:space="preserve">באקר </t>
  </si>
  <si>
    <t xml:space="preserve">עוואד </t>
  </si>
  <si>
    <t xml:space="preserve">חביב אללה </t>
  </si>
  <si>
    <t xml:space="preserve">איית </t>
  </si>
  <si>
    <t>815210 סה"כ</t>
  </si>
  <si>
    <t xml:space="preserve">חלימה </t>
  </si>
  <si>
    <t xml:space="preserve">גורבאן </t>
  </si>
  <si>
    <t xml:space="preserve">חאלד </t>
  </si>
  <si>
    <t>עבד אל רחמ</t>
  </si>
  <si>
    <t xml:space="preserve">פטמה </t>
  </si>
  <si>
    <t xml:space="preserve">סוניה </t>
  </si>
  <si>
    <t xml:space="preserve">אפנאן </t>
  </si>
  <si>
    <t xml:space="preserve">אבו רחאל </t>
  </si>
  <si>
    <t>815200 סה"כ</t>
  </si>
  <si>
    <t>עבד אל</t>
  </si>
  <si>
    <t xml:space="preserve">קואסמי </t>
  </si>
  <si>
    <t xml:space="preserve">צהרה </t>
  </si>
  <si>
    <t xml:space="preserve">מחאגנה </t>
  </si>
  <si>
    <t xml:space="preserve">אינה </t>
  </si>
  <si>
    <t xml:space="preserve">דרוינסקי </t>
  </si>
  <si>
    <t xml:space="preserve">מסארוה </t>
  </si>
  <si>
    <t xml:space="preserve">מוסלם </t>
  </si>
  <si>
    <t xml:space="preserve">אבוני </t>
  </si>
  <si>
    <t xml:space="preserve">ארגומוסר </t>
  </si>
  <si>
    <t xml:space="preserve">דיאב </t>
  </si>
  <si>
    <t xml:space="preserve">פארח </t>
  </si>
  <si>
    <t xml:space="preserve">אבו סייף </t>
  </si>
  <si>
    <t xml:space="preserve">עלי </t>
  </si>
  <si>
    <t xml:space="preserve">גבארין </t>
  </si>
  <si>
    <t xml:space="preserve">גאזיה </t>
  </si>
  <si>
    <t xml:space="preserve">אסיה </t>
  </si>
  <si>
    <t>איברהי</t>
  </si>
  <si>
    <t xml:space="preserve">מרעי </t>
  </si>
  <si>
    <t xml:space="preserve">גומעה </t>
  </si>
  <si>
    <t xml:space="preserve">מהאר </t>
  </si>
  <si>
    <t xml:space="preserve">נאסר </t>
  </si>
  <si>
    <t xml:space="preserve">טאהר </t>
  </si>
  <si>
    <t xml:space="preserve">גמאל </t>
  </si>
  <si>
    <t xml:space="preserve">מועין </t>
  </si>
  <si>
    <t>אבו אל היג</t>
  </si>
  <si>
    <t xml:space="preserve">בדר </t>
  </si>
  <si>
    <t xml:space="preserve">אחמד </t>
  </si>
  <si>
    <t>מסארוה)ראת</t>
  </si>
  <si>
    <t xml:space="preserve">עסלי </t>
  </si>
  <si>
    <t>אנדלוס</t>
  </si>
  <si>
    <t xml:space="preserve">פנאדקה </t>
  </si>
  <si>
    <t xml:space="preserve">יאסין </t>
  </si>
  <si>
    <t xml:space="preserve">אשרף </t>
  </si>
  <si>
    <t>ג'מילה</t>
  </si>
  <si>
    <t xml:space="preserve">אבו שהאב </t>
  </si>
  <si>
    <t xml:space="preserve">ג'לאא </t>
  </si>
  <si>
    <t xml:space="preserve">מחאג'נה </t>
  </si>
  <si>
    <t xml:space="preserve">עאידה </t>
  </si>
  <si>
    <t xml:space="preserve">אמאני </t>
  </si>
  <si>
    <t xml:space="preserve">הלאל </t>
  </si>
  <si>
    <t xml:space="preserve">חוסינייה </t>
  </si>
  <si>
    <t xml:space="preserve">זיינה </t>
  </si>
  <si>
    <t xml:space="preserve">זאייט </t>
  </si>
  <si>
    <t xml:space="preserve">רולא </t>
  </si>
  <si>
    <t xml:space="preserve">מלחם </t>
  </si>
  <si>
    <t xml:space="preserve">הודא </t>
  </si>
  <si>
    <t xml:space="preserve">עודה </t>
  </si>
  <si>
    <t xml:space="preserve">הנא </t>
  </si>
  <si>
    <t xml:space="preserve">פאדי </t>
  </si>
  <si>
    <t xml:space="preserve">אגבאריה </t>
  </si>
  <si>
    <t xml:space="preserve">מרוות </t>
  </si>
  <si>
    <t xml:space="preserve">חמוד </t>
  </si>
  <si>
    <t xml:space="preserve">לילה </t>
  </si>
  <si>
    <t xml:space="preserve">שאדי </t>
  </si>
  <si>
    <t xml:space="preserve">גרה </t>
  </si>
  <si>
    <t xml:space="preserve">נוהא </t>
  </si>
  <si>
    <t xml:space="preserve">כבהא </t>
  </si>
  <si>
    <t xml:space="preserve">אינאס </t>
  </si>
  <si>
    <t xml:space="preserve">מועטי </t>
  </si>
  <si>
    <t xml:space="preserve">סוהיר </t>
  </si>
  <si>
    <t xml:space="preserve">מצרי </t>
  </si>
  <si>
    <t xml:space="preserve">ואפי </t>
  </si>
  <si>
    <t xml:space="preserve">מורד </t>
  </si>
  <si>
    <t xml:space="preserve">נג'אר </t>
  </si>
  <si>
    <t>מוסטפא</t>
  </si>
  <si>
    <t>אבו שרקייה</t>
  </si>
  <si>
    <t xml:space="preserve">סעדה </t>
  </si>
  <si>
    <t xml:space="preserve">וסים </t>
  </si>
  <si>
    <t xml:space="preserve">בריה </t>
  </si>
  <si>
    <t xml:space="preserve">מוחסן </t>
  </si>
  <si>
    <t xml:space="preserve">ביאדסי </t>
  </si>
  <si>
    <t xml:space="preserve">האלה </t>
  </si>
  <si>
    <t xml:space="preserve">זכנון </t>
  </si>
  <si>
    <t xml:space="preserve">נסרין </t>
  </si>
  <si>
    <t xml:space="preserve">הווארי </t>
  </si>
  <si>
    <t>814000 סה"כ</t>
  </si>
  <si>
    <t xml:space="preserve">דועא </t>
  </si>
  <si>
    <t xml:space="preserve">עותמאן </t>
  </si>
  <si>
    <t xml:space="preserve">אמינה </t>
  </si>
  <si>
    <t xml:space="preserve">זאיט </t>
  </si>
  <si>
    <t>עמאש)גמאל(</t>
  </si>
  <si>
    <t xml:space="preserve">חנין </t>
  </si>
  <si>
    <t>ג'ורבאן)אנ</t>
  </si>
  <si>
    <t>ג'וליא</t>
  </si>
  <si>
    <t xml:space="preserve">שיכה </t>
  </si>
  <si>
    <t xml:space="preserve">טוריז </t>
  </si>
  <si>
    <t xml:space="preserve">עסאם </t>
  </si>
  <si>
    <t xml:space="preserve">היאם </t>
  </si>
  <si>
    <t>813310 סה"כ</t>
  </si>
  <si>
    <t xml:space="preserve">למיס </t>
  </si>
  <si>
    <t xml:space="preserve">נאדיה </t>
  </si>
  <si>
    <t>813300 סה"כ</t>
  </si>
  <si>
    <t xml:space="preserve">היבאת </t>
  </si>
  <si>
    <t xml:space="preserve">אניסה </t>
  </si>
  <si>
    <t xml:space="preserve">אמאל </t>
  </si>
  <si>
    <t>נסימור</t>
  </si>
  <si>
    <t>רימונד</t>
  </si>
  <si>
    <t xml:space="preserve">חדיגה </t>
  </si>
  <si>
    <t>פוזייה</t>
  </si>
  <si>
    <t xml:space="preserve">הנאא </t>
  </si>
  <si>
    <t xml:space="preserve">זהיה </t>
  </si>
  <si>
    <t xml:space="preserve">ספאא </t>
  </si>
  <si>
    <t>גורבאן)אבו</t>
  </si>
  <si>
    <t xml:space="preserve">פריאל </t>
  </si>
  <si>
    <t xml:space="preserve">מוסתראחי </t>
  </si>
  <si>
    <t xml:space="preserve">חמדה </t>
  </si>
  <si>
    <t xml:space="preserve">למיא </t>
  </si>
  <si>
    <t xml:space="preserve">רדייה </t>
  </si>
  <si>
    <t>813250 סה"כ</t>
  </si>
  <si>
    <t>דיקריא</t>
  </si>
  <si>
    <t>813241 סה"כ</t>
  </si>
  <si>
    <t>813240 סה"כ</t>
  </si>
  <si>
    <t xml:space="preserve">זיאד </t>
  </si>
  <si>
    <t xml:space="preserve">אבו חאמד </t>
  </si>
  <si>
    <t>עמאש)סודקי</t>
  </si>
  <si>
    <t xml:space="preserve">אמירה </t>
  </si>
  <si>
    <t xml:space="preserve">פתחיה </t>
  </si>
  <si>
    <t>813231 סה"כ</t>
  </si>
  <si>
    <t xml:space="preserve">האג'ר </t>
  </si>
  <si>
    <t xml:space="preserve">אבו מוך </t>
  </si>
  <si>
    <t>813230 סה"כ</t>
  </si>
  <si>
    <t xml:space="preserve">ריאד </t>
  </si>
  <si>
    <t xml:space="preserve">חאמד </t>
  </si>
  <si>
    <t>אומימה</t>
  </si>
  <si>
    <t xml:space="preserve">ביקה </t>
  </si>
  <si>
    <t xml:space="preserve">עריפה </t>
  </si>
  <si>
    <t xml:space="preserve">סאאדה </t>
  </si>
  <si>
    <t xml:space="preserve">בושרה </t>
  </si>
  <si>
    <t xml:space="preserve">סמר </t>
  </si>
  <si>
    <t>813221 סה"כ</t>
  </si>
  <si>
    <t xml:space="preserve">מירבד </t>
  </si>
  <si>
    <t>813220 סה"כ</t>
  </si>
  <si>
    <t xml:space="preserve">רימאח </t>
  </si>
  <si>
    <t>סובחיה</t>
  </si>
  <si>
    <t xml:space="preserve">מנאל </t>
  </si>
  <si>
    <t xml:space="preserve">נעים </t>
  </si>
  <si>
    <t xml:space="preserve">חרבאוי </t>
  </si>
  <si>
    <t>813211 סה"כ</t>
  </si>
  <si>
    <t xml:space="preserve">סנאא </t>
  </si>
  <si>
    <t>813210 סה"כ</t>
  </si>
  <si>
    <t xml:space="preserve">וחיד </t>
  </si>
  <si>
    <t>נמר)עב</t>
  </si>
  <si>
    <t xml:space="preserve">סעידי </t>
  </si>
  <si>
    <t xml:space="preserve">עאמר </t>
  </si>
  <si>
    <t>813200 סה"כ</t>
  </si>
  <si>
    <t xml:space="preserve">מסעד </t>
  </si>
  <si>
    <t xml:space="preserve">אריג </t>
  </si>
  <si>
    <t>812500 סה"כ</t>
  </si>
  <si>
    <t>812310 סה"כ</t>
  </si>
  <si>
    <t xml:space="preserve">תגריד </t>
  </si>
  <si>
    <t>שאתילה</t>
  </si>
  <si>
    <t xml:space="preserve">עולה </t>
  </si>
  <si>
    <t>נגיואה</t>
  </si>
  <si>
    <t xml:space="preserve">סובחה </t>
  </si>
  <si>
    <t xml:space="preserve">אחלאם </t>
  </si>
  <si>
    <t xml:space="preserve">מונא </t>
  </si>
  <si>
    <t>שאפיקה</t>
  </si>
  <si>
    <t>812300 סה"כ</t>
  </si>
  <si>
    <t xml:space="preserve">מייסה </t>
  </si>
  <si>
    <t xml:space="preserve">ראנין </t>
  </si>
  <si>
    <t xml:space="preserve">פרחה </t>
  </si>
  <si>
    <t xml:space="preserve">חבאיב </t>
  </si>
  <si>
    <t>עמאש)חמיס(</t>
  </si>
  <si>
    <t>זביידה</t>
  </si>
  <si>
    <t xml:space="preserve">איבה </t>
  </si>
  <si>
    <t>עמאש)סלים(</t>
  </si>
  <si>
    <t xml:space="preserve">אוסנת </t>
  </si>
  <si>
    <t xml:space="preserve">עזייה </t>
  </si>
  <si>
    <t xml:space="preserve">הלילה </t>
  </si>
  <si>
    <t>ג'ואהר</t>
  </si>
  <si>
    <t xml:space="preserve">נאאלה </t>
  </si>
  <si>
    <t>סוהילה</t>
  </si>
  <si>
    <t xml:space="preserve">הלב </t>
  </si>
  <si>
    <t xml:space="preserve">נגנאג'יה </t>
  </si>
  <si>
    <t xml:space="preserve">רנדה </t>
  </si>
  <si>
    <t xml:space="preserve">דיבה </t>
  </si>
  <si>
    <t xml:space="preserve">אולפת </t>
  </si>
  <si>
    <t xml:space="preserve">בהגה </t>
  </si>
  <si>
    <t xml:space="preserve">הייכל </t>
  </si>
  <si>
    <t>812200 סה"כ</t>
  </si>
  <si>
    <t>חוסניה</t>
  </si>
  <si>
    <t xml:space="preserve">דמלגי </t>
  </si>
  <si>
    <t xml:space="preserve">סוזאן </t>
  </si>
  <si>
    <t>עמאש )מנסו</t>
  </si>
  <si>
    <t>עמאש )אחמד</t>
  </si>
  <si>
    <t xml:space="preserve">קאוסר </t>
  </si>
  <si>
    <t>811200 סה"כ</t>
  </si>
  <si>
    <t>811100 סה"כ</t>
  </si>
  <si>
    <t xml:space="preserve">נגלא </t>
  </si>
  <si>
    <t>ענבוסי)נגא</t>
  </si>
  <si>
    <t>811000 סה"כ</t>
  </si>
  <si>
    <t>747200 סה"כ</t>
  </si>
  <si>
    <t>גרבאן )נעי</t>
  </si>
  <si>
    <t xml:space="preserve">ראוחי </t>
  </si>
  <si>
    <t>741000 סה"כ</t>
  </si>
  <si>
    <t>גרבאן)יונס</t>
  </si>
  <si>
    <t>731000 סה"כ</t>
  </si>
  <si>
    <t xml:space="preserve">יעקוב </t>
  </si>
  <si>
    <t xml:space="preserve">מסעדה </t>
  </si>
  <si>
    <t>722000 סה"כ</t>
  </si>
  <si>
    <t>713000 סה"כ</t>
  </si>
  <si>
    <t xml:space="preserve">ראפע </t>
  </si>
  <si>
    <t xml:space="preserve">אבו-עסבה </t>
  </si>
  <si>
    <t>623000 סה"כ</t>
  </si>
  <si>
    <t>עמאש)אניס(</t>
  </si>
  <si>
    <t xml:space="preserve">סאמי </t>
  </si>
  <si>
    <t>621300 סה"כ</t>
  </si>
  <si>
    <t xml:space="preserve">עייאט </t>
  </si>
  <si>
    <t>621200 סה"כ</t>
  </si>
  <si>
    <t>615000 סה"כ</t>
  </si>
  <si>
    <t>613000 סה"כ</t>
  </si>
  <si>
    <t xml:space="preserve">סונה </t>
  </si>
  <si>
    <t>611110 סה"כ</t>
  </si>
  <si>
    <t xml:space="preserve">זעים </t>
  </si>
  <si>
    <t>611100 סה"כ</t>
  </si>
  <si>
    <t xml:space="preserve">מוראד </t>
  </si>
  <si>
    <t xml:space="preserve">מספר הנהלת חשבונות </t>
  </si>
  <si>
    <t xml:space="preserve">ועד הפרשת מעביד </t>
  </si>
  <si>
    <t>מס מעסיק הפרשת מעביד</t>
  </si>
  <si>
    <t xml:space="preserve">מס שכר הפרשת מעביד </t>
  </si>
  <si>
    <t xml:space="preserve">טור 1 </t>
  </si>
  <si>
    <t xml:space="preserve">טור 2 </t>
  </si>
  <si>
    <t xml:space="preserve">טור 3 </t>
  </si>
  <si>
    <t xml:space="preserve">טור 4 </t>
  </si>
  <si>
    <t xml:space="preserve">טור 5 </t>
  </si>
  <si>
    <t xml:space="preserve">טור 6 </t>
  </si>
  <si>
    <t xml:space="preserve">טור 7 </t>
  </si>
  <si>
    <t xml:space="preserve">סהכ שכר ברוטו לעובד </t>
  </si>
  <si>
    <t xml:space="preserve">ב.לאומי הפרשת מעביד </t>
  </si>
  <si>
    <t xml:space="preserve">קופות גמל עלות מעביד </t>
  </si>
  <si>
    <t xml:space="preserve">סהכ כללי עלות מעביד </t>
  </si>
  <si>
    <t>חלקיות</t>
  </si>
  <si>
    <t xml:space="preserve">היקף משרה </t>
  </si>
  <si>
    <t xml:space="preserve">רמה </t>
  </si>
  <si>
    <t xml:space="preserve">דרגה </t>
  </si>
  <si>
    <t xml:space="preserve">דרוג </t>
  </si>
  <si>
    <t xml:space="preserve">סטאטוס עובד </t>
  </si>
  <si>
    <t xml:space="preserve">רשות הנהלת חשבונות </t>
  </si>
  <si>
    <t xml:space="preserve">תקופה </t>
  </si>
  <si>
    <t xml:space="preserve">מחלקה </t>
  </si>
  <si>
    <t xml:space="preserve">שם פרטי </t>
  </si>
  <si>
    <t xml:space="preserve">שם משפחה </t>
  </si>
  <si>
    <t xml:space="preserve">זהות כולל ביקורת </t>
  </si>
  <si>
    <t xml:space="preserve">ת.זהות </t>
  </si>
  <si>
    <t xml:space="preserve">מפעל </t>
  </si>
  <si>
    <t>מספר משרות</t>
  </si>
  <si>
    <t>תקן כח אדם - מ.מ. ג'סר אל זרקא</t>
  </si>
  <si>
    <t>לשנת 2015</t>
  </si>
  <si>
    <t>מינהל כללי</t>
  </si>
  <si>
    <t>מינהל כספי</t>
  </si>
  <si>
    <t>תברואה</t>
  </si>
  <si>
    <t>שמירה וביטחון</t>
  </si>
  <si>
    <t>תכנון ובנין עיר</t>
  </si>
  <si>
    <t>נכסים ציבוריים</t>
  </si>
  <si>
    <t>חינוך</t>
  </si>
  <si>
    <t>תרבות</t>
  </si>
  <si>
    <t>רווחה</t>
  </si>
  <si>
    <t>גימלאים</t>
  </si>
  <si>
    <t>נוספו פיצויים</t>
  </si>
  <si>
    <t>לפני שינויים</t>
  </si>
  <si>
    <t>ספורט</t>
  </si>
  <si>
    <t>מבקר</t>
  </si>
  <si>
    <t>סגן</t>
  </si>
  <si>
    <t>ביוב</t>
  </si>
  <si>
    <t>אחרי שינויים</t>
  </si>
  <si>
    <t>פירוט הוצאות מותנות בתקציב 2015</t>
  </si>
  <si>
    <t>פירוט עצמיות אחרות</t>
  </si>
  <si>
    <t>טבלה 4: שכר ומשרות לפי פרקי תקציב</t>
  </si>
  <si>
    <t>מס'</t>
  </si>
  <si>
    <t>שם הפרק</t>
  </si>
  <si>
    <t xml:space="preserve"> ביצוע בפועל 2014</t>
  </si>
  <si>
    <t>מסגרת תקציב לשנת 2015</t>
  </si>
  <si>
    <t xml:space="preserve">             עלויות שכר</t>
  </si>
  <si>
    <t xml:space="preserve">                עלויות שכר</t>
  </si>
  <si>
    <t>הסברים לשינויים בתקציב 2008 
לעומת הביצוע בפועל לשנת 2007</t>
  </si>
  <si>
    <t>נבחרים</t>
  </si>
  <si>
    <t>סה"כ נבחרים</t>
  </si>
  <si>
    <t>לשכת יו"ר</t>
  </si>
  <si>
    <t>מזכירות</t>
  </si>
  <si>
    <t>מבקר פנים</t>
  </si>
  <si>
    <t>סה"כ מינהל כללי</t>
  </si>
  <si>
    <t>מנהל כספי</t>
  </si>
  <si>
    <t>מינהל רכש</t>
  </si>
  <si>
    <t>גזברות והנה"ח</t>
  </si>
  <si>
    <t>גבייה</t>
  </si>
  <si>
    <t>סה"כ מינהל כספי</t>
  </si>
  <si>
    <t>פיקוח תברואי</t>
  </si>
  <si>
    <t>שמירה ובטחון</t>
  </si>
  <si>
    <t>שמירה</t>
  </si>
  <si>
    <t>מהנדס</t>
  </si>
  <si>
    <t>משעתי למשרה-חוף</t>
  </si>
  <si>
    <t>חוף רחצה</t>
  </si>
  <si>
    <t>סה"כ נכסים ציבוריים</t>
  </si>
  <si>
    <t>שרותים עירוניים</t>
  </si>
  <si>
    <t>שירותים חקלאיים</t>
  </si>
  <si>
    <t>סה"כ שרותים מקומיים והנהלה</t>
  </si>
  <si>
    <t>שרותים ממלכתיים</t>
  </si>
  <si>
    <t>חינוך!</t>
  </si>
  <si>
    <t>מנהל חינוך</t>
  </si>
  <si>
    <t>גני"י חובה</t>
  </si>
  <si>
    <t>גנים ט.חובה</t>
  </si>
  <si>
    <t>גנים טיפוליים</t>
  </si>
  <si>
    <t>בתי ספר יסודיים</t>
  </si>
  <si>
    <t>ב"ס א</t>
  </si>
  <si>
    <t>ב"ס ב</t>
  </si>
  <si>
    <t>ב"ס ג חדשני</t>
  </si>
  <si>
    <t>ב"ס יסודי ד</t>
  </si>
  <si>
    <t>תוכנית יסודי</t>
  </si>
  <si>
    <t>ב"ס לחינוך מיוחד</t>
  </si>
  <si>
    <t>חט"ב</t>
  </si>
  <si>
    <t>ב"ס תיכון</t>
  </si>
  <si>
    <t>מועדוניות</t>
  </si>
  <si>
    <t>מלווים</t>
  </si>
  <si>
    <t>פסיכומטרי</t>
  </si>
  <si>
    <t>חינוך בלתי מפורמלי</t>
  </si>
  <si>
    <t>מנהל ספורט</t>
  </si>
  <si>
    <t>מדריכי ספורט</t>
  </si>
  <si>
    <t>מרפאת שניים</t>
  </si>
  <si>
    <t>בריאות המשפחה</t>
  </si>
  <si>
    <t>עובדי מחלקה</t>
  </si>
  <si>
    <t>מועדונים לזקנים</t>
  </si>
  <si>
    <t>מועדון לקשיש</t>
  </si>
  <si>
    <t>דת</t>
  </si>
  <si>
    <t>קליטת עליה</t>
  </si>
  <si>
    <t>איכות סביבה</t>
  </si>
  <si>
    <t>סה"כ שרותים ממלכתיים</t>
  </si>
  <si>
    <t>בתי מטבחיים</t>
  </si>
  <si>
    <t>נכסים</t>
  </si>
  <si>
    <t>מפעלי ביוב</t>
  </si>
  <si>
    <t>סה"כ מפעלים</t>
  </si>
  <si>
    <t>סה"כ כללי</t>
  </si>
  <si>
    <t>ביצוע 14</t>
  </si>
  <si>
    <t>משרות שנוספו</t>
  </si>
  <si>
    <t>רכש</t>
  </si>
  <si>
    <t>עוזר</t>
  </si>
  <si>
    <t>פנסיה</t>
  </si>
  <si>
    <t>משרות 2015</t>
  </si>
  <si>
    <t>הצעת תקציב 2016</t>
  </si>
  <si>
    <t>תקציב 2016</t>
  </si>
  <si>
    <t>קיטנות קיץ</t>
  </si>
  <si>
    <t>הצעת תקציב 2017</t>
  </si>
  <si>
    <t>ביצוע חזוי 2016</t>
  </si>
  <si>
    <t>תקציב 2017</t>
  </si>
  <si>
    <t>תקציב שנתי 2016</t>
  </si>
  <si>
    <t>שכר מדריכים</t>
  </si>
  <si>
    <t xml:space="preserve">הוצאות תקשורת  </t>
  </si>
  <si>
    <t>ליסינג ודלק רכב ניידת סיור</t>
  </si>
  <si>
    <t>ציל"ה</t>
  </si>
  <si>
    <t>מנהל בית נוער</t>
  </si>
  <si>
    <t xml:space="preserve">מסגרות יום ארוך </t>
  </si>
  <si>
    <t>מעונות חסות ממשלתיים</t>
  </si>
  <si>
    <t>משרות</t>
  </si>
  <si>
    <t>אבטחה בענף הספורט</t>
  </si>
  <si>
    <t>הסעות בענף ספורט</t>
  </si>
  <si>
    <t xml:space="preserve">מעון יום </t>
  </si>
  <si>
    <t>מעון יום</t>
  </si>
  <si>
    <t>מית"ר</t>
  </si>
  <si>
    <t>חדש</t>
  </si>
  <si>
    <t>נושמים לרווחה</t>
  </si>
  <si>
    <t>אחזקת מתקני ספורט</t>
  </si>
  <si>
    <t>אולם פיס</t>
  </si>
  <si>
    <t>השתלמויות ט.חובה</t>
  </si>
  <si>
    <t>נציג לתלונות ציבור</t>
  </si>
  <si>
    <t>יועצת למעמד האישה</t>
  </si>
  <si>
    <t>תוכמית לאומית</t>
  </si>
  <si>
    <t>מרכז לגיל הרך השתתפות מועצה</t>
  </si>
  <si>
    <t>מרכז לגיל הרך קרן קיסריה</t>
  </si>
  <si>
    <t>שיקום שכונות גנים</t>
  </si>
  <si>
    <t>תוכנית שמיד</t>
  </si>
  <si>
    <t>שיקום שכונות יסודי וחטב</t>
  </si>
  <si>
    <t>שיקום שכונות תוכניות</t>
  </si>
  <si>
    <t>חדר שלווה - ת.לאומית</t>
  </si>
  <si>
    <t>תוכנית אור- ת.לאומית</t>
  </si>
  <si>
    <t>הכנסות חינוך- פרוגרמה</t>
  </si>
  <si>
    <t>פרויקטים מאושרים מ.נוער</t>
  </si>
  <si>
    <t>תוכנית אתגרים שכר</t>
  </si>
  <si>
    <t>תוכנית אתגרים פעיליות</t>
  </si>
  <si>
    <t>תוכנית אתגרים</t>
  </si>
  <si>
    <t>אב בית בניין מועצה</t>
  </si>
  <si>
    <t>עדכון תקציב 2017</t>
  </si>
  <si>
    <t>תוספת</t>
  </si>
  <si>
    <t>תוכנית מנ"ע</t>
  </si>
  <si>
    <t>ביצוע בפועל 1-10/17</t>
  </si>
  <si>
    <t>ביצוע חזוי 2017</t>
  </si>
  <si>
    <t>הצעת תקציב 2018</t>
  </si>
  <si>
    <t>תקציב יחסי</t>
  </si>
  <si>
    <t>ביצוע יחסי</t>
  </si>
  <si>
    <t>גבייה-קיזוז ספקים</t>
  </si>
  <si>
    <t>גבייה-בנק הדואר</t>
  </si>
  <si>
    <t>גבייה-מימוש עיקול</t>
  </si>
  <si>
    <t>גבייה-זיכוי מעיקולים</t>
  </si>
  <si>
    <t>גבייה-עו"ד ותד ושות'</t>
  </si>
  <si>
    <t>גבייה-מוסדות מים</t>
  </si>
  <si>
    <t>גבייה-קיזוז עובדים</t>
  </si>
  <si>
    <t>גבייה-הוראות קבע</t>
  </si>
  <si>
    <t>גבייה-עו"ד רוסתום</t>
  </si>
  <si>
    <t>קיזוז ספקים מסים ומים</t>
  </si>
  <si>
    <t>החזר מים ומסים</t>
  </si>
  <si>
    <t>גבייה בהוראות קבע</t>
  </si>
  <si>
    <t>הכנסות שגויים</t>
  </si>
  <si>
    <t>גבייה-שיקים חוזרים</t>
  </si>
  <si>
    <t>גבייה-החזר הו"ק</t>
  </si>
  <si>
    <t>הכנסות מהשכרת חצרות</t>
  </si>
  <si>
    <t>אגרת  ניתוק מדי מים</t>
  </si>
  <si>
    <t>תשלומי הורים חומרים (גנים</t>
  </si>
  <si>
    <t>שיקום שכונת גנים</t>
  </si>
  <si>
    <t>הצטיידות גנ"י מ.חינוך</t>
  </si>
  <si>
    <t>תכנית שמידית מ החינוך</t>
  </si>
  <si>
    <t>סייעות טיפוליות-יוח"א</t>
  </si>
  <si>
    <t>מנב"ס - מזכירים</t>
  </si>
  <si>
    <t>חינוך משלים- חוגים</t>
  </si>
  <si>
    <t>קיטנת קיץ</t>
  </si>
  <si>
    <t>תוכנית לאומית</t>
  </si>
  <si>
    <t>הצטידות מועדון פיס</t>
  </si>
  <si>
    <t>חווי קיצית-מ. השלטון</t>
  </si>
  <si>
    <t>שכר מדריכים-מ.חינוך</t>
  </si>
  <si>
    <t>הכנסות מחוגי נוער</t>
  </si>
  <si>
    <t>משרות קידום נוער-מ/חינוך</t>
  </si>
  <si>
    <t>הכ מהשכרת מתקני ספורט</t>
  </si>
  <si>
    <t>השכרת מתקני ספורט-146</t>
  </si>
  <si>
    <t>הוצאות מנהליות</t>
  </si>
  <si>
    <t>פעולות ארגוניות</t>
  </si>
  <si>
    <t>טיפול באלכוהליסט</t>
  </si>
  <si>
    <t>משפחה במצוקה-תושבים</t>
  </si>
  <si>
    <t>הכ ממ. התמ"ת מעונות</t>
  </si>
  <si>
    <t>ניסוי "קרהילה 2000"</t>
  </si>
  <si>
    <t>קשישים-עצמיות</t>
  </si>
  <si>
    <t>עצמיות-מועדונים לזקנים</t>
  </si>
  <si>
    <t>מועדוניות לזקנים</t>
  </si>
  <si>
    <t>תוכניות מעבר</t>
  </si>
  <si>
    <t>תרומות למסגד</t>
  </si>
  <si>
    <t>הכנסות משרד הדתות</t>
  </si>
  <si>
    <t>הכהסות ממשרד לאיכות סביבה</t>
  </si>
  <si>
    <t>איכות הסביבה-פרויקט</t>
  </si>
  <si>
    <t>הכנסות מים מוסדות</t>
  </si>
  <si>
    <t>ריבית מפקדונות</t>
  </si>
  <si>
    <t>החזר מביטוח לאומי (ש.ק)</t>
  </si>
  <si>
    <t>החזר הוצ' משנים קודמות</t>
  </si>
  <si>
    <t>מלוות ומענקים לכס גרעון ש</t>
  </si>
  <si>
    <t>מענק מיוחד כסוי גרעון</t>
  </si>
  <si>
    <t>הוצאות מחצרות השכרת אירועים</t>
  </si>
  <si>
    <t>אגרת ניתוק מדי מים</t>
  </si>
  <si>
    <t>ציוד ומשרדיות</t>
  </si>
  <si>
    <t>מחלקת גבייה צרכי משרד</t>
  </si>
  <si>
    <t>משכורת-מנהל תברואה</t>
  </si>
  <si>
    <t>דמי חבר תברואן</t>
  </si>
  <si>
    <t>הוצאות תקשורת</t>
  </si>
  <si>
    <t>ניקוי רחובות-משכורת</t>
  </si>
  <si>
    <t>מכונת טיאוט-דלק ושמנים</t>
  </si>
  <si>
    <t>מכונת טיאוט-תיקונים</t>
  </si>
  <si>
    <t>מכונת טיאוט-רישוי ובטוח</t>
  </si>
  <si>
    <t>פיקוח תברואי-פיצויים</t>
  </si>
  <si>
    <t>הדברת מזיקים</t>
  </si>
  <si>
    <t>קב"ט-משכורת</t>
  </si>
  <si>
    <t>שמירה משכורת</t>
  </si>
  <si>
    <t>הש. בריכשת רכב</t>
  </si>
  <si>
    <t>הג"א עב. קבלניות</t>
  </si>
  <si>
    <t>עבודות קבלניות הנדסיות</t>
  </si>
  <si>
    <t>השתתפות בתב"ר</t>
  </si>
  <si>
    <t>אח.כבישים פנימיים-שכר</t>
  </si>
  <si>
    <t>חומרים לכבישים</t>
  </si>
  <si>
    <t>כבישים-ע.קבלניות</t>
  </si>
  <si>
    <t>תאורת רחוב-חומרים</t>
  </si>
  <si>
    <t>שכר גנים ציבוריים</t>
  </si>
  <si>
    <t>גנים ציבוריים-מים</t>
  </si>
  <si>
    <t>גנים ציבוריים</t>
  </si>
  <si>
    <t>גינון -שכר</t>
  </si>
  <si>
    <t>צ. מים גן ציבורי גשר</t>
  </si>
  <si>
    <t>אחזקת מבנה גנים</t>
  </si>
  <si>
    <t>קבלניות גנים</t>
  </si>
  <si>
    <t>קייטנות גיל רך</t>
  </si>
  <si>
    <t>גנים שונות</t>
  </si>
  <si>
    <t>שיפוץ מושכר גנ"י</t>
  </si>
  <si>
    <t>צילה פרוייקט</t>
  </si>
  <si>
    <t>שכר- פרויקט ניצנים</t>
  </si>
  <si>
    <t>מדרכות קייטנת גיל רך</t>
  </si>
  <si>
    <t>גנים טיפוליים-טלפון</t>
  </si>
  <si>
    <t>הסעות והובלות</t>
  </si>
  <si>
    <t>גנים טיפולים- מזון</t>
  </si>
  <si>
    <t>תוכנית אומץ-שכר</t>
  </si>
  <si>
    <t>שיקום שכונות-תנופה</t>
  </si>
  <si>
    <t>משכורת -תוכנית מעברים</t>
  </si>
  <si>
    <t>אלופא- חשמל</t>
  </si>
  <si>
    <t>אלופא-מים</t>
  </si>
  <si>
    <t>ח.ניקיון-בי"ס מיוחד</t>
  </si>
  <si>
    <t>אגרת תלמידי חוץ חינוך מיוחד</t>
  </si>
  <si>
    <t>פיצוים תיכון</t>
  </si>
  <si>
    <t>חט"ב שונות</t>
  </si>
  <si>
    <t>הכנסות מדמי בחינה</t>
  </si>
  <si>
    <t>מנהל תיכון-משכורת</t>
  </si>
  <si>
    <t>אגרות תלמידי חוץ</t>
  </si>
  <si>
    <t>השתתפות בטיולים</t>
  </si>
  <si>
    <t>שפ"י - ספרים</t>
  </si>
  <si>
    <t>דמי חברות -פסיכולוגים</t>
  </si>
  <si>
    <t>שפ"י משחקים וחומרים</t>
  </si>
  <si>
    <t>שפ"י- הוצאות שונות</t>
  </si>
  <si>
    <t>מחשבים חינוך מיוחד</t>
  </si>
  <si>
    <t>קט גן-משכורת</t>
  </si>
  <si>
    <t>קט גן- שכ"ד</t>
  </si>
  <si>
    <t>קט גן -אחזקת מבנה</t>
  </si>
  <si>
    <t>קט גן-טלפון</t>
  </si>
  <si>
    <t>תוכנית אומץ-משכורות</t>
  </si>
  <si>
    <t>תוכנית לאומית נתיבים להורות</t>
  </si>
  <si>
    <t>משכורת 360 דלת פתוחה</t>
  </si>
  <si>
    <t>פיצוים</t>
  </si>
  <si>
    <t>משכורת 360 תוכנית אור</t>
  </si>
  <si>
    <t>חדר שלווה-ת.לאומית</t>
  </si>
  <si>
    <t>משכורת 360נוער ישובי</t>
  </si>
  <si>
    <t>נוער ישובי-ת.לאוית</t>
  </si>
  <si>
    <t>משכורת 360חדר שלווה</t>
  </si>
  <si>
    <t>תוכנית אור-ת.לאומית</t>
  </si>
  <si>
    <t>מועדונית שכר</t>
  </si>
  <si>
    <t>ספריה- שכ"ד</t>
  </si>
  <si>
    <t>ספריה- חשמל</t>
  </si>
  <si>
    <t>ספריה- טלפון</t>
  </si>
  <si>
    <t>מועדונית כלים ומכשירים</t>
  </si>
  <si>
    <t>מועדונית שונות</t>
  </si>
  <si>
    <t>מתנ"ס -משכורות</t>
  </si>
  <si>
    <t>מתנ"ס-פיצויים</t>
  </si>
  <si>
    <t>מתנ"ס ג'סר-חשמל</t>
  </si>
  <si>
    <t>הקצבות יעודיות-אירועי תרבות</t>
  </si>
  <si>
    <t>רווחה חינוכית-מעברים</t>
  </si>
  <si>
    <t>שכ"ד</t>
  </si>
  <si>
    <t>נוער-חשמל שכירות</t>
  </si>
  <si>
    <t>הובלות והסעות</t>
  </si>
  <si>
    <t>הסעות בענף הספורט</t>
  </si>
  <si>
    <t>תכנית אב לספורט</t>
  </si>
  <si>
    <t>פעולות ספורט-הסעות</t>
  </si>
  <si>
    <t>מרפאת שניים-חומרים</t>
  </si>
  <si>
    <t>מרפאת שניים-ציוד יסודי</t>
  </si>
  <si>
    <t>בריאות המשפחה-ח.ניקוי</t>
  </si>
  <si>
    <t>בריאות המשפחה-חומרים</t>
  </si>
  <si>
    <t>פעולות איגוניות</t>
  </si>
  <si>
    <t>אלכוהוליסטים-שונות</t>
  </si>
  <si>
    <t>טיפול באלכוהוליסטים</t>
  </si>
  <si>
    <t>משפחות במצוקה</t>
  </si>
  <si>
    <t>טיפול בילד בקה.ציוד יסודי</t>
  </si>
  <si>
    <t>מועדוניות-שכר</t>
  </si>
  <si>
    <t>מועדוניות-שכ"ד</t>
  </si>
  <si>
    <t>מועדוניות-אחזקת מבנה</t>
  </si>
  <si>
    <t>מועדוניות-חשמל</t>
  </si>
  <si>
    <t>מועדוניות-מים</t>
  </si>
  <si>
    <t>מועדוניות-חומרי ניקוי</t>
  </si>
  <si>
    <t>מועדוניות-טלפון</t>
  </si>
  <si>
    <t>מועדוניות-משרדיות</t>
  </si>
  <si>
    <t>מועדוניות-הובלות והסעות</t>
  </si>
  <si>
    <t>טפול בנוער וצעירים(מט"ל)</t>
  </si>
  <si>
    <t>מועדוניות-ציוד יסודי</t>
  </si>
  <si>
    <t>מועדונים לזקנים-הסעות</t>
  </si>
  <si>
    <t>מועדונים לזקנים-מזון</t>
  </si>
  <si>
    <t>ציוד למועדונים לזקן</t>
  </si>
  <si>
    <t>מועדון מועשר לזקנים</t>
  </si>
  <si>
    <t>מועדונים לזקנים-שונות</t>
  </si>
  <si>
    <t>שכר מעון יום למפגרים</t>
  </si>
  <si>
    <t>אחזקה</t>
  </si>
  <si>
    <t>צריכת מים - מועון</t>
  </si>
  <si>
    <t>הסעות</t>
  </si>
  <si>
    <t>חומרי לימוד ושכפול</t>
  </si>
  <si>
    <t>מזון</t>
  </si>
  <si>
    <t>אלוופה-אחזקת מבנה</t>
  </si>
  <si>
    <t>אלוופה-חשמל</t>
  </si>
  <si>
    <t>אלוופה-מים</t>
  </si>
  <si>
    <t>אלוופא-חומרי ניקוי</t>
  </si>
  <si>
    <t>אלוופה-טלפון</t>
  </si>
  <si>
    <t>אלוופה-משרדיות</t>
  </si>
  <si>
    <t>אלוופה-הסעות</t>
  </si>
  <si>
    <t>אלוופה-חומרי לימוד</t>
  </si>
  <si>
    <t>אלוופה- מזון</t>
  </si>
  <si>
    <t>אלוופה-ע.קבלניות</t>
  </si>
  <si>
    <t>אלוופה-הוצאות שונות</t>
  </si>
  <si>
    <t>ציוד וחומרים קייטנות</t>
  </si>
  <si>
    <t>אלוופה-החזר הוצאות</t>
  </si>
  <si>
    <t>אלוופה-ציוד יסודי</t>
  </si>
  <si>
    <t>מעון יום שיקומי לאוטיסט</t>
  </si>
  <si>
    <t>פרוייקט וינגייט</t>
  </si>
  <si>
    <t>פרויקט וינגייט</t>
  </si>
  <si>
    <t>****מבוטל****</t>
  </si>
  <si>
    <t>טיפול בסמים-שכר</t>
  </si>
  <si>
    <t>סמים-טפול בקהילה-שונות</t>
  </si>
  <si>
    <t>מעונות יום עולים</t>
  </si>
  <si>
    <t>שרותי דת-משכורת</t>
  </si>
  <si>
    <t>מסגד -חשמל</t>
  </si>
  <si>
    <t>שרותי דת קבלניות</t>
  </si>
  <si>
    <t>איכות הסביבה שונות</t>
  </si>
  <si>
    <t>מח' מים פיצויים</t>
  </si>
  <si>
    <t>מחלקת מים-משכורת</t>
  </si>
  <si>
    <t>רכב ניסן-מח' מים</t>
  </si>
  <si>
    <t>רכב ניסן-דלק</t>
  </si>
  <si>
    <t>רכב ניסן-תיקונים</t>
  </si>
  <si>
    <t>רכב ניסן- רישוי ובטוח</t>
  </si>
  <si>
    <t>אגרה נציבות המים</t>
  </si>
  <si>
    <t>צריכת מים -חריגה</t>
  </si>
  <si>
    <t>הובלות וסעות</t>
  </si>
  <si>
    <t>החב להשבת מי ביוב</t>
  </si>
  <si>
    <t>ריקון בורות שופכין</t>
  </si>
  <si>
    <t>השת' בתקציב אכות הסביבה</t>
  </si>
  <si>
    <t>הוצ מותנות גביה+תקציב</t>
  </si>
  <si>
    <t>רזרבה תקציבית</t>
  </si>
  <si>
    <t>הפרשה לפיצויים</t>
  </si>
  <si>
    <t>ע"ח קרן</t>
  </si>
  <si>
    <t>ע"ח רבית</t>
  </si>
  <si>
    <t>ע"ח הצמדה</t>
  </si>
  <si>
    <t>הע הלו' לכיסוי גרע מצטבר</t>
  </si>
  <si>
    <t>הוצאה מותנית</t>
  </si>
  <si>
    <t>בדיקת חשבונות</t>
  </si>
  <si>
    <t>תוכנית ניצנים</t>
  </si>
  <si>
    <t xml:space="preserve"> לשנות שם לגמול טיולים </t>
  </si>
  <si>
    <t>לשנות ל הזנת יוח"א</t>
  </si>
  <si>
    <t>העשרה ח.מיוחד ערבי</t>
  </si>
  <si>
    <t>העשרה חנ"מ ג"ני ערבי</t>
  </si>
  <si>
    <t>ה.נלוות-ח"מ גני ערבי</t>
  </si>
  <si>
    <t>ה.נלוות ח.מיוחד ערבי</t>
  </si>
  <si>
    <t xml:space="preserve">לשנות לחוק שילוב סייעות </t>
  </si>
  <si>
    <t>למחוק רשום בסעיף 1313300920</t>
  </si>
  <si>
    <t>מסגרת קיץ חתלמיד</t>
  </si>
  <si>
    <t>כולל דמי שכפול שכפול פר ילד שכפול יוח"א</t>
  </si>
  <si>
    <t xml:space="preserve">עבור 6 חודשים </t>
  </si>
  <si>
    <t>עבור 10 חודשים</t>
  </si>
  <si>
    <t xml:space="preserve"> לשנות אגרת שכפול פר ילד 1314000924</t>
  </si>
  <si>
    <t>לשנות שם אגרת שכפול יוח"א</t>
  </si>
  <si>
    <t xml:space="preserve">לשנות ל ש.קיץ מפגעי בטיחות </t>
  </si>
  <si>
    <t xml:space="preserve">ש.תומכות נוספות עוז </t>
  </si>
  <si>
    <t>ש פרטניות עוז לתמורה</t>
  </si>
  <si>
    <t xml:space="preserve">ש.תומכות עוז לתמורה </t>
  </si>
  <si>
    <t>קרן השתלמות שכ"ל</t>
  </si>
  <si>
    <t>סל שע.לתפקיד עוז לתמורה</t>
  </si>
  <si>
    <t>מוחזקות עוז לתמורה</t>
  </si>
  <si>
    <t>מנהבל עוז לתמורה</t>
  </si>
  <si>
    <t xml:space="preserve">רכז מעורבות חברתית </t>
  </si>
  <si>
    <t>מקצועות מדעים</t>
  </si>
  <si>
    <t>מתמתיקה תחילה</t>
  </si>
  <si>
    <t>קבטים</t>
  </si>
  <si>
    <t xml:space="preserve">אוריינות מדעית </t>
  </si>
  <si>
    <t xml:space="preserve">גנול רכז הל"ל </t>
  </si>
  <si>
    <t xml:space="preserve">חינוך תעבורתי </t>
  </si>
  <si>
    <t>מוחזקות חדש פריראלי</t>
  </si>
  <si>
    <t>מיון רישום פיצוי מ חינוך</t>
  </si>
  <si>
    <t xml:space="preserve">מילוי מקום מוסדות </t>
  </si>
  <si>
    <t>מנהל תחום התנדבותי</t>
  </si>
  <si>
    <t>מסלול משופר 7</t>
  </si>
  <si>
    <t>למחוק פתחתי סעיפים חדשים ומיונו בצהוב</t>
  </si>
  <si>
    <t>מרכז נוער 360</t>
  </si>
  <si>
    <t>אור שפתי 360</t>
  </si>
  <si>
    <t>חדרי שלווה 360</t>
  </si>
  <si>
    <t>מג"ר 360</t>
  </si>
  <si>
    <t>התפתחות ויצירת קשר 360</t>
  </si>
  <si>
    <t xml:space="preserve">הכנסות חינוך פרויקטים </t>
  </si>
  <si>
    <t>ניצנים שכר</t>
  </si>
  <si>
    <t>אור שפתי360</t>
  </si>
  <si>
    <t>הכנסה מהמשרד</t>
  </si>
  <si>
    <t>חדר שלווה שכר 360</t>
  </si>
  <si>
    <t>נוער ישובי 360 שכר</t>
  </si>
  <si>
    <t>תחריר</t>
  </si>
  <si>
    <t>שכר מרכז גיל רך 360</t>
  </si>
  <si>
    <t>פעילות ניצנים</t>
  </si>
  <si>
    <t xml:space="preserve">סה"כ אגרות והיטילים </t>
  </si>
  <si>
    <t>סה"כ מיסים</t>
  </si>
  <si>
    <t>סה"כ מענקים</t>
  </si>
  <si>
    <t xml:space="preserve">סה"כ שירותים אחרים </t>
  </si>
  <si>
    <t>סה"כ מנהל חינוך</t>
  </si>
  <si>
    <t>סה"כ גני ילדים</t>
  </si>
  <si>
    <t xml:space="preserve">סה"כ חינוך יסודי </t>
  </si>
  <si>
    <t>סה"כ חט"ב</t>
  </si>
  <si>
    <t>סה"כ חינוך על יסודי</t>
  </si>
  <si>
    <t>סה"כ הנהלה</t>
  </si>
  <si>
    <t>סה"כ טיפול במשפחה</t>
  </si>
  <si>
    <t>טיפול בילד ובנוער</t>
  </si>
  <si>
    <t>סה"כ טיפול בזקנים ומפגר</t>
  </si>
  <si>
    <t>שירותים אחר רווחה</t>
  </si>
  <si>
    <t xml:space="preserve">סה"כ מים </t>
  </si>
  <si>
    <t xml:space="preserve">סה"כ ביוב </t>
  </si>
  <si>
    <t>מועצה והנהלה</t>
  </si>
  <si>
    <t xml:space="preserve">מזכירות </t>
  </si>
  <si>
    <t xml:space="preserve">מבקר פנים ונציג תלונות הציבור </t>
  </si>
  <si>
    <t>השתלמיות עובדי המועצה</t>
  </si>
  <si>
    <t>משפטיות וגביה</t>
  </si>
  <si>
    <t xml:space="preserve">בחירות </t>
  </si>
  <si>
    <t>גביה</t>
  </si>
  <si>
    <t xml:space="preserve">פרעון מלוות </t>
  </si>
  <si>
    <t xml:space="preserve">משכורת כוללת </t>
  </si>
  <si>
    <t>פינוי אשפה</t>
  </si>
  <si>
    <t xml:space="preserve">רכבי המועצה </t>
  </si>
  <si>
    <t xml:space="preserve">הג"א </t>
  </si>
  <si>
    <t>מחלקת הנדסה</t>
  </si>
  <si>
    <t xml:space="preserve">שירותים מקומים שונים </t>
  </si>
  <si>
    <t>שירותי דת וביטוח המועצה</t>
  </si>
  <si>
    <t xml:space="preserve">מינהל חינוך </t>
  </si>
  <si>
    <t xml:space="preserve">חינוך קדם יסודי </t>
  </si>
  <si>
    <t xml:space="preserve">חינוך יסודי </t>
  </si>
  <si>
    <t xml:space="preserve">חינוך מיוחד </t>
  </si>
  <si>
    <t xml:space="preserve">בתי"ס חט"ב </t>
  </si>
  <si>
    <t xml:space="preserve">בתי ספר תיכון </t>
  </si>
  <si>
    <t xml:space="preserve">שירות פסיכולוגי </t>
  </si>
  <si>
    <t xml:space="preserve">שירותים נוספים ותוכניות </t>
  </si>
  <si>
    <t xml:space="preserve">ספורט </t>
  </si>
  <si>
    <t>הנהלה</t>
  </si>
  <si>
    <t>טיפול במשפחה</t>
  </si>
  <si>
    <t xml:space="preserve">מעדוניות ומעונות </t>
  </si>
  <si>
    <t>טיפול בזקן</t>
  </si>
  <si>
    <t>טיפול במפגר</t>
  </si>
  <si>
    <t>שיקום הפרט</t>
  </si>
  <si>
    <t>הלוואות ביוב</t>
  </si>
  <si>
    <t>אחזקנ ועבודות קבלנחות ת שאיבה</t>
  </si>
  <si>
    <t>סה"כ אחזקה</t>
  </si>
  <si>
    <t>תרבות ונוער</t>
  </si>
  <si>
    <t>שיקום שכונות תוכנית מלא</t>
  </si>
  <si>
    <t>שיקום שכונות גיל רך שיכון</t>
  </si>
  <si>
    <t>שיקום שכונות שיכון</t>
  </si>
  <si>
    <t>שיקום שכונות  חינוך</t>
  </si>
  <si>
    <t>פיצויים מנהל מחלקת ספורט</t>
  </si>
  <si>
    <t>היטל השבחה-ועדה לתכ ובניה</t>
  </si>
  <si>
    <t>חינוך משלים חוגים</t>
  </si>
  <si>
    <t>בי"ס א - חומרים</t>
  </si>
  <si>
    <t>בי"ס ב-חומרים</t>
  </si>
  <si>
    <t>ב"ס ג - חומרים</t>
  </si>
  <si>
    <t>בי"ס תיכון- חומרים</t>
  </si>
  <si>
    <t>שפ"י- הדרכה</t>
  </si>
  <si>
    <t>תכנית מנ"ע</t>
  </si>
  <si>
    <t>שיקום שכונות תנופה</t>
  </si>
  <si>
    <t>מתנ"ס חשמל</t>
  </si>
  <si>
    <t>פרויקט האיחוד האירופי</t>
  </si>
  <si>
    <t>הצעת תקציב 2019</t>
  </si>
  <si>
    <t>שריון יחסי</t>
  </si>
  <si>
    <t>ביצוע + שריון יחסי</t>
  </si>
  <si>
    <t>הכנסות מאכיפה</t>
  </si>
  <si>
    <t>קיטטנת גיל רל -מ.פריפיריה</t>
  </si>
  <si>
    <t>סייעות רפואיות</t>
  </si>
  <si>
    <t>מדעטק</t>
  </si>
  <si>
    <t>יוזמות תקנת סל"ע 2017 פיסול</t>
  </si>
  <si>
    <t>קרן השתלמות לשכ"ל</t>
  </si>
  <si>
    <t>רכב מנהלים בת"ס</t>
  </si>
  <si>
    <t>ש.תומכות נוספות עוז</t>
  </si>
  <si>
    <t>אוריינות מדעית</t>
  </si>
  <si>
    <t>ש.פרטניות עוז לתמורה</t>
  </si>
  <si>
    <t>גמול רכז הל"ל</t>
  </si>
  <si>
    <t>ש.פרטניות נוספות-עוז</t>
  </si>
  <si>
    <t>מילוי מקום מוסדות</t>
  </si>
  <si>
    <t>מסלול 7 משופר</t>
  </si>
  <si>
    <t>מנהל עוז לתמורה</t>
  </si>
  <si>
    <t>רכז מעורבות חברתית</t>
  </si>
  <si>
    <t>מתמטיקה תחילה</t>
  </si>
  <si>
    <t>ש.תומכות -עוז לתמורה</t>
  </si>
  <si>
    <t>שפ"י- פסיכולוגים חינוכים</t>
  </si>
  <si>
    <t>קבטי"ם</t>
  </si>
  <si>
    <t>טיפול בקהילה -א ותיק</t>
  </si>
  <si>
    <t>נערות חוץ ביתי</t>
  </si>
  <si>
    <t>צעירים בקהילה</t>
  </si>
  <si>
    <t>צעירים חוץ ביתי</t>
  </si>
  <si>
    <t>חלופה למ.יום שיקומי</t>
  </si>
  <si>
    <t>ביוב פיגורים</t>
  </si>
  <si>
    <t>צוערים</t>
  </si>
  <si>
    <t>עיר ללא אלימות מצלמות</t>
  </si>
  <si>
    <t>עבודות קבלניות יעודיות</t>
  </si>
  <si>
    <t>ניצנים פרוייקט</t>
  </si>
  <si>
    <t>תוכנית ניצנים- שכר</t>
  </si>
  <si>
    <t>הקצבות יעודיות מפעל הפיס</t>
  </si>
  <si>
    <t>קיטנות אביב משכורת</t>
  </si>
  <si>
    <t>קיטנות קיץ משכורת</t>
  </si>
  <si>
    <t>יוזמות 2017 תקנת סל"ע</t>
  </si>
  <si>
    <t>שירותי מנב"ס</t>
  </si>
  <si>
    <t>התפתחות ויצירת קשר</t>
  </si>
  <si>
    <t>חדר שלווה 160</t>
  </si>
  <si>
    <t>עיר ילדים ונוער</t>
  </si>
  <si>
    <t>אתגרים 2018-2019</t>
  </si>
  <si>
    <t>תקציב שנתי</t>
  </si>
  <si>
    <t>ביצוע 30.11.18</t>
  </si>
  <si>
    <t>ביצוע צפוי 2018</t>
  </si>
  <si>
    <t>מנב"ס</t>
  </si>
  <si>
    <t>שכר קב"ס</t>
  </si>
  <si>
    <t>שכר רווחה חינוכית</t>
  </si>
  <si>
    <t>שכר רווחה חינוכית/שיקום שכונות</t>
  </si>
  <si>
    <t>שיקום שכונות חינוך</t>
  </si>
  <si>
    <t>ציוד רווחה חינוכית</t>
  </si>
  <si>
    <t>תכנית ניצנים</t>
  </si>
  <si>
    <t>אור  משכורות 360</t>
  </si>
  <si>
    <t>תכנית אור שפתי משכורת</t>
  </si>
  <si>
    <t>תוכנית אומץ-</t>
  </si>
  <si>
    <t>מנהל שפ"ע</t>
  </si>
  <si>
    <t>מנהל גביה 30% בכירים</t>
  </si>
  <si>
    <t>קייטנת גיל רל -מ.פריפיריה</t>
  </si>
  <si>
    <t>משכורת ב"ס לחינוך מיוחד</t>
  </si>
  <si>
    <t>פיצויים  מהנדס</t>
  </si>
  <si>
    <t>לתקן</t>
  </si>
  <si>
    <t>בתי ספר- שמירה</t>
  </si>
  <si>
    <t>בתי ספר-  שרותי נקיון</t>
  </si>
  <si>
    <t>טפול בנערות במצוקה(תקיפה מינית)</t>
  </si>
  <si>
    <t>מרכז עוצמה</t>
  </si>
  <si>
    <t>שהאב רמדאן+מוחמד גרבאן</t>
  </si>
  <si>
    <t>מנהל + 2 עובדים</t>
  </si>
  <si>
    <t>עלי+נגלא+ מזכירה+אינאס+גרבאן שרוק</t>
  </si>
  <si>
    <t>קייטנת גיל הרך-פריפיריה</t>
  </si>
  <si>
    <t xml:space="preserve">ניצנים  </t>
  </si>
  <si>
    <t>שעות פרטניות עוז לתמורה</t>
  </si>
  <si>
    <t>15% מועצה</t>
  </si>
  <si>
    <t>נוספה משרה</t>
  </si>
  <si>
    <t>פקח סביבתי משכורת</t>
  </si>
  <si>
    <t>מהנדס+מזכירה</t>
  </si>
  <si>
    <t>נוער ישובי- ת.לאמוית</t>
  </si>
  <si>
    <t>נקיון</t>
  </si>
  <si>
    <t>ניידת סיור</t>
  </si>
  <si>
    <t>שמירה ופיקוח משכורת</t>
  </si>
  <si>
    <t>הגדלת משרה ל 80%</t>
  </si>
  <si>
    <t>יונס+ עובד חדש</t>
  </si>
  <si>
    <t>סינון</t>
  </si>
  <si>
    <t>שכירות בניין מועצה-שונות</t>
  </si>
  <si>
    <t>כולל תלונות ציבור</t>
  </si>
  <si>
    <t>הצעת תקציב 2020</t>
  </si>
  <si>
    <t>מסגרת תקציב 2020</t>
  </si>
  <si>
    <t>ביצוע צפוי 2019</t>
  </si>
  <si>
    <t>פ. נוספות</t>
  </si>
  <si>
    <t>סה"כ ביצוע</t>
  </si>
  <si>
    <t>מענק חופים שוטף</t>
  </si>
  <si>
    <t>הכנסות צוערים- מ.פנים</t>
  </si>
  <si>
    <t>הפרשה עד גובה הוצאות שכר בפועל</t>
  </si>
  <si>
    <t>צמצום פערים</t>
  </si>
  <si>
    <t>עדיין אין דוח וועדה - הפרשה לפי תקציב</t>
  </si>
  <si>
    <t>הפרשה</t>
  </si>
  <si>
    <t>הכנסות אכיפה- חברת גביה</t>
  </si>
  <si>
    <t>הכנסות מקייטנת גיל רך</t>
  </si>
  <si>
    <t>מסיבות כיתתיות</t>
  </si>
  <si>
    <t>תכנית שמידית מ החינוך חדר שלו</t>
  </si>
  <si>
    <t>הפרשה עאד גובה ההוצאה (חדר שלווה)</t>
  </si>
  <si>
    <t>הפרשה עד גובה הוצאות בפועל</t>
  </si>
  <si>
    <t>תכניות סולמות באנגלית</t>
  </si>
  <si>
    <t>הוצאות שמירה ואבטחה מסתכמות ל- 1,027,205</t>
  </si>
  <si>
    <t>הפרשה עד גובה 0.85 מהוצאות הסעות תלמידים</t>
  </si>
  <si>
    <t>הפרשה עד גובה 0.85 מההוצאות בפועל</t>
  </si>
  <si>
    <t>סל ספורט 2019</t>
  </si>
  <si>
    <t>הכנסות שנים קודמות</t>
  </si>
  <si>
    <t>הפרשה בגין חודשים 2+8+9+11</t>
  </si>
  <si>
    <t>הפרשה בגין חודש 12</t>
  </si>
  <si>
    <t>הפרשה בגין חודש 3</t>
  </si>
  <si>
    <t>הפרשה עבור חשבון עמה 12.2019</t>
  </si>
  <si>
    <t>ריבית פיגורים</t>
  </si>
  <si>
    <t>ביטול שריון</t>
  </si>
  <si>
    <t>הפרשה בגין חודש 10 וביטול 100 אלש"ח מהשריון</t>
  </si>
  <si>
    <t>אין ביצוע</t>
  </si>
  <si>
    <t>קרן חילוט עיר ללא אלימות</t>
  </si>
  <si>
    <t>שמירה 12.2019</t>
  </si>
  <si>
    <t>שיקום שכונות ואור</t>
  </si>
  <si>
    <t>חותם</t>
  </si>
  <si>
    <t>משכורת תוכנית מלא</t>
  </si>
  <si>
    <t>אתגרים 2019-2020</t>
  </si>
  <si>
    <t>הפרשה עבור חודשים 10+11+12 (חשבונות לא מאושרים - בעיות עם הקבלן)</t>
  </si>
  <si>
    <t>פיצויים תיכון</t>
  </si>
  <si>
    <t>85% מ 15,602,000</t>
  </si>
  <si>
    <t>צמצום</t>
  </si>
  <si>
    <t>חוף</t>
  </si>
  <si>
    <t>מותנות רווחה</t>
  </si>
  <si>
    <t>שכר סגן תוקצב במותנה</t>
  </si>
  <si>
    <t>משרה חדשה לתרבות</t>
  </si>
  <si>
    <t>מיצוי משאבים</t>
  </si>
  <si>
    <t>חצי שנה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</si>
</sst>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_ * #,##0_ ;_ * \-#,##0_ ;_ * &quot;-&quot;??_ ;_ @_ "/>
    <numFmt numFmtId="165" formatCode="#\ ??/100"/>
    <numFmt numFmtId="166" formatCode="_ * #,##0.0_ ;_ * \-#,##0.0_ ;_ * &quot;-&quot;??_ ;_ @_ "/>
    <numFmt numFmtId="167" formatCode="0.0"/>
    <numFmt numFmtId="168" formatCode="#"/>
    <numFmt numFmtId="169" formatCode="#,###.00;\-#,###.00;0.00;"/>
  </numFmts>
  <fonts count="67">
    <font>
      <sz val="11"/>
      <color theme="1"/>
      <name val="Arial"/>
      <family val="2"/>
      <charset val="177"/>
      <scheme val="minor"/>
    </font>
    <font>
      <sz val="11"/>
      <color indexed="8"/>
      <name val="Arial"/>
      <family val="2"/>
      <charset val="177"/>
    </font>
    <font>
      <b/>
      <sz val="11"/>
      <color indexed="8"/>
      <name val="David"/>
      <family val="2"/>
      <charset val="177"/>
    </font>
    <font>
      <sz val="10"/>
      <name val="Arial"/>
      <family val="2"/>
    </font>
    <font>
      <b/>
      <sz val="11"/>
      <name val="David"/>
      <family val="2"/>
      <charset val="177"/>
    </font>
    <font>
      <b/>
      <u/>
      <sz val="11"/>
      <name val="David"/>
      <family val="2"/>
      <charset val="177"/>
    </font>
    <font>
      <b/>
      <u val="double"/>
      <sz val="12"/>
      <name val="David"/>
      <family val="2"/>
      <charset val="177"/>
    </font>
    <font>
      <sz val="12"/>
      <name val="David"/>
      <family val="2"/>
      <charset val="177"/>
    </font>
    <font>
      <b/>
      <sz val="12"/>
      <name val="David"/>
      <family val="2"/>
      <charset val="177"/>
    </font>
    <font>
      <b/>
      <sz val="14"/>
      <name val="David"/>
      <family val="2"/>
      <charset val="177"/>
    </font>
    <font>
      <sz val="16"/>
      <name val="David"/>
      <family val="2"/>
      <charset val="177"/>
    </font>
    <font>
      <b/>
      <sz val="16"/>
      <name val="David"/>
      <family val="2"/>
      <charset val="177"/>
    </font>
    <font>
      <sz val="10"/>
      <name val="David"/>
      <family val="2"/>
      <charset val="177"/>
    </font>
    <font>
      <b/>
      <sz val="16"/>
      <name val="Monotype Hadassah"/>
      <charset val="177"/>
    </font>
    <font>
      <b/>
      <sz val="10"/>
      <name val="David"/>
      <family val="2"/>
      <charset val="177"/>
    </font>
    <font>
      <b/>
      <sz val="10"/>
      <name val="Arial (Hebrew)"/>
      <family val="2"/>
      <charset val="177"/>
    </font>
    <font>
      <sz val="10"/>
      <name val="Arial (Hebrew)"/>
      <family val="2"/>
      <charset val="177"/>
    </font>
    <font>
      <b/>
      <sz val="16"/>
      <name val="David"/>
      <family val="2"/>
      <charset val="177"/>
    </font>
    <font>
      <b/>
      <u/>
      <sz val="48"/>
      <name val="Arial (Hebrew)"/>
      <charset val="177"/>
    </font>
    <font>
      <u/>
      <sz val="10"/>
      <name val="Arial (Hebrew)"/>
      <charset val="177"/>
    </font>
    <font>
      <b/>
      <u/>
      <sz val="16"/>
      <name val="David"/>
      <family val="2"/>
      <charset val="177"/>
    </font>
    <font>
      <sz val="14"/>
      <name val="Arial (Hebrew)"/>
      <family val="2"/>
      <charset val="177"/>
    </font>
    <font>
      <b/>
      <sz val="14"/>
      <name val="Arial (Hebrew)"/>
      <family val="2"/>
      <charset val="177"/>
    </font>
    <font>
      <b/>
      <sz val="16"/>
      <name val="Arial (Hebrew)"/>
      <family val="2"/>
      <charset val="177"/>
    </font>
    <font>
      <sz val="14"/>
      <name val="David"/>
      <family val="2"/>
      <charset val="177"/>
    </font>
    <font>
      <sz val="9"/>
      <name val="Arial (Hebrew)"/>
      <family val="2"/>
      <charset val="177"/>
    </font>
    <font>
      <sz val="12"/>
      <name val="David"/>
      <family val="2"/>
      <charset val="177"/>
    </font>
    <font>
      <b/>
      <sz val="12"/>
      <name val="David"/>
      <family val="2"/>
      <charset val="177"/>
    </font>
    <font>
      <sz val="12"/>
      <name val="David"/>
      <family val="2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scheme val="minor"/>
    </font>
    <font>
      <sz val="11"/>
      <color rgb="FFFF0000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u/>
      <sz val="14"/>
      <color theme="1"/>
      <name val="David"/>
      <family val="2"/>
      <charset val="177"/>
    </font>
    <font>
      <sz val="11"/>
      <color theme="1"/>
      <name val="David"/>
      <family val="2"/>
      <charset val="177"/>
    </font>
    <font>
      <b/>
      <sz val="14"/>
      <color theme="1"/>
      <name val="David"/>
      <family val="2"/>
      <charset val="177"/>
    </font>
    <font>
      <sz val="12"/>
      <color theme="1"/>
      <name val="David"/>
      <family val="2"/>
      <charset val="177"/>
    </font>
    <font>
      <sz val="14"/>
      <color theme="1"/>
      <name val="David"/>
      <family val="2"/>
      <charset val="177"/>
    </font>
    <font>
      <b/>
      <u/>
      <sz val="22"/>
      <color theme="1"/>
      <name val="David"/>
      <family val="2"/>
      <charset val="177"/>
    </font>
    <font>
      <b/>
      <sz val="22"/>
      <color theme="1"/>
      <name val="David"/>
      <family val="2"/>
      <charset val="177"/>
    </font>
    <font>
      <b/>
      <sz val="14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b/>
      <sz val="12"/>
      <color theme="1"/>
      <name val="David"/>
      <family val="2"/>
      <charset val="177"/>
    </font>
    <font>
      <u/>
      <sz val="12"/>
      <color theme="1"/>
      <name val="David"/>
      <family val="2"/>
      <charset val="177"/>
    </font>
    <font>
      <b/>
      <sz val="12"/>
      <color theme="1"/>
      <name val="Arial"/>
      <family val="2"/>
      <scheme val="minor"/>
    </font>
    <font>
      <b/>
      <sz val="14"/>
      <color rgb="FFFF0000"/>
      <name val="David"/>
      <family val="2"/>
      <charset val="177"/>
    </font>
    <font>
      <sz val="14"/>
      <color rgb="FFFF0000"/>
      <name val="David"/>
      <family val="2"/>
      <charset val="177"/>
    </font>
    <font>
      <b/>
      <sz val="12"/>
      <color rgb="FFFF0000"/>
      <name val="David"/>
      <family val="2"/>
      <charset val="177"/>
    </font>
    <font>
      <sz val="12"/>
      <color theme="1"/>
      <name val="Arial"/>
      <family val="2"/>
      <charset val="177"/>
      <scheme val="minor"/>
    </font>
    <font>
      <b/>
      <sz val="12"/>
      <color rgb="FFFF0000"/>
      <name val="Arial"/>
      <family val="2"/>
      <scheme val="minor"/>
    </font>
    <font>
      <b/>
      <sz val="14"/>
      <color theme="3"/>
      <name val="David"/>
      <family val="2"/>
      <charset val="177"/>
    </font>
    <font>
      <sz val="13"/>
      <color theme="1"/>
      <name val="David"/>
      <family val="2"/>
      <charset val="177"/>
    </font>
    <font>
      <b/>
      <sz val="13"/>
      <color theme="1"/>
      <name val="David"/>
      <family val="2"/>
      <charset val="177"/>
    </font>
    <font>
      <sz val="12"/>
      <color theme="1"/>
      <name val="David"/>
      <family val="2"/>
    </font>
    <font>
      <sz val="12"/>
      <color rgb="FFFF0000"/>
      <name val="David"/>
      <family val="2"/>
      <charset val="177"/>
    </font>
    <font>
      <sz val="11"/>
      <color rgb="FFFF0000"/>
      <name val="Arial"/>
      <family val="2"/>
      <scheme val="minor"/>
    </font>
    <font>
      <sz val="14"/>
      <color theme="1"/>
      <name val="Arial"/>
      <family val="2"/>
      <charset val="177"/>
      <scheme val="minor"/>
    </font>
    <font>
      <sz val="12"/>
      <color rgb="FFFF0000"/>
      <name val="Arial"/>
      <family val="2"/>
      <charset val="177"/>
      <scheme val="minor"/>
    </font>
    <font>
      <sz val="12"/>
      <color rgb="FFFF0000"/>
      <name val="David"/>
      <family val="2"/>
    </font>
    <font>
      <sz val="12"/>
      <color rgb="FF000000"/>
      <name val="David"/>
      <family val="2"/>
      <charset val="177"/>
    </font>
    <font>
      <b/>
      <sz val="26"/>
      <color theme="1"/>
      <name val="David"/>
      <family val="2"/>
      <charset val="177"/>
    </font>
    <font>
      <b/>
      <sz val="48"/>
      <color theme="1"/>
      <name val="David"/>
      <family val="2"/>
      <charset val="177"/>
    </font>
    <font>
      <b/>
      <u/>
      <sz val="16"/>
      <color theme="1"/>
      <name val="David"/>
      <family val="2"/>
      <charset val="177"/>
    </font>
  </fonts>
  <fills count="2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/>
      <right/>
      <top style="hair">
        <color indexed="18"/>
      </top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9">
    <xf numFmtId="0" fontId="0" fillId="0" borderId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0" fontId="12" fillId="0" borderId="0"/>
    <xf numFmtId="0" fontId="3" fillId="0" borderId="0"/>
    <xf numFmtId="9" fontId="29" fillId="0" borderId="0" applyFont="0" applyFill="0" applyBorder="0" applyAlignment="0" applyProtection="0"/>
    <xf numFmtId="0" fontId="29" fillId="6" borderId="20" applyNumberFormat="0" applyFont="0" applyAlignment="0" applyProtection="0"/>
    <xf numFmtId="0" fontId="1" fillId="6" borderId="20" applyNumberFormat="0" applyFont="0" applyAlignment="0" applyProtection="0"/>
  </cellStyleXfs>
  <cellXfs count="288">
    <xf numFmtId="0" fontId="0" fillId="0" borderId="0" xfId="0"/>
    <xf numFmtId="0" fontId="33" fillId="0" borderId="0" xfId="0" applyFont="1"/>
    <xf numFmtId="0" fontId="3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5" fillId="0" borderId="0" xfId="0" applyFont="1"/>
    <xf numFmtId="164" fontId="29" fillId="0" borderId="0" xfId="2" applyNumberFormat="1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2" applyNumberFormat="1" applyFont="1" applyBorder="1" applyAlignment="1">
      <alignment horizontal="center" wrapText="1"/>
    </xf>
    <xf numFmtId="0" fontId="36" fillId="0" borderId="1" xfId="0" applyFont="1" applyBorder="1"/>
    <xf numFmtId="165" fontId="4" fillId="0" borderId="1" xfId="5" applyNumberFormat="1" applyFont="1" applyBorder="1" applyAlignment="1">
      <alignment horizontal="right"/>
    </xf>
    <xf numFmtId="164" fontId="36" fillId="0" borderId="1" xfId="2" applyNumberFormat="1" applyFont="1" applyBorder="1"/>
    <xf numFmtId="165" fontId="4" fillId="2" borderId="1" xfId="5" applyNumberFormat="1" applyFont="1" applyFill="1" applyBorder="1" applyAlignment="1">
      <alignment horizontal="right" vertical="center"/>
    </xf>
    <xf numFmtId="164" fontId="4" fillId="2" borderId="1" xfId="2" applyNumberFormat="1" applyFont="1" applyFill="1" applyBorder="1" applyAlignment="1">
      <alignment horizontal="right" vertical="center"/>
    </xf>
    <xf numFmtId="165" fontId="4" fillId="2" borderId="1" xfId="5" applyNumberFormat="1" applyFont="1" applyFill="1" applyBorder="1" applyAlignment="1">
      <alignment horizontal="right" vertical="center" wrapText="1"/>
    </xf>
    <xf numFmtId="165" fontId="4" fillId="3" borderId="1" xfId="5" applyNumberFormat="1" applyFont="1" applyFill="1" applyBorder="1" applyAlignment="1">
      <alignment horizontal="right" vertical="center"/>
    </xf>
    <xf numFmtId="165" fontId="5" fillId="0" borderId="1" xfId="5" applyNumberFormat="1" applyFont="1" applyBorder="1"/>
    <xf numFmtId="164" fontId="0" fillId="0" borderId="0" xfId="0" applyNumberFormat="1"/>
    <xf numFmtId="165" fontId="4" fillId="7" borderId="1" xfId="5" applyNumberFormat="1" applyFont="1" applyFill="1" applyBorder="1" applyAlignment="1">
      <alignment horizontal="right"/>
    </xf>
    <xf numFmtId="9" fontId="29" fillId="0" borderId="0" xfId="6"/>
    <xf numFmtId="0" fontId="37" fillId="8" borderId="0" xfId="0" applyFont="1" applyFill="1" applyAlignment="1">
      <alignment horizontal="center" wrapText="1"/>
    </xf>
    <xf numFmtId="0" fontId="38" fillId="0" borderId="0" xfId="0" applyFont="1"/>
    <xf numFmtId="0" fontId="6" fillId="0" borderId="0" xfId="0" applyFont="1" applyAlignment="1">
      <alignment horizontal="right" readingOrder="2"/>
    </xf>
    <xf numFmtId="0" fontId="7" fillId="0" borderId="0" xfId="0" applyFont="1" applyAlignment="1">
      <alignment horizontal="right" readingOrder="2"/>
    </xf>
    <xf numFmtId="164" fontId="39" fillId="9" borderId="0" xfId="1" applyNumberFormat="1" applyFont="1" applyFill="1" applyAlignment="1">
      <alignment vertical="center"/>
    </xf>
    <xf numFmtId="0" fontId="8" fillId="0" borderId="0" xfId="0" applyFont="1" applyAlignment="1">
      <alignment horizontal="right" readingOrder="2"/>
    </xf>
    <xf numFmtId="164" fontId="37" fillId="10" borderId="0" xfId="1" applyNumberFormat="1" applyFont="1" applyFill="1" applyAlignment="1">
      <alignment vertical="center"/>
    </xf>
    <xf numFmtId="164" fontId="37" fillId="11" borderId="0" xfId="1" applyNumberFormat="1" applyFont="1" applyFill="1" applyAlignment="1">
      <alignment vertical="center"/>
    </xf>
    <xf numFmtId="0" fontId="40" fillId="0" borderId="0" xfId="0" applyFont="1"/>
    <xf numFmtId="0" fontId="41" fillId="0" borderId="0" xfId="0" applyFont="1" applyAlignment="1">
      <alignment horizontal="center"/>
    </xf>
    <xf numFmtId="0" fontId="36" fillId="0" borderId="0" xfId="0" applyFont="1"/>
    <xf numFmtId="0" fontId="37" fillId="8" borderId="0" xfId="0" applyFont="1" applyFill="1" applyAlignment="1">
      <alignment wrapText="1"/>
    </xf>
    <xf numFmtId="164" fontId="37" fillId="12" borderId="0" xfId="1" applyNumberFormat="1" applyFont="1" applyFill="1" applyAlignment="1">
      <alignment vertical="center"/>
    </xf>
    <xf numFmtId="164" fontId="39" fillId="0" borderId="0" xfId="1" applyNumberFormat="1" applyFont="1" applyAlignment="1">
      <alignment vertical="center"/>
    </xf>
    <xf numFmtId="0" fontId="8" fillId="0" borderId="0" xfId="0" applyFont="1" applyAlignment="1">
      <alignment horizontal="right" vertical="center" readingOrder="2"/>
    </xf>
    <xf numFmtId="164" fontId="42" fillId="13" borderId="0" xfId="1" applyNumberFormat="1" applyFont="1" applyFill="1" applyAlignment="1">
      <alignment vertical="center"/>
    </xf>
    <xf numFmtId="0" fontId="43" fillId="0" borderId="0" xfId="0" applyFont="1"/>
    <xf numFmtId="164" fontId="29" fillId="0" borderId="1" xfId="1" applyNumberFormat="1" applyBorder="1"/>
    <xf numFmtId="164" fontId="31" fillId="0" borderId="1" xfId="1" applyNumberFormat="1" applyFont="1" applyBorder="1"/>
    <xf numFmtId="3" fontId="0" fillId="0" borderId="2" xfId="0" applyNumberFormat="1" applyBorder="1"/>
    <xf numFmtId="0" fontId="0" fillId="0" borderId="2" xfId="0" applyBorder="1" applyAlignment="1">
      <alignment horizontal="right"/>
    </xf>
    <xf numFmtId="0" fontId="44" fillId="14" borderId="1" xfId="0" applyFont="1" applyFill="1" applyBorder="1" applyAlignment="1">
      <alignment horizontal="center" vertical="center" wrapText="1"/>
    </xf>
    <xf numFmtId="164" fontId="0" fillId="0" borderId="2" xfId="0" applyNumberFormat="1" applyBorder="1"/>
    <xf numFmtId="0" fontId="0" fillId="0" borderId="2" xfId="0" applyBorder="1"/>
    <xf numFmtId="0" fontId="45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3" fontId="0" fillId="0" borderId="1" xfId="0" applyNumberFormat="1" applyBorder="1"/>
    <xf numFmtId="0" fontId="0" fillId="0" borderId="2" xfId="0" applyBorder="1" applyAlignment="1">
      <alignment horizontal="center"/>
    </xf>
    <xf numFmtId="0" fontId="8" fillId="14" borderId="3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/>
    </xf>
    <xf numFmtId="0" fontId="38" fillId="0" borderId="1" xfId="0" applyFont="1" applyBorder="1"/>
    <xf numFmtId="164" fontId="38" fillId="0" borderId="1" xfId="1" applyNumberFormat="1" applyFont="1" applyBorder="1"/>
    <xf numFmtId="0" fontId="46" fillId="0" borderId="1" xfId="0" applyFont="1" applyBorder="1" applyAlignment="1">
      <alignment horizontal="center"/>
    </xf>
    <xf numFmtId="0" fontId="38" fillId="15" borderId="1" xfId="0" applyFont="1" applyFill="1" applyBorder="1" applyAlignment="1">
      <alignment horizontal="center"/>
    </xf>
    <xf numFmtId="0" fontId="38" fillId="15" borderId="1" xfId="0" applyFont="1" applyFill="1" applyBorder="1"/>
    <xf numFmtId="164" fontId="38" fillId="15" borderId="1" xfId="1" applyNumberFormat="1" applyFont="1" applyFill="1" applyBorder="1"/>
    <xf numFmtId="0" fontId="46" fillId="0" borderId="0" xfId="0" applyFont="1" applyAlignment="1">
      <alignment horizontal="center"/>
    </xf>
    <xf numFmtId="0" fontId="32" fillId="0" borderId="0" xfId="0" applyFont="1"/>
    <xf numFmtId="43" fontId="46" fillId="0" borderId="0" xfId="1" applyFont="1"/>
    <xf numFmtId="4" fontId="46" fillId="0" borderId="0" xfId="0" applyNumberFormat="1" applyFont="1"/>
    <xf numFmtId="43" fontId="38" fillId="0" borderId="0" xfId="1" applyFont="1"/>
    <xf numFmtId="0" fontId="46" fillId="0" borderId="0" xfId="0" applyFont="1"/>
    <xf numFmtId="43" fontId="38" fillId="0" borderId="1" xfId="1" applyFont="1" applyBorder="1"/>
    <xf numFmtId="43" fontId="38" fillId="15" borderId="1" xfId="1" applyFont="1" applyFill="1" applyBorder="1"/>
    <xf numFmtId="0" fontId="37" fillId="0" borderId="0" xfId="0" applyFont="1"/>
    <xf numFmtId="0" fontId="47" fillId="0" borderId="0" xfId="0" applyFont="1"/>
    <xf numFmtId="0" fontId="46" fillId="0" borderId="1" xfId="0" applyFont="1" applyBorder="1"/>
    <xf numFmtId="43" fontId="46" fillId="0" borderId="1" xfId="1" applyFont="1" applyBorder="1"/>
    <xf numFmtId="164" fontId="46" fillId="0" borderId="1" xfId="1" applyNumberFormat="1" applyFont="1" applyBorder="1"/>
    <xf numFmtId="164" fontId="46" fillId="0" borderId="0" xfId="1" applyNumberFormat="1" applyFont="1"/>
    <xf numFmtId="0" fontId="48" fillId="0" borderId="0" xfId="0" applyFont="1"/>
    <xf numFmtId="164" fontId="38" fillId="0" borderId="4" xfId="2" applyNumberFormat="1" applyFont="1" applyBorder="1"/>
    <xf numFmtId="0" fontId="38" fillId="0" borderId="5" xfId="0" applyFont="1" applyBorder="1"/>
    <xf numFmtId="164" fontId="38" fillId="0" borderId="6" xfId="2" applyNumberFormat="1" applyFont="1" applyBorder="1"/>
    <xf numFmtId="164" fontId="46" fillId="0" borderId="7" xfId="2" applyNumberFormat="1" applyFont="1" applyBorder="1"/>
    <xf numFmtId="0" fontId="46" fillId="0" borderId="8" xfId="0" applyFont="1" applyBorder="1"/>
    <xf numFmtId="164" fontId="38" fillId="0" borderId="0" xfId="2" applyNumberFormat="1" applyFont="1"/>
    <xf numFmtId="164" fontId="2" fillId="0" borderId="9" xfId="2" applyNumberFormat="1" applyFont="1" applyBorder="1" applyAlignment="1">
      <alignment horizontal="center" wrapText="1"/>
    </xf>
    <xf numFmtId="164" fontId="36" fillId="0" borderId="9" xfId="2" applyNumberFormat="1" applyFont="1" applyBorder="1"/>
    <xf numFmtId="164" fontId="4" fillId="2" borderId="9" xfId="2" applyNumberFormat="1" applyFont="1" applyFill="1" applyBorder="1" applyAlignment="1">
      <alignment horizontal="right" vertical="center"/>
    </xf>
    <xf numFmtId="0" fontId="37" fillId="0" borderId="0" xfId="0" applyFont="1" applyAlignment="1">
      <alignment vertical="center"/>
    </xf>
    <xf numFmtId="0" fontId="49" fillId="0" borderId="3" xfId="0" applyFont="1" applyBorder="1" applyAlignment="1">
      <alignment horizontal="center" vertical="center" wrapText="1"/>
    </xf>
    <xf numFmtId="0" fontId="39" fillId="0" borderId="0" xfId="0" applyFont="1"/>
    <xf numFmtId="0" fontId="39" fillId="0" borderId="1" xfId="0" applyFont="1" applyBorder="1" applyAlignment="1">
      <alignment horizontal="center"/>
    </xf>
    <xf numFmtId="0" fontId="39" fillId="0" borderId="1" xfId="0" applyFont="1" applyBorder="1"/>
    <xf numFmtId="164" fontId="39" fillId="0" borderId="1" xfId="1" applyNumberFormat="1" applyFont="1" applyBorder="1"/>
    <xf numFmtId="164" fontId="50" fillId="0" borderId="1" xfId="1" applyNumberFormat="1" applyFont="1" applyBorder="1"/>
    <xf numFmtId="0" fontId="37" fillId="16" borderId="1" xfId="0" applyFont="1" applyFill="1" applyBorder="1"/>
    <xf numFmtId="0" fontId="37" fillId="16" borderId="1" xfId="0" applyFont="1" applyFill="1" applyBorder="1" applyAlignment="1">
      <alignment horizontal="center"/>
    </xf>
    <xf numFmtId="3" fontId="37" fillId="16" borderId="1" xfId="0" applyNumberFormat="1" applyFont="1" applyFill="1" applyBorder="1"/>
    <xf numFmtId="0" fontId="9" fillId="14" borderId="1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164" fontId="43" fillId="3" borderId="1" xfId="2" applyNumberFormat="1" applyFont="1" applyFill="1" applyBorder="1"/>
    <xf numFmtId="164" fontId="43" fillId="3" borderId="9" xfId="2" applyNumberFormat="1" applyFont="1" applyFill="1" applyBorder="1"/>
    <xf numFmtId="0" fontId="41" fillId="0" borderId="0" xfId="0" applyFont="1"/>
    <xf numFmtId="0" fontId="37" fillId="17" borderId="10" xfId="0" applyFont="1" applyFill="1" applyBorder="1" applyAlignment="1">
      <alignment vertical="center"/>
    </xf>
    <xf numFmtId="0" fontId="51" fillId="0" borderId="3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46" fillId="0" borderId="1" xfId="0" applyFont="1" applyBorder="1" applyAlignment="1">
      <alignment horizontal="right"/>
    </xf>
    <xf numFmtId="0" fontId="52" fillId="0" borderId="0" xfId="0" applyFont="1"/>
    <xf numFmtId="0" fontId="51" fillId="0" borderId="0" xfId="0" applyFont="1"/>
    <xf numFmtId="0" fontId="51" fillId="0" borderId="1" xfId="0" applyFont="1" applyBorder="1"/>
    <xf numFmtId="164" fontId="7" fillId="8" borderId="1" xfId="1" applyNumberFormat="1" applyFont="1" applyFill="1" applyBorder="1"/>
    <xf numFmtId="0" fontId="53" fillId="0" borderId="0" xfId="0" applyFont="1"/>
    <xf numFmtId="0" fontId="38" fillId="0" borderId="1" xfId="0" applyFont="1" applyBorder="1" applyAlignment="1">
      <alignment horizontal="right"/>
    </xf>
    <xf numFmtId="164" fontId="38" fillId="0" borderId="1" xfId="1" applyNumberFormat="1" applyFont="1" applyBorder="1" applyAlignment="1">
      <alignment horizontal="right"/>
    </xf>
    <xf numFmtId="0" fontId="54" fillId="17" borderId="1" xfId="0" applyFont="1" applyFill="1" applyBorder="1"/>
    <xf numFmtId="0" fontId="34" fillId="0" borderId="0" xfId="0" applyFont="1"/>
    <xf numFmtId="3" fontId="38" fillId="0" borderId="1" xfId="0" applyNumberFormat="1" applyFont="1" applyBorder="1"/>
    <xf numFmtId="0" fontId="8" fillId="14" borderId="1" xfId="0" applyFont="1" applyFill="1" applyBorder="1" applyAlignment="1">
      <alignment horizontal="center" vertical="center" wrapText="1"/>
    </xf>
    <xf numFmtId="0" fontId="55" fillId="0" borderId="0" xfId="0" applyFont="1"/>
    <xf numFmtId="0" fontId="56" fillId="0" borderId="2" xfId="0" applyFont="1" applyBorder="1" applyAlignment="1">
      <alignment horizontal="right"/>
    </xf>
    <xf numFmtId="0" fontId="56" fillId="0" borderId="2" xfId="0" applyFont="1" applyBorder="1"/>
    <xf numFmtId="3" fontId="56" fillId="0" borderId="2" xfId="0" applyNumberFormat="1" applyFont="1" applyBorder="1"/>
    <xf numFmtId="2" fontId="14" fillId="0" borderId="0" xfId="4" applyNumberFormat="1" applyFont="1" applyAlignment="1">
      <alignment horizontal="center"/>
    </xf>
    <xf numFmtId="0" fontId="15" fillId="0" borderId="0" xfId="4" applyFont="1"/>
    <xf numFmtId="0" fontId="12" fillId="0" borderId="0" xfId="4"/>
    <xf numFmtId="2" fontId="12" fillId="0" borderId="0" xfId="4" applyNumberFormat="1" applyAlignment="1">
      <alignment horizontal="center"/>
    </xf>
    <xf numFmtId="0" fontId="16" fillId="0" borderId="0" xfId="4" applyFont="1"/>
    <xf numFmtId="0" fontId="11" fillId="0" borderId="1" xfId="4" applyFont="1" applyBorder="1" applyAlignment="1">
      <alignment horizontal="center" vertical="top"/>
    </xf>
    <xf numFmtId="0" fontId="15" fillId="0" borderId="1" xfId="4" applyFont="1" applyBorder="1"/>
    <xf numFmtId="0" fontId="10" fillId="0" borderId="1" xfId="4" applyFont="1" applyBorder="1"/>
    <xf numFmtId="0" fontId="11" fillId="0" borderId="1" xfId="4" applyFont="1" applyBorder="1" applyAlignment="1">
      <alignment horizontal="center" vertical="top" wrapText="1"/>
    </xf>
    <xf numFmtId="0" fontId="15" fillId="0" borderId="1" xfId="4" applyFont="1" applyBorder="1" applyAlignment="1">
      <alignment horizontal="center" wrapText="1"/>
    </xf>
    <xf numFmtId="0" fontId="18" fillId="0" borderId="0" xfId="4" applyFont="1"/>
    <xf numFmtId="0" fontId="19" fillId="0" borderId="0" xfId="4" applyFont="1"/>
    <xf numFmtId="0" fontId="15" fillId="0" borderId="0" xfId="4" applyFont="1" applyAlignment="1">
      <alignment horizontal="center"/>
    </xf>
    <xf numFmtId="0" fontId="20" fillId="0" borderId="1" xfId="4" applyFont="1" applyBorder="1"/>
    <xf numFmtId="0" fontId="10" fillId="0" borderId="1" xfId="4" applyFont="1" applyBorder="1" applyAlignment="1">
      <alignment horizontal="center"/>
    </xf>
    <xf numFmtId="3" fontId="10" fillId="0" borderId="1" xfId="4" applyNumberFormat="1" applyFont="1" applyBorder="1" applyAlignment="1">
      <alignment horizontal="center"/>
    </xf>
    <xf numFmtId="0" fontId="21" fillId="0" borderId="1" xfId="4" applyFont="1" applyBorder="1"/>
    <xf numFmtId="0" fontId="16" fillId="0" borderId="1" xfId="4" applyFont="1" applyBorder="1"/>
    <xf numFmtId="0" fontId="11" fillId="0" borderId="1" xfId="4" applyFont="1" applyBorder="1"/>
    <xf numFmtId="3" fontId="11" fillId="0" borderId="1" xfId="4" applyNumberFormat="1" applyFont="1" applyBorder="1" applyAlignment="1">
      <alignment horizontal="center"/>
    </xf>
    <xf numFmtId="0" fontId="11" fillId="4" borderId="1" xfId="4" applyFont="1" applyFill="1" applyBorder="1"/>
    <xf numFmtId="3" fontId="11" fillId="4" borderId="1" xfId="4" applyNumberFormat="1" applyFont="1" applyFill="1" applyBorder="1" applyAlignment="1">
      <alignment horizontal="center"/>
    </xf>
    <xf numFmtId="4" fontId="11" fillId="4" borderId="1" xfId="4" applyNumberFormat="1" applyFont="1" applyFill="1" applyBorder="1" applyAlignment="1">
      <alignment horizontal="center"/>
    </xf>
    <xf numFmtId="0" fontId="22" fillId="0" borderId="1" xfId="4" applyFont="1" applyBorder="1"/>
    <xf numFmtId="0" fontId="11" fillId="5" borderId="1" xfId="4" applyFont="1" applyFill="1" applyBorder="1"/>
    <xf numFmtId="3" fontId="23" fillId="5" borderId="1" xfId="4" applyNumberFormat="1" applyFont="1" applyFill="1" applyBorder="1" applyAlignment="1">
      <alignment horizontal="center"/>
    </xf>
    <xf numFmtId="0" fontId="21" fillId="0" borderId="0" xfId="4" applyFont="1"/>
    <xf numFmtId="2" fontId="24" fillId="0" borderId="0" xfId="4" applyNumberFormat="1" applyFont="1" applyAlignment="1">
      <alignment horizontal="center"/>
    </xf>
    <xf numFmtId="0" fontId="25" fillId="0" borderId="0" xfId="4" applyFont="1"/>
    <xf numFmtId="0" fontId="10" fillId="0" borderId="9" xfId="4" applyFont="1" applyBorder="1"/>
    <xf numFmtId="0" fontId="10" fillId="0" borderId="0" xfId="4" applyFont="1"/>
    <xf numFmtId="0" fontId="10" fillId="0" borderId="11" xfId="4" applyFont="1" applyBorder="1"/>
    <xf numFmtId="0" fontId="10" fillId="0" borderId="12" xfId="4" applyFont="1" applyBorder="1"/>
    <xf numFmtId="0" fontId="10" fillId="0" borderId="13" xfId="4" applyFont="1" applyBorder="1"/>
    <xf numFmtId="0" fontId="10" fillId="0" borderId="3" xfId="4" applyFont="1" applyBorder="1"/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164" fontId="26" fillId="0" borderId="1" xfId="1" applyNumberFormat="1" applyFont="1" applyBorder="1"/>
    <xf numFmtId="0" fontId="27" fillId="14" borderId="3" xfId="0" applyFont="1" applyFill="1" applyBorder="1" applyAlignment="1">
      <alignment horizontal="center" vertical="center" wrapText="1"/>
    </xf>
    <xf numFmtId="43" fontId="46" fillId="0" borderId="10" xfId="1" applyFont="1" applyBorder="1" applyAlignment="1">
      <alignment vertical="center"/>
    </xf>
    <xf numFmtId="43" fontId="29" fillId="0" borderId="0" xfId="1"/>
    <xf numFmtId="43" fontId="43" fillId="3" borderId="1" xfId="1" applyFont="1" applyFill="1" applyBorder="1"/>
    <xf numFmtId="164" fontId="57" fillId="0" borderId="1" xfId="1" applyNumberFormat="1" applyFont="1" applyBorder="1"/>
    <xf numFmtId="43" fontId="36" fillId="0" borderId="1" xfId="1" applyFont="1" applyBorder="1"/>
    <xf numFmtId="0" fontId="57" fillId="0" borderId="1" xfId="0" applyFont="1" applyBorder="1"/>
    <xf numFmtId="0" fontId="57" fillId="15" borderId="1" xfId="0" applyFont="1" applyFill="1" applyBorder="1"/>
    <xf numFmtId="0" fontId="37" fillId="0" borderId="10" xfId="0" applyFont="1" applyBorder="1" applyAlignment="1">
      <alignment vertical="center"/>
    </xf>
    <xf numFmtId="14" fontId="37" fillId="0" borderId="14" xfId="0" applyNumberFormat="1" applyFont="1" applyBorder="1" applyAlignment="1">
      <alignment vertical="center"/>
    </xf>
    <xf numFmtId="43" fontId="57" fillId="15" borderId="1" xfId="1" applyFont="1" applyFill="1" applyBorder="1"/>
    <xf numFmtId="167" fontId="0" fillId="0" borderId="0" xfId="0" applyNumberFormat="1"/>
    <xf numFmtId="43" fontId="8" fillId="14" borderId="3" xfId="1" applyFont="1" applyFill="1" applyBorder="1" applyAlignment="1">
      <alignment horizontal="center" vertical="center" wrapText="1"/>
    </xf>
    <xf numFmtId="0" fontId="33" fillId="0" borderId="8" xfId="0" applyFont="1" applyBorder="1"/>
    <xf numFmtId="164" fontId="33" fillId="0" borderId="8" xfId="1" applyNumberFormat="1" applyFont="1" applyBorder="1"/>
    <xf numFmtId="164" fontId="29" fillId="0" borderId="0" xfId="1" applyNumberFormat="1"/>
    <xf numFmtId="0" fontId="0" fillId="17" borderId="0" xfId="0" applyFill="1"/>
    <xf numFmtId="164" fontId="29" fillId="17" borderId="0" xfId="1" applyNumberFormat="1" applyFill="1"/>
    <xf numFmtId="0" fontId="0" fillId="18" borderId="0" xfId="0" applyFill="1"/>
    <xf numFmtId="164" fontId="29" fillId="18" borderId="0" xfId="1" applyNumberFormat="1" applyFill="1"/>
    <xf numFmtId="0" fontId="38" fillId="17" borderId="1" xfId="0" applyFont="1" applyFill="1" applyBorder="1"/>
    <xf numFmtId="0" fontId="38" fillId="19" borderId="1" xfId="0" applyFont="1" applyFill="1" applyBorder="1"/>
    <xf numFmtId="164" fontId="38" fillId="19" borderId="1" xfId="1" applyNumberFormat="1" applyFont="1" applyFill="1" applyBorder="1"/>
    <xf numFmtId="0" fontId="52" fillId="19" borderId="0" xfId="0" applyFont="1" applyFill="1"/>
    <xf numFmtId="0" fontId="0" fillId="0" borderId="8" xfId="0" applyBorder="1"/>
    <xf numFmtId="164" fontId="29" fillId="0" borderId="8" xfId="1" applyNumberFormat="1" applyBorder="1"/>
    <xf numFmtId="43" fontId="0" fillId="0" borderId="0" xfId="0" applyNumberFormat="1"/>
    <xf numFmtId="0" fontId="38" fillId="20" borderId="1" xfId="0" applyFont="1" applyFill="1" applyBorder="1" applyAlignment="1">
      <alignment horizontal="center"/>
    </xf>
    <xf numFmtId="0" fontId="38" fillId="20" borderId="1" xfId="0" applyFont="1" applyFill="1" applyBorder="1"/>
    <xf numFmtId="164" fontId="38" fillId="20" borderId="1" xfId="1" applyNumberFormat="1" applyFont="1" applyFill="1" applyBorder="1"/>
    <xf numFmtId="164" fontId="38" fillId="21" borderId="1" xfId="1" applyNumberFormat="1" applyFont="1" applyFill="1" applyBorder="1"/>
    <xf numFmtId="164" fontId="2" fillId="0" borderId="1" xfId="1" applyNumberFormat="1" applyFont="1" applyBorder="1" applyAlignment="1">
      <alignment horizontal="center" wrapText="1"/>
    </xf>
    <xf numFmtId="164" fontId="36" fillId="0" borderId="1" xfId="1" applyNumberFormat="1" applyFont="1" applyBorder="1"/>
    <xf numFmtId="164" fontId="4" fillId="2" borderId="1" xfId="1" applyNumberFormat="1" applyFont="1" applyFill="1" applyBorder="1" applyAlignment="1">
      <alignment horizontal="right" vertical="center"/>
    </xf>
    <xf numFmtId="164" fontId="43" fillId="3" borderId="1" xfId="1" applyNumberFormat="1" applyFont="1" applyFill="1" applyBorder="1"/>
    <xf numFmtId="164" fontId="37" fillId="0" borderId="10" xfId="1" applyNumberFormat="1" applyFont="1" applyBorder="1" applyAlignment="1">
      <alignment vertical="center"/>
    </xf>
    <xf numFmtId="164" fontId="27" fillId="14" borderId="3" xfId="1" applyNumberFormat="1" applyFont="1" applyFill="1" applyBorder="1" applyAlignment="1">
      <alignment horizontal="center" vertical="center" wrapText="1"/>
    </xf>
    <xf numFmtId="164" fontId="8" fillId="14" borderId="3" xfId="1" applyNumberFormat="1" applyFont="1" applyFill="1" applyBorder="1" applyAlignment="1">
      <alignment horizontal="center" vertical="center" wrapText="1"/>
    </xf>
    <xf numFmtId="164" fontId="46" fillId="0" borderId="10" xfId="1" applyNumberFormat="1" applyFont="1" applyBorder="1" applyAlignment="1">
      <alignment vertical="center"/>
    </xf>
    <xf numFmtId="164" fontId="58" fillId="0" borderId="1" xfId="1" applyNumberFormat="1" applyFont="1" applyBorder="1"/>
    <xf numFmtId="0" fontId="59" fillId="0" borderId="0" xfId="0" applyFont="1" applyAlignment="1">
      <alignment horizontal="center" vertical="center" wrapText="1"/>
    </xf>
    <xf numFmtId="0" fontId="60" fillId="0" borderId="0" xfId="0" applyFont="1"/>
    <xf numFmtId="0" fontId="61" fillId="0" borderId="0" xfId="0" applyFont="1"/>
    <xf numFmtId="0" fontId="7" fillId="0" borderId="0" xfId="0" applyFont="1"/>
    <xf numFmtId="0" fontId="46" fillId="0" borderId="15" xfId="0" applyFont="1" applyBorder="1" applyAlignment="1">
      <alignment horizontal="center" vertical="center"/>
    </xf>
    <xf numFmtId="14" fontId="46" fillId="0" borderId="14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164" fontId="27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center" wrapText="1"/>
    </xf>
    <xf numFmtId="43" fontId="27" fillId="0" borderId="3" xfId="1" applyFont="1" applyBorder="1" applyAlignment="1">
      <alignment horizontal="center" vertical="center" wrapText="1"/>
    </xf>
    <xf numFmtId="164" fontId="51" fillId="0" borderId="3" xfId="1" applyNumberFormat="1" applyFont="1" applyBorder="1" applyAlignment="1">
      <alignment horizontal="center" vertical="center" wrapText="1"/>
    </xf>
    <xf numFmtId="4" fontId="38" fillId="0" borderId="1" xfId="0" applyNumberFormat="1" applyFont="1" applyBorder="1"/>
    <xf numFmtId="4" fontId="57" fillId="0" borderId="1" xfId="0" applyNumberFormat="1" applyFont="1" applyBorder="1"/>
    <xf numFmtId="168" fontId="0" fillId="0" borderId="1" xfId="0" applyNumberFormat="1" applyBorder="1" applyAlignment="1">
      <alignment horizontal="right"/>
    </xf>
    <xf numFmtId="168" fontId="29" fillId="0" borderId="1" xfId="7" applyNumberFormat="1" applyFill="1" applyBorder="1" applyAlignment="1">
      <alignment horizontal="right"/>
    </xf>
    <xf numFmtId="169" fontId="0" fillId="0" borderId="0" xfId="0" applyNumberFormat="1" applyAlignment="1">
      <alignment horizontal="right"/>
    </xf>
    <xf numFmtId="0" fontId="38" fillId="0" borderId="0" xfId="0" applyFont="1" applyAlignment="1">
      <alignment horizontal="center"/>
    </xf>
    <xf numFmtId="3" fontId="26" fillId="0" borderId="1" xfId="0" applyNumberFormat="1" applyFont="1" applyBorder="1"/>
    <xf numFmtId="0" fontId="37" fillId="0" borderId="1" xfId="0" applyFont="1" applyBorder="1"/>
    <xf numFmtId="3" fontId="0" fillId="0" borderId="0" xfId="0" applyNumberFormat="1"/>
    <xf numFmtId="4" fontId="62" fillId="0" borderId="1" xfId="0" applyNumberFormat="1" applyFont="1" applyBorder="1"/>
    <xf numFmtId="0" fontId="31" fillId="0" borderId="0" xfId="0" applyFont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3" fontId="7" fillId="0" borderId="1" xfId="0" applyNumberFormat="1" applyFont="1" applyBorder="1"/>
    <xf numFmtId="164" fontId="7" fillId="0" borderId="1" xfId="1" applyNumberFormat="1" applyFont="1" applyBorder="1"/>
    <xf numFmtId="0" fontId="37" fillId="0" borderId="15" xfId="0" applyFont="1" applyBorder="1" applyAlignment="1">
      <alignment vertical="center"/>
    </xf>
    <xf numFmtId="0" fontId="8" fillId="22" borderId="1" xfId="0" applyFont="1" applyFill="1" applyBorder="1" applyAlignment="1">
      <alignment horizontal="center"/>
    </xf>
    <xf numFmtId="0" fontId="8" fillId="22" borderId="1" xfId="0" applyFont="1" applyFill="1" applyBorder="1"/>
    <xf numFmtId="3" fontId="8" fillId="22" borderId="1" xfId="0" applyNumberFormat="1" applyFont="1" applyFill="1" applyBorder="1"/>
    <xf numFmtId="164" fontId="8" fillId="22" borderId="1" xfId="1" applyNumberFormat="1" applyFont="1" applyFill="1" applyBorder="1"/>
    <xf numFmtId="0" fontId="8" fillId="23" borderId="1" xfId="0" applyFont="1" applyFill="1" applyBorder="1" applyAlignment="1">
      <alignment horizontal="center"/>
    </xf>
    <xf numFmtId="3" fontId="8" fillId="23" borderId="1" xfId="0" applyNumberFormat="1" applyFont="1" applyFill="1" applyBorder="1"/>
    <xf numFmtId="164" fontId="8" fillId="23" borderId="1" xfId="1" applyNumberFormat="1" applyFont="1" applyFill="1" applyBorder="1"/>
    <xf numFmtId="0" fontId="8" fillId="23" borderId="9" xfId="0" applyFont="1" applyFill="1" applyBorder="1"/>
    <xf numFmtId="0" fontId="8" fillId="23" borderId="16" xfId="0" applyFont="1" applyFill="1" applyBorder="1"/>
    <xf numFmtId="0" fontId="37" fillId="24" borderId="1" xfId="0" applyFont="1" applyFill="1" applyBorder="1" applyAlignment="1">
      <alignment horizontal="center"/>
    </xf>
    <xf numFmtId="3" fontId="37" fillId="24" borderId="1" xfId="0" applyNumberFormat="1" applyFont="1" applyFill="1" applyBorder="1"/>
    <xf numFmtId="164" fontId="37" fillId="24" borderId="1" xfId="1" applyNumberFormat="1" applyFont="1" applyFill="1" applyBorder="1"/>
    <xf numFmtId="0" fontId="8" fillId="18" borderId="1" xfId="0" applyFont="1" applyFill="1" applyBorder="1"/>
    <xf numFmtId="0" fontId="8" fillId="18" borderId="1" xfId="0" applyFont="1" applyFill="1" applyBorder="1" applyAlignment="1">
      <alignment horizontal="center"/>
    </xf>
    <xf numFmtId="164" fontId="8" fillId="18" borderId="1" xfId="1" applyNumberFormat="1" applyFont="1" applyFill="1" applyBorder="1"/>
    <xf numFmtId="0" fontId="51" fillId="23" borderId="1" xfId="0" applyFont="1" applyFill="1" applyBorder="1"/>
    <xf numFmtId="0" fontId="8" fillId="23" borderId="1" xfId="0" applyFont="1" applyFill="1" applyBorder="1" applyAlignment="1">
      <alignment horizontal="right"/>
    </xf>
    <xf numFmtId="0" fontId="8" fillId="23" borderId="1" xfId="0" applyFont="1" applyFill="1" applyBorder="1"/>
    <xf numFmtId="0" fontId="54" fillId="24" borderId="1" xfId="0" applyFont="1" applyFill="1" applyBorder="1"/>
    <xf numFmtId="164" fontId="43" fillId="7" borderId="1" xfId="2" applyNumberFormat="1" applyFont="1" applyFill="1" applyBorder="1"/>
    <xf numFmtId="164" fontId="43" fillId="7" borderId="1" xfId="1" applyNumberFormat="1" applyFont="1" applyFill="1" applyBorder="1"/>
    <xf numFmtId="0" fontId="63" fillId="0" borderId="0" xfId="0" applyFont="1"/>
    <xf numFmtId="164" fontId="38" fillId="15" borderId="1" xfId="1" applyNumberFormat="1" applyFont="1" applyFill="1" applyBorder="1" applyAlignment="1">
      <alignment horizontal="center"/>
    </xf>
    <xf numFmtId="0" fontId="38" fillId="15" borderId="1" xfId="0" applyFont="1" applyFill="1" applyBorder="1" applyAlignment="1">
      <alignment horizontal="right"/>
    </xf>
    <xf numFmtId="0" fontId="7" fillId="15" borderId="1" xfId="0" applyFont="1" applyFill="1" applyBorder="1" applyAlignment="1">
      <alignment horizontal="center"/>
    </xf>
    <xf numFmtId="0" fontId="7" fillId="15" borderId="1" xfId="0" applyFont="1" applyFill="1" applyBorder="1"/>
    <xf numFmtId="164" fontId="7" fillId="15" borderId="1" xfId="1" applyNumberFormat="1" applyFont="1" applyFill="1" applyBorder="1"/>
    <xf numFmtId="0" fontId="28" fillId="0" borderId="1" xfId="0" applyFont="1" applyBorder="1"/>
    <xf numFmtId="0" fontId="28" fillId="0" borderId="0" xfId="0" applyFont="1"/>
    <xf numFmtId="4" fontId="0" fillId="0" borderId="0" xfId="0" applyNumberFormat="1"/>
    <xf numFmtId="0" fontId="33" fillId="0" borderId="0" xfId="0" applyFont="1" applyAlignment="1">
      <alignment horizontal="right"/>
    </xf>
    <xf numFmtId="166" fontId="36" fillId="0" borderId="1" xfId="2" applyNumberFormat="1" applyFont="1" applyBorder="1"/>
    <xf numFmtId="164" fontId="38" fillId="0" borderId="1" xfId="1" applyNumberFormat="1" applyFont="1" applyBorder="1" applyAlignment="1">
      <alignment horizontal="right" wrapText="1"/>
    </xf>
    <xf numFmtId="164" fontId="32" fillId="0" borderId="0" xfId="0" applyNumberFormat="1" applyFont="1"/>
    <xf numFmtId="0" fontId="8" fillId="0" borderId="0" xfId="0" applyFont="1"/>
    <xf numFmtId="0" fontId="38" fillId="0" borderId="1" xfId="1" applyNumberFormat="1" applyFont="1" applyBorder="1"/>
    <xf numFmtId="0" fontId="38" fillId="15" borderId="1" xfId="1" applyNumberFormat="1" applyFont="1" applyFill="1" applyBorder="1"/>
    <xf numFmtId="0" fontId="57" fillId="0" borderId="1" xfId="1" applyNumberFormat="1" applyFont="1" applyBorder="1"/>
    <xf numFmtId="9" fontId="38" fillId="0" borderId="1" xfId="6" applyFont="1" applyBorder="1"/>
    <xf numFmtId="164" fontId="38" fillId="0" borderId="1" xfId="1" applyNumberFormat="1" applyFont="1" applyFill="1" applyBorder="1"/>
    <xf numFmtId="166" fontId="38" fillId="15" borderId="1" xfId="1" applyNumberFormat="1" applyFont="1" applyFill="1" applyBorder="1"/>
    <xf numFmtId="164" fontId="8" fillId="0" borderId="1" xfId="1" applyNumberFormat="1" applyFont="1" applyFill="1" applyBorder="1"/>
    <xf numFmtId="43" fontId="8" fillId="18" borderId="1" xfId="1" applyFont="1" applyFill="1" applyBorder="1"/>
    <xf numFmtId="43" fontId="8" fillId="18" borderId="1" xfId="1" applyNumberFormat="1" applyFont="1" applyFill="1" applyBorder="1"/>
    <xf numFmtId="166" fontId="8" fillId="18" borderId="1" xfId="1" applyNumberFormat="1" applyFont="1" applyFill="1" applyBorder="1"/>
    <xf numFmtId="0" fontId="38" fillId="0" borderId="1" xfId="0" applyFont="1" applyFill="1" applyBorder="1" applyAlignment="1">
      <alignment horizontal="center"/>
    </xf>
    <xf numFmtId="0" fontId="38" fillId="0" borderId="1" xfId="0" applyFont="1" applyFill="1" applyBorder="1"/>
    <xf numFmtId="43" fontId="57" fillId="0" borderId="1" xfId="1" applyFont="1" applyFill="1" applyBorder="1"/>
    <xf numFmtId="0" fontId="64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46" fillId="0" borderId="1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17" fillId="0" borderId="1" xfId="4" applyFont="1" applyBorder="1" applyAlignment="1">
      <alignment horizontal="center"/>
    </xf>
    <xf numFmtId="0" fontId="11" fillId="0" borderId="1" xfId="4" applyFont="1" applyBorder="1" applyAlignment="1">
      <alignment horizontal="center"/>
    </xf>
    <xf numFmtId="0" fontId="13" fillId="0" borderId="17" xfId="4" applyFont="1" applyBorder="1"/>
    <xf numFmtId="0" fontId="13" fillId="0" borderId="18" xfId="4" applyFont="1" applyBorder="1"/>
    <xf numFmtId="0" fontId="13" fillId="0" borderId="19" xfId="4" applyFont="1" applyBorder="1"/>
    <xf numFmtId="0" fontId="11" fillId="0" borderId="1" xfId="4" applyFont="1" applyBorder="1" applyAlignment="1">
      <alignment horizontal="center" vertical="top"/>
    </xf>
    <xf numFmtId="0" fontId="10" fillId="0" borderId="1" xfId="4" applyFont="1" applyBorder="1"/>
    <xf numFmtId="0" fontId="37" fillId="24" borderId="9" xfId="0" applyFont="1" applyFill="1" applyBorder="1" applyAlignment="1">
      <alignment horizontal="center"/>
    </xf>
    <xf numFmtId="0" fontId="37" fillId="24" borderId="16" xfId="0" applyFont="1" applyFill="1" applyBorder="1" applyAlignment="1">
      <alignment horizontal="center"/>
    </xf>
    <xf numFmtId="0" fontId="37" fillId="24" borderId="12" xfId="0" applyFont="1" applyFill="1" applyBorder="1" applyAlignment="1">
      <alignment horizontal="center"/>
    </xf>
    <xf numFmtId="0" fontId="66" fillId="0" borderId="0" xfId="0" applyFont="1" applyAlignment="1">
      <alignment horizontal="center" vertical="center"/>
    </xf>
  </cellXfs>
  <cellStyles count="9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_מרום הגליל תקציב 2009" xfId="5" xr:uid="{00000000-0005-0000-0000-000005000000}"/>
    <cellStyle name="Percent" xfId="6" builtinId="5"/>
    <cellStyle name="הערה" xfId="7" builtinId="10"/>
    <cellStyle name="הערה 2" xfId="8" xr:uid="{00000000-0005-0000-0000-000008000000}"/>
  </cellStyles>
  <dxfs count="599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2.xml"/><Relationship Id="rId13" Type="http://schemas.openxmlformats.org/officeDocument/2006/relationships/worksheet" Target="worksheets/sheet9.xml"/><Relationship Id="rId18" Type="http://schemas.openxmlformats.org/officeDocument/2006/relationships/worksheet" Target="worksheets/sheet14.xml"/><Relationship Id="rId26" Type="http://schemas.openxmlformats.org/officeDocument/2006/relationships/worksheet" Target="worksheets/sheet22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17.xml"/><Relationship Id="rId34" Type="http://schemas.openxmlformats.org/officeDocument/2006/relationships/worksheet" Target="worksheets/sheet30.xml"/><Relationship Id="rId7" Type="http://schemas.openxmlformats.org/officeDocument/2006/relationships/chartsheet" Target="chartsheets/sheet1.xml"/><Relationship Id="rId12" Type="http://schemas.openxmlformats.org/officeDocument/2006/relationships/worksheet" Target="worksheets/sheet8.xml"/><Relationship Id="rId17" Type="http://schemas.openxmlformats.org/officeDocument/2006/relationships/worksheet" Target="worksheets/sheet13.xml"/><Relationship Id="rId25" Type="http://schemas.openxmlformats.org/officeDocument/2006/relationships/worksheet" Target="worksheets/sheet21.xml"/><Relationship Id="rId33" Type="http://schemas.openxmlformats.org/officeDocument/2006/relationships/worksheet" Target="worksheets/sheet29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2.xml"/><Relationship Id="rId20" Type="http://schemas.openxmlformats.org/officeDocument/2006/relationships/worksheet" Target="worksheets/sheet16.xml"/><Relationship Id="rId29" Type="http://schemas.openxmlformats.org/officeDocument/2006/relationships/worksheet" Target="worksheets/sheet2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7.xml"/><Relationship Id="rId24" Type="http://schemas.openxmlformats.org/officeDocument/2006/relationships/worksheet" Target="worksheets/sheet20.xml"/><Relationship Id="rId32" Type="http://schemas.openxmlformats.org/officeDocument/2006/relationships/worksheet" Target="worksheets/sheet28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1.xml"/><Relationship Id="rId23" Type="http://schemas.openxmlformats.org/officeDocument/2006/relationships/worksheet" Target="worksheets/sheet19.xml"/><Relationship Id="rId28" Type="http://schemas.openxmlformats.org/officeDocument/2006/relationships/worksheet" Target="worksheets/sheet24.xml"/><Relationship Id="rId36" Type="http://schemas.openxmlformats.org/officeDocument/2006/relationships/theme" Target="theme/theme1.xml"/><Relationship Id="rId10" Type="http://schemas.openxmlformats.org/officeDocument/2006/relationships/chartsheet" Target="chartsheets/sheet4.xml"/><Relationship Id="rId19" Type="http://schemas.openxmlformats.org/officeDocument/2006/relationships/worksheet" Target="worksheets/sheet15.xml"/><Relationship Id="rId31" Type="http://schemas.openxmlformats.org/officeDocument/2006/relationships/worksheet" Target="worksheets/sheet27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3.xml"/><Relationship Id="rId14" Type="http://schemas.openxmlformats.org/officeDocument/2006/relationships/worksheet" Target="worksheets/sheet10.xml"/><Relationship Id="rId22" Type="http://schemas.openxmlformats.org/officeDocument/2006/relationships/worksheet" Target="worksheets/sheet18.xml"/><Relationship Id="rId27" Type="http://schemas.openxmlformats.org/officeDocument/2006/relationships/worksheet" Target="worksheets/sheet23.xml"/><Relationship Id="rId30" Type="http://schemas.openxmlformats.org/officeDocument/2006/relationships/worksheet" Target="worksheets/sheet26.xml"/><Relationship Id="rId35" Type="http://schemas.openxmlformats.org/officeDocument/2006/relationships/externalLink" Target="externalLinks/externalLink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David"/>
                <a:ea typeface="David"/>
                <a:cs typeface="David"/>
              </a:defRPr>
            </a:pPr>
            <a:r>
              <a:t>חלוקת הכנסות לפרקים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271579729860481E-2"/>
          <c:y val="8.9542352874627071E-2"/>
          <c:w val="0.75120744340282564"/>
          <c:h val="0.89055715273127956"/>
        </c:manualLayout>
      </c:layout>
      <c:pieChart>
        <c:varyColors val="1"/>
        <c:ser>
          <c:idx val="0"/>
          <c:order val="0"/>
          <c:explosion val="9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B19-4F48-AF5D-869FF4965C8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B19-4F48-AF5D-869FF4965C8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B19-4F48-AF5D-869FF4965C8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B19-4F48-AF5D-869FF4965C8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3B19-4F48-AF5D-869FF4965C80}"/>
              </c:ext>
            </c:extLst>
          </c:dPt>
          <c:dLbls>
            <c:dLbl>
              <c:idx val="3"/>
              <c:layout>
                <c:manualLayout>
                  <c:x val="2.1252372763271642E-2"/>
                  <c:y val="7.2079198929857466E-2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David"/>
                      <a:ea typeface="David"/>
                      <a:cs typeface="David"/>
                    </a:defRPr>
                  </a:pPr>
                  <a:endParaRPr lang="he-I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B19-4F48-AF5D-869FF4965C8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David"/>
                    <a:ea typeface="David"/>
                    <a:cs typeface="David"/>
                  </a:defRPr>
                </a:pPr>
                <a:endParaRPr lang="he-IL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('חלוקה לפי פרק'!$M$8,'חלוקה לפי פרק'!$M$15,'חלוקה לפי פרק'!$M$22,'חלוקה לפי פרק'!$M$26,'חלוקה לפי פרק'!$M$30)</c:f>
              <c:strCache>
                <c:ptCount val="5"/>
                <c:pt idx="0">
                  <c:v> מיסים ומענק כללי</c:v>
                </c:pt>
                <c:pt idx="1">
                  <c:v> שירותים מקומיים</c:v>
                </c:pt>
                <c:pt idx="2">
                  <c:v> שירותים ממלכתיים</c:v>
                </c:pt>
                <c:pt idx="3">
                  <c:v> מפעלים</c:v>
                </c:pt>
                <c:pt idx="4">
                  <c:v> תקבולים בלתי רגילים</c:v>
                </c:pt>
              </c:strCache>
            </c:strRef>
          </c:cat>
          <c:val>
            <c:numRef>
              <c:f>('חלוקה לפי פרק'!$N$8,'חלוקה לפי פרק'!$N$15,'חלוקה לפי פרק'!$N$22,'חלוקה לפי פרק'!$N$26,'חלוקה לפי פרק'!$N$30)</c:f>
              <c:numCache>
                <c:formatCode>_ * #,##0_ ;_ * \-#,##0_ ;_ * "-"??_ ;_ @_ </c:formatCode>
                <c:ptCount val="5"/>
                <c:pt idx="0">
                  <c:v>24164000</c:v>
                </c:pt>
                <c:pt idx="1">
                  <c:v>1986000</c:v>
                </c:pt>
                <c:pt idx="2">
                  <c:v>38791000</c:v>
                </c:pt>
                <c:pt idx="3">
                  <c:v>7650000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B19-4F48-AF5D-869FF4965C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8194546515018959"/>
          <c:y val="0.44752178636280737"/>
          <c:w val="0.98055686789151353"/>
          <c:h val="0.610787163689131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David"/>
              <a:ea typeface="David"/>
              <a:cs typeface="David"/>
            </a:defRPr>
          </a:pPr>
          <a:endParaRPr lang="he-IL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/>
    <c:pageMargins b="0.75000000000000266" l="0.70000000000000062" r="0.70000000000000062" t="0.7500000000000026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David"/>
                <a:ea typeface="David"/>
                <a:cs typeface="David"/>
              </a:defRPr>
            </a:pPr>
            <a:r>
              <a:t>חלוקת הוצאות לפרקים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8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51B-412B-9D41-35E66F324BC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51B-412B-9D41-35E66F324BC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51B-412B-9D41-35E66F324BC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51B-412B-9D41-35E66F324BCB}"/>
              </c:ext>
            </c:extLst>
          </c:dPt>
          <c:dLbls>
            <c:dLbl>
              <c:idx val="3"/>
              <c:layout>
                <c:manualLayout>
                  <c:x val="2.1252372763271642E-2"/>
                  <c:y val="7.2079198929857466E-2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David"/>
                      <a:ea typeface="David"/>
                      <a:cs typeface="David"/>
                    </a:defRPr>
                  </a:pPr>
                  <a:endParaRPr lang="he-I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1B-412B-9D41-35E66F324BC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David"/>
                    <a:ea typeface="David"/>
                    <a:cs typeface="David"/>
                  </a:defRPr>
                </a:pPr>
                <a:endParaRPr lang="he-IL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('חלוקה לפי פרק'!$M$79,'חלוקה לפי פרק'!$M$87,'חלוקה לפי פרק'!$M$94,'חלוקה לפי פרק'!$M$98)</c:f>
              <c:strCache>
                <c:ptCount val="4"/>
                <c:pt idx="0">
                  <c:v> הנהלה וכלליות</c:v>
                </c:pt>
                <c:pt idx="1">
                  <c:v> שירותים מקומיים</c:v>
                </c:pt>
                <c:pt idx="2">
                  <c:v> שירותים ממלכתיים</c:v>
                </c:pt>
                <c:pt idx="3">
                  <c:v> מפעלים ותשלומים בלתי רגילים</c:v>
                </c:pt>
              </c:strCache>
            </c:strRef>
          </c:cat>
          <c:val>
            <c:numRef>
              <c:f>('חלוקה לפי פרק'!$N$79,'חלוקה לפי פרק'!$N$87,'חלוקה לפי פרק'!$N$94,'חלוקה לפי פרק'!$N$98)</c:f>
              <c:numCache>
                <c:formatCode>_ * #,##0_ ;_ * \-#,##0_ ;_ * "-"??_ ;_ @_ </c:formatCode>
                <c:ptCount val="4"/>
                <c:pt idx="0">
                  <c:v>11451000</c:v>
                </c:pt>
                <c:pt idx="1">
                  <c:v>7611000</c:v>
                </c:pt>
                <c:pt idx="2">
                  <c:v>46426000</c:v>
                </c:pt>
                <c:pt idx="3">
                  <c:v>14237000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51B-412B-9D41-35E66F324B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091411913759742"/>
          <c:y val="0.45626121779182571"/>
          <c:w val="0.98060937403571435"/>
          <c:h val="0.60891996848528918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David"/>
              <a:ea typeface="David"/>
              <a:cs typeface="David"/>
            </a:defRPr>
          </a:pPr>
          <a:endParaRPr lang="he-IL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/>
    <c:pageMargins b="0.75000000000000266" l="0.70000000000000062" r="0.70000000000000062" t="0.7500000000000026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David" panose="020E0502060401010101" pitchFamily="34" charset="-79"/>
                <a:ea typeface="+mn-ea"/>
                <a:cs typeface="David" panose="020E0502060401010101" pitchFamily="34" charset="-79"/>
              </a:defRPr>
            </a:pPr>
            <a:r>
              <a:rPr lang="he-IL"/>
              <a:t>התפלגות הכנסות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David" panose="020E0502060401010101" pitchFamily="34" charset="-79"/>
              <a:ea typeface="+mn-ea"/>
              <a:cs typeface="David" panose="020E0502060401010101" pitchFamily="34" charset="-79"/>
            </a:defRPr>
          </a:pPr>
          <a:endParaRPr lang="he-I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40D-46DB-BB97-A129B9F1F0E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40D-46DB-BB97-A129B9F1F0E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40D-46DB-BB97-A129B9F1F0E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40D-46DB-BB97-A129B9F1F0E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40D-46DB-BB97-A129B9F1F0E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40D-46DB-BB97-A129B9F1F0E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540D-46DB-BB97-A129B9F1F0E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540D-46DB-BB97-A129B9F1F0E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540D-46DB-BB97-A129B9F1F0E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540D-46DB-BB97-A129B9F1F0E2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540D-46DB-BB97-A129B9F1F0E2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540D-46DB-BB97-A129B9F1F0E2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540D-46DB-BB97-A129B9F1F0E2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540D-46DB-BB97-A129B9F1F0E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David" panose="020E0502060401010101" pitchFamily="34" charset="-79"/>
                    <a:ea typeface="+mn-ea"/>
                    <a:cs typeface="David" panose="020E0502060401010101" pitchFamily="34" charset="-79"/>
                  </a:defRPr>
                </a:pPr>
                <a:endParaRPr lang="he-IL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('ריכוז תקציב'!$B$5:$B$9,'ריכוז תקציב'!$B$11:$B$15,'ריכוז תקציב'!$B$17:$B$18,'ריכוז תקציב'!$B$20:$B$21)</c:f>
              <c:strCache>
                <c:ptCount val="14"/>
                <c:pt idx="0">
                  <c:v>ארנונה  כללית</c:v>
                </c:pt>
                <c:pt idx="1">
                  <c:v>מפעל המים</c:v>
                </c:pt>
                <c:pt idx="2">
                  <c:v> עצמיות חינוך</c:v>
                </c:pt>
                <c:pt idx="3">
                  <c:v> עצמיות רווחה</c:v>
                </c:pt>
                <c:pt idx="4">
                  <c:v> עצמיות אחר</c:v>
                </c:pt>
                <c:pt idx="5">
                  <c:v>משרד החינוך</c:v>
                </c:pt>
                <c:pt idx="6">
                  <c:v>משרד הרווחה</c:v>
                </c:pt>
                <c:pt idx="7">
                  <c:v> תקבולים ממשלתיים אחרים</c:v>
                </c:pt>
                <c:pt idx="8">
                  <c:v>מענק כללי לאיזון</c:v>
                </c:pt>
                <c:pt idx="9">
                  <c:v>מענקים אחרים ממשרד הפנים</c:v>
                </c:pt>
                <c:pt idx="10">
                  <c:v>תקבולים אחרים </c:v>
                </c:pt>
                <c:pt idx="11">
                  <c:v>הכנסות משנים קודמות</c:v>
                </c:pt>
                <c:pt idx="12">
                  <c:v>הנחות ארנונה</c:v>
                </c:pt>
                <c:pt idx="13">
                  <c:v>הכנסה  לכיסוי גרעון נצבר</c:v>
                </c:pt>
              </c:strCache>
            </c:strRef>
          </c:cat>
          <c:val>
            <c:numRef>
              <c:f>('ריכוז תקציב'!$Q$5:$Q$9,'ריכוז תקציב'!$Q$11:$Q$15,'ריכוז תקציב'!$Q$17:$Q$18,'ריכוז תקציב'!$Q$20:$Q$21)</c:f>
              <c:numCache>
                <c:formatCode>_ * #,##0_ ;_ * \-#,##0_ ;_ * "-"??_ ;_ @_ </c:formatCode>
                <c:ptCount val="14"/>
                <c:pt idx="0">
                  <c:v>7513000</c:v>
                </c:pt>
                <c:pt idx="1">
                  <c:v>2200000</c:v>
                </c:pt>
                <c:pt idx="2">
                  <c:v>40000</c:v>
                </c:pt>
                <c:pt idx="3">
                  <c:v>50000</c:v>
                </c:pt>
                <c:pt idx="4">
                  <c:v>2273000</c:v>
                </c:pt>
                <c:pt idx="5">
                  <c:v>40562000.486500002</c:v>
                </c:pt>
                <c:pt idx="6">
                  <c:v>19843000</c:v>
                </c:pt>
                <c:pt idx="7">
                  <c:v>869000</c:v>
                </c:pt>
                <c:pt idx="8">
                  <c:v>14031000</c:v>
                </c:pt>
                <c:pt idx="9">
                  <c:v>2917000</c:v>
                </c:pt>
                <c:pt idx="10">
                  <c:v>3000000</c:v>
                </c:pt>
                <c:pt idx="11">
                  <c:v>0</c:v>
                </c:pt>
                <c:pt idx="12">
                  <c:v>4333000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540D-46DB-BB97-A129B9F1F0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6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David" panose="020E0502060401010101" pitchFamily="34" charset="-79"/>
              <a:ea typeface="+mn-ea"/>
              <a:cs typeface="David" panose="020E0502060401010101" pitchFamily="34" charset="-79"/>
            </a:defRPr>
          </a:pPr>
          <a:endParaRPr lang="he-I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David" panose="020E0502060401010101" pitchFamily="34" charset="-79"/>
          <a:cs typeface="David" panose="020E0502060401010101" pitchFamily="34" charset="-79"/>
        </a:defRPr>
      </a:pPr>
      <a:endParaRPr lang="he-IL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David" panose="020E0502060401010101" pitchFamily="34" charset="-79"/>
                <a:ea typeface="+mn-ea"/>
                <a:cs typeface="David" panose="020E0502060401010101" pitchFamily="34" charset="-79"/>
              </a:defRPr>
            </a:pPr>
            <a:r>
              <a:rPr lang="he-IL" b="1"/>
              <a:t>התפלגות הכנסות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David" panose="020E0502060401010101" pitchFamily="34" charset="-79"/>
              <a:ea typeface="+mn-ea"/>
              <a:cs typeface="David" panose="020E0502060401010101" pitchFamily="34" charset="-79"/>
            </a:defRPr>
          </a:pPr>
          <a:endParaRPr lang="he-I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0A5-403E-B52B-578B3431590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0A5-403E-B52B-578B3431590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0A5-403E-B52B-578B3431590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0A5-403E-B52B-578B3431590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0A5-403E-B52B-578B3431590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0A5-403E-B52B-578B3431590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00A5-403E-B52B-578B3431590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00A5-403E-B52B-578B3431590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00A5-403E-B52B-578B3431590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00A5-403E-B52B-578B3431590E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00A5-403E-B52B-578B3431590E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00A5-403E-B52B-578B3431590E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00A5-403E-B52B-578B3431590E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00A5-403E-B52B-578B3431590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David" panose="020E0502060401010101" pitchFamily="34" charset="-79"/>
                    <a:ea typeface="+mn-ea"/>
                    <a:cs typeface="David" panose="020E0502060401010101" pitchFamily="34" charset="-79"/>
                  </a:defRPr>
                </a:pPr>
                <a:endParaRPr lang="he-IL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('ריכוז תקציב'!$B$10,'ריכוז תקציב'!$B$16)</c:f>
              <c:strCache>
                <c:ptCount val="2"/>
                <c:pt idx="0">
                  <c:v>סה"כ הכנסות עצמיות</c:v>
                </c:pt>
                <c:pt idx="1">
                  <c:v>סה"כ תקבולי ממשלה</c:v>
                </c:pt>
              </c:strCache>
            </c:strRef>
          </c:cat>
          <c:val>
            <c:numRef>
              <c:f>('ריכוז תקציב'!$Q$10,'ריכוז תקציב'!$Q$16)</c:f>
              <c:numCache>
                <c:formatCode>_ * #,##0_ ;_ * \-#,##0_ ;_ * "-"??_ ;_ @_ </c:formatCode>
                <c:ptCount val="2"/>
                <c:pt idx="0">
                  <c:v>12076000</c:v>
                </c:pt>
                <c:pt idx="1">
                  <c:v>78222000.486499995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00A5-403E-B52B-578B343159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6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David" panose="020E0502060401010101" pitchFamily="34" charset="-79"/>
              <a:ea typeface="+mn-ea"/>
              <a:cs typeface="David" panose="020E0502060401010101" pitchFamily="34" charset="-79"/>
            </a:defRPr>
          </a:pPr>
          <a:endParaRPr lang="he-IL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David" panose="020E0502060401010101" pitchFamily="34" charset="-79"/>
          <a:cs typeface="David" panose="020E0502060401010101" pitchFamily="34" charset="-79"/>
        </a:defRPr>
      </a:pPr>
      <a:endParaRPr lang="he-IL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David" panose="020E0502060401010101" pitchFamily="34" charset="-79"/>
                <a:ea typeface="+mn-ea"/>
                <a:cs typeface="David" panose="020E0502060401010101" pitchFamily="34" charset="-79"/>
              </a:defRPr>
            </a:pPr>
            <a:r>
              <a:rPr lang="he-IL" sz="2000" b="1"/>
              <a:t>התפלגות</a:t>
            </a:r>
            <a:r>
              <a:rPr lang="he-IL" sz="2000" b="1" baseline="0"/>
              <a:t> הוצאות</a:t>
            </a:r>
            <a:endParaRPr lang="he-IL" sz="20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David" panose="020E0502060401010101" pitchFamily="34" charset="-79"/>
              <a:ea typeface="+mn-ea"/>
              <a:cs typeface="David" panose="020E0502060401010101" pitchFamily="34" charset="-79"/>
            </a:defRPr>
          </a:pPr>
          <a:endParaRPr lang="he-I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FE5-48F8-BF80-0945BBA0694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FE5-48F8-BF80-0945BBA0694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FE5-48F8-BF80-0945BBA0694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FE5-48F8-BF80-0945BBA0694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FE5-48F8-BF80-0945BBA0694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FE5-48F8-BF80-0945BBA0694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FE5-48F8-BF80-0945BBA0694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BFE5-48F8-BF80-0945BBA0694A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BFE5-48F8-BF80-0945BBA0694A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BFE5-48F8-BF80-0945BBA0694A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BFE5-48F8-BF80-0945BBA0694A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BFE5-48F8-BF80-0945BBA0694A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BFE5-48F8-BF80-0945BBA0694A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BFE5-48F8-BF80-0945BBA0694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David" panose="020E0502060401010101" pitchFamily="34" charset="-79"/>
                    <a:ea typeface="+mn-ea"/>
                    <a:cs typeface="David" panose="020E0502060401010101" pitchFamily="34" charset="-79"/>
                  </a:defRPr>
                </a:pPr>
                <a:endParaRPr lang="he-IL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('ריכוז תקציב'!$B$26:$B$28,'ריכוז תקציב'!$B$30:$B$31,'ריכוז תקציב'!$B$33:$B$34,'ריכוז תקציב'!$B$36:$B$37,'ריכוז תקציב'!$B$39:$B$40,'ריכוז תקציב'!$B$42:$B$43,'ריכוז תקציב'!$B$45)</c:f>
              <c:strCache>
                <c:ptCount val="14"/>
                <c:pt idx="0">
                  <c:v>שכר כללי</c:v>
                </c:pt>
                <c:pt idx="1">
                  <c:v>פעולות כלליות</c:v>
                </c:pt>
                <c:pt idx="2">
                  <c:v>מפעל המים</c:v>
                </c:pt>
                <c:pt idx="3">
                  <c:v>שכר חינוך </c:v>
                </c:pt>
                <c:pt idx="4">
                  <c:v>פעולות חינוך </c:v>
                </c:pt>
                <c:pt idx="5">
                  <c:v>שכר רווחה</c:v>
                </c:pt>
                <c:pt idx="6">
                  <c:v>פעולות רווחה</c:v>
                </c:pt>
                <c:pt idx="7">
                  <c:v>פרעון מילוות מים וביוב</c:v>
                </c:pt>
                <c:pt idx="8">
                  <c:v>פרעון מילוות אחר</c:v>
                </c:pt>
                <c:pt idx="9">
                  <c:v>הוצאות מימון</c:v>
                </c:pt>
                <c:pt idx="10">
                  <c:v>הוצאה  שנים קודמות</c:v>
                </c:pt>
                <c:pt idx="11">
                  <c:v>הנחות ארנונה</c:v>
                </c:pt>
                <c:pt idx="12">
                  <c:v>הוצאה לכיסוי גרעון נצבר</c:v>
                </c:pt>
                <c:pt idx="13">
                  <c:v>הוצאה מותנה</c:v>
                </c:pt>
              </c:strCache>
            </c:strRef>
          </c:cat>
          <c:val>
            <c:numRef>
              <c:f>('ריכוז תקציב'!$Q$26:$Q$28,'ריכוז תקציב'!$Q$30:$Q$31,'ריכוז תקציב'!$Q$33:$Q$34,'ריכוז תקציב'!$Q$36:$Q$37,'ריכוז תקציב'!$Q$39:$Q$40,'ריכוז תקציב'!$Q$42:$Q$43,'ריכוז תקציב'!$Q$45)</c:f>
              <c:numCache>
                <c:formatCode>_ * #,##0_ ;_ * \-#,##0_ ;_ * "-"??_ ;_ @_ </c:formatCode>
                <c:ptCount val="14"/>
                <c:pt idx="0">
                  <c:v>7171000</c:v>
                </c:pt>
                <c:pt idx="1">
                  <c:v>14736000.249999998</c:v>
                </c:pt>
                <c:pt idx="2">
                  <c:v>2600000</c:v>
                </c:pt>
                <c:pt idx="3">
                  <c:v>29916000</c:v>
                </c:pt>
                <c:pt idx="4">
                  <c:v>14199000.300000001</c:v>
                </c:pt>
                <c:pt idx="5">
                  <c:v>3227000</c:v>
                </c:pt>
                <c:pt idx="6">
                  <c:v>23763000.23</c:v>
                </c:pt>
                <c:pt idx="7">
                  <c:v>360000</c:v>
                </c:pt>
                <c:pt idx="8">
                  <c:v>3247999.95</c:v>
                </c:pt>
                <c:pt idx="9">
                  <c:v>400000</c:v>
                </c:pt>
                <c:pt idx="10">
                  <c:v>300000</c:v>
                </c:pt>
                <c:pt idx="11">
                  <c:v>4333000</c:v>
                </c:pt>
                <c:pt idx="12">
                  <c:v>0</c:v>
                </c:pt>
                <c:pt idx="13">
                  <c:v>2876000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BFE5-48F8-BF80-0945BBA069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6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David" panose="020E0502060401010101" pitchFamily="34" charset="-79"/>
              <a:ea typeface="+mn-ea"/>
              <a:cs typeface="David" panose="020E0502060401010101" pitchFamily="34" charset="-79"/>
            </a:defRPr>
          </a:pPr>
          <a:endParaRPr lang="he-IL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David" panose="020E0502060401010101" pitchFamily="34" charset="-79"/>
          <a:cs typeface="David" panose="020E0502060401010101" pitchFamily="34" charset="-79"/>
        </a:defRPr>
      </a:pPr>
      <a:endParaRPr lang="he-IL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David" panose="020E0502060401010101" pitchFamily="34" charset="-79"/>
                <a:ea typeface="+mn-ea"/>
                <a:cs typeface="David" panose="020E0502060401010101" pitchFamily="34" charset="-79"/>
              </a:defRPr>
            </a:pPr>
            <a:r>
              <a:rPr lang="he-IL" sz="2000" b="1"/>
              <a:t>התפלגות</a:t>
            </a:r>
            <a:r>
              <a:rPr lang="he-IL" sz="2000" b="1" baseline="0"/>
              <a:t> הוצאות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David" panose="020E0502060401010101" pitchFamily="34" charset="-79"/>
              <a:ea typeface="+mn-ea"/>
              <a:cs typeface="David" panose="020E0502060401010101" pitchFamily="34" charset="-79"/>
            </a:defRPr>
          </a:pPr>
          <a:endParaRPr lang="he-I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10B-4DCC-A738-D09E4215E92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10B-4DCC-A738-D09E4215E92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10B-4DCC-A738-D09E4215E92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10B-4DCC-A738-D09E4215E92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10B-4DCC-A738-D09E4215E92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10B-4DCC-A738-D09E4215E923}"/>
              </c:ext>
            </c:extLst>
          </c:dPt>
          <c:dPt>
            <c:idx val="6"/>
            <c:bubble3D val="0"/>
            <c:spPr>
              <a:solidFill>
                <a:srgbClr val="9BBB59">
                  <a:lumMod val="40000"/>
                  <a:lumOff val="6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010B-4DCC-A738-D09E4215E92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010B-4DCC-A738-D09E4215E92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010B-4DCC-A738-D09E4215E923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010B-4DCC-A738-D09E4215E923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010B-4DCC-A738-D09E4215E923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010B-4DCC-A738-D09E4215E923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010B-4DCC-A738-D09E4215E923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010B-4DCC-A738-D09E4215E92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David" panose="020E0502060401010101" pitchFamily="34" charset="-79"/>
                    <a:ea typeface="+mn-ea"/>
                    <a:cs typeface="David" panose="020E0502060401010101" pitchFamily="34" charset="-79"/>
                  </a:defRPr>
                </a:pPr>
                <a:endParaRPr lang="he-IL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('ריכוז תקציב'!$B$29,'ריכוז תקציב'!$B$32,'ריכוז תקציב'!$B$35,'ריכוז תקציב'!$B$38,'ריכוז תקציב'!$B$39,'ריכוז תקציב'!$B$40,'ריכוז תקציב'!$B$42,'ריכוז תקציב'!$B$45)</c:f>
              <c:strCache>
                <c:ptCount val="8"/>
                <c:pt idx="0">
                  <c:v>סה"כ הוצאות כלליות</c:v>
                </c:pt>
                <c:pt idx="1">
                  <c:v>סה"כ חינוך</c:v>
                </c:pt>
                <c:pt idx="2">
                  <c:v>סה"כ רווחה</c:v>
                </c:pt>
                <c:pt idx="3">
                  <c:v>סה"כ פרעון מלוות</c:v>
                </c:pt>
                <c:pt idx="4">
                  <c:v>הוצאות מימון</c:v>
                </c:pt>
                <c:pt idx="5">
                  <c:v>הוצאה  שנים קודמות</c:v>
                </c:pt>
                <c:pt idx="6">
                  <c:v>הנחות ארנונה</c:v>
                </c:pt>
                <c:pt idx="7">
                  <c:v>הוצאה מותנה</c:v>
                </c:pt>
              </c:strCache>
            </c:strRef>
          </c:cat>
          <c:val>
            <c:numRef>
              <c:f>('ריכוז תקציב'!$Q$29,'ריכוז תקציב'!$Q$32,'ריכוז תקציב'!$Q$35,'ריכוז תקציב'!$Q$38,'ריכוז תקציב'!$Q$39,'ריכוז תקציב'!$Q$40,'ריכוז תקציב'!$Q$42,'ריכוז תקציב'!$Q$45)</c:f>
              <c:numCache>
                <c:formatCode>_ * #,##0_ ;_ * \-#,##0_ ;_ * "-"??_ ;_ @_ </c:formatCode>
                <c:ptCount val="8"/>
                <c:pt idx="0">
                  <c:v>24507000.25</c:v>
                </c:pt>
                <c:pt idx="1">
                  <c:v>44115000.299999997</c:v>
                </c:pt>
                <c:pt idx="2">
                  <c:v>26990000.23</c:v>
                </c:pt>
                <c:pt idx="3">
                  <c:v>3607999.95</c:v>
                </c:pt>
                <c:pt idx="4">
                  <c:v>400000</c:v>
                </c:pt>
                <c:pt idx="5">
                  <c:v>300000</c:v>
                </c:pt>
                <c:pt idx="6">
                  <c:v>4333000</c:v>
                </c:pt>
                <c:pt idx="7">
                  <c:v>2876000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010B-4DCC-A738-D09E4215E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6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David" panose="020E0502060401010101" pitchFamily="34" charset="-79"/>
              <a:ea typeface="+mn-ea"/>
              <a:cs typeface="David" panose="020E0502060401010101" pitchFamily="34" charset="-79"/>
            </a:defRPr>
          </a:pPr>
          <a:endParaRPr lang="he-IL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David" panose="020E0502060401010101" pitchFamily="34" charset="-79"/>
          <a:cs typeface="David" panose="020E0502060401010101" pitchFamily="34" charset="-79"/>
        </a:defRPr>
      </a:pPr>
      <a:endParaRPr lang="he-IL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16841DF-B54E-4DE3-AAF0-40563BB9228A}">
  <sheetPr/>
  <sheetViews>
    <sheetView zoomScale="122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33E22CD-4FFB-41CC-BC8B-884A64B171FC}">
  <sheetPr/>
  <sheetViews>
    <sheetView zoomScale="122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6F4F358-BFE4-4717-97A3-AE7B41A2A691}">
  <sheetPr/>
  <sheetViews>
    <sheetView zoomScale="122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CEA2B28-19FF-4AE7-AD70-8A27E8381148}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32</xdr:row>
      <xdr:rowOff>47625</xdr:rowOff>
    </xdr:from>
    <xdr:to>
      <xdr:col>8</xdr:col>
      <xdr:colOff>1095375</xdr:colOff>
      <xdr:row>68</xdr:row>
      <xdr:rowOff>66675</xdr:rowOff>
    </xdr:to>
    <xdr:graphicFrame macro="">
      <xdr:nvGraphicFramePr>
        <xdr:cNvPr id="2611" name="תרשים 1">
          <a:extLst>
            <a:ext uri="{FF2B5EF4-FFF2-40B4-BE49-F238E27FC236}">
              <a16:creationId xmlns:a16="http://schemas.microsoft.com/office/drawing/2014/main" id="{00000000-0008-0000-0200-0000330A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57150</xdr:colOff>
      <xdr:row>101</xdr:row>
      <xdr:rowOff>133350</xdr:rowOff>
    </xdr:from>
    <xdr:to>
      <xdr:col>8</xdr:col>
      <xdr:colOff>1085850</xdr:colOff>
      <xdr:row>132</xdr:row>
      <xdr:rowOff>76200</xdr:rowOff>
    </xdr:to>
    <xdr:graphicFrame macro="">
      <xdr:nvGraphicFramePr>
        <xdr:cNvPr id="2612" name="תרשים 2">
          <a:extLst>
            <a:ext uri="{FF2B5EF4-FFF2-40B4-BE49-F238E27FC236}">
              <a16:creationId xmlns:a16="http://schemas.microsoft.com/office/drawing/2014/main" id="{00000000-0008-0000-0200-0000340A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תרשים 1">
          <a:extLst>
            <a:ext uri="{FF2B5EF4-FFF2-40B4-BE49-F238E27FC236}">
              <a16:creationId xmlns:a16="http://schemas.microsoft.com/office/drawing/2014/main" id="{697BA44B-FFE2-4287-943F-F72DC5A76B0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תרשים 1">
          <a:extLst>
            <a:ext uri="{FF2B5EF4-FFF2-40B4-BE49-F238E27FC236}">
              <a16:creationId xmlns:a16="http://schemas.microsoft.com/office/drawing/2014/main" id="{6EFA8618-FF9A-4A99-BCF8-BC136160257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תרשים 1">
          <a:extLst>
            <a:ext uri="{FF2B5EF4-FFF2-40B4-BE49-F238E27FC236}">
              <a16:creationId xmlns:a16="http://schemas.microsoft.com/office/drawing/2014/main" id="{3F8E6EFF-CC4D-4A55-8470-CF4408658D4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תרשים 1">
          <a:extLst>
            <a:ext uri="{FF2B5EF4-FFF2-40B4-BE49-F238E27FC236}">
              <a16:creationId xmlns:a16="http://schemas.microsoft.com/office/drawing/2014/main" id="{191AB979-28C2-474D-AC72-8AF15A9F544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1514;&#1511;&#1510;&#1497;&#1489;&#1497;&#1501;\&#1514;&#1511;&#1510;&#1497;&#1489;&#1497;&#1501;%202015\&#1491;&#1488;&#1500;&#1497;&#1492;\&#1496;&#1497;&#1493;&#1496;&#1492;%201-%20&#1514;&#1511;&#1510;&#1497;&#1489;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כותרת"/>
      <sheetName val="ריכוז תקציב"/>
      <sheetName val="פירוט תקציב"/>
      <sheetName val="נתוני ביצוע"/>
      <sheetName val="שכר כללי"/>
      <sheetName val="שכר רווחה"/>
      <sheetName val="שכר חינוך"/>
      <sheetName val="לשכה ובניין מועצה"/>
      <sheetName val="גזברות"/>
      <sheetName val="גביה"/>
      <sheetName val="תברואה"/>
      <sheetName val="הנדסה ודרכים"/>
      <sheetName val="תרבות וספורט"/>
      <sheetName val="דת"/>
      <sheetName val="מים וביוב"/>
      <sheetName val="פעולות כלליות אחרות"/>
      <sheetName val="פעולות חינוך"/>
      <sheetName val="פעולות רווחה"/>
      <sheetName val="הוצאות מימון"/>
      <sheetName val="מלוות"/>
      <sheetName val="לא רגילים"/>
      <sheetName val="כספ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A1" t="str">
            <v>חשבון</v>
          </cell>
          <cell r="B1" t="str">
            <v>שם חשבון</v>
          </cell>
          <cell r="C1" t="str">
            <v>תקציב יחסי</v>
          </cell>
          <cell r="D1" t="str">
            <v>ביצוע יחסי</v>
          </cell>
          <cell r="E1" t="str">
            <v>שריון יחסי</v>
          </cell>
          <cell r="F1" t="str">
            <v>ביצוע + שריון יחסי</v>
          </cell>
        </row>
        <row r="2">
          <cell r="A2">
            <v>1111100100</v>
          </cell>
          <cell r="B2" t="str">
            <v>ארנונה כללית למגורים</v>
          </cell>
          <cell r="C2">
            <v>-11500000</v>
          </cell>
          <cell r="D2">
            <v>-7512219.1900000004</v>
          </cell>
          <cell r="E2">
            <v>0</v>
          </cell>
          <cell r="F2">
            <v>-7512219.1900000004</v>
          </cell>
        </row>
        <row r="3">
          <cell r="A3">
            <v>1111110110</v>
          </cell>
          <cell r="B3" t="str">
            <v>יתרות ארנונה</v>
          </cell>
          <cell r="C3">
            <v>0</v>
          </cell>
          <cell r="D3">
            <v>-1217.1600000000001</v>
          </cell>
          <cell r="E3">
            <v>0</v>
          </cell>
          <cell r="F3">
            <v>-1217.1600000000001</v>
          </cell>
        </row>
        <row r="4">
          <cell r="A4">
            <v>1111120110</v>
          </cell>
          <cell r="B4" t="str">
            <v>יתרות מסים</v>
          </cell>
          <cell r="C4">
            <v>0</v>
          </cell>
          <cell r="D4">
            <v>-2500.9299999999998</v>
          </cell>
          <cell r="E4">
            <v>0</v>
          </cell>
          <cell r="F4">
            <v>-2500.9299999999998</v>
          </cell>
        </row>
        <row r="5">
          <cell r="A5">
            <v>1111200100</v>
          </cell>
          <cell r="B5" t="str">
            <v>ארנונה פיגורים</v>
          </cell>
          <cell r="C5">
            <v>-6000000</v>
          </cell>
          <cell r="D5">
            <v>-2352351.83</v>
          </cell>
          <cell r="E5">
            <v>0</v>
          </cell>
          <cell r="F5">
            <v>-2352351.83</v>
          </cell>
        </row>
        <row r="6">
          <cell r="A6">
            <v>1111210100</v>
          </cell>
          <cell r="B6" t="str">
            <v>יתרות ארנונה2005</v>
          </cell>
          <cell r="C6">
            <v>0</v>
          </cell>
          <cell r="D6">
            <v>-9665.56</v>
          </cell>
          <cell r="E6">
            <v>0</v>
          </cell>
          <cell r="F6">
            <v>-9665.56</v>
          </cell>
        </row>
        <row r="7">
          <cell r="A7">
            <v>1111310100</v>
          </cell>
          <cell r="B7" t="str">
            <v>יתרות ארנונה2006</v>
          </cell>
          <cell r="C7">
            <v>0</v>
          </cell>
          <cell r="D7">
            <v>-151672.57999999999</v>
          </cell>
          <cell r="E7">
            <v>0</v>
          </cell>
          <cell r="F7">
            <v>-151672.57999999999</v>
          </cell>
        </row>
        <row r="8">
          <cell r="A8">
            <v>1111410100</v>
          </cell>
          <cell r="B8" t="str">
            <v>יתרות ארנונה 2007</v>
          </cell>
          <cell r="C8">
            <v>0</v>
          </cell>
          <cell r="D8">
            <v>-18210.55</v>
          </cell>
          <cell r="E8">
            <v>0</v>
          </cell>
          <cell r="F8">
            <v>-18210.55</v>
          </cell>
        </row>
        <row r="9">
          <cell r="A9">
            <v>1111420100</v>
          </cell>
          <cell r="B9" t="str">
            <v>יתרות ארנונה 2008</v>
          </cell>
          <cell r="C9">
            <v>0</v>
          </cell>
          <cell r="D9">
            <v>-132743.01</v>
          </cell>
          <cell r="E9">
            <v>0</v>
          </cell>
          <cell r="F9">
            <v>-132743.01</v>
          </cell>
        </row>
        <row r="10">
          <cell r="A10">
            <v>1115000100</v>
          </cell>
          <cell r="B10" t="str">
            <v>הנחות ארנונה לזכאים</v>
          </cell>
          <cell r="C10">
            <v>-5880000</v>
          </cell>
          <cell r="D10">
            <v>-4046027.77</v>
          </cell>
          <cell r="E10">
            <v>0</v>
          </cell>
          <cell r="F10">
            <v>-4046027.77</v>
          </cell>
        </row>
        <row r="11">
          <cell r="A11">
            <v>1121000290</v>
          </cell>
          <cell r="B11" t="str">
            <v>תעודות ואישורים</v>
          </cell>
          <cell r="C11">
            <v>-1000</v>
          </cell>
          <cell r="D11">
            <v>-920</v>
          </cell>
          <cell r="E11">
            <v>0</v>
          </cell>
          <cell r="F11">
            <v>-920</v>
          </cell>
        </row>
        <row r="12">
          <cell r="A12">
            <v>1191000910</v>
          </cell>
          <cell r="B12" t="str">
            <v>מענקים כללים השתתפות מש</v>
          </cell>
          <cell r="C12">
            <v>-11170642</v>
          </cell>
          <cell r="D12">
            <v>-10183642.529999999</v>
          </cell>
          <cell r="E12">
            <v>0</v>
          </cell>
          <cell r="F12">
            <v>-10183642.529999999</v>
          </cell>
        </row>
        <row r="13">
          <cell r="A13">
            <v>1191000920</v>
          </cell>
          <cell r="B13" t="str">
            <v>מענק מותנה</v>
          </cell>
          <cell r="C13">
            <v>-1971000</v>
          </cell>
          <cell r="D13">
            <v>0</v>
          </cell>
          <cell r="E13">
            <v>0</v>
          </cell>
          <cell r="F13">
            <v>0</v>
          </cell>
        </row>
        <row r="14">
          <cell r="A14">
            <v>1191100910</v>
          </cell>
          <cell r="B14" t="str">
            <v>פיצוי מיוחד</v>
          </cell>
          <cell r="C14">
            <v>-500000</v>
          </cell>
          <cell r="D14">
            <v>-242463</v>
          </cell>
          <cell r="E14">
            <v>0</v>
          </cell>
          <cell r="F14">
            <v>-242463</v>
          </cell>
        </row>
        <row r="15">
          <cell r="A15">
            <v>1196000910</v>
          </cell>
          <cell r="B15" t="str">
            <v>תקציב בחירות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A16">
            <v>1211000210</v>
          </cell>
          <cell r="B16" t="str">
            <v>רישוי עסקים</v>
          </cell>
          <cell r="C16">
            <v>-20000</v>
          </cell>
          <cell r="D16">
            <v>-8386</v>
          </cell>
          <cell r="E16">
            <v>0</v>
          </cell>
          <cell r="F16">
            <v>-8386</v>
          </cell>
        </row>
        <row r="17">
          <cell r="A17">
            <v>1212300690</v>
          </cell>
          <cell r="B17" t="str">
            <v>הכנסה מכירות</v>
          </cell>
          <cell r="C17">
            <v>-9000</v>
          </cell>
          <cell r="D17">
            <v>-600</v>
          </cell>
          <cell r="E17">
            <v>0</v>
          </cell>
          <cell r="F17">
            <v>-600</v>
          </cell>
        </row>
        <row r="18">
          <cell r="A18">
            <v>1213300290</v>
          </cell>
          <cell r="B18" t="str">
            <v>שילוט</v>
          </cell>
          <cell r="C18">
            <v>-200000</v>
          </cell>
          <cell r="D18">
            <v>47.6</v>
          </cell>
          <cell r="E18">
            <v>0</v>
          </cell>
          <cell r="F18">
            <v>47.6</v>
          </cell>
        </row>
        <row r="19">
          <cell r="A19">
            <v>1214200210</v>
          </cell>
          <cell r="B19" t="str">
            <v>פיקוח וטרינרי/אגרות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A20">
            <v>1214300220</v>
          </cell>
          <cell r="B20" t="str">
            <v>מלחמה בכלבת/אגרת בגין</v>
          </cell>
          <cell r="C20">
            <v>-17500</v>
          </cell>
          <cell r="D20">
            <v>-24560</v>
          </cell>
          <cell r="E20">
            <v>0</v>
          </cell>
          <cell r="F20">
            <v>-24560</v>
          </cell>
        </row>
        <row r="21">
          <cell r="A21">
            <v>1220000970</v>
          </cell>
          <cell r="B21" t="str">
            <v>הכנסות משרד הבטחון</v>
          </cell>
          <cell r="C21">
            <v>-45000</v>
          </cell>
          <cell r="D21">
            <v>-25000</v>
          </cell>
          <cell r="E21">
            <v>0</v>
          </cell>
          <cell r="F21">
            <v>-25000</v>
          </cell>
        </row>
        <row r="22">
          <cell r="A22">
            <v>1220000990</v>
          </cell>
          <cell r="B22" t="str">
            <v>הכנסות ממינהל מקרקעי ישראל</v>
          </cell>
          <cell r="C22">
            <v>-5000</v>
          </cell>
          <cell r="D22">
            <v>-26174</v>
          </cell>
          <cell r="E22">
            <v>0</v>
          </cell>
          <cell r="F22">
            <v>-26174</v>
          </cell>
        </row>
        <row r="23">
          <cell r="A23">
            <v>1233100710</v>
          </cell>
          <cell r="B23" t="str">
            <v>עמ.גביה-החזר לחב' גביה</v>
          </cell>
          <cell r="C23">
            <v>-10000</v>
          </cell>
          <cell r="D23">
            <v>-309.16000000000003</v>
          </cell>
          <cell r="E23">
            <v>0</v>
          </cell>
          <cell r="F23">
            <v>-309.16000000000003</v>
          </cell>
        </row>
        <row r="24">
          <cell r="A24">
            <v>1233110290</v>
          </cell>
          <cell r="B24" t="str">
            <v>עמ.גביה-החזר לעיריה</v>
          </cell>
          <cell r="C24">
            <v>-150000</v>
          </cell>
          <cell r="D24">
            <v>-107017.82</v>
          </cell>
          <cell r="E24">
            <v>0</v>
          </cell>
          <cell r="F24">
            <v>-107017.82</v>
          </cell>
        </row>
        <row r="25">
          <cell r="A25">
            <v>1233400310</v>
          </cell>
          <cell r="B25" t="str">
            <v>היטל השבחה</v>
          </cell>
          <cell r="C25">
            <v>-1400000</v>
          </cell>
          <cell r="D25">
            <v>0</v>
          </cell>
          <cell r="E25">
            <v>0</v>
          </cell>
          <cell r="F25">
            <v>0</v>
          </cell>
        </row>
        <row r="26">
          <cell r="A26">
            <v>1233500310</v>
          </cell>
          <cell r="B26" t="str">
            <v>אגרות בנייה</v>
          </cell>
          <cell r="C26">
            <v>-900000</v>
          </cell>
          <cell r="D26">
            <v>-379446</v>
          </cell>
          <cell r="E26">
            <v>0</v>
          </cell>
          <cell r="F26">
            <v>-379446</v>
          </cell>
        </row>
        <row r="27">
          <cell r="A27">
            <v>1247000990</v>
          </cell>
          <cell r="B27" t="str">
            <v>הכנסות שונות</v>
          </cell>
          <cell r="C27">
            <v>-25000</v>
          </cell>
          <cell r="D27">
            <v>0</v>
          </cell>
          <cell r="E27">
            <v>0</v>
          </cell>
          <cell r="F27">
            <v>0</v>
          </cell>
        </row>
        <row r="28">
          <cell r="A28">
            <v>1269000650</v>
          </cell>
          <cell r="B28" t="str">
            <v>הכנסות מהחזר הוצ' סלקום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A29">
            <v>1269000690</v>
          </cell>
          <cell r="B29" t="str">
            <v>הכנסות שונות</v>
          </cell>
          <cell r="C29">
            <v>0</v>
          </cell>
          <cell r="D29">
            <v>-12018.25</v>
          </cell>
          <cell r="E29">
            <v>0</v>
          </cell>
          <cell r="F29">
            <v>-12018.25</v>
          </cell>
        </row>
        <row r="30">
          <cell r="A30">
            <v>1269000790</v>
          </cell>
          <cell r="B30" t="str">
            <v>מכרזים</v>
          </cell>
          <cell r="C30">
            <v>-30000</v>
          </cell>
          <cell r="D30">
            <v>-40700</v>
          </cell>
          <cell r="E30">
            <v>0</v>
          </cell>
          <cell r="F30">
            <v>-40700</v>
          </cell>
        </row>
        <row r="31">
          <cell r="A31">
            <v>1269100690</v>
          </cell>
          <cell r="B31" t="str">
            <v>הכנסות אחרות</v>
          </cell>
          <cell r="C31">
            <v>-50000</v>
          </cell>
          <cell r="D31">
            <v>0</v>
          </cell>
          <cell r="E31">
            <v>0</v>
          </cell>
          <cell r="F31">
            <v>0</v>
          </cell>
        </row>
        <row r="32">
          <cell r="A32">
            <v>1311200920</v>
          </cell>
          <cell r="B32" t="str">
            <v>חינוך שיפוצים/בטיחות</v>
          </cell>
          <cell r="C32">
            <v>-93000</v>
          </cell>
          <cell r="D32">
            <v>-91908</v>
          </cell>
          <cell r="E32">
            <v>0</v>
          </cell>
          <cell r="F32">
            <v>-91908</v>
          </cell>
        </row>
        <row r="33">
          <cell r="A33">
            <v>1312100920</v>
          </cell>
          <cell r="B33" t="str">
            <v>גנים-יוח"א</v>
          </cell>
          <cell r="C33">
            <v>-200858</v>
          </cell>
          <cell r="D33">
            <v>-142785.87</v>
          </cell>
          <cell r="E33">
            <v>0</v>
          </cell>
          <cell r="F33">
            <v>-142785.87</v>
          </cell>
        </row>
        <row r="34">
          <cell r="A34">
            <v>1312200920</v>
          </cell>
          <cell r="B34" t="str">
            <v>עוזרות לגננות</v>
          </cell>
          <cell r="C34">
            <v>-1307800</v>
          </cell>
          <cell r="D34">
            <v>-1310586.42</v>
          </cell>
          <cell r="E34">
            <v>0</v>
          </cell>
          <cell r="F34">
            <v>-1310586.42</v>
          </cell>
        </row>
        <row r="35">
          <cell r="A35">
            <v>1312210920</v>
          </cell>
          <cell r="B35" t="str">
            <v>ה.נלוות -ח"מ גני דרוזי</v>
          </cell>
          <cell r="C35">
            <v>-5000</v>
          </cell>
          <cell r="D35">
            <v>-4991</v>
          </cell>
          <cell r="E35">
            <v>0</v>
          </cell>
          <cell r="F35">
            <v>-4991</v>
          </cell>
        </row>
        <row r="36">
          <cell r="A36">
            <v>1312300410</v>
          </cell>
          <cell r="B36" t="str">
            <v>שכ"ל גנ"י ט.חובה בהשתתפות</v>
          </cell>
          <cell r="C36">
            <v>-320000</v>
          </cell>
          <cell r="D36">
            <v>-39794</v>
          </cell>
          <cell r="E36">
            <v>0</v>
          </cell>
          <cell r="F36">
            <v>-39794</v>
          </cell>
        </row>
        <row r="37">
          <cell r="A37">
            <v>1312300490</v>
          </cell>
          <cell r="B37" t="str">
            <v>גנ"י ט"ח</v>
          </cell>
          <cell r="C37">
            <v>0</v>
          </cell>
          <cell r="D37">
            <v>-872.3</v>
          </cell>
          <cell r="E37">
            <v>0</v>
          </cell>
          <cell r="F37">
            <v>-872.3</v>
          </cell>
        </row>
        <row r="38">
          <cell r="A38">
            <v>1312300920</v>
          </cell>
          <cell r="B38" t="str">
            <v>שכ"ל גני ט"ח</v>
          </cell>
          <cell r="C38">
            <v>-4151500</v>
          </cell>
          <cell r="D38">
            <v>-3686862.96</v>
          </cell>
          <cell r="E38">
            <v>0</v>
          </cell>
          <cell r="F38">
            <v>-3686862.96</v>
          </cell>
        </row>
        <row r="39">
          <cell r="A39">
            <v>1312310920</v>
          </cell>
          <cell r="B39" t="str">
            <v>עוזרות-יוח"א ומיל"ת</v>
          </cell>
          <cell r="C39">
            <v>0</v>
          </cell>
          <cell r="D39">
            <v>-23566.14</v>
          </cell>
          <cell r="E39">
            <v>0</v>
          </cell>
          <cell r="F39">
            <v>-23566.14</v>
          </cell>
        </row>
        <row r="40">
          <cell r="A40">
            <v>1312400920</v>
          </cell>
          <cell r="B40" t="str">
            <v>ציוד ראשוני-יוח"א</v>
          </cell>
          <cell r="C40">
            <v>-31000</v>
          </cell>
          <cell r="D40">
            <v>-34025</v>
          </cell>
          <cell r="E40">
            <v>0</v>
          </cell>
          <cell r="F40">
            <v>-34025</v>
          </cell>
        </row>
        <row r="41">
          <cell r="A41">
            <v>1312500410</v>
          </cell>
          <cell r="B41" t="str">
            <v>פנימיות יום מיל"ת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A42">
            <v>1313001920</v>
          </cell>
          <cell r="B42" t="str">
            <v>סיוע ניהול עצמי</v>
          </cell>
          <cell r="C42">
            <v>-1207000</v>
          </cell>
          <cell r="D42">
            <v>-1205381.6399999999</v>
          </cell>
          <cell r="E42">
            <v>0</v>
          </cell>
          <cell r="F42">
            <v>-1205381.6399999999</v>
          </cell>
        </row>
        <row r="43">
          <cell r="A43">
            <v>1313003920</v>
          </cell>
          <cell r="B43" t="str">
            <v>עובד סיוע משופר</v>
          </cell>
          <cell r="C43">
            <v>-211000</v>
          </cell>
          <cell r="D43">
            <v>-202174.01</v>
          </cell>
          <cell r="E43">
            <v>0</v>
          </cell>
          <cell r="F43">
            <v>-202174.01</v>
          </cell>
        </row>
        <row r="44">
          <cell r="A44">
            <v>1313004920</v>
          </cell>
          <cell r="B44" t="str">
            <v>תוספת דפנציאלי ניהול עצמי</v>
          </cell>
          <cell r="C44">
            <v>-227000</v>
          </cell>
          <cell r="D44">
            <v>-260609.12</v>
          </cell>
          <cell r="E44">
            <v>0</v>
          </cell>
          <cell r="F44">
            <v>-260609.12</v>
          </cell>
        </row>
        <row r="45">
          <cell r="A45">
            <v>1313200920</v>
          </cell>
          <cell r="B45" t="str">
            <v>שרתים</v>
          </cell>
          <cell r="C45">
            <v>-160000</v>
          </cell>
          <cell r="D45">
            <v>-153351.29</v>
          </cell>
          <cell r="E45">
            <v>0</v>
          </cell>
          <cell r="F45">
            <v>-153351.29</v>
          </cell>
        </row>
        <row r="46">
          <cell r="A46">
            <v>1313200921</v>
          </cell>
          <cell r="B46" t="str">
            <v>שירותים חש.ליום השישי</v>
          </cell>
          <cell r="C46">
            <v>-25000</v>
          </cell>
          <cell r="D46">
            <v>51958.02</v>
          </cell>
          <cell r="E46">
            <v>0</v>
          </cell>
          <cell r="F46">
            <v>51958.02</v>
          </cell>
        </row>
        <row r="47">
          <cell r="A47">
            <v>1313201920</v>
          </cell>
          <cell r="B47" t="str">
            <v>שרתים יוח"א</v>
          </cell>
          <cell r="C47">
            <v>-123000</v>
          </cell>
          <cell r="D47">
            <v>-113728.13</v>
          </cell>
          <cell r="E47">
            <v>0</v>
          </cell>
          <cell r="F47">
            <v>-113728.13</v>
          </cell>
        </row>
        <row r="48">
          <cell r="A48">
            <v>1313202920</v>
          </cell>
          <cell r="B48" t="str">
            <v>מתי"א-שרתים</v>
          </cell>
          <cell r="C48">
            <v>-20000</v>
          </cell>
          <cell r="D48">
            <v>-18574.91</v>
          </cell>
          <cell r="E48">
            <v>0</v>
          </cell>
          <cell r="F48">
            <v>-18574.91</v>
          </cell>
        </row>
        <row r="49">
          <cell r="A49">
            <v>1313205920</v>
          </cell>
          <cell r="B49" t="str">
            <v>מוביל ב"ס מניעת סמים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A50">
            <v>1313206410</v>
          </cell>
          <cell r="B50" t="str">
            <v>הזנת תלמידים</v>
          </cell>
          <cell r="C50">
            <v>0</v>
          </cell>
          <cell r="D50">
            <v>14240.5</v>
          </cell>
          <cell r="E50">
            <v>0</v>
          </cell>
          <cell r="F50">
            <v>14240.5</v>
          </cell>
        </row>
        <row r="51">
          <cell r="A51">
            <v>1313210920</v>
          </cell>
          <cell r="B51" t="str">
            <v>מזכירים</v>
          </cell>
          <cell r="C51">
            <v>-52312</v>
          </cell>
          <cell r="D51">
            <v>-11672.4</v>
          </cell>
          <cell r="E51">
            <v>0</v>
          </cell>
          <cell r="F51">
            <v>-11672.4</v>
          </cell>
        </row>
        <row r="52">
          <cell r="A52">
            <v>1313210921</v>
          </cell>
          <cell r="B52" t="str">
            <v>מנב"ס-מזכירים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A53">
            <v>1313211920</v>
          </cell>
          <cell r="B53" t="str">
            <v>מזכירים יוח"א</v>
          </cell>
          <cell r="C53">
            <v>-45270</v>
          </cell>
          <cell r="D53">
            <v>-39533.879999999997</v>
          </cell>
          <cell r="E53">
            <v>0</v>
          </cell>
          <cell r="F53">
            <v>-39533.879999999997</v>
          </cell>
        </row>
        <row r="54">
          <cell r="A54">
            <v>1313211921</v>
          </cell>
          <cell r="B54" t="str">
            <v>מזכיר תש.ליום השישי</v>
          </cell>
          <cell r="C54">
            <v>-16500</v>
          </cell>
          <cell r="D54">
            <v>33588.800000000003</v>
          </cell>
          <cell r="E54">
            <v>0</v>
          </cell>
          <cell r="F54">
            <v>33588.800000000003</v>
          </cell>
        </row>
        <row r="55">
          <cell r="A55">
            <v>1313212920</v>
          </cell>
          <cell r="B55" t="str">
            <v>מתי"א-מזכירים</v>
          </cell>
          <cell r="C55">
            <v>-6000</v>
          </cell>
          <cell r="D55">
            <v>-43112.68</v>
          </cell>
          <cell r="E55">
            <v>0</v>
          </cell>
          <cell r="F55">
            <v>-43112.68</v>
          </cell>
        </row>
        <row r="56">
          <cell r="A56">
            <v>1313213970</v>
          </cell>
          <cell r="B56" t="str">
            <v>הכנסות שמירה  ממשטרת ישראל</v>
          </cell>
          <cell r="C56">
            <v>-306203</v>
          </cell>
          <cell r="D56">
            <v>-285969.73</v>
          </cell>
          <cell r="E56">
            <v>0</v>
          </cell>
          <cell r="F56">
            <v>-285969.73</v>
          </cell>
        </row>
        <row r="57">
          <cell r="A57">
            <v>1313214920</v>
          </cell>
          <cell r="B57" t="str">
            <v>ביטוח תלמידים</v>
          </cell>
          <cell r="C57">
            <v>0</v>
          </cell>
          <cell r="D57">
            <v>-90750.8</v>
          </cell>
          <cell r="E57">
            <v>0</v>
          </cell>
          <cell r="F57">
            <v>-90750.8</v>
          </cell>
        </row>
        <row r="58">
          <cell r="A58">
            <v>1313220920</v>
          </cell>
          <cell r="B58" t="str">
            <v>אגרות שכפול</v>
          </cell>
          <cell r="C58">
            <v>-15400</v>
          </cell>
          <cell r="D58">
            <v>0</v>
          </cell>
          <cell r="E58">
            <v>0</v>
          </cell>
          <cell r="F58">
            <v>0</v>
          </cell>
        </row>
        <row r="59">
          <cell r="A59">
            <v>1313221920</v>
          </cell>
          <cell r="B59" t="str">
            <v>אגרת שכפול יסודי</v>
          </cell>
          <cell r="C59">
            <v>-1600</v>
          </cell>
          <cell r="D59">
            <v>-1811.2</v>
          </cell>
          <cell r="E59">
            <v>0</v>
          </cell>
          <cell r="F59">
            <v>-1811.2</v>
          </cell>
        </row>
        <row r="60">
          <cell r="A60">
            <v>1313280920</v>
          </cell>
          <cell r="B60" t="str">
            <v>אגרת שכפול יסודי</v>
          </cell>
          <cell r="C60">
            <v>0</v>
          </cell>
          <cell r="D60">
            <v>-226</v>
          </cell>
          <cell r="E60">
            <v>0</v>
          </cell>
          <cell r="F60">
            <v>-226</v>
          </cell>
        </row>
        <row r="61">
          <cell r="A61">
            <v>1313290920</v>
          </cell>
          <cell r="B61" t="str">
            <v>אגרת שכפול פר תלמיד</v>
          </cell>
          <cell r="C61">
            <v>-13000</v>
          </cell>
          <cell r="D61">
            <v>-13502.92</v>
          </cell>
          <cell r="E61">
            <v>0</v>
          </cell>
          <cell r="F61">
            <v>-13502.92</v>
          </cell>
        </row>
        <row r="62">
          <cell r="A62">
            <v>1313310920</v>
          </cell>
          <cell r="B62" t="str">
            <v>סייעות כיתיות</v>
          </cell>
          <cell r="C62">
            <v>-390000</v>
          </cell>
          <cell r="D62">
            <v>-386271.47</v>
          </cell>
          <cell r="E62">
            <v>0</v>
          </cell>
          <cell r="F62">
            <v>-386271.47</v>
          </cell>
        </row>
        <row r="63">
          <cell r="A63">
            <v>1313312920</v>
          </cell>
          <cell r="B63" t="str">
            <v>סייעות כ. ב"ס חריגות</v>
          </cell>
          <cell r="C63">
            <v>-82492</v>
          </cell>
          <cell r="D63">
            <v>-121333.5</v>
          </cell>
          <cell r="E63">
            <v>0</v>
          </cell>
          <cell r="F63">
            <v>-121333.5</v>
          </cell>
        </row>
        <row r="64">
          <cell r="A64">
            <v>1313313920</v>
          </cell>
          <cell r="B64" t="str">
            <v>חוק שילוב סייעות</v>
          </cell>
          <cell r="C64">
            <v>-353000</v>
          </cell>
          <cell r="D64">
            <v>-333735.59999999998</v>
          </cell>
          <cell r="E64">
            <v>0</v>
          </cell>
          <cell r="F64">
            <v>-333735.59999999998</v>
          </cell>
        </row>
        <row r="65">
          <cell r="A65">
            <v>1313800920</v>
          </cell>
          <cell r="B65" t="str">
            <v>פרוייקטים חינוכיים</v>
          </cell>
          <cell r="C65">
            <v>-100000</v>
          </cell>
          <cell r="D65">
            <v>-12698.86</v>
          </cell>
          <cell r="E65">
            <v>0</v>
          </cell>
          <cell r="F65">
            <v>-12698.86</v>
          </cell>
        </row>
        <row r="66">
          <cell r="A66">
            <v>1314100920</v>
          </cell>
          <cell r="B66" t="str">
            <v>אגרת שכפול</v>
          </cell>
          <cell r="C66">
            <v>0</v>
          </cell>
          <cell r="D66">
            <v>-12096</v>
          </cell>
          <cell r="E66">
            <v>0</v>
          </cell>
          <cell r="F66">
            <v>-12096</v>
          </cell>
        </row>
        <row r="67">
          <cell r="A67">
            <v>1315700920</v>
          </cell>
          <cell r="B67" t="str">
            <v>דמי שתיה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A68">
            <v>1317100920</v>
          </cell>
          <cell r="B68" t="str">
            <v>קבטי"ם + קבס"ים</v>
          </cell>
          <cell r="C68">
            <v>-40500</v>
          </cell>
          <cell r="D68">
            <v>-40607.160000000003</v>
          </cell>
          <cell r="E68">
            <v>0</v>
          </cell>
          <cell r="F68">
            <v>-40607.160000000003</v>
          </cell>
        </row>
        <row r="69">
          <cell r="A69">
            <v>1317300920</v>
          </cell>
          <cell r="B69" t="str">
            <v>פסיכולוגים חינוכיים</v>
          </cell>
          <cell r="C69">
            <v>-700000</v>
          </cell>
          <cell r="D69">
            <v>-639079.65</v>
          </cell>
          <cell r="E69">
            <v>0</v>
          </cell>
          <cell r="F69">
            <v>-639079.65</v>
          </cell>
        </row>
        <row r="70">
          <cell r="A70">
            <v>1317310690</v>
          </cell>
          <cell r="B70" t="str">
            <v>שפ"י-הכנסות אחרות</v>
          </cell>
          <cell r="C70">
            <v>-2000</v>
          </cell>
          <cell r="D70">
            <v>0</v>
          </cell>
          <cell r="E70">
            <v>0</v>
          </cell>
          <cell r="F70">
            <v>0</v>
          </cell>
        </row>
        <row r="71">
          <cell r="A71">
            <v>1317310920</v>
          </cell>
          <cell r="B71" t="str">
            <v>שפ"י -שעות הדרכה</v>
          </cell>
          <cell r="C71">
            <v>-33200</v>
          </cell>
          <cell r="D71">
            <v>0</v>
          </cell>
          <cell r="E71">
            <v>0</v>
          </cell>
          <cell r="F71">
            <v>0</v>
          </cell>
        </row>
        <row r="72">
          <cell r="A72">
            <v>1317430920</v>
          </cell>
          <cell r="B72" t="str">
            <v>חוק שילוב-סייעות</v>
          </cell>
          <cell r="C72">
            <v>-55330</v>
          </cell>
          <cell r="D72">
            <v>-34436.49</v>
          </cell>
          <cell r="E72">
            <v>0</v>
          </cell>
          <cell r="F72">
            <v>-34436.49</v>
          </cell>
        </row>
        <row r="73">
          <cell r="A73">
            <v>1317440920</v>
          </cell>
          <cell r="B73" t="str">
            <v>שגרירי מפתח הל"ב</v>
          </cell>
          <cell r="C73">
            <v>0</v>
          </cell>
          <cell r="D73">
            <v>-2100</v>
          </cell>
          <cell r="E73">
            <v>0</v>
          </cell>
          <cell r="F73">
            <v>-2100</v>
          </cell>
        </row>
        <row r="74">
          <cell r="A74">
            <v>1317500410</v>
          </cell>
          <cell r="B74" t="str">
            <v>ביטוח תלמידים</v>
          </cell>
          <cell r="C74">
            <v>-200000</v>
          </cell>
          <cell r="D74">
            <v>-39057</v>
          </cell>
          <cell r="E74">
            <v>0</v>
          </cell>
          <cell r="F74">
            <v>-39057</v>
          </cell>
        </row>
        <row r="75">
          <cell r="A75">
            <v>1317500920</v>
          </cell>
          <cell r="B75" t="str">
            <v>טיפול בפרט רווחה חינוכית ק.קור</v>
          </cell>
          <cell r="C75">
            <v>-90000</v>
          </cell>
          <cell r="D75">
            <v>0</v>
          </cell>
          <cell r="E75">
            <v>0</v>
          </cell>
          <cell r="F75">
            <v>0</v>
          </cell>
        </row>
        <row r="76">
          <cell r="A76">
            <v>1317600920</v>
          </cell>
          <cell r="B76" t="str">
            <v>מועדוניות</v>
          </cell>
          <cell r="C76">
            <v>-125000</v>
          </cell>
          <cell r="D76">
            <v>-108183.44</v>
          </cell>
          <cell r="E76">
            <v>0</v>
          </cell>
          <cell r="F76">
            <v>-108183.44</v>
          </cell>
        </row>
        <row r="77">
          <cell r="A77">
            <v>1317602920</v>
          </cell>
          <cell r="B77" t="str">
            <v>רווחה חינוכית</v>
          </cell>
          <cell r="C77">
            <v>-207641</v>
          </cell>
          <cell r="D77">
            <v>0</v>
          </cell>
          <cell r="E77">
            <v>0</v>
          </cell>
          <cell r="F77">
            <v>0</v>
          </cell>
        </row>
        <row r="78">
          <cell r="A78">
            <v>1317620920</v>
          </cell>
          <cell r="B78" t="str">
            <v>תוכנית ראשית- שכר</v>
          </cell>
          <cell r="C78">
            <v>-125020</v>
          </cell>
          <cell r="D78">
            <v>0</v>
          </cell>
          <cell r="E78">
            <v>0</v>
          </cell>
          <cell r="F78">
            <v>0</v>
          </cell>
        </row>
        <row r="79">
          <cell r="A79">
            <v>1317621920</v>
          </cell>
          <cell r="B79" t="str">
            <v>מועדונית ביתית גיל רך- שכר</v>
          </cell>
          <cell r="C79">
            <v>-60000</v>
          </cell>
          <cell r="D79">
            <v>0</v>
          </cell>
          <cell r="E79">
            <v>0</v>
          </cell>
          <cell r="F79">
            <v>0</v>
          </cell>
        </row>
        <row r="80">
          <cell r="A80">
            <v>1317622920</v>
          </cell>
          <cell r="B80" t="str">
            <v>מדריך בינתחומי- מרכז גיל רך</v>
          </cell>
          <cell r="C80">
            <v>-45000</v>
          </cell>
          <cell r="D80">
            <v>0</v>
          </cell>
          <cell r="E80">
            <v>0</v>
          </cell>
          <cell r="F80">
            <v>0</v>
          </cell>
        </row>
        <row r="81">
          <cell r="A81">
            <v>1317623920</v>
          </cell>
          <cell r="B81" t="str">
            <v>מרז נוער- שכר פעילות הצטיידות</v>
          </cell>
          <cell r="C81">
            <v>-334060</v>
          </cell>
          <cell r="D81">
            <v>0</v>
          </cell>
          <cell r="E81">
            <v>0</v>
          </cell>
          <cell r="F81">
            <v>0</v>
          </cell>
        </row>
        <row r="82">
          <cell r="A82">
            <v>1317624920</v>
          </cell>
          <cell r="B82" t="str">
            <v>תוכנית אור- שכר והצטיידות</v>
          </cell>
          <cell r="C82">
            <v>-125020</v>
          </cell>
          <cell r="D82">
            <v>0</v>
          </cell>
          <cell r="E82">
            <v>0</v>
          </cell>
          <cell r="F82">
            <v>0</v>
          </cell>
        </row>
        <row r="83">
          <cell r="A83">
            <v>1317625920</v>
          </cell>
          <cell r="B83" t="str">
            <v>קול קורא לאגדים- שכר ופעילות</v>
          </cell>
          <cell r="C83">
            <v>-150000</v>
          </cell>
          <cell r="D83">
            <v>0</v>
          </cell>
          <cell r="E83">
            <v>0</v>
          </cell>
          <cell r="F83">
            <v>0</v>
          </cell>
        </row>
        <row r="84">
          <cell r="A84">
            <v>1317626920</v>
          </cell>
          <cell r="B84" t="str">
            <v>נתיבים להורות שכר</v>
          </cell>
          <cell r="C84">
            <v>-173520</v>
          </cell>
          <cell r="D84">
            <v>0</v>
          </cell>
          <cell r="E84">
            <v>0</v>
          </cell>
          <cell r="F84">
            <v>0</v>
          </cell>
        </row>
        <row r="85">
          <cell r="A85">
            <v>1317700920</v>
          </cell>
          <cell r="B85" t="str">
            <v>קבסי"ם</v>
          </cell>
          <cell r="C85">
            <v>-195000</v>
          </cell>
          <cell r="D85">
            <v>-184633.23</v>
          </cell>
          <cell r="E85">
            <v>0</v>
          </cell>
          <cell r="F85">
            <v>-184633.23</v>
          </cell>
        </row>
        <row r="86">
          <cell r="A86">
            <v>1317800920</v>
          </cell>
          <cell r="B86" t="str">
            <v>הסעות</v>
          </cell>
          <cell r="C86">
            <v>-2200000</v>
          </cell>
          <cell r="D86">
            <v>-1868056.34</v>
          </cell>
          <cell r="E86">
            <v>0</v>
          </cell>
          <cell r="F86">
            <v>-1868056.34</v>
          </cell>
        </row>
        <row r="87">
          <cell r="A87">
            <v>1317810920</v>
          </cell>
          <cell r="B87" t="str">
            <v>הסעות ח.מיוחד</v>
          </cell>
          <cell r="C87">
            <v>-1250000</v>
          </cell>
          <cell r="D87">
            <v>-996067.86</v>
          </cell>
          <cell r="E87">
            <v>0</v>
          </cell>
          <cell r="F87">
            <v>-996067.86</v>
          </cell>
        </row>
        <row r="88">
          <cell r="A88">
            <v>1317811920</v>
          </cell>
          <cell r="B88" t="str">
            <v>ל. הסעות ח"מ - חיפה</v>
          </cell>
          <cell r="C88">
            <v>-326950</v>
          </cell>
          <cell r="D88">
            <v>-184627.92</v>
          </cell>
          <cell r="E88">
            <v>0</v>
          </cell>
          <cell r="F88">
            <v>-184627.92</v>
          </cell>
        </row>
        <row r="89">
          <cell r="A89">
            <v>1317812920</v>
          </cell>
          <cell r="B89" t="str">
            <v>הש. בעלויול טיולים</v>
          </cell>
          <cell r="C89">
            <v>-120000</v>
          </cell>
          <cell r="D89">
            <v>0</v>
          </cell>
          <cell r="E89">
            <v>0</v>
          </cell>
          <cell r="F89">
            <v>0</v>
          </cell>
        </row>
        <row r="90">
          <cell r="A90">
            <v>1317820920</v>
          </cell>
          <cell r="B90" t="str">
            <v>שכר דירה</v>
          </cell>
          <cell r="C90">
            <v>-95000</v>
          </cell>
          <cell r="D90">
            <v>0</v>
          </cell>
          <cell r="E90">
            <v>0</v>
          </cell>
          <cell r="F90">
            <v>0</v>
          </cell>
        </row>
        <row r="91">
          <cell r="A91">
            <v>1317840920</v>
          </cell>
          <cell r="B91" t="str">
            <v>הסעות חיפה</v>
          </cell>
          <cell r="C91">
            <v>0</v>
          </cell>
          <cell r="D91">
            <v>473.06</v>
          </cell>
          <cell r="E91">
            <v>0</v>
          </cell>
          <cell r="F91">
            <v>473.06</v>
          </cell>
        </row>
        <row r="92">
          <cell r="A92">
            <v>1317900920</v>
          </cell>
          <cell r="B92" t="str">
            <v>תשלומי הורים חומרים</v>
          </cell>
          <cell r="C92">
            <v>-50300</v>
          </cell>
          <cell r="D92">
            <v>-46039.6</v>
          </cell>
          <cell r="E92">
            <v>0</v>
          </cell>
          <cell r="F92">
            <v>-46039.6</v>
          </cell>
        </row>
        <row r="93">
          <cell r="A93">
            <v>1317901920</v>
          </cell>
          <cell r="B93" t="str">
            <v>אחזקת ילדי צד"ל</v>
          </cell>
          <cell r="C93">
            <v>-5000</v>
          </cell>
          <cell r="D93">
            <v>-4533</v>
          </cell>
          <cell r="E93">
            <v>0</v>
          </cell>
          <cell r="F93">
            <v>-4533</v>
          </cell>
        </row>
        <row r="94">
          <cell r="A94">
            <v>1317943920</v>
          </cell>
          <cell r="B94" t="str">
            <v>הכנסות אורט</v>
          </cell>
          <cell r="C94">
            <v>-80000</v>
          </cell>
          <cell r="D94">
            <v>-291593.26</v>
          </cell>
          <cell r="E94">
            <v>0</v>
          </cell>
          <cell r="F94">
            <v>-291593.26</v>
          </cell>
        </row>
        <row r="95">
          <cell r="A95">
            <v>1317950920</v>
          </cell>
          <cell r="B95" t="str">
            <v>קידום נוער</v>
          </cell>
          <cell r="C95">
            <v>-165000</v>
          </cell>
          <cell r="D95">
            <v>0</v>
          </cell>
          <cell r="E95">
            <v>0</v>
          </cell>
          <cell r="F95">
            <v>0</v>
          </cell>
        </row>
        <row r="96">
          <cell r="A96">
            <v>1318000920</v>
          </cell>
          <cell r="B96" t="str">
            <v>מניעת נשירה</v>
          </cell>
          <cell r="C96">
            <v>-15000</v>
          </cell>
          <cell r="D96">
            <v>-22544.19</v>
          </cell>
          <cell r="E96">
            <v>0</v>
          </cell>
          <cell r="F96">
            <v>-22544.19</v>
          </cell>
        </row>
        <row r="97">
          <cell r="A97">
            <v>1319000920</v>
          </cell>
          <cell r="B97" t="str">
            <v>פרויקט מ.החינוך בחופש הגדול</v>
          </cell>
          <cell r="C97">
            <v>-1100000</v>
          </cell>
          <cell r="D97">
            <v>-995410.4</v>
          </cell>
          <cell r="E97">
            <v>0</v>
          </cell>
          <cell r="F97">
            <v>-995410.4</v>
          </cell>
        </row>
        <row r="98">
          <cell r="A98">
            <v>1322000940</v>
          </cell>
          <cell r="B98" t="str">
            <v>פעולות תרבות</v>
          </cell>
          <cell r="C98">
            <v>-435000</v>
          </cell>
          <cell r="D98">
            <v>-88260.4</v>
          </cell>
          <cell r="E98">
            <v>0</v>
          </cell>
          <cell r="F98">
            <v>-88260.4</v>
          </cell>
        </row>
        <row r="99">
          <cell r="A99">
            <v>1325000420</v>
          </cell>
          <cell r="B99" t="str">
            <v>השתתפות הורים מרכז הגיל הרך</v>
          </cell>
          <cell r="C99">
            <v>-100000</v>
          </cell>
          <cell r="D99">
            <v>-126452</v>
          </cell>
          <cell r="E99">
            <v>0</v>
          </cell>
          <cell r="F99">
            <v>-126452</v>
          </cell>
        </row>
        <row r="100">
          <cell r="A100">
            <v>1326400420</v>
          </cell>
          <cell r="B100" t="str">
            <v>תקבולים פעילות קהילתית</v>
          </cell>
          <cell r="C100">
            <v>-200000</v>
          </cell>
          <cell r="D100">
            <v>-283395</v>
          </cell>
          <cell r="E100">
            <v>0</v>
          </cell>
          <cell r="F100">
            <v>-283395</v>
          </cell>
        </row>
        <row r="101">
          <cell r="A101">
            <v>1328210920</v>
          </cell>
          <cell r="B101" t="str">
            <v>שכר מחלקת נוער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A102">
            <v>1328300420</v>
          </cell>
          <cell r="B102" t="str">
            <v>חוגי נוער-תרבות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A103">
            <v>1328400420</v>
          </cell>
          <cell r="B103" t="str">
            <v>קייטנות-השתתפות תושבים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A104">
            <v>1328504990</v>
          </cell>
          <cell r="B104" t="str">
            <v>עיר ללא אלימות</v>
          </cell>
          <cell r="C104">
            <v>-315288</v>
          </cell>
          <cell r="D104">
            <v>-120051</v>
          </cell>
          <cell r="E104">
            <v>0</v>
          </cell>
          <cell r="F104">
            <v>-120051</v>
          </cell>
        </row>
        <row r="105">
          <cell r="A105">
            <v>1341000420</v>
          </cell>
          <cell r="B105" t="str">
            <v>רווחה השתתפות</v>
          </cell>
          <cell r="C105">
            <v>-6000</v>
          </cell>
          <cell r="D105">
            <v>0</v>
          </cell>
          <cell r="E105">
            <v>0</v>
          </cell>
          <cell r="F105">
            <v>0</v>
          </cell>
        </row>
        <row r="106">
          <cell r="A106">
            <v>1341000930</v>
          </cell>
          <cell r="B106" t="str">
            <v>מינהל הרווחה</v>
          </cell>
          <cell r="C106">
            <v>-1042000</v>
          </cell>
          <cell r="D106">
            <v>-838132</v>
          </cell>
          <cell r="E106">
            <v>0</v>
          </cell>
          <cell r="F106">
            <v>-838132</v>
          </cell>
        </row>
        <row r="107">
          <cell r="A107">
            <v>1341001930</v>
          </cell>
          <cell r="B107" t="str">
            <v>כ"א לחינוך מיוחד</v>
          </cell>
          <cell r="C107">
            <v>-25000</v>
          </cell>
          <cell r="D107">
            <v>-4544</v>
          </cell>
          <cell r="E107">
            <v>0</v>
          </cell>
          <cell r="F107">
            <v>-4544</v>
          </cell>
        </row>
        <row r="108">
          <cell r="A108">
            <v>1341003930</v>
          </cell>
          <cell r="B108" t="str">
            <v>פעולות ארגוניות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A109">
            <v>1341200930</v>
          </cell>
          <cell r="B109" t="str">
            <v>בטחון לעובדים</v>
          </cell>
          <cell r="C109">
            <v>-8440</v>
          </cell>
          <cell r="D109">
            <v>-1379</v>
          </cell>
          <cell r="E109">
            <v>0</v>
          </cell>
          <cell r="F109">
            <v>-1379</v>
          </cell>
        </row>
        <row r="110">
          <cell r="A110">
            <v>1342201930</v>
          </cell>
          <cell r="B110" t="str">
            <v>מקלטים לנשים מוכות</v>
          </cell>
          <cell r="C110">
            <v>-10000</v>
          </cell>
          <cell r="D110">
            <v>0</v>
          </cell>
          <cell r="E110">
            <v>0</v>
          </cell>
          <cell r="F110">
            <v>0</v>
          </cell>
        </row>
        <row r="111">
          <cell r="A111">
            <v>1342210930</v>
          </cell>
          <cell r="B111" t="str">
            <v>משפחות במצוקה</v>
          </cell>
          <cell r="C111">
            <v>-30600</v>
          </cell>
          <cell r="D111">
            <v>-37230</v>
          </cell>
          <cell r="E111">
            <v>0</v>
          </cell>
          <cell r="F111">
            <v>-37230</v>
          </cell>
        </row>
        <row r="112">
          <cell r="A112">
            <v>1342212930</v>
          </cell>
          <cell r="B112" t="str">
            <v>סיוע חד פעמי לחימום</v>
          </cell>
          <cell r="C112">
            <v>-3000</v>
          </cell>
          <cell r="D112">
            <v>-5000</v>
          </cell>
          <cell r="E112">
            <v>0</v>
          </cell>
          <cell r="F112">
            <v>-5000</v>
          </cell>
        </row>
        <row r="113">
          <cell r="A113">
            <v>1342230930</v>
          </cell>
          <cell r="B113" t="str">
            <v>סיוע למשפחות עם ילד</v>
          </cell>
          <cell r="C113">
            <v>-31500</v>
          </cell>
          <cell r="D113">
            <v>-49518</v>
          </cell>
          <cell r="E113">
            <v>0</v>
          </cell>
          <cell r="F113">
            <v>-49518</v>
          </cell>
        </row>
        <row r="114">
          <cell r="A114">
            <v>1342401930</v>
          </cell>
          <cell r="B114" t="str">
            <v>תחנות לטיפול במשפחה</v>
          </cell>
          <cell r="C114">
            <v>0</v>
          </cell>
          <cell r="D114">
            <v>585</v>
          </cell>
          <cell r="E114">
            <v>0</v>
          </cell>
          <cell r="F114">
            <v>585</v>
          </cell>
        </row>
        <row r="115">
          <cell r="A115">
            <v>1342410930</v>
          </cell>
          <cell r="B115" t="str">
            <v>מרכזי טיפול באלימות</v>
          </cell>
          <cell r="C115">
            <v>-79000</v>
          </cell>
          <cell r="D115">
            <v>-73316</v>
          </cell>
          <cell r="E115">
            <v>0</v>
          </cell>
          <cell r="F115">
            <v>-73316</v>
          </cell>
        </row>
        <row r="116">
          <cell r="A116">
            <v>1343500930</v>
          </cell>
          <cell r="B116" t="str">
            <v>ת. לאומית ילד ונוער</v>
          </cell>
          <cell r="C116">
            <v>-303664</v>
          </cell>
          <cell r="D116">
            <v>-187886</v>
          </cell>
          <cell r="E116">
            <v>0</v>
          </cell>
          <cell r="F116">
            <v>-187886</v>
          </cell>
        </row>
        <row r="117">
          <cell r="A117">
            <v>1343520930</v>
          </cell>
          <cell r="B117" t="str">
            <v>טיפול בילד בקהילה</v>
          </cell>
          <cell r="C117">
            <v>-210900</v>
          </cell>
          <cell r="D117">
            <v>-239245</v>
          </cell>
          <cell r="E117">
            <v>0</v>
          </cell>
          <cell r="F117">
            <v>-239245</v>
          </cell>
        </row>
        <row r="118">
          <cell r="A118">
            <v>1343530930</v>
          </cell>
          <cell r="B118" t="str">
            <v>מועדוניות מש</v>
          </cell>
          <cell r="C118">
            <v>-79000</v>
          </cell>
          <cell r="D118">
            <v>-85457</v>
          </cell>
          <cell r="E118">
            <v>0</v>
          </cell>
          <cell r="F118">
            <v>-85457</v>
          </cell>
        </row>
        <row r="119">
          <cell r="A119">
            <v>1343550930</v>
          </cell>
          <cell r="B119" t="str">
            <v>יצירת קשר הורים</v>
          </cell>
          <cell r="C119">
            <v>0</v>
          </cell>
          <cell r="D119">
            <v>-38402</v>
          </cell>
          <cell r="E119">
            <v>0</v>
          </cell>
          <cell r="F119">
            <v>-38402</v>
          </cell>
        </row>
        <row r="120">
          <cell r="A120">
            <v>1343800930</v>
          </cell>
          <cell r="B120" t="str">
            <v>אחזקת ילדים בפנימיות</v>
          </cell>
          <cell r="C120">
            <v>-367248</v>
          </cell>
          <cell r="D120">
            <v>-115787</v>
          </cell>
          <cell r="E120">
            <v>0</v>
          </cell>
          <cell r="F120">
            <v>-115787</v>
          </cell>
        </row>
        <row r="121">
          <cell r="A121">
            <v>1343810930</v>
          </cell>
          <cell r="B121" t="str">
            <v>תכנית עם הפנים לקהילה</v>
          </cell>
          <cell r="C121">
            <v>-86468</v>
          </cell>
          <cell r="D121">
            <v>-32119</v>
          </cell>
          <cell r="E121">
            <v>0</v>
          </cell>
          <cell r="F121">
            <v>-32119</v>
          </cell>
        </row>
        <row r="122">
          <cell r="A122">
            <v>1343900930</v>
          </cell>
          <cell r="B122" t="str">
            <v>ילדים במעונות יום</v>
          </cell>
          <cell r="C122">
            <v>-524496</v>
          </cell>
          <cell r="D122">
            <v>-503356</v>
          </cell>
          <cell r="E122">
            <v>0</v>
          </cell>
          <cell r="F122">
            <v>-503356</v>
          </cell>
        </row>
        <row r="123">
          <cell r="A123">
            <v>1343902930</v>
          </cell>
          <cell r="B123" t="str">
            <v>תכנית לאומית-ילדים בסיכון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A124">
            <v>1344300930</v>
          </cell>
          <cell r="B124" t="str">
            <v>אחזקת זקנים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A125">
            <v>1344400930</v>
          </cell>
          <cell r="B125" t="str">
            <v>מועדונים לזקנים</v>
          </cell>
          <cell r="C125">
            <v>-10000</v>
          </cell>
          <cell r="D125">
            <v>0</v>
          </cell>
          <cell r="E125">
            <v>0</v>
          </cell>
          <cell r="F125">
            <v>0</v>
          </cell>
        </row>
        <row r="126">
          <cell r="A126">
            <v>1344401930</v>
          </cell>
          <cell r="B126" t="str">
            <v>שכונה תומכת</v>
          </cell>
          <cell r="C126">
            <v>-22700</v>
          </cell>
          <cell r="D126">
            <v>-29986</v>
          </cell>
          <cell r="E126">
            <v>0</v>
          </cell>
          <cell r="F126">
            <v>-29986</v>
          </cell>
        </row>
        <row r="127">
          <cell r="A127">
            <v>1344410930</v>
          </cell>
          <cell r="B127" t="str">
            <v>טיפול בזקן בקהילה</v>
          </cell>
          <cell r="C127">
            <v>-20700</v>
          </cell>
          <cell r="D127">
            <v>-18982</v>
          </cell>
          <cell r="E127">
            <v>0</v>
          </cell>
          <cell r="F127">
            <v>-18982</v>
          </cell>
        </row>
        <row r="128">
          <cell r="A128">
            <v>1344440930</v>
          </cell>
          <cell r="B128" t="str">
            <v>מרכזי ועדות חוק סעוד</v>
          </cell>
          <cell r="C128">
            <v>-37000</v>
          </cell>
          <cell r="D128">
            <v>-33876</v>
          </cell>
          <cell r="E128">
            <v>0</v>
          </cell>
          <cell r="F128">
            <v>-33876</v>
          </cell>
        </row>
        <row r="129">
          <cell r="A129">
            <v>1344500930</v>
          </cell>
          <cell r="B129" t="str">
            <v>מסגרות יומיות לזקן</v>
          </cell>
          <cell r="C129">
            <v>-156800</v>
          </cell>
          <cell r="D129">
            <v>-249982</v>
          </cell>
          <cell r="E129">
            <v>0</v>
          </cell>
          <cell r="F129">
            <v>-249982</v>
          </cell>
        </row>
        <row r="130">
          <cell r="A130">
            <v>1345100930</v>
          </cell>
          <cell r="B130" t="str">
            <v>סידור מפגרים במוסדות</v>
          </cell>
          <cell r="C130">
            <v>-2622960</v>
          </cell>
          <cell r="D130">
            <v>-2638726</v>
          </cell>
          <cell r="E130">
            <v>0</v>
          </cell>
          <cell r="F130">
            <v>-2638726</v>
          </cell>
        </row>
        <row r="131">
          <cell r="A131">
            <v>1345110930</v>
          </cell>
          <cell r="B131" t="str">
            <v>מועדונים לילדים</v>
          </cell>
          <cell r="C131">
            <v>-117000</v>
          </cell>
          <cell r="D131">
            <v>0</v>
          </cell>
          <cell r="E131">
            <v>0</v>
          </cell>
          <cell r="F131">
            <v>0</v>
          </cell>
        </row>
        <row r="132">
          <cell r="A132">
            <v>1345120930</v>
          </cell>
          <cell r="B132" t="str">
            <v>מפגרים במוסד ממשלתי</v>
          </cell>
          <cell r="C132">
            <v>0</v>
          </cell>
          <cell r="D132">
            <v>-99750</v>
          </cell>
          <cell r="E132">
            <v>0</v>
          </cell>
          <cell r="F132">
            <v>-99750</v>
          </cell>
        </row>
        <row r="133">
          <cell r="A133">
            <v>1345130930</v>
          </cell>
          <cell r="B133" t="str">
            <v>טיפול בהורים ובילדיה</v>
          </cell>
          <cell r="C133">
            <v>-6750</v>
          </cell>
          <cell r="D133">
            <v>0</v>
          </cell>
          <cell r="E133">
            <v>0</v>
          </cell>
          <cell r="F133">
            <v>0</v>
          </cell>
        </row>
        <row r="134">
          <cell r="A134">
            <v>1345140930</v>
          </cell>
          <cell r="B134" t="str">
            <v>החזקת אוטיסטים במסגרת</v>
          </cell>
          <cell r="C134">
            <v>-288024</v>
          </cell>
          <cell r="D134">
            <v>0</v>
          </cell>
          <cell r="E134">
            <v>0</v>
          </cell>
          <cell r="F134">
            <v>0</v>
          </cell>
        </row>
        <row r="135">
          <cell r="A135">
            <v>1345200930</v>
          </cell>
          <cell r="B135" t="str">
            <v>מפגרים במעון טיפולי</v>
          </cell>
          <cell r="C135">
            <v>-204960</v>
          </cell>
          <cell r="D135">
            <v>-160975</v>
          </cell>
          <cell r="E135">
            <v>0</v>
          </cell>
          <cell r="F135">
            <v>-160975</v>
          </cell>
        </row>
        <row r="136">
          <cell r="A136">
            <v>1345240930</v>
          </cell>
          <cell r="B136" t="str">
            <v>מעש"ים</v>
          </cell>
          <cell r="C136">
            <v>-197856</v>
          </cell>
          <cell r="D136">
            <v>-212588</v>
          </cell>
          <cell r="E136">
            <v>0</v>
          </cell>
          <cell r="F136">
            <v>-212588</v>
          </cell>
        </row>
        <row r="137">
          <cell r="A137">
            <v>1345300930</v>
          </cell>
          <cell r="B137" t="str">
            <v>שירותים תומכים למפגר</v>
          </cell>
          <cell r="C137">
            <v>-7500</v>
          </cell>
          <cell r="D137">
            <v>-6954</v>
          </cell>
          <cell r="E137">
            <v>0</v>
          </cell>
          <cell r="F137">
            <v>-6954</v>
          </cell>
        </row>
        <row r="138">
          <cell r="A138">
            <v>1345301930</v>
          </cell>
          <cell r="B138" t="str">
            <v>הסעות למעון מפגרים</v>
          </cell>
          <cell r="C138">
            <v>0</v>
          </cell>
          <cell r="D138">
            <v>-19068</v>
          </cell>
          <cell r="E138">
            <v>0</v>
          </cell>
          <cell r="F138">
            <v>-19068</v>
          </cell>
        </row>
        <row r="139">
          <cell r="A139">
            <v>1345305930</v>
          </cell>
          <cell r="B139" t="str">
            <v>מועדונים חברת למפגר</v>
          </cell>
          <cell r="C139">
            <v>-15000</v>
          </cell>
          <cell r="D139">
            <v>-2664</v>
          </cell>
          <cell r="E139">
            <v>0</v>
          </cell>
          <cell r="F139">
            <v>-2664</v>
          </cell>
        </row>
        <row r="140">
          <cell r="A140">
            <v>1345310930</v>
          </cell>
          <cell r="B140" t="str">
            <v>נופשונים למפגר</v>
          </cell>
          <cell r="C140">
            <v>-13464</v>
          </cell>
          <cell r="D140">
            <v>-11115</v>
          </cell>
          <cell r="E140">
            <v>0</v>
          </cell>
          <cell r="F140">
            <v>-11115</v>
          </cell>
        </row>
        <row r="141">
          <cell r="A141">
            <v>1345311930</v>
          </cell>
          <cell r="B141" t="str">
            <v>הסעות למ.יום למפגר</v>
          </cell>
          <cell r="C141">
            <v>-57900</v>
          </cell>
          <cell r="D141">
            <v>-90195</v>
          </cell>
          <cell r="E141">
            <v>0</v>
          </cell>
          <cell r="F141">
            <v>-90195</v>
          </cell>
        </row>
        <row r="142">
          <cell r="A142">
            <v>1346320930</v>
          </cell>
          <cell r="B142" t="str">
            <v>הדרכת עיוור ובני ביתו</v>
          </cell>
          <cell r="C142">
            <v>-24427</v>
          </cell>
          <cell r="D142">
            <v>-24518</v>
          </cell>
          <cell r="E142">
            <v>0</v>
          </cell>
          <cell r="F142">
            <v>-24518</v>
          </cell>
        </row>
        <row r="143">
          <cell r="A143">
            <v>1346400930</v>
          </cell>
          <cell r="B143" t="str">
            <v>מפעלי שיקון לעוור</v>
          </cell>
          <cell r="C143">
            <v>-41500</v>
          </cell>
          <cell r="D143">
            <v>-28278</v>
          </cell>
          <cell r="E143">
            <v>0</v>
          </cell>
          <cell r="F143">
            <v>-28278</v>
          </cell>
        </row>
        <row r="144">
          <cell r="A144">
            <v>1346510930</v>
          </cell>
          <cell r="B144" t="str">
            <v>מועדונים לעוור</v>
          </cell>
          <cell r="C144">
            <v>0</v>
          </cell>
          <cell r="D144">
            <v>-6273</v>
          </cell>
          <cell r="E144">
            <v>0</v>
          </cell>
          <cell r="F144">
            <v>-6273</v>
          </cell>
        </row>
        <row r="145">
          <cell r="A145">
            <v>1346600930</v>
          </cell>
          <cell r="B145" t="str">
            <v>תעסוקה מוגנת למוגבל</v>
          </cell>
          <cell r="C145">
            <v>-5000</v>
          </cell>
          <cell r="D145">
            <v>0</v>
          </cell>
          <cell r="E145">
            <v>0</v>
          </cell>
          <cell r="F145">
            <v>0</v>
          </cell>
        </row>
        <row r="146">
          <cell r="A146">
            <v>1346610930</v>
          </cell>
          <cell r="B146" t="str">
            <v>תוכניות מעבר</v>
          </cell>
          <cell r="C146">
            <v>-4500</v>
          </cell>
          <cell r="D146">
            <v>0</v>
          </cell>
          <cell r="E146">
            <v>0</v>
          </cell>
          <cell r="F146">
            <v>0</v>
          </cell>
        </row>
        <row r="147">
          <cell r="A147">
            <v>1346700930</v>
          </cell>
          <cell r="B147" t="str">
            <v>מ.יום שיקומי לנכים</v>
          </cell>
          <cell r="C147">
            <v>-33576</v>
          </cell>
          <cell r="D147">
            <v>-7638</v>
          </cell>
          <cell r="E147">
            <v>0</v>
          </cell>
          <cell r="F147">
            <v>-7638</v>
          </cell>
        </row>
        <row r="148">
          <cell r="A148">
            <v>1346709930</v>
          </cell>
          <cell r="B148" t="str">
            <v>ליווי למ.יום שיקומי</v>
          </cell>
          <cell r="C148">
            <v>-30000</v>
          </cell>
          <cell r="D148">
            <v>-6984</v>
          </cell>
          <cell r="E148">
            <v>0</v>
          </cell>
          <cell r="F148">
            <v>-6984</v>
          </cell>
        </row>
        <row r="149">
          <cell r="A149">
            <v>1346710930</v>
          </cell>
          <cell r="B149" t="str">
            <v>הסעות למ.יום שיקומי לנכים</v>
          </cell>
          <cell r="C149">
            <v>-75000</v>
          </cell>
          <cell r="D149">
            <v>-5221</v>
          </cell>
          <cell r="E149">
            <v>0</v>
          </cell>
          <cell r="F149">
            <v>-5221</v>
          </cell>
        </row>
        <row r="150">
          <cell r="A150">
            <v>1346720930</v>
          </cell>
          <cell r="B150" t="str">
            <v>מועדון חברתי לבוגרים</v>
          </cell>
          <cell r="C150">
            <v>-27000</v>
          </cell>
          <cell r="D150">
            <v>-24287</v>
          </cell>
          <cell r="E150">
            <v>0</v>
          </cell>
          <cell r="F150">
            <v>-24287</v>
          </cell>
        </row>
        <row r="151">
          <cell r="A151">
            <v>1346750930</v>
          </cell>
          <cell r="B151" t="str">
            <v>תעסוקה נתמכת לנכים</v>
          </cell>
          <cell r="C151">
            <v>-5000</v>
          </cell>
          <cell r="D151">
            <v>-7226</v>
          </cell>
          <cell r="E151">
            <v>0</v>
          </cell>
          <cell r="F151">
            <v>-7226</v>
          </cell>
        </row>
        <row r="152">
          <cell r="A152">
            <v>1346760930</v>
          </cell>
          <cell r="B152" t="str">
            <v>תוכנית מעבר</v>
          </cell>
          <cell r="C152">
            <v>0</v>
          </cell>
          <cell r="D152">
            <v>-4127</v>
          </cell>
          <cell r="E152">
            <v>0</v>
          </cell>
          <cell r="F152">
            <v>-4127</v>
          </cell>
        </row>
        <row r="153">
          <cell r="A153">
            <v>1346800930</v>
          </cell>
          <cell r="B153" t="str">
            <v>מרכזי איבחון ושיקום</v>
          </cell>
          <cell r="C153">
            <v>-21000</v>
          </cell>
          <cell r="D153">
            <v>-27648</v>
          </cell>
          <cell r="E153">
            <v>0</v>
          </cell>
          <cell r="F153">
            <v>-27648</v>
          </cell>
        </row>
        <row r="154">
          <cell r="A154">
            <v>1346820930</v>
          </cell>
          <cell r="B154" t="str">
            <v>שיקום נכים בקהילה</v>
          </cell>
          <cell r="C154">
            <v>-12500</v>
          </cell>
          <cell r="D154">
            <v>-6188</v>
          </cell>
          <cell r="E154">
            <v>0</v>
          </cell>
          <cell r="F154">
            <v>-6188</v>
          </cell>
        </row>
        <row r="155">
          <cell r="A155">
            <v>1346825930</v>
          </cell>
          <cell r="B155" t="str">
            <v>בוגרים עיוורים בקהילה</v>
          </cell>
          <cell r="C155">
            <v>-32000</v>
          </cell>
          <cell r="D155">
            <v>0</v>
          </cell>
          <cell r="E155">
            <v>0</v>
          </cell>
          <cell r="F155">
            <v>0</v>
          </cell>
        </row>
        <row r="156">
          <cell r="A156">
            <v>1346830930</v>
          </cell>
          <cell r="B156" t="str">
            <v>ילדים עוורים בקהילה</v>
          </cell>
          <cell r="C156">
            <v>-31000</v>
          </cell>
          <cell r="D156">
            <v>-16603</v>
          </cell>
          <cell r="E156">
            <v>0</v>
          </cell>
          <cell r="F156">
            <v>-16603</v>
          </cell>
        </row>
        <row r="157">
          <cell r="A157">
            <v>1346840930</v>
          </cell>
          <cell r="B157" t="str">
            <v>נכים קשים בקהילה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A158">
            <v>1347120930</v>
          </cell>
          <cell r="B158" t="str">
            <v>טיפול בנוער וצעירים</v>
          </cell>
          <cell r="C158">
            <v>-8000</v>
          </cell>
          <cell r="D158">
            <v>802</v>
          </cell>
          <cell r="E158">
            <v>0</v>
          </cell>
          <cell r="F158">
            <v>802</v>
          </cell>
        </row>
        <row r="159">
          <cell r="A159">
            <v>1347130930</v>
          </cell>
          <cell r="B159" t="str">
            <v>שהות במקלטים לנערות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A160">
            <v>1347140930</v>
          </cell>
          <cell r="B160" t="str">
            <v>מועדון חברתי לבוגרים</v>
          </cell>
          <cell r="C160">
            <v>0</v>
          </cell>
          <cell r="D160">
            <v>-18009</v>
          </cell>
          <cell r="E160">
            <v>0</v>
          </cell>
          <cell r="F160">
            <v>-18009</v>
          </cell>
        </row>
        <row r="161">
          <cell r="A161">
            <v>1347200930</v>
          </cell>
          <cell r="B161" t="str">
            <v>טיפול בנערות במצוקה</v>
          </cell>
          <cell r="C161">
            <v>-9215</v>
          </cell>
          <cell r="D161">
            <v>-2395</v>
          </cell>
          <cell r="E161">
            <v>0</v>
          </cell>
          <cell r="F161">
            <v>-2395</v>
          </cell>
        </row>
        <row r="162">
          <cell r="A162">
            <v>1347300990</v>
          </cell>
          <cell r="B162" t="str">
            <v>טיפול בנוער מתמכר</v>
          </cell>
          <cell r="C162">
            <v>-9000</v>
          </cell>
          <cell r="D162">
            <v>0</v>
          </cell>
          <cell r="E162">
            <v>0</v>
          </cell>
          <cell r="F162">
            <v>0</v>
          </cell>
        </row>
        <row r="163">
          <cell r="A163">
            <v>1347305930</v>
          </cell>
          <cell r="B163" t="str">
            <v>התמכרויות מבוגרים</v>
          </cell>
          <cell r="C163">
            <v>-20000</v>
          </cell>
          <cell r="D163">
            <v>-43551</v>
          </cell>
          <cell r="E163">
            <v>0</v>
          </cell>
          <cell r="F163">
            <v>-43551</v>
          </cell>
        </row>
        <row r="164">
          <cell r="A164">
            <v>1347310930</v>
          </cell>
          <cell r="B164" t="str">
            <v>טפול באלכוהוליסטים</v>
          </cell>
          <cell r="C164">
            <v>0</v>
          </cell>
          <cell r="D164">
            <v>-1680</v>
          </cell>
          <cell r="E164">
            <v>0</v>
          </cell>
          <cell r="F164">
            <v>-1680</v>
          </cell>
        </row>
        <row r="165">
          <cell r="A165">
            <v>1347330930</v>
          </cell>
          <cell r="B165" t="str">
            <v>מ.יום לנוער -סמים</v>
          </cell>
          <cell r="C165">
            <v>0</v>
          </cell>
          <cell r="D165">
            <v>-2997</v>
          </cell>
          <cell r="E165">
            <v>0</v>
          </cell>
          <cell r="F165">
            <v>-2997</v>
          </cell>
        </row>
        <row r="166">
          <cell r="A166">
            <v>1347400930</v>
          </cell>
          <cell r="B166" t="str">
            <v>מית"ר</v>
          </cell>
          <cell r="C166">
            <v>-741504</v>
          </cell>
          <cell r="D166">
            <v>-511911</v>
          </cell>
          <cell r="E166">
            <v>0</v>
          </cell>
          <cell r="F166">
            <v>-511911</v>
          </cell>
        </row>
        <row r="167">
          <cell r="A167">
            <v>1347410930</v>
          </cell>
          <cell r="B167" t="str">
            <v>מניעת אלימות במפתנים</v>
          </cell>
          <cell r="C167">
            <v>0</v>
          </cell>
          <cell r="D167">
            <v>-3000</v>
          </cell>
          <cell r="E167">
            <v>0</v>
          </cell>
          <cell r="F167">
            <v>-3000</v>
          </cell>
        </row>
        <row r="168">
          <cell r="A168">
            <v>1348300930</v>
          </cell>
          <cell r="B168" t="str">
            <v>פעולות התנדבות</v>
          </cell>
          <cell r="C168">
            <v>-1000</v>
          </cell>
          <cell r="D168">
            <v>-8404</v>
          </cell>
          <cell r="E168">
            <v>0</v>
          </cell>
          <cell r="F168">
            <v>-8404</v>
          </cell>
        </row>
        <row r="169">
          <cell r="A169">
            <v>1413100210</v>
          </cell>
          <cell r="B169" t="str">
            <v>מים שוטף</v>
          </cell>
          <cell r="C169">
            <v>-5000000</v>
          </cell>
          <cell r="D169">
            <v>-2858831.42</v>
          </cell>
          <cell r="E169">
            <v>0</v>
          </cell>
          <cell r="F169">
            <v>-2858831.42</v>
          </cell>
        </row>
        <row r="170">
          <cell r="A170">
            <v>1413109210</v>
          </cell>
          <cell r="B170" t="str">
            <v>היטל צריכה עודפת</v>
          </cell>
          <cell r="C170">
            <v>0</v>
          </cell>
          <cell r="D170">
            <v>-138.86000000000001</v>
          </cell>
          <cell r="E170">
            <v>0</v>
          </cell>
          <cell r="F170">
            <v>-138.86000000000001</v>
          </cell>
        </row>
        <row r="171">
          <cell r="A171">
            <v>1413110210</v>
          </cell>
          <cell r="B171" t="str">
            <v>מים פיגורים</v>
          </cell>
          <cell r="C171">
            <v>-3000000</v>
          </cell>
          <cell r="D171">
            <v>-2017698.47</v>
          </cell>
          <cell r="E171">
            <v>0</v>
          </cell>
          <cell r="F171">
            <v>-2017698.47</v>
          </cell>
        </row>
        <row r="172">
          <cell r="A172">
            <v>1413111210</v>
          </cell>
          <cell r="B172" t="str">
            <v>יתרות מים 2005</v>
          </cell>
          <cell r="C172">
            <v>0</v>
          </cell>
          <cell r="D172">
            <v>-135441.60000000001</v>
          </cell>
          <cell r="E172">
            <v>0</v>
          </cell>
          <cell r="F172">
            <v>-135441.60000000001</v>
          </cell>
        </row>
        <row r="173">
          <cell r="A173">
            <v>1413112210</v>
          </cell>
          <cell r="B173" t="str">
            <v>יתרות מים 2006</v>
          </cell>
          <cell r="C173">
            <v>0</v>
          </cell>
          <cell r="D173">
            <v>-2823.66</v>
          </cell>
          <cell r="E173">
            <v>0</v>
          </cell>
          <cell r="F173">
            <v>-2823.66</v>
          </cell>
        </row>
        <row r="174">
          <cell r="A174">
            <v>1413113210</v>
          </cell>
          <cell r="B174" t="str">
            <v>יתרות מים 2007</v>
          </cell>
          <cell r="C174">
            <v>0</v>
          </cell>
          <cell r="D174">
            <v>-56742.21</v>
          </cell>
          <cell r="E174">
            <v>0</v>
          </cell>
          <cell r="F174">
            <v>-56742.21</v>
          </cell>
        </row>
        <row r="175">
          <cell r="A175">
            <v>1413200410</v>
          </cell>
          <cell r="B175" t="str">
            <v>הכנסות מים (הסדר 23) עצמיות</v>
          </cell>
          <cell r="C175">
            <v>0</v>
          </cell>
          <cell r="D175">
            <v>-153245.70000000001</v>
          </cell>
          <cell r="E175">
            <v>0</v>
          </cell>
          <cell r="F175">
            <v>-153245.70000000001</v>
          </cell>
        </row>
        <row r="176">
          <cell r="A176">
            <v>1413300810</v>
          </cell>
          <cell r="B176" t="str">
            <v>א.צנרת דליה</v>
          </cell>
          <cell r="C176">
            <v>-340000</v>
          </cell>
          <cell r="D176">
            <v>-249971.13</v>
          </cell>
          <cell r="E176">
            <v>0</v>
          </cell>
          <cell r="F176">
            <v>-249971.13</v>
          </cell>
        </row>
        <row r="177">
          <cell r="A177">
            <v>1472000210</v>
          </cell>
          <cell r="B177" t="str">
            <v>י.אב ביוב</v>
          </cell>
          <cell r="C177">
            <v>0</v>
          </cell>
          <cell r="D177">
            <v>-91219.17</v>
          </cell>
          <cell r="E177">
            <v>0</v>
          </cell>
          <cell r="F177">
            <v>-91219.17</v>
          </cell>
        </row>
        <row r="178">
          <cell r="A178">
            <v>1472000310</v>
          </cell>
          <cell r="B178" t="str">
            <v>היטל ביוב</v>
          </cell>
          <cell r="C178">
            <v>0</v>
          </cell>
          <cell r="D178">
            <v>-12261.18</v>
          </cell>
          <cell r="E178">
            <v>0</v>
          </cell>
          <cell r="F178">
            <v>-12261.18</v>
          </cell>
        </row>
        <row r="179">
          <cell r="A179">
            <v>1472000810</v>
          </cell>
          <cell r="B179" t="str">
            <v>אגרת ביוב</v>
          </cell>
          <cell r="C179">
            <v>-300000</v>
          </cell>
          <cell r="D179">
            <v>-153873.84</v>
          </cell>
          <cell r="E179">
            <v>0</v>
          </cell>
          <cell r="F179">
            <v>-153873.84</v>
          </cell>
        </row>
        <row r="180">
          <cell r="A180">
            <v>1472100310</v>
          </cell>
          <cell r="B180" t="str">
            <v>ביוב  2005</v>
          </cell>
          <cell r="C180">
            <v>0</v>
          </cell>
          <cell r="D180">
            <v>-13979.64</v>
          </cell>
          <cell r="E180">
            <v>0</v>
          </cell>
          <cell r="F180">
            <v>-13979.64</v>
          </cell>
        </row>
        <row r="181">
          <cell r="A181">
            <v>1472200310</v>
          </cell>
          <cell r="B181" t="str">
            <v>ביוב 2007</v>
          </cell>
          <cell r="C181">
            <v>0</v>
          </cell>
          <cell r="D181">
            <v>-1869.37</v>
          </cell>
          <cell r="E181">
            <v>0</v>
          </cell>
          <cell r="F181">
            <v>-1869.37</v>
          </cell>
        </row>
        <row r="182">
          <cell r="A182">
            <v>1472300310</v>
          </cell>
          <cell r="B182" t="str">
            <v>ביוב פיגורים</v>
          </cell>
          <cell r="C182">
            <v>-250000</v>
          </cell>
          <cell r="D182">
            <v>-182120.13</v>
          </cell>
          <cell r="E182">
            <v>0</v>
          </cell>
          <cell r="F182">
            <v>-182120.13</v>
          </cell>
        </row>
        <row r="183">
          <cell r="A183">
            <v>1511000660</v>
          </cell>
          <cell r="B183" t="str">
            <v>ריבית</v>
          </cell>
          <cell r="C183">
            <v>0</v>
          </cell>
          <cell r="D183">
            <v>-40955.410000000003</v>
          </cell>
          <cell r="E183">
            <v>0</v>
          </cell>
          <cell r="F183">
            <v>-40955.410000000003</v>
          </cell>
        </row>
        <row r="184">
          <cell r="A184">
            <v>1511000900</v>
          </cell>
          <cell r="B184" t="str">
            <v>מבוטל - עבר 1511000660</v>
          </cell>
          <cell r="C184">
            <v>0</v>
          </cell>
          <cell r="D184">
            <v>-80.44</v>
          </cell>
          <cell r="E184">
            <v>0</v>
          </cell>
          <cell r="F184">
            <v>-80.44</v>
          </cell>
        </row>
        <row r="185">
          <cell r="A185">
            <v>1513000510</v>
          </cell>
          <cell r="B185" t="str">
            <v>החזר הוצאות משנים קודמות</v>
          </cell>
          <cell r="C185">
            <v>0</v>
          </cell>
          <cell r="D185">
            <v>-30977.22</v>
          </cell>
          <cell r="E185">
            <v>0</v>
          </cell>
          <cell r="F185">
            <v>-30977.22</v>
          </cell>
        </row>
        <row r="186">
          <cell r="A186">
            <v>1513100900</v>
          </cell>
          <cell r="B186" t="str">
            <v>הכנסות שנים קודמות</v>
          </cell>
          <cell r="C186">
            <v>0</v>
          </cell>
          <cell r="D186">
            <v>-143424.88</v>
          </cell>
          <cell r="E186">
            <v>0</v>
          </cell>
          <cell r="F186">
            <v>-143424.88</v>
          </cell>
        </row>
        <row r="187">
          <cell r="A187">
            <v>1599100590</v>
          </cell>
          <cell r="B187" t="str">
            <v>הכנסות מהסכמי פשרה</v>
          </cell>
          <cell r="C187">
            <v>-4000000</v>
          </cell>
          <cell r="D187">
            <v>-1637652.08</v>
          </cell>
          <cell r="E187">
            <v>0</v>
          </cell>
          <cell r="F187">
            <v>-1637652.08</v>
          </cell>
        </row>
        <row r="188">
          <cell r="A188">
            <v>1599100910</v>
          </cell>
          <cell r="B188" t="str">
            <v>מענק כסוי גרעון</v>
          </cell>
          <cell r="C188">
            <v>-2000000</v>
          </cell>
          <cell r="D188">
            <v>-6218000</v>
          </cell>
          <cell r="E188">
            <v>0</v>
          </cell>
          <cell r="F188">
            <v>-6218000</v>
          </cell>
        </row>
        <row r="189">
          <cell r="A189">
            <v>1599100980</v>
          </cell>
          <cell r="B189" t="str">
            <v>הכנסהמותנת ביקורת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A190">
            <v>1611000450</v>
          </cell>
          <cell r="B190" t="str">
            <v>ריהוט וציוד הנהלה</v>
          </cell>
          <cell r="C190">
            <v>8000</v>
          </cell>
          <cell r="D190">
            <v>9099.99</v>
          </cell>
          <cell r="E190">
            <v>3834</v>
          </cell>
          <cell r="F190">
            <v>12933.99</v>
          </cell>
        </row>
        <row r="191">
          <cell r="A191">
            <v>1611000470</v>
          </cell>
          <cell r="B191" t="str">
            <v>ציוד משרדי הנהלה</v>
          </cell>
          <cell r="C191">
            <v>5000</v>
          </cell>
          <cell r="D191">
            <v>5545.83</v>
          </cell>
          <cell r="E191">
            <v>0</v>
          </cell>
          <cell r="F191">
            <v>5545.83</v>
          </cell>
        </row>
        <row r="192">
          <cell r="A192">
            <v>1611000480</v>
          </cell>
          <cell r="B192" t="str">
            <v>עתון</v>
          </cell>
          <cell r="C192">
            <v>4000</v>
          </cell>
          <cell r="D192">
            <v>9404.89</v>
          </cell>
          <cell r="E192">
            <v>0</v>
          </cell>
          <cell r="F192">
            <v>9404.89</v>
          </cell>
        </row>
        <row r="193">
          <cell r="A193">
            <v>1611000514</v>
          </cell>
          <cell r="B193" t="str">
            <v>מתנות הנהלה</v>
          </cell>
          <cell r="C193">
            <v>9600</v>
          </cell>
          <cell r="D193">
            <v>7859.6</v>
          </cell>
          <cell r="E193">
            <v>0</v>
          </cell>
          <cell r="F193">
            <v>7859.6</v>
          </cell>
        </row>
        <row r="194">
          <cell r="A194">
            <v>1611000530</v>
          </cell>
          <cell r="B194" t="str">
            <v>רכב מנהלי - דלק</v>
          </cell>
          <cell r="C194">
            <v>24000</v>
          </cell>
          <cell r="D194">
            <v>28141.279999999999</v>
          </cell>
          <cell r="E194">
            <v>0</v>
          </cell>
          <cell r="F194">
            <v>28141.279999999999</v>
          </cell>
        </row>
        <row r="195">
          <cell r="A195">
            <v>1611000535</v>
          </cell>
          <cell r="B195" t="str">
            <v>שכירות רכב הנהלה</v>
          </cell>
          <cell r="C195">
            <v>52000</v>
          </cell>
          <cell r="D195">
            <v>34349.339999999997</v>
          </cell>
          <cell r="E195">
            <v>0</v>
          </cell>
          <cell r="F195">
            <v>34349.339999999997</v>
          </cell>
        </row>
        <row r="196">
          <cell r="A196">
            <v>1611000550</v>
          </cell>
          <cell r="B196" t="str">
            <v>פרסום</v>
          </cell>
          <cell r="C196">
            <v>10000</v>
          </cell>
          <cell r="D196">
            <v>600</v>
          </cell>
          <cell r="E196">
            <v>9400</v>
          </cell>
          <cell r="F196">
            <v>10000</v>
          </cell>
        </row>
        <row r="197">
          <cell r="A197">
            <v>1611000735</v>
          </cell>
          <cell r="B197" t="str">
            <v>שכירות רכב-הנהלה</v>
          </cell>
          <cell r="C197">
            <v>0</v>
          </cell>
          <cell r="D197">
            <v>53</v>
          </cell>
          <cell r="E197">
            <v>0</v>
          </cell>
          <cell r="F197">
            <v>53</v>
          </cell>
        </row>
        <row r="198">
          <cell r="A198">
            <v>1611000780</v>
          </cell>
          <cell r="B198" t="str">
            <v>שונות</v>
          </cell>
          <cell r="C198">
            <v>7000</v>
          </cell>
          <cell r="D198">
            <v>5973</v>
          </cell>
          <cell r="E198">
            <v>1027</v>
          </cell>
          <cell r="F198">
            <v>7000</v>
          </cell>
        </row>
        <row r="199">
          <cell r="A199">
            <v>1611100110</v>
          </cell>
          <cell r="B199" t="str">
            <v>שכר ראש העיר</v>
          </cell>
          <cell r="C199">
            <v>636000</v>
          </cell>
          <cell r="D199">
            <v>757091.16</v>
          </cell>
          <cell r="E199">
            <v>0</v>
          </cell>
          <cell r="F199">
            <v>757091.16</v>
          </cell>
        </row>
        <row r="200">
          <cell r="A200">
            <v>1611100510</v>
          </cell>
          <cell r="B200" t="str">
            <v>אשל וכיבוד</v>
          </cell>
          <cell r="C200">
            <v>5100</v>
          </cell>
          <cell r="D200">
            <v>3450</v>
          </cell>
          <cell r="E200">
            <v>900</v>
          </cell>
          <cell r="F200">
            <v>4350</v>
          </cell>
        </row>
        <row r="201">
          <cell r="A201">
            <v>1611100523</v>
          </cell>
          <cell r="B201" t="str">
            <v>דמי חבר</v>
          </cell>
          <cell r="C201">
            <v>3000</v>
          </cell>
          <cell r="D201">
            <v>0</v>
          </cell>
          <cell r="E201">
            <v>0</v>
          </cell>
          <cell r="F201">
            <v>0</v>
          </cell>
        </row>
        <row r="202">
          <cell r="A202">
            <v>1611100541</v>
          </cell>
          <cell r="B202" t="str">
            <v>יו"ר עיריה-סלקום</v>
          </cell>
          <cell r="C202">
            <v>0</v>
          </cell>
          <cell r="D202">
            <v>287.73</v>
          </cell>
          <cell r="E202">
            <v>0</v>
          </cell>
          <cell r="F202">
            <v>287.73</v>
          </cell>
        </row>
        <row r="203">
          <cell r="A203">
            <v>1611110110</v>
          </cell>
          <cell r="B203" t="str">
            <v>שכר סגן יו"ר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A204">
            <v>1611200110</v>
          </cell>
          <cell r="B204" t="str">
            <v>שכר עובדי לשכה</v>
          </cell>
          <cell r="C204">
            <v>344055</v>
          </cell>
          <cell r="D204">
            <v>40368.79</v>
          </cell>
          <cell r="E204">
            <v>0</v>
          </cell>
          <cell r="F204">
            <v>40368.79</v>
          </cell>
        </row>
        <row r="205">
          <cell r="A205">
            <v>1611200541</v>
          </cell>
          <cell r="B205" t="str">
            <v>מועצת הרשות-סלקום</v>
          </cell>
          <cell r="C205">
            <v>0</v>
          </cell>
          <cell r="D205">
            <v>1302.28</v>
          </cell>
          <cell r="E205">
            <v>0</v>
          </cell>
          <cell r="F205">
            <v>1302.28</v>
          </cell>
        </row>
        <row r="206">
          <cell r="A206">
            <v>1612000110</v>
          </cell>
          <cell r="B206" t="str">
            <v>שכר מבקר</v>
          </cell>
          <cell r="C206">
            <v>414395</v>
          </cell>
          <cell r="D206">
            <v>587182.97</v>
          </cell>
          <cell r="E206">
            <v>0</v>
          </cell>
          <cell r="F206">
            <v>587182.97</v>
          </cell>
        </row>
        <row r="207">
          <cell r="A207">
            <v>1612000470</v>
          </cell>
          <cell r="B207" t="str">
            <v>ציוד משרדי-מבקר</v>
          </cell>
          <cell r="C207">
            <v>2400</v>
          </cell>
          <cell r="D207">
            <v>0</v>
          </cell>
          <cell r="E207">
            <v>1740.5</v>
          </cell>
          <cell r="F207">
            <v>1740.5</v>
          </cell>
        </row>
        <row r="208">
          <cell r="A208">
            <v>1612000780</v>
          </cell>
          <cell r="B208" t="str">
            <v>הוצאות שונות-מבקר</v>
          </cell>
          <cell r="C208">
            <v>3000</v>
          </cell>
          <cell r="D208">
            <v>2939.41</v>
          </cell>
          <cell r="E208">
            <v>850</v>
          </cell>
          <cell r="F208">
            <v>3789.41</v>
          </cell>
        </row>
        <row r="209">
          <cell r="A209">
            <v>1613000110</v>
          </cell>
          <cell r="B209" t="str">
            <v>שכר מזכירות</v>
          </cell>
          <cell r="C209">
            <v>1321000</v>
          </cell>
          <cell r="D209">
            <v>1417709.96</v>
          </cell>
          <cell r="E209">
            <v>0</v>
          </cell>
          <cell r="F209">
            <v>1417709.96</v>
          </cell>
        </row>
        <row r="210">
          <cell r="A210">
            <v>1613000420</v>
          </cell>
          <cell r="B210" t="str">
            <v>תחזוקת מבנים</v>
          </cell>
          <cell r="C210">
            <v>15000</v>
          </cell>
          <cell r="D210">
            <v>4480</v>
          </cell>
          <cell r="E210">
            <v>0</v>
          </cell>
          <cell r="F210">
            <v>4480</v>
          </cell>
        </row>
        <row r="211">
          <cell r="A211">
            <v>1613000430</v>
          </cell>
          <cell r="B211" t="str">
            <v>מים</v>
          </cell>
          <cell r="C211">
            <v>100000</v>
          </cell>
          <cell r="D211">
            <v>60599.4</v>
          </cell>
          <cell r="E211">
            <v>0</v>
          </cell>
          <cell r="F211">
            <v>60599.4</v>
          </cell>
        </row>
        <row r="212">
          <cell r="A212">
            <v>1613000431</v>
          </cell>
          <cell r="B212" t="str">
            <v>חשמל בניין ראשי</v>
          </cell>
          <cell r="C212">
            <v>32000</v>
          </cell>
          <cell r="D212">
            <v>17623.96</v>
          </cell>
          <cell r="E212">
            <v>0</v>
          </cell>
          <cell r="F212">
            <v>17623.96</v>
          </cell>
        </row>
        <row r="213">
          <cell r="A213">
            <v>1613000450</v>
          </cell>
          <cell r="B213" t="str">
            <v>ריהוט ואחזקתו</v>
          </cell>
          <cell r="C213">
            <v>10000</v>
          </cell>
          <cell r="D213">
            <v>9743.7199999999993</v>
          </cell>
          <cell r="E213">
            <v>900</v>
          </cell>
          <cell r="F213">
            <v>10643.72</v>
          </cell>
        </row>
        <row r="214">
          <cell r="A214">
            <v>1613000470</v>
          </cell>
          <cell r="B214" t="str">
            <v>ציוד משרדי</v>
          </cell>
          <cell r="C214">
            <v>30000</v>
          </cell>
          <cell r="D214">
            <v>27395.01</v>
          </cell>
          <cell r="E214">
            <v>245.82</v>
          </cell>
          <cell r="F214">
            <v>27640.83</v>
          </cell>
        </row>
        <row r="215">
          <cell r="A215">
            <v>1613000475</v>
          </cell>
          <cell r="B215" t="str">
            <v>השכרת מכונות צילום</v>
          </cell>
          <cell r="C215">
            <v>40000</v>
          </cell>
          <cell r="D215">
            <v>46221.32</v>
          </cell>
          <cell r="E215">
            <v>0</v>
          </cell>
          <cell r="F215">
            <v>46221.32</v>
          </cell>
        </row>
        <row r="216">
          <cell r="A216">
            <v>1613000510</v>
          </cell>
          <cell r="B216" t="str">
            <v>אשל וכיבודים</v>
          </cell>
          <cell r="C216">
            <v>3500</v>
          </cell>
          <cell r="D216">
            <v>3050</v>
          </cell>
          <cell r="E216">
            <v>0</v>
          </cell>
          <cell r="F216">
            <v>3050</v>
          </cell>
        </row>
        <row r="217">
          <cell r="A217">
            <v>1613000521</v>
          </cell>
          <cell r="B217" t="str">
            <v>השתלמויות ותוכניות ארגוניות</v>
          </cell>
          <cell r="C217">
            <v>20000</v>
          </cell>
          <cell r="D217">
            <v>6000</v>
          </cell>
          <cell r="E217">
            <v>12661.4</v>
          </cell>
          <cell r="F217">
            <v>18661.400000000001</v>
          </cell>
        </row>
        <row r="218">
          <cell r="A218">
            <v>1613000523</v>
          </cell>
          <cell r="B218" t="str">
            <v>דמי חבר וכנסים</v>
          </cell>
          <cell r="C218">
            <v>10000</v>
          </cell>
          <cell r="D218">
            <v>1250</v>
          </cell>
          <cell r="E218">
            <v>2081.52</v>
          </cell>
          <cell r="F218">
            <v>3331.52</v>
          </cell>
        </row>
        <row r="219">
          <cell r="A219">
            <v>1613000525</v>
          </cell>
          <cell r="B219" t="str">
            <v>עמותת לקידום חברתי</v>
          </cell>
          <cell r="C219">
            <v>92000</v>
          </cell>
          <cell r="D219">
            <v>82327.86</v>
          </cell>
          <cell r="E219">
            <v>0</v>
          </cell>
          <cell r="F219">
            <v>82327.86</v>
          </cell>
        </row>
        <row r="220">
          <cell r="A220">
            <v>1613000540</v>
          </cell>
          <cell r="B220" t="str">
            <v>הוצאות תקשורת</v>
          </cell>
          <cell r="C220">
            <v>90000</v>
          </cell>
          <cell r="D220">
            <v>92867.55</v>
          </cell>
          <cell r="E220">
            <v>1478.15</v>
          </cell>
          <cell r="F220">
            <v>94345.7</v>
          </cell>
        </row>
        <row r="221">
          <cell r="A221">
            <v>1613000541</v>
          </cell>
          <cell r="B221" t="str">
            <v>סלקום</v>
          </cell>
          <cell r="C221">
            <v>6000</v>
          </cell>
          <cell r="D221">
            <v>0</v>
          </cell>
          <cell r="E221">
            <v>0</v>
          </cell>
          <cell r="F221">
            <v>0</v>
          </cell>
        </row>
        <row r="222">
          <cell r="A222">
            <v>1613000542</v>
          </cell>
          <cell r="B222" t="str">
            <v>שירותי מחשבים</v>
          </cell>
          <cell r="C222">
            <v>77500</v>
          </cell>
          <cell r="D222">
            <v>8584</v>
          </cell>
          <cell r="E222">
            <v>22373.759999999998</v>
          </cell>
          <cell r="F222">
            <v>30957.759999999998</v>
          </cell>
        </row>
        <row r="223">
          <cell r="A223">
            <v>1613000543</v>
          </cell>
          <cell r="B223" t="str">
            <v>הוצאות דואר וביול</v>
          </cell>
          <cell r="C223">
            <v>110000</v>
          </cell>
          <cell r="D223">
            <v>79982.94</v>
          </cell>
          <cell r="E223">
            <v>3350.8</v>
          </cell>
          <cell r="F223">
            <v>83333.740000000005</v>
          </cell>
        </row>
        <row r="224">
          <cell r="A224">
            <v>1613000544</v>
          </cell>
          <cell r="B224" t="str">
            <v>אינטרנט ושעוני נוכחות</v>
          </cell>
          <cell r="C224">
            <v>27000</v>
          </cell>
          <cell r="D224">
            <v>16053.9</v>
          </cell>
          <cell r="E224">
            <v>12955</v>
          </cell>
          <cell r="F224">
            <v>29008.9</v>
          </cell>
        </row>
        <row r="225">
          <cell r="A225">
            <v>1613000550</v>
          </cell>
          <cell r="B225" t="str">
            <v>פרסום מכרזים</v>
          </cell>
          <cell r="C225">
            <v>20000</v>
          </cell>
          <cell r="D225">
            <v>19432.349999999999</v>
          </cell>
          <cell r="E225">
            <v>2852</v>
          </cell>
          <cell r="F225">
            <v>22284.35</v>
          </cell>
        </row>
        <row r="226">
          <cell r="A226">
            <v>1613000560</v>
          </cell>
          <cell r="B226" t="str">
            <v>משרדיות</v>
          </cell>
          <cell r="C226">
            <v>1400</v>
          </cell>
          <cell r="D226">
            <v>0</v>
          </cell>
          <cell r="E226">
            <v>1085.5999999999999</v>
          </cell>
          <cell r="F226">
            <v>1085.5999999999999</v>
          </cell>
        </row>
        <row r="227">
          <cell r="A227">
            <v>1613000570</v>
          </cell>
          <cell r="B227" t="str">
            <v>מיכון אוטומציה</v>
          </cell>
          <cell r="C227">
            <v>300000</v>
          </cell>
          <cell r="D227">
            <v>194822.38</v>
          </cell>
          <cell r="E227">
            <v>1486.8</v>
          </cell>
          <cell r="F227">
            <v>196309.18</v>
          </cell>
        </row>
        <row r="228">
          <cell r="A228">
            <v>1613000720</v>
          </cell>
          <cell r="B228" t="str">
            <v>חומרים</v>
          </cell>
          <cell r="C228">
            <v>8000</v>
          </cell>
          <cell r="D228">
            <v>7774.2</v>
          </cell>
          <cell r="E228">
            <v>651</v>
          </cell>
          <cell r="F228">
            <v>8425.2000000000007</v>
          </cell>
        </row>
        <row r="229">
          <cell r="A229">
            <v>1613000760</v>
          </cell>
          <cell r="B229" t="str">
            <v>השתתפות בתקציב ועד עובדים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A230">
            <v>1613000770</v>
          </cell>
          <cell r="B230" t="str">
            <v>טקסים ואירועים</v>
          </cell>
          <cell r="C230">
            <v>20000</v>
          </cell>
          <cell r="D230">
            <v>10779.14</v>
          </cell>
          <cell r="E230">
            <v>9125</v>
          </cell>
          <cell r="F230">
            <v>19904.14</v>
          </cell>
        </row>
        <row r="231">
          <cell r="A231">
            <v>1613001523</v>
          </cell>
          <cell r="B231" t="str">
            <v>דמי חבר -קידום מקצועי וחברתי</v>
          </cell>
          <cell r="C231">
            <v>0</v>
          </cell>
          <cell r="D231">
            <v>12013.5</v>
          </cell>
          <cell r="E231">
            <v>0</v>
          </cell>
          <cell r="F231">
            <v>12013.5</v>
          </cell>
        </row>
        <row r="232">
          <cell r="A232">
            <v>1613001541</v>
          </cell>
          <cell r="B232" t="str">
            <v>סלקום - עובדים</v>
          </cell>
          <cell r="C232">
            <v>0</v>
          </cell>
          <cell r="D232">
            <v>26886.880000000001</v>
          </cell>
          <cell r="E232">
            <v>0</v>
          </cell>
          <cell r="F232">
            <v>26886.880000000001</v>
          </cell>
        </row>
        <row r="233">
          <cell r="A233">
            <v>1613002523</v>
          </cell>
          <cell r="B233" t="str">
            <v>דמי חבר-קרן רווחת עובדי הרשות</v>
          </cell>
          <cell r="C233">
            <v>0</v>
          </cell>
          <cell r="D233">
            <v>9628</v>
          </cell>
          <cell r="E233">
            <v>0</v>
          </cell>
          <cell r="F233">
            <v>9628</v>
          </cell>
        </row>
        <row r="234">
          <cell r="A234">
            <v>1614000410</v>
          </cell>
          <cell r="B234" t="str">
            <v>שכירות שירותים ציבוריים</v>
          </cell>
          <cell r="C234">
            <v>18000</v>
          </cell>
          <cell r="D234">
            <v>0</v>
          </cell>
          <cell r="E234">
            <v>0</v>
          </cell>
          <cell r="F234">
            <v>0</v>
          </cell>
        </row>
        <row r="235">
          <cell r="A235">
            <v>1614000435</v>
          </cell>
          <cell r="B235" t="str">
            <v>צריכת מים שירותים ציבוריים</v>
          </cell>
          <cell r="C235">
            <v>7800</v>
          </cell>
          <cell r="D235">
            <v>7450.3</v>
          </cell>
          <cell r="E235">
            <v>0</v>
          </cell>
          <cell r="F235">
            <v>7450.3</v>
          </cell>
        </row>
        <row r="236">
          <cell r="A236">
            <v>1614000720</v>
          </cell>
          <cell r="B236" t="str">
            <v>חומרי לשירותים ציבוריים</v>
          </cell>
          <cell r="C236">
            <v>3000</v>
          </cell>
          <cell r="D236">
            <v>0</v>
          </cell>
          <cell r="E236">
            <v>500</v>
          </cell>
          <cell r="F236">
            <v>500</v>
          </cell>
        </row>
        <row r="237">
          <cell r="A237">
            <v>1617000581</v>
          </cell>
          <cell r="B237" t="str">
            <v>הוצאות משפטיות-אגרות</v>
          </cell>
          <cell r="C237">
            <v>20000</v>
          </cell>
          <cell r="D237">
            <v>6584</v>
          </cell>
          <cell r="E237">
            <v>0</v>
          </cell>
          <cell r="F237">
            <v>6584</v>
          </cell>
        </row>
        <row r="238">
          <cell r="A238">
            <v>1617000750</v>
          </cell>
          <cell r="B238" t="str">
            <v>משפטיות</v>
          </cell>
          <cell r="C238">
            <v>350000</v>
          </cell>
          <cell r="D238">
            <v>406787.59</v>
          </cell>
          <cell r="E238">
            <v>0</v>
          </cell>
          <cell r="F238">
            <v>406787.59</v>
          </cell>
        </row>
        <row r="239">
          <cell r="A239">
            <v>1617000751</v>
          </cell>
          <cell r="B239" t="str">
            <v>הוצאות משפטיות</v>
          </cell>
          <cell r="C239">
            <v>0</v>
          </cell>
          <cell r="D239">
            <v>38923</v>
          </cell>
          <cell r="E239">
            <v>0</v>
          </cell>
          <cell r="F239">
            <v>38923</v>
          </cell>
        </row>
        <row r="240">
          <cell r="A240">
            <v>1617100750</v>
          </cell>
          <cell r="B240" t="str">
            <v>משפטיות כ"א</v>
          </cell>
          <cell r="C240">
            <v>0</v>
          </cell>
          <cell r="D240">
            <v>5100</v>
          </cell>
          <cell r="E240">
            <v>0</v>
          </cell>
          <cell r="F240">
            <v>5100</v>
          </cell>
        </row>
        <row r="241">
          <cell r="A241">
            <v>1619000780</v>
          </cell>
          <cell r="B241" t="str">
            <v>בחירות-שכר ופרסומים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A242">
            <v>1621000110</v>
          </cell>
          <cell r="B242" t="str">
            <v>שכר גזברות</v>
          </cell>
          <cell r="C242">
            <v>1164000</v>
          </cell>
          <cell r="D242">
            <v>1277525.5900000001</v>
          </cell>
          <cell r="E242">
            <v>0</v>
          </cell>
          <cell r="F242">
            <v>1277525.5900000001</v>
          </cell>
        </row>
        <row r="243">
          <cell r="A243">
            <v>1621000450</v>
          </cell>
          <cell r="B243" t="str">
            <v>גזברות ריהוט ואחזקתו</v>
          </cell>
          <cell r="C243">
            <v>3000</v>
          </cell>
          <cell r="D243">
            <v>0</v>
          </cell>
          <cell r="E243">
            <v>280</v>
          </cell>
          <cell r="F243">
            <v>280</v>
          </cell>
        </row>
        <row r="244">
          <cell r="A244">
            <v>1621000470</v>
          </cell>
          <cell r="B244" t="str">
            <v>גזברות-ציוד משרדי</v>
          </cell>
          <cell r="C244">
            <v>3000</v>
          </cell>
          <cell r="D244">
            <v>477.2</v>
          </cell>
          <cell r="E244">
            <v>2348.65</v>
          </cell>
          <cell r="F244">
            <v>2825.85</v>
          </cell>
        </row>
        <row r="245">
          <cell r="A245">
            <v>1621000510</v>
          </cell>
          <cell r="B245" t="str">
            <v>כיבודים</v>
          </cell>
          <cell r="C245">
            <v>3000</v>
          </cell>
          <cell r="D245">
            <v>2719.96</v>
          </cell>
          <cell r="E245">
            <v>300</v>
          </cell>
          <cell r="F245">
            <v>3019.96</v>
          </cell>
        </row>
        <row r="246">
          <cell r="A246">
            <v>1621000521</v>
          </cell>
          <cell r="B246" t="str">
            <v>השתלמויות</v>
          </cell>
          <cell r="C246">
            <v>10000</v>
          </cell>
          <cell r="D246">
            <v>15463.5</v>
          </cell>
          <cell r="E246">
            <v>0</v>
          </cell>
          <cell r="F246">
            <v>15463.5</v>
          </cell>
        </row>
        <row r="247">
          <cell r="A247">
            <v>1621000523</v>
          </cell>
          <cell r="B247" t="str">
            <v>דמי חבר</v>
          </cell>
          <cell r="C247">
            <v>5000</v>
          </cell>
          <cell r="D247">
            <v>3000</v>
          </cell>
          <cell r="E247">
            <v>0</v>
          </cell>
          <cell r="F247">
            <v>3000</v>
          </cell>
        </row>
        <row r="248">
          <cell r="A248">
            <v>1621000750</v>
          </cell>
          <cell r="B248" t="str">
            <v>קבלניות</v>
          </cell>
          <cell r="C248">
            <v>260000</v>
          </cell>
          <cell r="D248">
            <v>108981</v>
          </cell>
          <cell r="E248">
            <v>52392</v>
          </cell>
          <cell r="F248">
            <v>161373</v>
          </cell>
        </row>
        <row r="249">
          <cell r="A249">
            <v>1623000110</v>
          </cell>
          <cell r="B249" t="str">
            <v>שכר גבייה</v>
          </cell>
          <cell r="C249">
            <v>629000</v>
          </cell>
          <cell r="D249">
            <v>563343.25</v>
          </cell>
          <cell r="E249">
            <v>0</v>
          </cell>
          <cell r="F249">
            <v>563343.25</v>
          </cell>
        </row>
        <row r="250">
          <cell r="A250">
            <v>1623000410</v>
          </cell>
          <cell r="B250" t="str">
            <v>גביה שכר דירה</v>
          </cell>
          <cell r="C250">
            <v>66000</v>
          </cell>
          <cell r="D250">
            <v>66000</v>
          </cell>
          <cell r="E250">
            <v>0</v>
          </cell>
          <cell r="F250">
            <v>66000</v>
          </cell>
        </row>
        <row r="251">
          <cell r="A251">
            <v>1623000430</v>
          </cell>
          <cell r="B251" t="str">
            <v>גביה חשמל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A252">
            <v>1623000470</v>
          </cell>
          <cell r="B252" t="str">
            <v>גביה-ציוד משרדי</v>
          </cell>
          <cell r="C252">
            <v>5000</v>
          </cell>
          <cell r="D252">
            <v>6134.06</v>
          </cell>
          <cell r="E252">
            <v>4071</v>
          </cell>
          <cell r="F252">
            <v>10205.06</v>
          </cell>
        </row>
        <row r="253">
          <cell r="A253">
            <v>1623000540</v>
          </cell>
          <cell r="B253" t="str">
            <v>גביה תקשורת</v>
          </cell>
          <cell r="C253">
            <v>5000</v>
          </cell>
          <cell r="D253">
            <v>6684.69</v>
          </cell>
          <cell r="E253">
            <v>0</v>
          </cell>
          <cell r="F253">
            <v>6684.69</v>
          </cell>
        </row>
        <row r="254">
          <cell r="A254">
            <v>1623000720</v>
          </cell>
          <cell r="B254" t="str">
            <v>חומרים - גבייה</v>
          </cell>
          <cell r="C254">
            <v>4000</v>
          </cell>
          <cell r="D254">
            <v>0</v>
          </cell>
          <cell r="E254">
            <v>3421.19</v>
          </cell>
          <cell r="F254">
            <v>3421.19</v>
          </cell>
        </row>
        <row r="255">
          <cell r="A255">
            <v>1623000750</v>
          </cell>
          <cell r="B255" t="str">
            <v>גביה קבלניות</v>
          </cell>
          <cell r="C255">
            <v>500000</v>
          </cell>
          <cell r="D255">
            <v>445964.95</v>
          </cell>
          <cell r="E255">
            <v>9682.3700000000008</v>
          </cell>
          <cell r="F255">
            <v>455647.32</v>
          </cell>
        </row>
        <row r="256">
          <cell r="A256">
            <v>1623000780</v>
          </cell>
          <cell r="B256" t="str">
            <v>גביה הוצ' שונות</v>
          </cell>
          <cell r="C256">
            <v>0</v>
          </cell>
          <cell r="D256">
            <v>195.45</v>
          </cell>
          <cell r="E256">
            <v>0</v>
          </cell>
          <cell r="F256">
            <v>195.45</v>
          </cell>
        </row>
        <row r="257">
          <cell r="A257">
            <v>1631000610</v>
          </cell>
          <cell r="B257" t="str">
            <v>עמלות</v>
          </cell>
          <cell r="C257">
            <v>350000</v>
          </cell>
          <cell r="D257">
            <v>377061.77</v>
          </cell>
          <cell r="E257">
            <v>0</v>
          </cell>
          <cell r="F257">
            <v>377061.77</v>
          </cell>
        </row>
        <row r="258">
          <cell r="A258">
            <v>1631000611</v>
          </cell>
          <cell r="B258" t="str">
            <v>מע"מ עמלות בנק דואר</v>
          </cell>
          <cell r="C258">
            <v>0</v>
          </cell>
          <cell r="D258">
            <v>271.16000000000003</v>
          </cell>
          <cell r="E258">
            <v>0</v>
          </cell>
          <cell r="F258">
            <v>271.16000000000003</v>
          </cell>
        </row>
        <row r="259">
          <cell r="A259">
            <v>1631000650</v>
          </cell>
          <cell r="B259" t="str">
            <v>רבית הו"צ מימון-ספקים</v>
          </cell>
          <cell r="C259">
            <v>2340000</v>
          </cell>
          <cell r="D259">
            <v>3694367.1</v>
          </cell>
          <cell r="E259">
            <v>0</v>
          </cell>
          <cell r="F259">
            <v>3694367.1</v>
          </cell>
        </row>
        <row r="260">
          <cell r="A260">
            <v>1631100610</v>
          </cell>
          <cell r="B260" t="str">
            <v>עמלות עיקולים</v>
          </cell>
          <cell r="C260">
            <v>40000</v>
          </cell>
          <cell r="D260">
            <v>19911.259999999998</v>
          </cell>
          <cell r="E260">
            <v>0</v>
          </cell>
          <cell r="F260">
            <v>19911.259999999998</v>
          </cell>
        </row>
        <row r="261">
          <cell r="A261">
            <v>1632000610</v>
          </cell>
          <cell r="B261" t="str">
            <v>ריבית חובה עו"ש</v>
          </cell>
          <cell r="C261">
            <v>30000</v>
          </cell>
          <cell r="D261">
            <v>95912.639999999999</v>
          </cell>
          <cell r="E261">
            <v>0</v>
          </cell>
          <cell r="F261">
            <v>95912.639999999999</v>
          </cell>
        </row>
        <row r="262">
          <cell r="A262">
            <v>1632000620</v>
          </cell>
          <cell r="B262" t="str">
            <v>רבית משיכת יתר-בנקים</v>
          </cell>
          <cell r="C262">
            <v>120000</v>
          </cell>
          <cell r="D262">
            <v>128272.87</v>
          </cell>
          <cell r="E262">
            <v>0</v>
          </cell>
          <cell r="F262">
            <v>128272.87</v>
          </cell>
        </row>
        <row r="263">
          <cell r="A263">
            <v>1649100691</v>
          </cell>
          <cell r="B263" t="str">
            <v>מלוות קרן</v>
          </cell>
          <cell r="C263">
            <v>1502000</v>
          </cell>
          <cell r="D263">
            <v>1598296.53</v>
          </cell>
          <cell r="E263">
            <v>0</v>
          </cell>
          <cell r="F263">
            <v>1598296.53</v>
          </cell>
        </row>
        <row r="264">
          <cell r="A264">
            <v>1649100692</v>
          </cell>
          <cell r="B264" t="str">
            <v>מלוות ריבית</v>
          </cell>
          <cell r="C264">
            <v>630000</v>
          </cell>
          <cell r="D264">
            <v>689339.75</v>
          </cell>
          <cell r="E264">
            <v>0</v>
          </cell>
          <cell r="F264">
            <v>689339.75</v>
          </cell>
        </row>
        <row r="265">
          <cell r="A265">
            <v>1649100693</v>
          </cell>
          <cell r="B265" t="str">
            <v>מלוות הצמדה</v>
          </cell>
          <cell r="C265">
            <v>195000</v>
          </cell>
          <cell r="D265">
            <v>177837.98</v>
          </cell>
          <cell r="E265">
            <v>0</v>
          </cell>
          <cell r="F265">
            <v>177837.98</v>
          </cell>
        </row>
        <row r="266">
          <cell r="A266">
            <v>1711000735</v>
          </cell>
          <cell r="B266" t="str">
            <v>תברואה-שכירות רכב</v>
          </cell>
          <cell r="C266">
            <v>65000</v>
          </cell>
          <cell r="D266">
            <v>58331.96</v>
          </cell>
          <cell r="E266">
            <v>0</v>
          </cell>
          <cell r="F266">
            <v>58331.96</v>
          </cell>
        </row>
        <row r="267">
          <cell r="A267">
            <v>1711100110</v>
          </cell>
          <cell r="B267" t="str">
            <v>שכר תברואה</v>
          </cell>
          <cell r="C267">
            <v>210000</v>
          </cell>
          <cell r="D267">
            <v>403122</v>
          </cell>
          <cell r="E267">
            <v>0</v>
          </cell>
          <cell r="F267">
            <v>403122</v>
          </cell>
        </row>
        <row r="268">
          <cell r="A268">
            <v>1712200730</v>
          </cell>
          <cell r="B268" t="str">
            <v>אחזקה ודלק</v>
          </cell>
          <cell r="C268">
            <v>36000</v>
          </cell>
          <cell r="D268">
            <v>24504.39</v>
          </cell>
          <cell r="E268">
            <v>0</v>
          </cell>
          <cell r="F268">
            <v>24504.39</v>
          </cell>
        </row>
        <row r="269">
          <cell r="A269">
            <v>1712200750</v>
          </cell>
          <cell r="B269" t="str">
            <v>ניקוי רחובות</v>
          </cell>
          <cell r="C269">
            <v>49413</v>
          </cell>
          <cell r="D269">
            <v>44809.21</v>
          </cell>
          <cell r="E269">
            <v>0</v>
          </cell>
          <cell r="F269">
            <v>44809.21</v>
          </cell>
        </row>
        <row r="270">
          <cell r="A270">
            <v>1712300720</v>
          </cell>
          <cell r="B270" t="str">
            <v>חומרים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A271">
            <v>1712300750</v>
          </cell>
          <cell r="B271" t="str">
            <v>קבלניות אשפה</v>
          </cell>
          <cell r="C271">
            <v>4760000</v>
          </cell>
          <cell r="D271">
            <v>4413456.21</v>
          </cell>
          <cell r="E271">
            <v>184150.8</v>
          </cell>
          <cell r="F271">
            <v>4597607.01</v>
          </cell>
        </row>
        <row r="272">
          <cell r="A272">
            <v>1712300930</v>
          </cell>
          <cell r="B272" t="str">
            <v>כלי אצירה</v>
          </cell>
          <cell r="C272">
            <v>50000</v>
          </cell>
          <cell r="D272">
            <v>0</v>
          </cell>
          <cell r="E272">
            <v>32190.400000000001</v>
          </cell>
          <cell r="F272">
            <v>32190.400000000001</v>
          </cell>
        </row>
        <row r="273">
          <cell r="A273">
            <v>1713000410</v>
          </cell>
          <cell r="B273" t="str">
            <v>דמי חכירה- קרקע תחנת מעבר</v>
          </cell>
          <cell r="C273">
            <v>60500</v>
          </cell>
          <cell r="D273">
            <v>64900</v>
          </cell>
          <cell r="E273">
            <v>0</v>
          </cell>
          <cell r="F273">
            <v>64900</v>
          </cell>
        </row>
        <row r="274">
          <cell r="A274">
            <v>1713300750</v>
          </cell>
          <cell r="B274" t="str">
            <v>רישוי עסקים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A275">
            <v>1714300720</v>
          </cell>
          <cell r="B275" t="str">
            <v>מלחמה בכלבת</v>
          </cell>
          <cell r="C275">
            <v>5000</v>
          </cell>
          <cell r="D275">
            <v>6728</v>
          </cell>
          <cell r="E275">
            <v>0</v>
          </cell>
          <cell r="F275">
            <v>6728</v>
          </cell>
        </row>
        <row r="276">
          <cell r="A276">
            <v>1714300721</v>
          </cell>
          <cell r="B276" t="str">
            <v>קבלניות וטרינר</v>
          </cell>
          <cell r="C276">
            <v>100000</v>
          </cell>
          <cell r="D276">
            <v>54604.4</v>
          </cell>
          <cell r="E276">
            <v>35650.58</v>
          </cell>
          <cell r="F276">
            <v>90254.98</v>
          </cell>
        </row>
        <row r="277">
          <cell r="A277">
            <v>1715300750</v>
          </cell>
          <cell r="B277" t="str">
            <v>קבלניות הדברה</v>
          </cell>
          <cell r="C277">
            <v>50000</v>
          </cell>
          <cell r="D277">
            <v>28894</v>
          </cell>
          <cell r="E277">
            <v>15340</v>
          </cell>
          <cell r="F277">
            <v>44234</v>
          </cell>
        </row>
        <row r="278">
          <cell r="A278">
            <v>1720000410</v>
          </cell>
          <cell r="B278" t="str">
            <v>שכירות מרכז צעירים</v>
          </cell>
          <cell r="C278">
            <v>36000</v>
          </cell>
          <cell r="D278">
            <v>44500</v>
          </cell>
          <cell r="E278">
            <v>0</v>
          </cell>
          <cell r="F278">
            <v>44500</v>
          </cell>
        </row>
        <row r="279">
          <cell r="A279">
            <v>1720000431</v>
          </cell>
          <cell r="B279" t="str">
            <v>חשמל ומים מרכז צעירים</v>
          </cell>
          <cell r="C279">
            <v>5000</v>
          </cell>
          <cell r="D279">
            <v>238.39</v>
          </cell>
          <cell r="E279">
            <v>0</v>
          </cell>
          <cell r="F279">
            <v>238.39</v>
          </cell>
        </row>
        <row r="280">
          <cell r="A280">
            <v>1721000110</v>
          </cell>
          <cell r="B280" t="str">
            <v>שכר שמירה וביטחון</v>
          </cell>
          <cell r="C280">
            <v>220000</v>
          </cell>
          <cell r="D280">
            <v>232178.78</v>
          </cell>
          <cell r="E280">
            <v>0</v>
          </cell>
          <cell r="F280">
            <v>232178.78</v>
          </cell>
        </row>
        <row r="281">
          <cell r="A281">
            <v>1721000470</v>
          </cell>
          <cell r="B281" t="str">
            <v>ציוד משרדי</v>
          </cell>
          <cell r="C281">
            <v>1000</v>
          </cell>
          <cell r="D281">
            <v>0</v>
          </cell>
          <cell r="E281">
            <v>0</v>
          </cell>
          <cell r="F281">
            <v>0</v>
          </cell>
        </row>
        <row r="282">
          <cell r="A282">
            <v>1721000540</v>
          </cell>
          <cell r="B282" t="str">
            <v>משמר אזרחי-תקשורת</v>
          </cell>
          <cell r="C282">
            <v>4000</v>
          </cell>
          <cell r="D282">
            <v>9273.57</v>
          </cell>
          <cell r="E282">
            <v>0</v>
          </cell>
          <cell r="F282">
            <v>9273.57</v>
          </cell>
        </row>
        <row r="283">
          <cell r="A283">
            <v>1721000541</v>
          </cell>
          <cell r="B283" t="str">
            <v>מח' שמירה ובטחון-סלקום</v>
          </cell>
          <cell r="C283">
            <v>11000</v>
          </cell>
          <cell r="D283">
            <v>0</v>
          </cell>
          <cell r="E283">
            <v>0</v>
          </cell>
          <cell r="F283">
            <v>0</v>
          </cell>
        </row>
        <row r="284">
          <cell r="A284">
            <v>1721000730</v>
          </cell>
          <cell r="B284" t="str">
            <v>תחזוקת קטנוע</v>
          </cell>
          <cell r="C284">
            <v>8000</v>
          </cell>
          <cell r="D284">
            <v>0</v>
          </cell>
          <cell r="E284">
            <v>0</v>
          </cell>
          <cell r="F284">
            <v>0</v>
          </cell>
        </row>
        <row r="285">
          <cell r="A285">
            <v>1721000731</v>
          </cell>
          <cell r="B285" t="str">
            <v>דלק רכב - קב"ט</v>
          </cell>
          <cell r="C285">
            <v>14400</v>
          </cell>
          <cell r="D285">
            <v>14219.44</v>
          </cell>
          <cell r="E285">
            <v>0</v>
          </cell>
          <cell r="F285">
            <v>14219.44</v>
          </cell>
        </row>
        <row r="286">
          <cell r="A286">
            <v>1721000735</v>
          </cell>
          <cell r="B286" t="str">
            <v>שכירות רכב קב"ט</v>
          </cell>
          <cell r="C286">
            <v>30000</v>
          </cell>
          <cell r="D286">
            <v>26840</v>
          </cell>
          <cell r="E286">
            <v>0</v>
          </cell>
          <cell r="F286">
            <v>26840</v>
          </cell>
        </row>
        <row r="287">
          <cell r="A287">
            <v>1721000750</v>
          </cell>
          <cell r="B287" t="str">
            <v>שמירה עמדה דרומית</v>
          </cell>
          <cell r="C287">
            <v>0</v>
          </cell>
          <cell r="D287">
            <v>1087.52</v>
          </cell>
          <cell r="E287">
            <v>0</v>
          </cell>
          <cell r="F287">
            <v>1087.52</v>
          </cell>
        </row>
        <row r="288">
          <cell r="A288">
            <v>1721000780</v>
          </cell>
          <cell r="B288" t="str">
            <v>חומרים</v>
          </cell>
          <cell r="C288">
            <v>1000</v>
          </cell>
          <cell r="D288">
            <v>0</v>
          </cell>
          <cell r="E288">
            <v>250</v>
          </cell>
          <cell r="F288">
            <v>250</v>
          </cell>
        </row>
        <row r="289">
          <cell r="A289">
            <v>1723000523</v>
          </cell>
          <cell r="B289" t="str">
            <v>דמי חבר קב"ט</v>
          </cell>
          <cell r="C289">
            <v>0</v>
          </cell>
          <cell r="D289">
            <v>495</v>
          </cell>
          <cell r="E289">
            <v>0</v>
          </cell>
          <cell r="F289">
            <v>495</v>
          </cell>
        </row>
        <row r="290">
          <cell r="A290">
            <v>1723000541</v>
          </cell>
          <cell r="B290" t="str">
            <v>מירס -הג"א</v>
          </cell>
          <cell r="C290">
            <v>0</v>
          </cell>
          <cell r="D290">
            <v>10384.48</v>
          </cell>
          <cell r="E290">
            <v>0</v>
          </cell>
          <cell r="F290">
            <v>10384.48</v>
          </cell>
        </row>
        <row r="291">
          <cell r="A291">
            <v>1723000735</v>
          </cell>
          <cell r="B291" t="str">
            <v>שכירות רכב קב"ט</v>
          </cell>
          <cell r="C291">
            <v>0</v>
          </cell>
          <cell r="D291">
            <v>2542</v>
          </cell>
          <cell r="E291">
            <v>0</v>
          </cell>
          <cell r="F291">
            <v>2542</v>
          </cell>
        </row>
        <row r="292">
          <cell r="A292">
            <v>1723000830</v>
          </cell>
          <cell r="B292" t="str">
            <v>הג"א שעת חירום</v>
          </cell>
          <cell r="C292">
            <v>56969</v>
          </cell>
          <cell r="D292">
            <v>28875.56</v>
          </cell>
          <cell r="E292">
            <v>25189.3</v>
          </cell>
          <cell r="F292">
            <v>54064.86</v>
          </cell>
        </row>
        <row r="293">
          <cell r="A293">
            <v>1723100830</v>
          </cell>
          <cell r="B293" t="str">
            <v>הג"א כלל ארצי</v>
          </cell>
          <cell r="C293">
            <v>95936</v>
          </cell>
          <cell r="D293">
            <v>0</v>
          </cell>
          <cell r="E293">
            <v>0</v>
          </cell>
          <cell r="F293">
            <v>0</v>
          </cell>
        </row>
        <row r="294">
          <cell r="A294">
            <v>1724000830</v>
          </cell>
          <cell r="B294" t="str">
            <v>כיבוי אש השתתפויות</v>
          </cell>
          <cell r="C294">
            <v>297319</v>
          </cell>
          <cell r="D294">
            <v>320444</v>
          </cell>
          <cell r="E294">
            <v>0</v>
          </cell>
          <cell r="F294">
            <v>320444</v>
          </cell>
        </row>
        <row r="295">
          <cell r="A295">
            <v>1726200810</v>
          </cell>
          <cell r="B295" t="str">
            <v>הוצאות בטחון שונות</v>
          </cell>
          <cell r="C295">
            <v>4000</v>
          </cell>
          <cell r="D295">
            <v>0</v>
          </cell>
          <cell r="E295">
            <v>0</v>
          </cell>
          <cell r="F295">
            <v>0</v>
          </cell>
        </row>
        <row r="296">
          <cell r="A296">
            <v>1731000110</v>
          </cell>
          <cell r="B296" t="str">
            <v>שכר הנדסה</v>
          </cell>
          <cell r="C296">
            <v>1052000</v>
          </cell>
          <cell r="D296">
            <v>861088.29</v>
          </cell>
          <cell r="E296">
            <v>0</v>
          </cell>
          <cell r="F296">
            <v>861088.29</v>
          </cell>
        </row>
        <row r="297">
          <cell r="A297">
            <v>1731000410</v>
          </cell>
          <cell r="B297" t="str">
            <v>שכ"ד מחלקת הנדסה</v>
          </cell>
          <cell r="C297">
            <v>26400</v>
          </cell>
          <cell r="D297">
            <v>16800</v>
          </cell>
          <cell r="E297">
            <v>0</v>
          </cell>
          <cell r="F297">
            <v>16800</v>
          </cell>
        </row>
        <row r="298">
          <cell r="A298">
            <v>1731000541</v>
          </cell>
          <cell r="B298" t="str">
            <v>הנדסה - השתלמיות ומשרדיות</v>
          </cell>
          <cell r="C298">
            <v>11000</v>
          </cell>
          <cell r="D298">
            <v>13855.64</v>
          </cell>
          <cell r="E298">
            <v>0</v>
          </cell>
          <cell r="F298">
            <v>13855.64</v>
          </cell>
        </row>
        <row r="299">
          <cell r="A299">
            <v>1731000750</v>
          </cell>
          <cell r="B299" t="str">
            <v>קבלניות-תכנון פרוייקטים</v>
          </cell>
          <cell r="C299">
            <v>26000</v>
          </cell>
          <cell r="D299">
            <v>9466.42</v>
          </cell>
          <cell r="E299">
            <v>795</v>
          </cell>
          <cell r="F299">
            <v>10261.42</v>
          </cell>
        </row>
        <row r="300">
          <cell r="A300">
            <v>1733100830</v>
          </cell>
          <cell r="B300" t="str">
            <v>רכס הכרמל -פעולות כלליות</v>
          </cell>
          <cell r="C300">
            <v>2879000</v>
          </cell>
          <cell r="D300">
            <v>1684334</v>
          </cell>
          <cell r="E300">
            <v>0</v>
          </cell>
          <cell r="F300">
            <v>1684334</v>
          </cell>
        </row>
        <row r="301">
          <cell r="A301">
            <v>1742000780</v>
          </cell>
          <cell r="B301" t="str">
            <v>הוצאות בלתי צפויות</v>
          </cell>
          <cell r="C301">
            <v>104987</v>
          </cell>
          <cell r="D301">
            <v>81833</v>
          </cell>
          <cell r="E301">
            <v>14160</v>
          </cell>
          <cell r="F301">
            <v>95993</v>
          </cell>
        </row>
        <row r="302">
          <cell r="A302">
            <v>1742200110</v>
          </cell>
          <cell r="B302" t="str">
            <v>שכר מח' אחזקת נכסים</v>
          </cell>
          <cell r="C302">
            <v>480500</v>
          </cell>
          <cell r="D302">
            <v>516796.44</v>
          </cell>
          <cell r="E302">
            <v>0</v>
          </cell>
          <cell r="F302">
            <v>516796.44</v>
          </cell>
        </row>
        <row r="303">
          <cell r="A303">
            <v>1742200720</v>
          </cell>
          <cell r="B303" t="str">
            <v>כבישים חמרים</v>
          </cell>
          <cell r="C303">
            <v>10000</v>
          </cell>
          <cell r="D303">
            <v>10000</v>
          </cell>
          <cell r="E303">
            <v>0</v>
          </cell>
          <cell r="F303">
            <v>10000</v>
          </cell>
        </row>
        <row r="304">
          <cell r="A304">
            <v>1742200750</v>
          </cell>
          <cell r="B304" t="str">
            <v>כבישים קבלניות</v>
          </cell>
          <cell r="C304">
            <v>262575</v>
          </cell>
          <cell r="D304">
            <v>87843.49</v>
          </cell>
          <cell r="E304">
            <v>170309.41</v>
          </cell>
          <cell r="F304">
            <v>258152.9</v>
          </cell>
        </row>
        <row r="305">
          <cell r="A305">
            <v>1742200780</v>
          </cell>
          <cell r="B305" t="str">
            <v>כבישים שונות</v>
          </cell>
          <cell r="C305">
            <v>800</v>
          </cell>
          <cell r="D305">
            <v>800</v>
          </cell>
          <cell r="E305">
            <v>0</v>
          </cell>
          <cell r="F305">
            <v>800</v>
          </cell>
        </row>
        <row r="306">
          <cell r="A306">
            <v>1743000432</v>
          </cell>
          <cell r="B306" t="str">
            <v>מים לגנים</v>
          </cell>
          <cell r="C306">
            <v>115000</v>
          </cell>
          <cell r="D306">
            <v>87597.9</v>
          </cell>
          <cell r="E306">
            <v>0</v>
          </cell>
          <cell r="F306">
            <v>87597.9</v>
          </cell>
        </row>
        <row r="307">
          <cell r="A307">
            <v>1743000770</v>
          </cell>
          <cell r="B307" t="str">
            <v>תאורת רחובות</v>
          </cell>
          <cell r="C307">
            <v>650000</v>
          </cell>
          <cell r="D307">
            <v>994811.11</v>
          </cell>
          <cell r="E307">
            <v>0</v>
          </cell>
          <cell r="F307">
            <v>994811.11</v>
          </cell>
        </row>
        <row r="308">
          <cell r="A308">
            <v>1743100750</v>
          </cell>
          <cell r="B308" t="str">
            <v>קבלניות ואחזקת חשמל</v>
          </cell>
          <cell r="C308">
            <v>120000</v>
          </cell>
          <cell r="D308">
            <v>75556.399999999994</v>
          </cell>
          <cell r="E308">
            <v>2832</v>
          </cell>
          <cell r="F308">
            <v>78388.399999999994</v>
          </cell>
        </row>
        <row r="309">
          <cell r="A309">
            <v>1744000720</v>
          </cell>
          <cell r="B309" t="str">
            <v>בטיחות בדרכים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A310">
            <v>1745000810</v>
          </cell>
          <cell r="B310" t="str">
            <v>רשות ניקוז-השתתפות</v>
          </cell>
          <cell r="C310">
            <v>124000</v>
          </cell>
          <cell r="D310">
            <v>124000</v>
          </cell>
          <cell r="E310">
            <v>0</v>
          </cell>
          <cell r="F310">
            <v>124000</v>
          </cell>
        </row>
        <row r="311">
          <cell r="A311">
            <v>1746000750</v>
          </cell>
          <cell r="B311" t="str">
            <v>קבלניות - שדרה ראשית ושצ"פ</v>
          </cell>
          <cell r="C311">
            <v>16000</v>
          </cell>
          <cell r="D311">
            <v>12489</v>
          </cell>
          <cell r="E311">
            <v>1098</v>
          </cell>
          <cell r="F311">
            <v>13587</v>
          </cell>
        </row>
        <row r="312">
          <cell r="A312">
            <v>1748000430</v>
          </cell>
          <cell r="B312" t="str">
            <v>בתי קברות חשמל ומים</v>
          </cell>
          <cell r="C312">
            <v>0</v>
          </cell>
          <cell r="D312">
            <v>335.14</v>
          </cell>
          <cell r="E312">
            <v>0</v>
          </cell>
          <cell r="F312">
            <v>335.14</v>
          </cell>
        </row>
        <row r="313">
          <cell r="A313">
            <v>1748000432</v>
          </cell>
          <cell r="B313" t="str">
            <v>בתי קברות מים</v>
          </cell>
          <cell r="C313">
            <v>8600</v>
          </cell>
          <cell r="D313">
            <v>9443.9</v>
          </cell>
          <cell r="E313">
            <v>0</v>
          </cell>
          <cell r="F313">
            <v>9443.9</v>
          </cell>
        </row>
        <row r="314">
          <cell r="A314">
            <v>1748000720</v>
          </cell>
          <cell r="B314" t="str">
            <v>בית קברות חומרים</v>
          </cell>
          <cell r="C314">
            <v>2000</v>
          </cell>
          <cell r="D314">
            <v>0</v>
          </cell>
          <cell r="E314">
            <v>0</v>
          </cell>
          <cell r="F314">
            <v>0</v>
          </cell>
        </row>
        <row r="315">
          <cell r="A315">
            <v>1767000440</v>
          </cell>
          <cell r="B315" t="str">
            <v>ביטוחים</v>
          </cell>
          <cell r="C315">
            <v>670000</v>
          </cell>
          <cell r="D315">
            <v>916210</v>
          </cell>
          <cell r="E315">
            <v>2950</v>
          </cell>
          <cell r="F315">
            <v>919160</v>
          </cell>
        </row>
        <row r="316">
          <cell r="A316">
            <v>1769000110</v>
          </cell>
          <cell r="B316" t="str">
            <v>רכז הכוונת חיילים משוחררים</v>
          </cell>
          <cell r="C316">
            <v>45000</v>
          </cell>
          <cell r="D316">
            <v>3159.83</v>
          </cell>
          <cell r="E316">
            <v>0</v>
          </cell>
          <cell r="F316">
            <v>3159.83</v>
          </cell>
        </row>
        <row r="317">
          <cell r="A317">
            <v>1781000110</v>
          </cell>
          <cell r="B317" t="str">
            <v>פקחי רישוי-שכר</v>
          </cell>
          <cell r="C317">
            <v>0</v>
          </cell>
          <cell r="D317">
            <v>24437.8</v>
          </cell>
          <cell r="E317">
            <v>0</v>
          </cell>
          <cell r="F317">
            <v>24437.8</v>
          </cell>
        </row>
        <row r="318">
          <cell r="A318">
            <v>1811000410</v>
          </cell>
          <cell r="B318" t="str">
            <v>חינוך שכ"ד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A319">
            <v>1811000430</v>
          </cell>
          <cell r="B319" t="str">
            <v>חינוך-שכירות החזר חשמל-מים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A320">
            <v>1811000470</v>
          </cell>
          <cell r="B320" t="str">
            <v>חינוך-ציוד משרדי</v>
          </cell>
          <cell r="C320">
            <v>3000</v>
          </cell>
          <cell r="D320">
            <v>2250.2800000000002</v>
          </cell>
          <cell r="E320">
            <v>365</v>
          </cell>
          <cell r="F320">
            <v>2615.2800000000002</v>
          </cell>
        </row>
        <row r="321">
          <cell r="A321">
            <v>1811000510</v>
          </cell>
          <cell r="B321" t="str">
            <v>כיבוד מחלקת חינוך</v>
          </cell>
          <cell r="C321">
            <v>6000</v>
          </cell>
          <cell r="D321">
            <v>2350</v>
          </cell>
          <cell r="E321">
            <v>150</v>
          </cell>
          <cell r="F321">
            <v>2500</v>
          </cell>
        </row>
        <row r="322">
          <cell r="A322">
            <v>1811000523</v>
          </cell>
          <cell r="B322" t="str">
            <v>דמי חבר</v>
          </cell>
          <cell r="C322">
            <v>2000</v>
          </cell>
          <cell r="D322">
            <v>11000</v>
          </cell>
          <cell r="E322">
            <v>0</v>
          </cell>
          <cell r="F322">
            <v>11000</v>
          </cell>
        </row>
        <row r="323">
          <cell r="A323">
            <v>1811000540</v>
          </cell>
          <cell r="B323" t="str">
            <v>חינוך-תקשורת</v>
          </cell>
          <cell r="C323">
            <v>7200</v>
          </cell>
          <cell r="D323">
            <v>15075.26</v>
          </cell>
          <cell r="E323">
            <v>0</v>
          </cell>
          <cell r="F323">
            <v>15075.26</v>
          </cell>
        </row>
        <row r="324">
          <cell r="A324">
            <v>1811000750</v>
          </cell>
          <cell r="B324" t="str">
            <v>הטמעת ניהול עצמי</v>
          </cell>
          <cell r="C324">
            <v>0</v>
          </cell>
          <cell r="D324">
            <v>11800</v>
          </cell>
          <cell r="E324">
            <v>0</v>
          </cell>
          <cell r="F324">
            <v>11800</v>
          </cell>
        </row>
        <row r="325">
          <cell r="A325">
            <v>1811100110</v>
          </cell>
          <cell r="B325" t="str">
            <v>שכר חינוך</v>
          </cell>
          <cell r="C325">
            <v>873000</v>
          </cell>
          <cell r="D325">
            <v>1015606.61</v>
          </cell>
          <cell r="E325">
            <v>0</v>
          </cell>
          <cell r="F325">
            <v>1015606.61</v>
          </cell>
        </row>
        <row r="326">
          <cell r="A326">
            <v>1812200110</v>
          </cell>
          <cell r="B326" t="str">
            <v>שכר גני ילדים עוזרות</v>
          </cell>
          <cell r="C326">
            <v>2457000</v>
          </cell>
          <cell r="D326">
            <v>2635554.29</v>
          </cell>
          <cell r="E326">
            <v>0</v>
          </cell>
          <cell r="F326">
            <v>2635554.29</v>
          </cell>
        </row>
        <row r="327">
          <cell r="A327">
            <v>1812200431</v>
          </cell>
          <cell r="B327" t="str">
            <v>חשמל גני ילדים</v>
          </cell>
          <cell r="C327">
            <v>70000</v>
          </cell>
          <cell r="D327">
            <v>52190.59</v>
          </cell>
          <cell r="E327">
            <v>0</v>
          </cell>
          <cell r="F327">
            <v>52190.59</v>
          </cell>
        </row>
        <row r="328">
          <cell r="A328">
            <v>1812200432</v>
          </cell>
          <cell r="B328" t="str">
            <v>מים גני ילדים</v>
          </cell>
          <cell r="C328">
            <v>60000</v>
          </cell>
          <cell r="D328">
            <v>64063.1</v>
          </cell>
          <cell r="E328">
            <v>0</v>
          </cell>
          <cell r="F328">
            <v>64063.1</v>
          </cell>
        </row>
        <row r="329">
          <cell r="A329">
            <v>1812200720</v>
          </cell>
          <cell r="B329" t="str">
            <v>גנ"י חומרים</v>
          </cell>
          <cell r="C329">
            <v>20000</v>
          </cell>
          <cell r="D329">
            <v>13173</v>
          </cell>
          <cell r="E329">
            <v>1460.3</v>
          </cell>
          <cell r="F329">
            <v>14633.3</v>
          </cell>
        </row>
        <row r="330">
          <cell r="A330">
            <v>1812200750</v>
          </cell>
          <cell r="B330" t="str">
            <v>גני ילדים-קבלניות</v>
          </cell>
          <cell r="C330">
            <v>20000</v>
          </cell>
          <cell r="D330">
            <v>12380.4</v>
          </cell>
          <cell r="E330">
            <v>3609.56</v>
          </cell>
          <cell r="F330">
            <v>15989.96</v>
          </cell>
        </row>
        <row r="331">
          <cell r="A331">
            <v>1812300110</v>
          </cell>
          <cell r="B331" t="str">
            <v>שכר עוזרות ט.חובה</v>
          </cell>
          <cell r="C331">
            <v>107500</v>
          </cell>
          <cell r="D331">
            <v>13497.47</v>
          </cell>
          <cell r="E331">
            <v>0</v>
          </cell>
          <cell r="F331">
            <v>13497.47</v>
          </cell>
        </row>
        <row r="332">
          <cell r="A332">
            <v>1812300410</v>
          </cell>
          <cell r="B332" t="str">
            <v>גנ"י טרום חובה שכ"ד</v>
          </cell>
          <cell r="C332">
            <v>312000</v>
          </cell>
          <cell r="D332">
            <v>308800</v>
          </cell>
          <cell r="E332">
            <v>0</v>
          </cell>
          <cell r="F332">
            <v>308800</v>
          </cell>
        </row>
        <row r="333">
          <cell r="A333">
            <v>1812300430</v>
          </cell>
          <cell r="B333" t="str">
            <v>מבוטל - גני ילדים חשמל ומים</v>
          </cell>
          <cell r="C333">
            <v>0</v>
          </cell>
          <cell r="D333">
            <v>10166.540000000001</v>
          </cell>
          <cell r="E333">
            <v>0</v>
          </cell>
          <cell r="F333">
            <v>10166.540000000001</v>
          </cell>
        </row>
        <row r="334">
          <cell r="A334">
            <v>1812300470</v>
          </cell>
          <cell r="B334" t="str">
            <v>ציוד משרדי</v>
          </cell>
          <cell r="C334">
            <v>3000</v>
          </cell>
          <cell r="D334">
            <v>0</v>
          </cell>
          <cell r="E334">
            <v>0</v>
          </cell>
          <cell r="F334">
            <v>0</v>
          </cell>
        </row>
        <row r="335">
          <cell r="A335">
            <v>1812300540</v>
          </cell>
          <cell r="B335" t="str">
            <v>גני ילדים ט.חובה-תקשורת</v>
          </cell>
          <cell r="C335">
            <v>15000</v>
          </cell>
          <cell r="D335">
            <v>24125.86</v>
          </cell>
          <cell r="E335">
            <v>0</v>
          </cell>
          <cell r="F335">
            <v>24125.86</v>
          </cell>
        </row>
        <row r="336">
          <cell r="A336">
            <v>1812300720</v>
          </cell>
          <cell r="B336" t="str">
            <v>גנ"י טרום חומרים</v>
          </cell>
          <cell r="C336">
            <v>6000</v>
          </cell>
          <cell r="D336">
            <v>2120</v>
          </cell>
          <cell r="E336">
            <v>3197.2</v>
          </cell>
          <cell r="F336">
            <v>5317.2</v>
          </cell>
        </row>
        <row r="337">
          <cell r="A337">
            <v>1812300750</v>
          </cell>
          <cell r="B337" t="str">
            <v>גנ"י טרום-עב' קבלניות</v>
          </cell>
          <cell r="C337">
            <v>5000</v>
          </cell>
          <cell r="D337">
            <v>3411.8</v>
          </cell>
          <cell r="E337">
            <v>0</v>
          </cell>
          <cell r="F337">
            <v>3411.8</v>
          </cell>
        </row>
        <row r="338">
          <cell r="A338">
            <v>1812300760</v>
          </cell>
          <cell r="B338" t="str">
            <v>קיזוז הזנת גני ילדים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A339">
            <v>1812300820</v>
          </cell>
          <cell r="B339" t="str">
            <v>השתתפות בתקציב הגנים</v>
          </cell>
          <cell r="C339">
            <v>210000</v>
          </cell>
          <cell r="D339">
            <v>162000</v>
          </cell>
          <cell r="E339">
            <v>0</v>
          </cell>
          <cell r="F339">
            <v>162000</v>
          </cell>
        </row>
        <row r="340">
          <cell r="A340">
            <v>1812300930</v>
          </cell>
          <cell r="B340" t="str">
            <v>ציוד יסודי</v>
          </cell>
          <cell r="C340">
            <v>51000</v>
          </cell>
          <cell r="D340">
            <v>26829.599999999999</v>
          </cell>
          <cell r="E340">
            <v>22457</v>
          </cell>
          <cell r="F340">
            <v>49286.6</v>
          </cell>
        </row>
        <row r="341">
          <cell r="A341">
            <v>1812310414</v>
          </cell>
          <cell r="B341" t="str">
            <v>ג.ע.מדינה</v>
          </cell>
          <cell r="C341">
            <v>2342000</v>
          </cell>
          <cell r="D341">
            <v>2154239.81</v>
          </cell>
          <cell r="E341">
            <v>0</v>
          </cell>
          <cell r="F341">
            <v>2154239.81</v>
          </cell>
        </row>
        <row r="342">
          <cell r="A342">
            <v>1812500110</v>
          </cell>
          <cell r="B342" t="str">
            <v>שכר גני יוח"א-צהרונים</v>
          </cell>
          <cell r="C342">
            <v>310000</v>
          </cell>
          <cell r="D342">
            <v>406979.83</v>
          </cell>
          <cell r="E342">
            <v>0</v>
          </cell>
          <cell r="F342">
            <v>406979.83</v>
          </cell>
        </row>
        <row r="343">
          <cell r="A343">
            <v>1812500760</v>
          </cell>
          <cell r="B343" t="str">
            <v>פנימיות יום מיל"ת</v>
          </cell>
          <cell r="C343">
            <v>260000</v>
          </cell>
          <cell r="D343">
            <v>0</v>
          </cell>
          <cell r="E343">
            <v>0</v>
          </cell>
          <cell r="F343">
            <v>0</v>
          </cell>
        </row>
        <row r="344">
          <cell r="A344">
            <v>1812501110</v>
          </cell>
          <cell r="B344" t="str">
            <v>שכר פנימיות יום</v>
          </cell>
          <cell r="C344">
            <v>10000</v>
          </cell>
          <cell r="D344">
            <v>0</v>
          </cell>
          <cell r="E344">
            <v>0</v>
          </cell>
          <cell r="F344">
            <v>0</v>
          </cell>
        </row>
        <row r="345">
          <cell r="A345">
            <v>1812502110</v>
          </cell>
          <cell r="B345" t="str">
            <v>מבוטל-שכר צהרונים-חונכות</v>
          </cell>
          <cell r="C345">
            <v>0</v>
          </cell>
          <cell r="D345">
            <v>3875.42</v>
          </cell>
          <cell r="E345">
            <v>0</v>
          </cell>
          <cell r="F345">
            <v>3875.42</v>
          </cell>
        </row>
        <row r="346">
          <cell r="A346">
            <v>1812504110</v>
          </cell>
          <cell r="B346" t="str">
            <v>שכר חונכות</v>
          </cell>
          <cell r="C346">
            <v>0</v>
          </cell>
          <cell r="D346">
            <v>59124.9</v>
          </cell>
          <cell r="E346">
            <v>0</v>
          </cell>
          <cell r="F346">
            <v>59124.9</v>
          </cell>
        </row>
        <row r="347">
          <cell r="A347">
            <v>1812800110</v>
          </cell>
          <cell r="B347" t="str">
            <v>משכורת</v>
          </cell>
          <cell r="C347">
            <v>262000</v>
          </cell>
          <cell r="D347">
            <v>321983.03000000003</v>
          </cell>
          <cell r="E347">
            <v>0</v>
          </cell>
          <cell r="F347">
            <v>321983.03000000003</v>
          </cell>
        </row>
        <row r="348">
          <cell r="A348">
            <v>1812801110</v>
          </cell>
          <cell r="B348" t="str">
            <v>ספורט-שכר</v>
          </cell>
          <cell r="C348">
            <v>72000</v>
          </cell>
          <cell r="D348">
            <v>57503.27</v>
          </cell>
          <cell r="E348">
            <v>0</v>
          </cell>
          <cell r="F348">
            <v>57503.27</v>
          </cell>
        </row>
        <row r="349">
          <cell r="A349">
            <v>1813200110</v>
          </cell>
          <cell r="B349" t="str">
            <v>שכר שרתים ביסודי</v>
          </cell>
          <cell r="C349">
            <v>1683000</v>
          </cell>
          <cell r="D349">
            <v>1599895.52</v>
          </cell>
          <cell r="E349">
            <v>0</v>
          </cell>
          <cell r="F349">
            <v>1599895.52</v>
          </cell>
        </row>
        <row r="350">
          <cell r="A350">
            <v>1813200410</v>
          </cell>
          <cell r="B350" t="str">
            <v>בי"ס יסודי אלאישראק</v>
          </cell>
          <cell r="C350">
            <v>10000</v>
          </cell>
          <cell r="D350">
            <v>10000</v>
          </cell>
          <cell r="E350">
            <v>0</v>
          </cell>
          <cell r="F350">
            <v>10000</v>
          </cell>
        </row>
        <row r="351">
          <cell r="A351">
            <v>1813200414</v>
          </cell>
          <cell r="B351" t="str">
            <v>חותם</v>
          </cell>
          <cell r="C351">
            <v>8000</v>
          </cell>
          <cell r="D351">
            <v>7319.48</v>
          </cell>
          <cell r="E351">
            <v>0</v>
          </cell>
          <cell r="F351">
            <v>7319.48</v>
          </cell>
        </row>
        <row r="352">
          <cell r="A352">
            <v>1813200430</v>
          </cell>
          <cell r="B352" t="str">
            <v>מבוטל-חשמל ומים-בתי"ס יסודיים</v>
          </cell>
          <cell r="C352">
            <v>0</v>
          </cell>
          <cell r="D352">
            <v>9741.57</v>
          </cell>
          <cell r="E352">
            <v>0</v>
          </cell>
          <cell r="F352">
            <v>9741.57</v>
          </cell>
        </row>
        <row r="353">
          <cell r="A353">
            <v>1813200760</v>
          </cell>
          <cell r="B353" t="str">
            <v>שירותי מנב"ס</v>
          </cell>
          <cell r="C353">
            <v>4000</v>
          </cell>
          <cell r="D353">
            <v>3991.02</v>
          </cell>
          <cell r="E353">
            <v>0</v>
          </cell>
          <cell r="F353">
            <v>3991.02</v>
          </cell>
        </row>
        <row r="354">
          <cell r="A354">
            <v>1813201750</v>
          </cell>
          <cell r="B354" t="str">
            <v>בתי"ס יסודיים עבודות קבלניות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A355">
            <v>1813206760</v>
          </cell>
          <cell r="B355" t="str">
            <v>הזנת תלמידים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A356">
            <v>1813210110</v>
          </cell>
          <cell r="B356" t="str">
            <v>שכר מזכירים יסודי</v>
          </cell>
          <cell r="C356">
            <v>524800</v>
          </cell>
          <cell r="D356">
            <v>585258.06999999995</v>
          </cell>
          <cell r="E356">
            <v>0</v>
          </cell>
          <cell r="F356">
            <v>585258.06999999995</v>
          </cell>
        </row>
        <row r="357">
          <cell r="A357">
            <v>1813210820</v>
          </cell>
          <cell r="B357" t="str">
            <v>השתתפות בתקציב ב"ס א'</v>
          </cell>
          <cell r="C357">
            <v>185310</v>
          </cell>
          <cell r="D357">
            <v>209907.37</v>
          </cell>
          <cell r="E357">
            <v>0</v>
          </cell>
          <cell r="F357">
            <v>209907.37</v>
          </cell>
        </row>
        <row r="358">
          <cell r="A358">
            <v>1813211110</v>
          </cell>
          <cell r="B358" t="str">
            <v>מבוטל-מחוננים</v>
          </cell>
          <cell r="C358">
            <v>24000</v>
          </cell>
          <cell r="D358">
            <v>30948.68</v>
          </cell>
          <cell r="E358">
            <v>0</v>
          </cell>
          <cell r="F358">
            <v>30948.68</v>
          </cell>
        </row>
        <row r="359">
          <cell r="A359">
            <v>1813211430</v>
          </cell>
          <cell r="B359" t="str">
            <v>חשמל ב"ס א'</v>
          </cell>
          <cell r="C359">
            <v>57000</v>
          </cell>
          <cell r="D359">
            <v>15025.37</v>
          </cell>
          <cell r="E359">
            <v>0</v>
          </cell>
          <cell r="F359">
            <v>15025.37</v>
          </cell>
        </row>
        <row r="360">
          <cell r="A360">
            <v>1813211432</v>
          </cell>
          <cell r="B360" t="str">
            <v>מים ב"ס א'</v>
          </cell>
          <cell r="C360">
            <v>10500</v>
          </cell>
          <cell r="D360">
            <v>11935.9</v>
          </cell>
          <cell r="E360">
            <v>0</v>
          </cell>
          <cell r="F360">
            <v>11935.9</v>
          </cell>
        </row>
        <row r="361">
          <cell r="A361">
            <v>1813220110</v>
          </cell>
          <cell r="B361" t="str">
            <v>שכר נקיון מוסדות חנוך</v>
          </cell>
          <cell r="C361">
            <v>0</v>
          </cell>
          <cell r="D361">
            <v>4840.2</v>
          </cell>
          <cell r="E361">
            <v>0</v>
          </cell>
          <cell r="F361">
            <v>4840.2</v>
          </cell>
        </row>
        <row r="362">
          <cell r="A362">
            <v>1813220820</v>
          </cell>
          <cell r="B362" t="str">
            <v>השתתפות בתקציב ב"ס ב'</v>
          </cell>
          <cell r="C362">
            <v>150378</v>
          </cell>
          <cell r="D362">
            <v>113013</v>
          </cell>
          <cell r="E362">
            <v>0</v>
          </cell>
          <cell r="F362">
            <v>113013</v>
          </cell>
        </row>
        <row r="363">
          <cell r="A363">
            <v>1813222430</v>
          </cell>
          <cell r="B363" t="str">
            <v>חשמל ב"ס ב'</v>
          </cell>
          <cell r="C363">
            <v>48000</v>
          </cell>
          <cell r="D363">
            <v>0</v>
          </cell>
          <cell r="E363">
            <v>0</v>
          </cell>
          <cell r="F363">
            <v>0</v>
          </cell>
        </row>
        <row r="364">
          <cell r="A364">
            <v>1813222432</v>
          </cell>
          <cell r="B364" t="str">
            <v>מים ב"ס ב'</v>
          </cell>
          <cell r="C364">
            <v>8500</v>
          </cell>
          <cell r="D364">
            <v>6346.1</v>
          </cell>
          <cell r="E364">
            <v>0</v>
          </cell>
          <cell r="F364">
            <v>6346.1</v>
          </cell>
        </row>
        <row r="365">
          <cell r="A365">
            <v>1813230414</v>
          </cell>
          <cell r="B365" t="str">
            <v>מבוטל-אגרות תלמידי חוץ</v>
          </cell>
          <cell r="C365">
            <v>0</v>
          </cell>
          <cell r="D365">
            <v>172189</v>
          </cell>
          <cell r="E365">
            <v>0</v>
          </cell>
          <cell r="F365">
            <v>172189</v>
          </cell>
        </row>
        <row r="366">
          <cell r="A366">
            <v>1813230760</v>
          </cell>
          <cell r="B366" t="str">
            <v>אגרת תלמידי חוץ</v>
          </cell>
          <cell r="C366">
            <v>287000</v>
          </cell>
          <cell r="D366">
            <v>53662</v>
          </cell>
          <cell r="E366">
            <v>0</v>
          </cell>
          <cell r="F366">
            <v>53662</v>
          </cell>
        </row>
        <row r="367">
          <cell r="A367">
            <v>1813230820</v>
          </cell>
          <cell r="B367" t="str">
            <v>השתתפות בתקציב ב"ס ג'</v>
          </cell>
          <cell r="C367">
            <v>151230</v>
          </cell>
          <cell r="D367">
            <v>151943</v>
          </cell>
          <cell r="E367">
            <v>0</v>
          </cell>
          <cell r="F367">
            <v>151943</v>
          </cell>
        </row>
        <row r="368">
          <cell r="A368">
            <v>1813233430</v>
          </cell>
          <cell r="B368" t="str">
            <v>חשמל ב"ס ג'+ ב"ס א</v>
          </cell>
          <cell r="C368">
            <v>98000</v>
          </cell>
          <cell r="D368">
            <v>101350.85</v>
          </cell>
          <cell r="E368">
            <v>0</v>
          </cell>
          <cell r="F368">
            <v>101350.85</v>
          </cell>
        </row>
        <row r="369">
          <cell r="A369">
            <v>1813233432</v>
          </cell>
          <cell r="B369" t="str">
            <v>מים ב"ס ג'</v>
          </cell>
          <cell r="C369">
            <v>9000</v>
          </cell>
          <cell r="D369">
            <v>12538.1</v>
          </cell>
          <cell r="E369">
            <v>0</v>
          </cell>
          <cell r="F369">
            <v>12538.1</v>
          </cell>
        </row>
        <row r="370">
          <cell r="A370">
            <v>1813240820</v>
          </cell>
          <cell r="B370" t="str">
            <v>השתתפות בתקציב ב"ס חדשני</v>
          </cell>
          <cell r="C370">
            <v>154212</v>
          </cell>
          <cell r="D370">
            <v>144862.6</v>
          </cell>
          <cell r="E370">
            <v>0</v>
          </cell>
          <cell r="F370">
            <v>144862.6</v>
          </cell>
        </row>
        <row r="371">
          <cell r="A371">
            <v>1813244430</v>
          </cell>
          <cell r="B371" t="str">
            <v>חשמל ב"ס חדשני</v>
          </cell>
          <cell r="C371">
            <v>40000</v>
          </cell>
          <cell r="D371">
            <v>0</v>
          </cell>
          <cell r="E371">
            <v>0</v>
          </cell>
          <cell r="F371">
            <v>0</v>
          </cell>
        </row>
        <row r="372">
          <cell r="A372">
            <v>1813244432</v>
          </cell>
          <cell r="B372" t="str">
            <v>מים ב"ס חדשני</v>
          </cell>
          <cell r="C372">
            <v>9000</v>
          </cell>
          <cell r="D372">
            <v>25870.799999999999</v>
          </cell>
          <cell r="E372">
            <v>0</v>
          </cell>
          <cell r="F372">
            <v>25870.799999999999</v>
          </cell>
        </row>
        <row r="373">
          <cell r="A373">
            <v>1813300540</v>
          </cell>
          <cell r="B373" t="str">
            <v>חינוך מיוחד-תקשורת</v>
          </cell>
          <cell r="C373">
            <v>4500</v>
          </cell>
          <cell r="D373">
            <v>6274.05</v>
          </cell>
          <cell r="E373">
            <v>0</v>
          </cell>
          <cell r="F373">
            <v>6274.05</v>
          </cell>
        </row>
        <row r="374">
          <cell r="A374">
            <v>1813300750</v>
          </cell>
          <cell r="B374" t="str">
            <v>קבלניות שיפוצים</v>
          </cell>
          <cell r="C374">
            <v>169333</v>
          </cell>
          <cell r="D374">
            <v>150995.71</v>
          </cell>
          <cell r="E374">
            <v>17000</v>
          </cell>
          <cell r="F374">
            <v>167995.71</v>
          </cell>
        </row>
        <row r="375">
          <cell r="A375">
            <v>1813310110</v>
          </cell>
          <cell r="B375" t="str">
            <v>שכר סייעות כיתתיות</v>
          </cell>
          <cell r="C375">
            <v>611000</v>
          </cell>
          <cell r="D375">
            <v>584642.24</v>
          </cell>
          <cell r="E375">
            <v>0</v>
          </cell>
          <cell r="F375">
            <v>584642.24</v>
          </cell>
        </row>
        <row r="376">
          <cell r="A376">
            <v>1813320110</v>
          </cell>
          <cell r="B376" t="str">
            <v>שכר סייעות לווי הסעות</v>
          </cell>
          <cell r="C376">
            <v>522000</v>
          </cell>
          <cell r="D376">
            <v>593347.94999999995</v>
          </cell>
          <cell r="E376">
            <v>0</v>
          </cell>
          <cell r="F376">
            <v>593347.94999999995</v>
          </cell>
        </row>
        <row r="377">
          <cell r="A377">
            <v>1813330110</v>
          </cell>
          <cell r="B377" t="str">
            <v>שכר סייעות צמודות</v>
          </cell>
          <cell r="C377">
            <v>695600</v>
          </cell>
          <cell r="D377">
            <v>915456.26</v>
          </cell>
          <cell r="E377">
            <v>0</v>
          </cell>
          <cell r="F377">
            <v>915456.26</v>
          </cell>
        </row>
        <row r="378">
          <cell r="A378">
            <v>1813600780</v>
          </cell>
          <cell r="B378" t="str">
            <v>מבוטל-הוצאות שונות</v>
          </cell>
          <cell r="C378">
            <v>0</v>
          </cell>
          <cell r="D378">
            <v>2485.1</v>
          </cell>
          <cell r="E378">
            <v>0</v>
          </cell>
          <cell r="F378">
            <v>2485.1</v>
          </cell>
        </row>
        <row r="379">
          <cell r="A379">
            <v>1813800750</v>
          </cell>
          <cell r="B379" t="str">
            <v>פרוייקטים חינוכיים</v>
          </cell>
          <cell r="C379">
            <v>25000</v>
          </cell>
          <cell r="D379">
            <v>15580.34</v>
          </cell>
          <cell r="E379">
            <v>4638.34</v>
          </cell>
          <cell r="F379">
            <v>20218.68</v>
          </cell>
        </row>
        <row r="380">
          <cell r="A380">
            <v>1813800930</v>
          </cell>
          <cell r="B380" t="str">
            <v>ציוד יסודי לבת"ס</v>
          </cell>
          <cell r="C380">
            <v>26000</v>
          </cell>
          <cell r="D380">
            <v>19470</v>
          </cell>
          <cell r="E380">
            <v>0</v>
          </cell>
          <cell r="F380">
            <v>19470</v>
          </cell>
        </row>
        <row r="381">
          <cell r="A381">
            <v>1814000430</v>
          </cell>
          <cell r="B381" t="str">
            <v>חשמל ומים</v>
          </cell>
          <cell r="C381">
            <v>0</v>
          </cell>
          <cell r="D381">
            <v>42192.15</v>
          </cell>
          <cell r="E381">
            <v>0</v>
          </cell>
          <cell r="F381">
            <v>42192.15</v>
          </cell>
        </row>
        <row r="382">
          <cell r="A382">
            <v>1814750840</v>
          </cell>
          <cell r="B382" t="str">
            <v>מניפה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A383">
            <v>1816600540</v>
          </cell>
          <cell r="B383" t="str">
            <v>מרכז הדרכה-תקשורת</v>
          </cell>
          <cell r="C383">
            <v>1500</v>
          </cell>
          <cell r="D383">
            <v>4212.3999999999996</v>
          </cell>
          <cell r="E383">
            <v>0</v>
          </cell>
          <cell r="F383">
            <v>4212.3999999999996</v>
          </cell>
        </row>
        <row r="384">
          <cell r="A384">
            <v>1817100110</v>
          </cell>
          <cell r="B384" t="str">
            <v>שכר קב"ט מוסדות חנוך</v>
          </cell>
          <cell r="C384">
            <v>24580</v>
          </cell>
          <cell r="D384">
            <v>45407.82</v>
          </cell>
          <cell r="E384">
            <v>0</v>
          </cell>
          <cell r="F384">
            <v>45407.82</v>
          </cell>
        </row>
        <row r="385">
          <cell r="A385">
            <v>1817100750</v>
          </cell>
          <cell r="B385" t="str">
            <v>אבטחת מוסדות</v>
          </cell>
          <cell r="C385">
            <v>420000</v>
          </cell>
          <cell r="D385">
            <v>358549.35</v>
          </cell>
          <cell r="E385">
            <v>0</v>
          </cell>
          <cell r="F385">
            <v>358549.35</v>
          </cell>
        </row>
        <row r="386">
          <cell r="A386">
            <v>1817110750</v>
          </cell>
          <cell r="B386" t="str">
            <v>מבדקי בטיחות מוסדות חינוך</v>
          </cell>
          <cell r="C386">
            <v>90000</v>
          </cell>
          <cell r="D386">
            <v>68989.8</v>
          </cell>
          <cell r="E386">
            <v>6938.4</v>
          </cell>
          <cell r="F386">
            <v>75928.2</v>
          </cell>
        </row>
        <row r="387">
          <cell r="A387">
            <v>1817300110</v>
          </cell>
          <cell r="B387" t="str">
            <v>שכר שפ"י</v>
          </cell>
          <cell r="C387">
            <v>740000</v>
          </cell>
          <cell r="D387">
            <v>652546.36</v>
          </cell>
          <cell r="E387">
            <v>0</v>
          </cell>
          <cell r="F387">
            <v>652546.36</v>
          </cell>
        </row>
        <row r="388">
          <cell r="A388">
            <v>1817300410</v>
          </cell>
          <cell r="B388" t="str">
            <v>שכ"ד שפ"י</v>
          </cell>
          <cell r="C388">
            <v>24000</v>
          </cell>
          <cell r="D388">
            <v>30000</v>
          </cell>
          <cell r="E388">
            <v>0</v>
          </cell>
          <cell r="F388">
            <v>30000</v>
          </cell>
        </row>
        <row r="389">
          <cell r="A389">
            <v>1817300450</v>
          </cell>
          <cell r="B389" t="str">
            <v>ריהוט ומחשב -שפ"ח</v>
          </cell>
          <cell r="C389">
            <v>5000</v>
          </cell>
          <cell r="D389">
            <v>0</v>
          </cell>
          <cell r="E389">
            <v>531.94000000000005</v>
          </cell>
          <cell r="F389">
            <v>531.94000000000005</v>
          </cell>
        </row>
        <row r="390">
          <cell r="A390">
            <v>1817300720</v>
          </cell>
          <cell r="B390" t="str">
            <v>שפ"י חמרים/ספרים</v>
          </cell>
          <cell r="C390">
            <v>3000</v>
          </cell>
          <cell r="D390">
            <v>3307.33</v>
          </cell>
          <cell r="E390">
            <v>440.2</v>
          </cell>
          <cell r="F390">
            <v>3747.53</v>
          </cell>
        </row>
        <row r="391">
          <cell r="A391">
            <v>1817300750</v>
          </cell>
          <cell r="B391" t="str">
            <v>שפ"י שעות הדרכה</v>
          </cell>
          <cell r="C391">
            <v>33000</v>
          </cell>
          <cell r="D391">
            <v>13821</v>
          </cell>
          <cell r="E391">
            <v>1240</v>
          </cell>
          <cell r="F391">
            <v>15061</v>
          </cell>
        </row>
        <row r="392">
          <cell r="A392">
            <v>1817500440</v>
          </cell>
          <cell r="B392" t="str">
            <v>ביטוח תלמידים</v>
          </cell>
          <cell r="C392">
            <v>200000</v>
          </cell>
          <cell r="D392">
            <v>211327</v>
          </cell>
          <cell r="E392">
            <v>0</v>
          </cell>
          <cell r="F392">
            <v>211327</v>
          </cell>
        </row>
        <row r="393">
          <cell r="A393">
            <v>1817600110</v>
          </cell>
          <cell r="B393" t="str">
            <v>מבוטל-שכר רווחה חינוכית</v>
          </cell>
          <cell r="C393">
            <v>0</v>
          </cell>
          <cell r="D393">
            <v>7384.4</v>
          </cell>
          <cell r="E393">
            <v>0</v>
          </cell>
          <cell r="F393">
            <v>7384.4</v>
          </cell>
        </row>
        <row r="394">
          <cell r="A394">
            <v>1817601110</v>
          </cell>
          <cell r="B394" t="str">
            <v>רווחה חנוכית</v>
          </cell>
          <cell r="C394">
            <v>378000</v>
          </cell>
          <cell r="D394">
            <v>304897.8</v>
          </cell>
          <cell r="E394">
            <v>0</v>
          </cell>
          <cell r="F394">
            <v>304897.8</v>
          </cell>
        </row>
        <row r="395">
          <cell r="A395">
            <v>1817602110</v>
          </cell>
          <cell r="B395" t="str">
            <v>שכר רווחה חינוכית</v>
          </cell>
          <cell r="C395">
            <v>84904</v>
          </cell>
          <cell r="D395">
            <v>12072.64</v>
          </cell>
          <cell r="E395">
            <v>0</v>
          </cell>
          <cell r="F395">
            <v>12072.64</v>
          </cell>
        </row>
        <row r="396">
          <cell r="A396">
            <v>1817602750</v>
          </cell>
          <cell r="B396" t="str">
            <v>פעילות רווחה חיהוכית</v>
          </cell>
          <cell r="C396">
            <v>174647</v>
          </cell>
          <cell r="D396">
            <v>159886</v>
          </cell>
          <cell r="E396">
            <v>13800</v>
          </cell>
          <cell r="F396">
            <v>173686</v>
          </cell>
        </row>
        <row r="397">
          <cell r="A397">
            <v>1817610110</v>
          </cell>
          <cell r="B397" t="str">
            <v>שכר רווחה חינוכית</v>
          </cell>
          <cell r="C397">
            <v>0</v>
          </cell>
          <cell r="D397">
            <v>18695.04</v>
          </cell>
          <cell r="E397">
            <v>0</v>
          </cell>
          <cell r="F397">
            <v>18695.04</v>
          </cell>
        </row>
        <row r="398">
          <cell r="A398">
            <v>1817620110</v>
          </cell>
          <cell r="B398" t="str">
            <v>תוכנית ראשית- שכר</v>
          </cell>
          <cell r="C398">
            <v>125620</v>
          </cell>
          <cell r="D398">
            <v>250169.38</v>
          </cell>
          <cell r="E398">
            <v>0</v>
          </cell>
          <cell r="F398">
            <v>250169.38</v>
          </cell>
        </row>
        <row r="399">
          <cell r="A399">
            <v>1817620750</v>
          </cell>
          <cell r="B399" t="str">
            <v>מעדונית גיל רך -פעילות</v>
          </cell>
          <cell r="C399">
            <v>0</v>
          </cell>
          <cell r="D399">
            <v>4000</v>
          </cell>
          <cell r="E399">
            <v>0</v>
          </cell>
          <cell r="F399">
            <v>4000</v>
          </cell>
        </row>
        <row r="400">
          <cell r="A400">
            <v>1817620780</v>
          </cell>
          <cell r="B400" t="str">
            <v>מעדונית גיל רך -מזון</v>
          </cell>
          <cell r="C400">
            <v>0</v>
          </cell>
          <cell r="D400">
            <v>2500</v>
          </cell>
          <cell r="E400">
            <v>0</v>
          </cell>
          <cell r="F400">
            <v>2500</v>
          </cell>
        </row>
        <row r="401">
          <cell r="A401">
            <v>1817621110</v>
          </cell>
          <cell r="B401" t="str">
            <v>מועדונית ביתית גיל רך</v>
          </cell>
          <cell r="C401">
            <v>60000</v>
          </cell>
          <cell r="D401">
            <v>133179.82999999999</v>
          </cell>
          <cell r="E401">
            <v>0</v>
          </cell>
          <cell r="F401">
            <v>133179.82999999999</v>
          </cell>
        </row>
        <row r="402">
          <cell r="A402">
            <v>1817621470</v>
          </cell>
          <cell r="B402" t="str">
            <v>מרכז נוער - הצטידות</v>
          </cell>
          <cell r="C402">
            <v>0</v>
          </cell>
          <cell r="D402">
            <v>1799.72</v>
          </cell>
          <cell r="E402">
            <v>4775.07</v>
          </cell>
          <cell r="F402">
            <v>6574.79</v>
          </cell>
        </row>
        <row r="403">
          <cell r="A403">
            <v>1817621750</v>
          </cell>
          <cell r="B403" t="str">
            <v>מרכזי נוער - פעילות</v>
          </cell>
          <cell r="C403">
            <v>54000</v>
          </cell>
          <cell r="D403">
            <v>30735</v>
          </cell>
          <cell r="E403">
            <v>8900</v>
          </cell>
          <cell r="F403">
            <v>39635</v>
          </cell>
        </row>
        <row r="404">
          <cell r="A404">
            <v>1817622110</v>
          </cell>
          <cell r="B404" t="str">
            <v>מדריך בינתחומי- מרכז גיל רך</v>
          </cell>
          <cell r="C404">
            <v>45000</v>
          </cell>
          <cell r="D404">
            <v>197028.03</v>
          </cell>
          <cell r="E404">
            <v>0</v>
          </cell>
          <cell r="F404">
            <v>197028.03</v>
          </cell>
        </row>
        <row r="405">
          <cell r="A405">
            <v>1817622750</v>
          </cell>
          <cell r="B405" t="str">
            <v>מועדונית שמיד-סגור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A406">
            <v>1817623110</v>
          </cell>
          <cell r="B406" t="str">
            <v>מרכז נוער - שכר</v>
          </cell>
          <cell r="C406">
            <v>250000</v>
          </cell>
          <cell r="D406">
            <v>70714.95</v>
          </cell>
          <cell r="E406">
            <v>0</v>
          </cell>
          <cell r="F406">
            <v>70714.95</v>
          </cell>
        </row>
        <row r="407">
          <cell r="A407">
            <v>1817623470</v>
          </cell>
          <cell r="B407" t="str">
            <v>מרכז נוער הצטיידות</v>
          </cell>
          <cell r="C407">
            <v>22800</v>
          </cell>
          <cell r="D407">
            <v>0</v>
          </cell>
          <cell r="E407">
            <v>21732.560000000001</v>
          </cell>
          <cell r="F407">
            <v>21732.560000000001</v>
          </cell>
        </row>
        <row r="408">
          <cell r="A408">
            <v>1817623750</v>
          </cell>
          <cell r="B408" t="str">
            <v>מרכזי נוער- פעילות</v>
          </cell>
          <cell r="C408">
            <v>160000</v>
          </cell>
          <cell r="D408">
            <v>18816</v>
          </cell>
          <cell r="E408">
            <v>141184</v>
          </cell>
          <cell r="F408">
            <v>160000</v>
          </cell>
        </row>
        <row r="409">
          <cell r="A409">
            <v>1817623751</v>
          </cell>
          <cell r="B409" t="str">
            <v>מוקד רואה- עיר ללא אלימות</v>
          </cell>
          <cell r="C409">
            <v>10000</v>
          </cell>
          <cell r="D409">
            <v>0</v>
          </cell>
          <cell r="E409">
            <v>0</v>
          </cell>
          <cell r="F409">
            <v>0</v>
          </cell>
        </row>
        <row r="410">
          <cell r="A410">
            <v>1817624110</v>
          </cell>
          <cell r="B410" t="str">
            <v>תוכנית אור- שכר</v>
          </cell>
          <cell r="C410">
            <v>42020</v>
          </cell>
          <cell r="D410">
            <v>19615.349999999999</v>
          </cell>
          <cell r="E410">
            <v>0</v>
          </cell>
          <cell r="F410">
            <v>19615.349999999999</v>
          </cell>
        </row>
        <row r="411">
          <cell r="A411">
            <v>1817624470</v>
          </cell>
          <cell r="B411" t="str">
            <v>תוכנית אור הצטיידות</v>
          </cell>
          <cell r="C411">
            <v>3000</v>
          </cell>
          <cell r="D411">
            <v>941.77</v>
          </cell>
          <cell r="E411">
            <v>1950</v>
          </cell>
          <cell r="F411">
            <v>2891.77</v>
          </cell>
        </row>
        <row r="412">
          <cell r="A412">
            <v>1817624750</v>
          </cell>
          <cell r="B412" t="str">
            <v>תוכנית אור פעילות</v>
          </cell>
          <cell r="C412">
            <v>80000</v>
          </cell>
          <cell r="D412">
            <v>0</v>
          </cell>
          <cell r="E412">
            <v>79460</v>
          </cell>
          <cell r="F412">
            <v>79460</v>
          </cell>
        </row>
        <row r="413">
          <cell r="A413">
            <v>1817625110</v>
          </cell>
          <cell r="B413" t="str">
            <v>קול קורא לאגדים</v>
          </cell>
          <cell r="C413">
            <v>50000</v>
          </cell>
          <cell r="D413">
            <v>0</v>
          </cell>
          <cell r="E413">
            <v>0</v>
          </cell>
          <cell r="F413">
            <v>0</v>
          </cell>
        </row>
        <row r="414">
          <cell r="A414">
            <v>1817625750</v>
          </cell>
          <cell r="B414" t="str">
            <v>קול קורא לאגדים- פעילות</v>
          </cell>
          <cell r="C414">
            <v>100000</v>
          </cell>
          <cell r="D414">
            <v>0</v>
          </cell>
          <cell r="E414">
            <v>99700</v>
          </cell>
          <cell r="F414">
            <v>99700</v>
          </cell>
        </row>
        <row r="415">
          <cell r="A415">
            <v>1817626110</v>
          </cell>
          <cell r="B415" t="str">
            <v>נתיבים להורות שכר</v>
          </cell>
          <cell r="C415">
            <v>173000</v>
          </cell>
          <cell r="D415">
            <v>0</v>
          </cell>
          <cell r="E415">
            <v>0</v>
          </cell>
          <cell r="F415">
            <v>0</v>
          </cell>
        </row>
        <row r="416">
          <cell r="A416">
            <v>1817626750</v>
          </cell>
          <cell r="B416" t="str">
            <v>פעולות שמידט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A417">
            <v>1817700110</v>
          </cell>
          <cell r="B417" t="str">
            <v>שכר קב"ס</v>
          </cell>
          <cell r="C417">
            <v>199500</v>
          </cell>
          <cell r="D417">
            <v>251714.84</v>
          </cell>
          <cell r="E417">
            <v>0</v>
          </cell>
          <cell r="F417">
            <v>251714.84</v>
          </cell>
        </row>
        <row r="418">
          <cell r="A418">
            <v>1817700750</v>
          </cell>
          <cell r="B418" t="str">
            <v>פעולות מנ"ע</v>
          </cell>
          <cell r="C418">
            <v>22000</v>
          </cell>
          <cell r="D418">
            <v>0</v>
          </cell>
          <cell r="E418">
            <v>0</v>
          </cell>
          <cell r="F418">
            <v>0</v>
          </cell>
        </row>
        <row r="419">
          <cell r="A419">
            <v>1817800710</v>
          </cell>
          <cell r="B419" t="str">
            <v>הסעות ח.מיוחד</v>
          </cell>
          <cell r="C419">
            <v>1250000</v>
          </cell>
          <cell r="D419">
            <v>870067.16</v>
          </cell>
          <cell r="E419">
            <v>0</v>
          </cell>
          <cell r="F419">
            <v>870067.16</v>
          </cell>
        </row>
        <row r="420">
          <cell r="A420">
            <v>1817810710</v>
          </cell>
          <cell r="B420" t="str">
            <v>הסעות חינוך רגיל</v>
          </cell>
          <cell r="C420">
            <v>2200000</v>
          </cell>
          <cell r="D420">
            <v>2316907</v>
          </cell>
          <cell r="E420">
            <v>0</v>
          </cell>
          <cell r="F420">
            <v>2316907</v>
          </cell>
        </row>
        <row r="421">
          <cell r="A421">
            <v>1817900750</v>
          </cell>
          <cell r="B421" t="str">
            <v>מזון ופעילות</v>
          </cell>
          <cell r="C421">
            <v>0</v>
          </cell>
          <cell r="D421">
            <v>0</v>
          </cell>
          <cell r="E421">
            <v>300</v>
          </cell>
          <cell r="F421">
            <v>300</v>
          </cell>
        </row>
        <row r="422">
          <cell r="A422">
            <v>1817900780</v>
          </cell>
          <cell r="B422" t="str">
            <v>מתי"א שונות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A423">
            <v>1817950780</v>
          </cell>
          <cell r="B423" t="str">
            <v>תכנית שיקום הצפון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A424">
            <v>1818000110</v>
          </cell>
          <cell r="B424" t="str">
            <v>שכר קידום נוער</v>
          </cell>
          <cell r="C424">
            <v>0</v>
          </cell>
          <cell r="D424">
            <v>-130</v>
          </cell>
          <cell r="E424">
            <v>0</v>
          </cell>
          <cell r="F424">
            <v>-130</v>
          </cell>
        </row>
        <row r="425">
          <cell r="A425">
            <v>1818000470</v>
          </cell>
          <cell r="B425" t="str">
            <v>קידום נוער - ריהוט וציוד</v>
          </cell>
          <cell r="C425">
            <v>6500</v>
          </cell>
          <cell r="D425">
            <v>6280</v>
          </cell>
          <cell r="E425">
            <v>0</v>
          </cell>
          <cell r="F425">
            <v>6280</v>
          </cell>
        </row>
        <row r="426">
          <cell r="A426">
            <v>1818000750</v>
          </cell>
          <cell r="B426" t="str">
            <v>פעילות קידום נוער</v>
          </cell>
          <cell r="C426">
            <v>21000</v>
          </cell>
          <cell r="D426">
            <v>2348.89</v>
          </cell>
          <cell r="E426">
            <v>6667</v>
          </cell>
          <cell r="F426">
            <v>9015.89</v>
          </cell>
        </row>
        <row r="427">
          <cell r="A427">
            <v>1818100110</v>
          </cell>
          <cell r="B427" t="str">
            <v>תג"ת-שכר</v>
          </cell>
          <cell r="C427">
            <v>38300</v>
          </cell>
          <cell r="D427">
            <v>12915.04</v>
          </cell>
          <cell r="E427">
            <v>0</v>
          </cell>
          <cell r="F427">
            <v>12915.04</v>
          </cell>
        </row>
        <row r="428">
          <cell r="A428">
            <v>1818200110</v>
          </cell>
          <cell r="B428" t="str">
            <v>שכר מחלקת נוער</v>
          </cell>
          <cell r="C428">
            <v>150000</v>
          </cell>
          <cell r="D428">
            <v>215666.53</v>
          </cell>
          <cell r="E428">
            <v>0</v>
          </cell>
          <cell r="F428">
            <v>215666.53</v>
          </cell>
        </row>
        <row r="429">
          <cell r="A429">
            <v>1818810110</v>
          </cell>
          <cell r="B429" t="str">
            <v>רכז פר"י ישובי</v>
          </cell>
          <cell r="C429">
            <v>3000</v>
          </cell>
          <cell r="D429">
            <v>0</v>
          </cell>
          <cell r="E429">
            <v>0</v>
          </cell>
          <cell r="F429">
            <v>0</v>
          </cell>
        </row>
        <row r="430">
          <cell r="A430">
            <v>1818810810</v>
          </cell>
          <cell r="B430" t="str">
            <v>פר"ח השתתפות</v>
          </cell>
          <cell r="C430">
            <v>21000</v>
          </cell>
          <cell r="D430">
            <v>16550</v>
          </cell>
          <cell r="E430">
            <v>0</v>
          </cell>
          <cell r="F430">
            <v>16550</v>
          </cell>
        </row>
        <row r="431">
          <cell r="A431">
            <v>1819000750</v>
          </cell>
          <cell r="B431" t="str">
            <v>פרויקט מ.החינוך בי"ס בחופש הגד</v>
          </cell>
          <cell r="C431">
            <v>1100000</v>
          </cell>
          <cell r="D431">
            <v>992309.94</v>
          </cell>
          <cell r="E431">
            <v>9602.25</v>
          </cell>
          <cell r="F431">
            <v>1001912.19</v>
          </cell>
        </row>
        <row r="432">
          <cell r="A432">
            <v>1821000110</v>
          </cell>
          <cell r="B432" t="str">
            <v>שכר תרבות</v>
          </cell>
          <cell r="C432">
            <v>512300</v>
          </cell>
          <cell r="D432">
            <v>565811.56000000006</v>
          </cell>
          <cell r="E432">
            <v>0</v>
          </cell>
          <cell r="F432">
            <v>565811.56000000006</v>
          </cell>
        </row>
        <row r="433">
          <cell r="A433">
            <v>1821000750</v>
          </cell>
          <cell r="B433" t="str">
            <v>אחזקה קבלניות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A434">
            <v>1822000780</v>
          </cell>
          <cell r="B434" t="str">
            <v>פעולות תרבות-שונות</v>
          </cell>
          <cell r="C434">
            <v>385000</v>
          </cell>
          <cell r="D434">
            <v>267395.20000000001</v>
          </cell>
          <cell r="E434">
            <v>116656.5</v>
          </cell>
          <cell r="F434">
            <v>384051.7</v>
          </cell>
        </row>
        <row r="435">
          <cell r="A435">
            <v>1823000110</v>
          </cell>
          <cell r="B435" t="str">
            <v>שכר ספרית מקצועית</v>
          </cell>
          <cell r="C435">
            <v>127000</v>
          </cell>
          <cell r="D435">
            <v>132309.82999999999</v>
          </cell>
          <cell r="E435">
            <v>0</v>
          </cell>
          <cell r="F435">
            <v>132309.82999999999</v>
          </cell>
        </row>
        <row r="436">
          <cell r="A436">
            <v>1823000540</v>
          </cell>
          <cell r="B436" t="str">
            <v>ספריה עירונית-תקשורת</v>
          </cell>
          <cell r="C436">
            <v>8000</v>
          </cell>
          <cell r="D436">
            <v>4227.8900000000003</v>
          </cell>
          <cell r="E436">
            <v>0</v>
          </cell>
          <cell r="F436">
            <v>4227.8900000000003</v>
          </cell>
        </row>
        <row r="437">
          <cell r="A437">
            <v>1824000430</v>
          </cell>
          <cell r="B437" t="str">
            <v>חשמל-מתנ"ס</v>
          </cell>
          <cell r="C437">
            <v>70000</v>
          </cell>
          <cell r="D437">
            <v>76629.100000000006</v>
          </cell>
          <cell r="E437">
            <v>0</v>
          </cell>
          <cell r="F437">
            <v>76629.100000000006</v>
          </cell>
        </row>
        <row r="438">
          <cell r="A438">
            <v>1824000720</v>
          </cell>
          <cell r="B438" t="str">
            <v>אחזקה מ.תרבות קבלניות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A439">
            <v>1824000780</v>
          </cell>
          <cell r="B439" t="str">
            <v>אחזקה מ.תרבות קבלניות</v>
          </cell>
          <cell r="C439">
            <v>10000</v>
          </cell>
          <cell r="D439">
            <v>5079</v>
          </cell>
          <cell r="E439">
            <v>4668.88</v>
          </cell>
          <cell r="F439">
            <v>9747.8799999999992</v>
          </cell>
        </row>
        <row r="440">
          <cell r="A440">
            <v>1824100430</v>
          </cell>
          <cell r="B440" t="str">
            <v>מים מרכז תרבות</v>
          </cell>
          <cell r="C440">
            <v>20000</v>
          </cell>
          <cell r="D440">
            <v>8133.3</v>
          </cell>
          <cell r="E440">
            <v>0</v>
          </cell>
          <cell r="F440">
            <v>8133.3</v>
          </cell>
        </row>
        <row r="441">
          <cell r="A441">
            <v>1824140051</v>
          </cell>
          <cell r="B441" t="str">
            <v>כיבודים</v>
          </cell>
          <cell r="C441">
            <v>2000</v>
          </cell>
          <cell r="D441">
            <v>0</v>
          </cell>
          <cell r="E441">
            <v>0</v>
          </cell>
          <cell r="F441">
            <v>0</v>
          </cell>
        </row>
        <row r="442">
          <cell r="A442">
            <v>1825000110</v>
          </cell>
          <cell r="B442" t="str">
            <v>שכר מדריכים מ. הגיל הרך</v>
          </cell>
          <cell r="C442">
            <v>30000</v>
          </cell>
          <cell r="D442">
            <v>29950.5</v>
          </cell>
          <cell r="E442">
            <v>0</v>
          </cell>
          <cell r="F442">
            <v>29950.5</v>
          </cell>
        </row>
        <row r="443">
          <cell r="A443">
            <v>1825000750</v>
          </cell>
          <cell r="B443" t="str">
            <v>פעולות שונות מ. הגיל הרך</v>
          </cell>
          <cell r="C443">
            <v>70000</v>
          </cell>
          <cell r="D443">
            <v>43239.49</v>
          </cell>
          <cell r="E443">
            <v>29068.1</v>
          </cell>
          <cell r="F443">
            <v>72307.59</v>
          </cell>
        </row>
        <row r="444">
          <cell r="A444">
            <v>1828200110</v>
          </cell>
          <cell r="B444" t="str">
            <v>מוקדי הפעלת נוער-שכר</v>
          </cell>
          <cell r="C444">
            <v>16000</v>
          </cell>
          <cell r="D444">
            <v>-15.58</v>
          </cell>
          <cell r="E444">
            <v>0</v>
          </cell>
          <cell r="F444">
            <v>-15.58</v>
          </cell>
        </row>
        <row r="445">
          <cell r="A445">
            <v>1828200720</v>
          </cell>
          <cell r="B445" t="str">
            <v>מעדונית משותפת -מזון</v>
          </cell>
          <cell r="C445">
            <v>30000</v>
          </cell>
          <cell r="D445">
            <v>0</v>
          </cell>
          <cell r="E445">
            <v>0</v>
          </cell>
          <cell r="F445">
            <v>0</v>
          </cell>
        </row>
        <row r="446">
          <cell r="A446">
            <v>1828200750</v>
          </cell>
          <cell r="B446" t="str">
            <v>מצילה פעילות</v>
          </cell>
          <cell r="C446">
            <v>18000</v>
          </cell>
          <cell r="D446">
            <v>0</v>
          </cell>
          <cell r="E446">
            <v>0</v>
          </cell>
          <cell r="F446">
            <v>0</v>
          </cell>
        </row>
        <row r="447">
          <cell r="A447">
            <v>1828210110</v>
          </cell>
          <cell r="B447" t="str">
            <v>מבוטל-שכר מחלקת נוער</v>
          </cell>
          <cell r="C447">
            <v>131200</v>
          </cell>
          <cell r="D447">
            <v>0</v>
          </cell>
          <cell r="E447">
            <v>0</v>
          </cell>
          <cell r="F447">
            <v>0</v>
          </cell>
        </row>
        <row r="448">
          <cell r="A448">
            <v>1828400750</v>
          </cell>
          <cell r="B448" t="str">
            <v>פעילות קייטנה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A449">
            <v>1828410750</v>
          </cell>
          <cell r="B449" t="str">
            <v>פעילות קייטנת העמותה לתפנית בח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A450">
            <v>1828500750</v>
          </cell>
          <cell r="B450" t="str">
            <v>עיר ללא אלימות-רכש</v>
          </cell>
          <cell r="C450">
            <v>50000</v>
          </cell>
          <cell r="D450">
            <v>55243.56</v>
          </cell>
          <cell r="E450">
            <v>1200</v>
          </cell>
          <cell r="F450">
            <v>56443.56</v>
          </cell>
        </row>
        <row r="451">
          <cell r="A451">
            <v>1828501750</v>
          </cell>
          <cell r="B451" t="str">
            <v>עיר ללא אלימות-פעילות</v>
          </cell>
          <cell r="C451">
            <v>21090</v>
          </cell>
          <cell r="D451">
            <v>9992</v>
          </cell>
          <cell r="E451">
            <v>3713.18</v>
          </cell>
          <cell r="F451">
            <v>13705.18</v>
          </cell>
        </row>
        <row r="452">
          <cell r="A452">
            <v>1828504110</v>
          </cell>
          <cell r="B452" t="str">
            <v>עיר ללא אלימות-שכר א.אוכלוסיה</v>
          </cell>
          <cell r="C452">
            <v>323020</v>
          </cell>
          <cell r="D452">
            <v>386057.61</v>
          </cell>
          <cell r="E452">
            <v>0</v>
          </cell>
          <cell r="F452">
            <v>386057.61</v>
          </cell>
        </row>
        <row r="453">
          <cell r="A453">
            <v>1828506410</v>
          </cell>
          <cell r="B453" t="str">
            <v>שכר דירה מלחמה בסמים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A454">
            <v>1829200432</v>
          </cell>
          <cell r="B454" t="str">
            <v>מים וחשמל -איצטדיון כדורגל</v>
          </cell>
          <cell r="C454">
            <v>0</v>
          </cell>
          <cell r="D454">
            <v>111886.3</v>
          </cell>
          <cell r="E454">
            <v>0</v>
          </cell>
          <cell r="F454">
            <v>111886.3</v>
          </cell>
        </row>
        <row r="455">
          <cell r="A455">
            <v>1829200750</v>
          </cell>
          <cell r="B455" t="str">
            <v>ספורט קבלניות</v>
          </cell>
          <cell r="C455">
            <v>100000</v>
          </cell>
          <cell r="D455">
            <v>120527</v>
          </cell>
          <cell r="E455">
            <v>9284.99</v>
          </cell>
          <cell r="F455">
            <v>129811.99</v>
          </cell>
        </row>
        <row r="456">
          <cell r="A456">
            <v>1829200780</v>
          </cell>
          <cell r="B456" t="str">
            <v>הוצאות שונות -מגרש</v>
          </cell>
          <cell r="C456">
            <v>8000</v>
          </cell>
          <cell r="D456">
            <v>1065</v>
          </cell>
          <cell r="E456">
            <v>0</v>
          </cell>
          <cell r="F456">
            <v>1065</v>
          </cell>
        </row>
        <row r="457">
          <cell r="A457">
            <v>1829210750</v>
          </cell>
          <cell r="B457" t="str">
            <v>חוגים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A458">
            <v>1829230750</v>
          </cell>
          <cell r="B458" t="str">
            <v>צעדת הכרמל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A459">
            <v>1829240750</v>
          </cell>
          <cell r="B459" t="str">
            <v>פסטיבל דליה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A460">
            <v>1829250750</v>
          </cell>
          <cell r="B460" t="str">
            <v>במות ראשיות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A461">
            <v>1829260110</v>
          </cell>
          <cell r="B461" t="str">
            <v>שכר חוגי בלט</v>
          </cell>
          <cell r="C461">
            <v>49750</v>
          </cell>
          <cell r="D461">
            <v>62365.86</v>
          </cell>
          <cell r="E461">
            <v>0</v>
          </cell>
          <cell r="F461">
            <v>62365.86</v>
          </cell>
        </row>
        <row r="462">
          <cell r="A462">
            <v>1832000410</v>
          </cell>
          <cell r="B462" t="str">
            <v>מרפאה-שכירות</v>
          </cell>
          <cell r="C462">
            <v>44000</v>
          </cell>
          <cell r="D462">
            <v>35000</v>
          </cell>
          <cell r="E462">
            <v>0</v>
          </cell>
          <cell r="F462">
            <v>35000</v>
          </cell>
        </row>
        <row r="463">
          <cell r="A463">
            <v>1832000430</v>
          </cell>
          <cell r="B463" t="str">
            <v>מבוטל-מרפאות-חשמל ומים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A464">
            <v>1832000431</v>
          </cell>
          <cell r="B464" t="str">
            <v>מרפאות-חשמל</v>
          </cell>
          <cell r="C464">
            <v>30000</v>
          </cell>
          <cell r="D464">
            <v>24380.720000000001</v>
          </cell>
          <cell r="E464">
            <v>0</v>
          </cell>
          <cell r="F464">
            <v>24380.720000000001</v>
          </cell>
        </row>
        <row r="465">
          <cell r="A465">
            <v>1832000432</v>
          </cell>
          <cell r="B465" t="str">
            <v>מרפאות -מים</v>
          </cell>
          <cell r="C465">
            <v>3000</v>
          </cell>
          <cell r="D465">
            <v>1526.5</v>
          </cell>
          <cell r="E465">
            <v>0</v>
          </cell>
          <cell r="F465">
            <v>1526.5</v>
          </cell>
        </row>
        <row r="466">
          <cell r="A466">
            <v>1832000540</v>
          </cell>
          <cell r="B466" t="str">
            <v>מרפאות-תקשורת</v>
          </cell>
          <cell r="C466">
            <v>3000</v>
          </cell>
          <cell r="D466">
            <v>0</v>
          </cell>
          <cell r="E466">
            <v>0</v>
          </cell>
          <cell r="F466">
            <v>0</v>
          </cell>
        </row>
        <row r="467">
          <cell r="A467">
            <v>1832000720</v>
          </cell>
          <cell r="B467" t="str">
            <v>חומרים</v>
          </cell>
          <cell r="C467">
            <v>3000</v>
          </cell>
          <cell r="D467">
            <v>0</v>
          </cell>
          <cell r="E467">
            <v>0</v>
          </cell>
          <cell r="F467">
            <v>0</v>
          </cell>
        </row>
        <row r="468">
          <cell r="A468">
            <v>1832400110</v>
          </cell>
          <cell r="B468" t="str">
            <v>שכר תחנת אם-בריאות</v>
          </cell>
          <cell r="C468">
            <v>189866</v>
          </cell>
          <cell r="D468">
            <v>193360.48</v>
          </cell>
          <cell r="E468">
            <v>0</v>
          </cell>
          <cell r="F468">
            <v>193360.48</v>
          </cell>
        </row>
        <row r="469">
          <cell r="A469">
            <v>1832400410</v>
          </cell>
          <cell r="B469" t="str">
            <v>שכ"ד תחנת אם וילד</v>
          </cell>
          <cell r="C469">
            <v>0</v>
          </cell>
          <cell r="D469">
            <v>22500</v>
          </cell>
          <cell r="E469">
            <v>0</v>
          </cell>
          <cell r="F469">
            <v>22500</v>
          </cell>
        </row>
        <row r="470">
          <cell r="A470">
            <v>1841000110</v>
          </cell>
          <cell r="B470" t="str">
            <v>שכר לשכת רווחה</v>
          </cell>
          <cell r="C470">
            <v>1389333</v>
          </cell>
          <cell r="D470">
            <v>1648609.53</v>
          </cell>
          <cell r="E470">
            <v>0</v>
          </cell>
          <cell r="F470">
            <v>1648609.53</v>
          </cell>
        </row>
        <row r="471">
          <cell r="A471">
            <v>1841000410</v>
          </cell>
          <cell r="B471" t="str">
            <v>שכ"ד רווחה</v>
          </cell>
          <cell r="C471">
            <v>75000</v>
          </cell>
          <cell r="D471">
            <v>77750</v>
          </cell>
          <cell r="E471">
            <v>0</v>
          </cell>
          <cell r="F471">
            <v>77750</v>
          </cell>
        </row>
        <row r="472">
          <cell r="A472">
            <v>1841000430</v>
          </cell>
          <cell r="B472" t="str">
            <v>חשמל ומים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A473">
            <v>1841000431</v>
          </cell>
          <cell r="B473" t="str">
            <v>חשמל רווחה</v>
          </cell>
          <cell r="C473">
            <v>5000</v>
          </cell>
          <cell r="D473">
            <v>2896.98</v>
          </cell>
          <cell r="E473">
            <v>0</v>
          </cell>
          <cell r="F473">
            <v>2896.98</v>
          </cell>
        </row>
        <row r="474">
          <cell r="A474">
            <v>1841000432</v>
          </cell>
          <cell r="B474" t="str">
            <v>מים רווחה</v>
          </cell>
          <cell r="C474">
            <v>5000</v>
          </cell>
          <cell r="D474">
            <v>101.8</v>
          </cell>
          <cell r="E474">
            <v>0</v>
          </cell>
          <cell r="F474">
            <v>101.8</v>
          </cell>
        </row>
        <row r="475">
          <cell r="A475">
            <v>1841000470</v>
          </cell>
          <cell r="B475" t="str">
            <v>ציוד משרדי רווחה</v>
          </cell>
          <cell r="C475">
            <v>2000</v>
          </cell>
          <cell r="D475">
            <v>-2352</v>
          </cell>
          <cell r="E475">
            <v>2000</v>
          </cell>
          <cell r="F475">
            <v>-352</v>
          </cell>
        </row>
        <row r="476">
          <cell r="A476">
            <v>1841000510</v>
          </cell>
          <cell r="B476" t="str">
            <v>אשל וכיבודים</v>
          </cell>
          <cell r="C476">
            <v>3000</v>
          </cell>
          <cell r="D476">
            <v>700</v>
          </cell>
          <cell r="E476">
            <v>1100</v>
          </cell>
          <cell r="F476">
            <v>1800</v>
          </cell>
        </row>
        <row r="477">
          <cell r="A477">
            <v>1841000520</v>
          </cell>
          <cell r="B477" t="str">
            <v>מינהל רווחה השתלמויות</v>
          </cell>
          <cell r="C477">
            <v>3000</v>
          </cell>
          <cell r="D477">
            <v>0</v>
          </cell>
          <cell r="E477">
            <v>0</v>
          </cell>
          <cell r="F477">
            <v>0</v>
          </cell>
        </row>
        <row r="478">
          <cell r="A478">
            <v>1841000540</v>
          </cell>
          <cell r="B478" t="str">
            <v>רווחה-תקשורת</v>
          </cell>
          <cell r="C478">
            <v>8000</v>
          </cell>
          <cell r="D478">
            <v>13635.12</v>
          </cell>
          <cell r="E478">
            <v>0</v>
          </cell>
          <cell r="F478">
            <v>13635.12</v>
          </cell>
        </row>
        <row r="479">
          <cell r="A479">
            <v>1841000560</v>
          </cell>
          <cell r="B479" t="str">
            <v>רווחה פעולות ארגוניות</v>
          </cell>
          <cell r="C479">
            <v>5000</v>
          </cell>
          <cell r="D479">
            <v>10345</v>
          </cell>
          <cell r="E479">
            <v>2699.94</v>
          </cell>
          <cell r="F479">
            <v>13044.94</v>
          </cell>
        </row>
        <row r="480">
          <cell r="A480">
            <v>1841000840</v>
          </cell>
          <cell r="B480" t="str">
            <v>בטחון עובדים ושמירה</v>
          </cell>
          <cell r="C480">
            <v>8440</v>
          </cell>
          <cell r="D480">
            <v>8445.07</v>
          </cell>
          <cell r="E480">
            <v>0</v>
          </cell>
          <cell r="F480">
            <v>8445.07</v>
          </cell>
        </row>
        <row r="481">
          <cell r="A481">
            <v>1841100440</v>
          </cell>
          <cell r="B481" t="str">
            <v>הוצאות מנהליות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A482">
            <v>1842200840</v>
          </cell>
          <cell r="B482" t="str">
            <v>סיוע למשפחה עם ילד</v>
          </cell>
          <cell r="C482">
            <v>42000</v>
          </cell>
          <cell r="D482">
            <v>115606</v>
          </cell>
          <cell r="E482">
            <v>0</v>
          </cell>
          <cell r="F482">
            <v>115606</v>
          </cell>
        </row>
        <row r="483">
          <cell r="A483">
            <v>1842201810</v>
          </cell>
          <cell r="B483" t="str">
            <v>מבוטל-מקלט לנשים מוכות</v>
          </cell>
          <cell r="C483">
            <v>0</v>
          </cell>
          <cell r="D483">
            <v>3194</v>
          </cell>
          <cell r="E483">
            <v>0</v>
          </cell>
          <cell r="F483">
            <v>3194</v>
          </cell>
        </row>
        <row r="484">
          <cell r="A484">
            <v>1842201840</v>
          </cell>
          <cell r="B484" t="str">
            <v>מקלטים לנשים מוכות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A485">
            <v>1842210840</v>
          </cell>
          <cell r="B485" t="str">
            <v>משפחות במצוקה</v>
          </cell>
          <cell r="C485">
            <v>40800</v>
          </cell>
          <cell r="D485">
            <v>41839</v>
          </cell>
          <cell r="E485">
            <v>0</v>
          </cell>
          <cell r="F485">
            <v>41839</v>
          </cell>
        </row>
        <row r="486">
          <cell r="A486">
            <v>1842212840</v>
          </cell>
          <cell r="B486" t="str">
            <v>סיוע חד פעמי לחימום</v>
          </cell>
          <cell r="C486">
            <v>3000</v>
          </cell>
          <cell r="D486">
            <v>0</v>
          </cell>
          <cell r="E486">
            <v>0</v>
          </cell>
          <cell r="F486">
            <v>0</v>
          </cell>
        </row>
        <row r="487">
          <cell r="A487">
            <v>1842400410</v>
          </cell>
          <cell r="B487" t="str">
            <v>שכ"ד מועדון-מלביש</v>
          </cell>
          <cell r="C487">
            <v>27600</v>
          </cell>
          <cell r="D487">
            <v>29940</v>
          </cell>
          <cell r="E487">
            <v>0</v>
          </cell>
          <cell r="F487">
            <v>29940</v>
          </cell>
        </row>
        <row r="488">
          <cell r="A488">
            <v>1842400810</v>
          </cell>
          <cell r="B488" t="str">
            <v>סדנאות לטפול במשפ/קיטנות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A489">
            <v>1842400840</v>
          </cell>
          <cell r="B489" t="str">
            <v>מרכזי טיפול באלימות</v>
          </cell>
          <cell r="C489">
            <v>105333</v>
          </cell>
          <cell r="D489">
            <v>0</v>
          </cell>
          <cell r="E489">
            <v>0</v>
          </cell>
          <cell r="F489">
            <v>0</v>
          </cell>
        </row>
        <row r="490">
          <cell r="A490">
            <v>1842410110</v>
          </cell>
          <cell r="B490" t="str">
            <v>מבוטל-נתיבים להורות-שמיד</v>
          </cell>
          <cell r="C490">
            <v>0</v>
          </cell>
          <cell r="D490">
            <v>35845.760000000002</v>
          </cell>
          <cell r="E490">
            <v>0</v>
          </cell>
          <cell r="F490">
            <v>35845.760000000002</v>
          </cell>
        </row>
        <row r="491">
          <cell r="A491">
            <v>1842410840</v>
          </cell>
          <cell r="B491" t="str">
            <v>סדנאות לטיפול במשפחה</v>
          </cell>
          <cell r="C491">
            <v>0</v>
          </cell>
          <cell r="D491">
            <v>1296</v>
          </cell>
          <cell r="E491">
            <v>0</v>
          </cell>
          <cell r="F491">
            <v>1296</v>
          </cell>
        </row>
        <row r="492">
          <cell r="A492">
            <v>1842500810</v>
          </cell>
          <cell r="B492" t="str">
            <v>תחנה לטיפול משפחתי</v>
          </cell>
          <cell r="C492">
            <v>0</v>
          </cell>
          <cell r="D492">
            <v>-780</v>
          </cell>
          <cell r="E492">
            <v>0</v>
          </cell>
          <cell r="F492">
            <v>-780</v>
          </cell>
        </row>
        <row r="493">
          <cell r="A493">
            <v>1843500110</v>
          </cell>
          <cell r="B493" t="str">
            <v>שכר נתיבים להורות</v>
          </cell>
          <cell r="C493">
            <v>24000</v>
          </cell>
          <cell r="D493">
            <v>47263.06</v>
          </cell>
          <cell r="E493">
            <v>0</v>
          </cell>
          <cell r="F493">
            <v>47263.06</v>
          </cell>
        </row>
        <row r="494">
          <cell r="A494">
            <v>1843500840</v>
          </cell>
          <cell r="B494" t="str">
            <v>טיפול במשפחות</v>
          </cell>
          <cell r="C494">
            <v>303664</v>
          </cell>
          <cell r="D494">
            <v>0</v>
          </cell>
          <cell r="E494">
            <v>3728.8</v>
          </cell>
          <cell r="F494">
            <v>3728.8</v>
          </cell>
        </row>
        <row r="495">
          <cell r="A495">
            <v>1843520840</v>
          </cell>
          <cell r="B495" t="str">
            <v>טיפול בילד בקהילה</v>
          </cell>
          <cell r="C495">
            <v>281200</v>
          </cell>
          <cell r="D495">
            <v>341119</v>
          </cell>
          <cell r="E495">
            <v>0</v>
          </cell>
          <cell r="F495">
            <v>341119</v>
          </cell>
        </row>
        <row r="496">
          <cell r="A496">
            <v>1843530840</v>
          </cell>
          <cell r="B496" t="str">
            <v>מועדוניות משותפות</v>
          </cell>
          <cell r="C496">
            <v>105333</v>
          </cell>
          <cell r="D496">
            <v>33012</v>
          </cell>
          <cell r="E496">
            <v>19759.29</v>
          </cell>
          <cell r="F496">
            <v>52771.29</v>
          </cell>
        </row>
        <row r="497">
          <cell r="A497">
            <v>1843600810</v>
          </cell>
          <cell r="B497" t="str">
            <v>יצירת קשר הורים</v>
          </cell>
          <cell r="C497">
            <v>39712</v>
          </cell>
          <cell r="D497">
            <v>5919</v>
          </cell>
          <cell r="E497">
            <v>0</v>
          </cell>
          <cell r="F497">
            <v>5919</v>
          </cell>
        </row>
        <row r="498">
          <cell r="A498">
            <v>1843800840</v>
          </cell>
          <cell r="B498" t="str">
            <v>אחזקת ילדים בפנימיות</v>
          </cell>
          <cell r="C498">
            <v>489664</v>
          </cell>
          <cell r="D498">
            <v>792221</v>
          </cell>
          <cell r="E498">
            <v>0</v>
          </cell>
          <cell r="F498">
            <v>792221</v>
          </cell>
        </row>
        <row r="499">
          <cell r="A499">
            <v>1843810840</v>
          </cell>
          <cell r="B499" t="str">
            <v>תוכנית עם הפנים לקהילה</v>
          </cell>
          <cell r="C499">
            <v>115291</v>
          </cell>
          <cell r="D499">
            <v>53641</v>
          </cell>
          <cell r="E499">
            <v>15001</v>
          </cell>
          <cell r="F499">
            <v>68642</v>
          </cell>
        </row>
        <row r="500">
          <cell r="A500">
            <v>1843900840</v>
          </cell>
          <cell r="B500" t="str">
            <v>ילדים במעונות יום</v>
          </cell>
          <cell r="C500">
            <v>699328</v>
          </cell>
          <cell r="D500">
            <v>671142</v>
          </cell>
          <cell r="E500">
            <v>0</v>
          </cell>
          <cell r="F500">
            <v>671142</v>
          </cell>
        </row>
        <row r="501">
          <cell r="A501">
            <v>1843901810</v>
          </cell>
          <cell r="B501" t="str">
            <v>טיפול בפגיעות מיניות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A502">
            <v>1843902810</v>
          </cell>
          <cell r="B502" t="str">
            <v>תכנית לאומית ילדים בסיכון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  <row r="503">
          <cell r="A503">
            <v>1844300840</v>
          </cell>
          <cell r="B503" t="str">
            <v>אחזקת זקנים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</row>
        <row r="504">
          <cell r="A504">
            <v>1844400410</v>
          </cell>
          <cell r="B504" t="str">
            <v>מועדון זקנים</v>
          </cell>
          <cell r="C504">
            <v>42000</v>
          </cell>
          <cell r="D504">
            <v>0</v>
          </cell>
          <cell r="E504">
            <v>0</v>
          </cell>
          <cell r="F504">
            <v>0</v>
          </cell>
        </row>
        <row r="505">
          <cell r="A505">
            <v>1844400750</v>
          </cell>
          <cell r="B505" t="str">
            <v>פעולות מועדון זקנים</v>
          </cell>
          <cell r="C505">
            <v>13333</v>
          </cell>
          <cell r="D505">
            <v>4100</v>
          </cell>
          <cell r="E505">
            <v>6488.72</v>
          </cell>
          <cell r="F505">
            <v>10588.72</v>
          </cell>
        </row>
        <row r="506">
          <cell r="A506">
            <v>1844400840</v>
          </cell>
          <cell r="B506" t="str">
            <v>שכונה תומכת</v>
          </cell>
          <cell r="C506">
            <v>30267</v>
          </cell>
          <cell r="D506">
            <v>57878</v>
          </cell>
          <cell r="E506">
            <v>0</v>
          </cell>
          <cell r="F506">
            <v>57878</v>
          </cell>
        </row>
        <row r="507">
          <cell r="A507">
            <v>1844410410</v>
          </cell>
          <cell r="B507" t="str">
            <v>טיפול בזקן בקהילה</v>
          </cell>
          <cell r="C507">
            <v>27600</v>
          </cell>
          <cell r="D507">
            <v>42000</v>
          </cell>
          <cell r="E507">
            <v>0</v>
          </cell>
          <cell r="F507">
            <v>42000</v>
          </cell>
        </row>
        <row r="508">
          <cell r="A508">
            <v>1844410840</v>
          </cell>
          <cell r="B508" t="str">
            <v>טיפול בזקן בקהילה</v>
          </cell>
          <cell r="C508">
            <v>0</v>
          </cell>
          <cell r="D508">
            <v>53416</v>
          </cell>
          <cell r="E508">
            <v>0</v>
          </cell>
          <cell r="F508">
            <v>53416</v>
          </cell>
        </row>
        <row r="509">
          <cell r="A509">
            <v>1844430840</v>
          </cell>
          <cell r="B509" t="str">
            <v>מרכזי ועדות חוק סעוד</v>
          </cell>
          <cell r="C509">
            <v>37000</v>
          </cell>
          <cell r="D509">
            <v>0</v>
          </cell>
          <cell r="E509">
            <v>0</v>
          </cell>
          <cell r="F509">
            <v>0</v>
          </cell>
        </row>
        <row r="510">
          <cell r="A510">
            <v>1844510840</v>
          </cell>
          <cell r="B510" t="str">
            <v>מסגרות יומיות לזקן</v>
          </cell>
          <cell r="C510">
            <v>209067</v>
          </cell>
          <cell r="D510">
            <v>469331</v>
          </cell>
          <cell r="E510">
            <v>0</v>
          </cell>
          <cell r="F510">
            <v>469331</v>
          </cell>
        </row>
        <row r="511">
          <cell r="A511">
            <v>1845100840</v>
          </cell>
          <cell r="B511" t="str">
            <v>סידור מפגרים במוסדות</v>
          </cell>
          <cell r="C511">
            <v>3497280</v>
          </cell>
          <cell r="D511">
            <v>2746213</v>
          </cell>
          <cell r="E511">
            <v>0</v>
          </cell>
          <cell r="F511">
            <v>2746213</v>
          </cell>
        </row>
        <row r="512">
          <cell r="A512">
            <v>1845120840</v>
          </cell>
          <cell r="B512" t="str">
            <v>מפגרים במוסד ממשלתי</v>
          </cell>
          <cell r="C512">
            <v>156000</v>
          </cell>
          <cell r="D512">
            <v>146318</v>
          </cell>
          <cell r="E512">
            <v>0</v>
          </cell>
          <cell r="F512">
            <v>146318</v>
          </cell>
        </row>
        <row r="513">
          <cell r="A513">
            <v>1845130840</v>
          </cell>
          <cell r="B513" t="str">
            <v>מועדונים לילדים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</row>
        <row r="514">
          <cell r="A514">
            <v>1845140840</v>
          </cell>
          <cell r="B514" t="str">
            <v>החזקת אוטיסטים במסגרת</v>
          </cell>
          <cell r="C514">
            <v>288024</v>
          </cell>
          <cell r="D514">
            <v>0</v>
          </cell>
          <cell r="E514">
            <v>0</v>
          </cell>
          <cell r="F514">
            <v>0</v>
          </cell>
        </row>
        <row r="515">
          <cell r="A515">
            <v>1845200810</v>
          </cell>
          <cell r="B515" t="str">
            <v>מפגרים במעון טיפולי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</row>
        <row r="516">
          <cell r="A516">
            <v>1845200840</v>
          </cell>
          <cell r="B516" t="str">
            <v>מפגרים במעון טיפולי</v>
          </cell>
          <cell r="C516">
            <v>273280</v>
          </cell>
          <cell r="D516">
            <v>215830</v>
          </cell>
          <cell r="E516">
            <v>0</v>
          </cell>
          <cell r="F516">
            <v>215830</v>
          </cell>
        </row>
        <row r="517">
          <cell r="A517">
            <v>1845210840</v>
          </cell>
          <cell r="B517" t="str">
            <v>מפגרים במעון אמוני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</row>
        <row r="518">
          <cell r="A518">
            <v>1845240810</v>
          </cell>
          <cell r="B518" t="str">
            <v>מעשי"ם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</row>
        <row r="519">
          <cell r="A519">
            <v>1845240840</v>
          </cell>
          <cell r="B519" t="str">
            <v>מעשי"ם</v>
          </cell>
          <cell r="C519">
            <v>263808</v>
          </cell>
          <cell r="D519">
            <v>336635</v>
          </cell>
          <cell r="E519">
            <v>0</v>
          </cell>
          <cell r="F519">
            <v>336635</v>
          </cell>
        </row>
        <row r="520">
          <cell r="A520">
            <v>1845300840</v>
          </cell>
          <cell r="B520" t="str">
            <v>שירותים תומכים למפגר</v>
          </cell>
          <cell r="C520">
            <v>10000</v>
          </cell>
          <cell r="D520">
            <v>15825</v>
          </cell>
          <cell r="E520">
            <v>0</v>
          </cell>
          <cell r="F520">
            <v>15825</v>
          </cell>
        </row>
        <row r="521">
          <cell r="A521">
            <v>1845310840</v>
          </cell>
          <cell r="B521" t="str">
            <v>נופשונים למפגר</v>
          </cell>
          <cell r="C521">
            <v>17952</v>
          </cell>
          <cell r="D521">
            <v>16681</v>
          </cell>
          <cell r="E521">
            <v>0</v>
          </cell>
          <cell r="F521">
            <v>16681</v>
          </cell>
        </row>
        <row r="522">
          <cell r="A522">
            <v>1845311840</v>
          </cell>
          <cell r="B522" t="str">
            <v>הסעות למ.יום למפגר</v>
          </cell>
          <cell r="C522">
            <v>77200</v>
          </cell>
          <cell r="D522">
            <v>154149</v>
          </cell>
          <cell r="E522">
            <v>0</v>
          </cell>
          <cell r="F522">
            <v>154149</v>
          </cell>
        </row>
        <row r="523">
          <cell r="A523">
            <v>1845320840</v>
          </cell>
          <cell r="B523" t="str">
            <v>מועדון חברתי למפגרים</v>
          </cell>
          <cell r="C523">
            <v>20000</v>
          </cell>
          <cell r="D523">
            <v>13337</v>
          </cell>
          <cell r="E523">
            <v>0</v>
          </cell>
          <cell r="F523">
            <v>13337</v>
          </cell>
        </row>
        <row r="524">
          <cell r="A524">
            <v>1846290840</v>
          </cell>
          <cell r="B524" t="str">
            <v>שיקום העיוור בקהילה</v>
          </cell>
          <cell r="C524">
            <v>55333</v>
          </cell>
          <cell r="D524">
            <v>41166</v>
          </cell>
          <cell r="E524">
            <v>0</v>
          </cell>
          <cell r="F524">
            <v>41166</v>
          </cell>
        </row>
        <row r="525">
          <cell r="A525">
            <v>1846300840</v>
          </cell>
          <cell r="B525" t="str">
            <v>דמי ליווי לעוור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</row>
        <row r="526">
          <cell r="A526">
            <v>1846310840</v>
          </cell>
          <cell r="B526" t="str">
            <v>הדרכת עוור ובני ביתו</v>
          </cell>
          <cell r="C526">
            <v>32569</v>
          </cell>
          <cell r="D526">
            <v>37695</v>
          </cell>
          <cell r="E526">
            <v>0</v>
          </cell>
          <cell r="F526">
            <v>37695</v>
          </cell>
        </row>
        <row r="527">
          <cell r="A527">
            <v>1846600840</v>
          </cell>
          <cell r="B527" t="str">
            <v>תעסוקה מוגנת למוגבל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</row>
        <row r="528">
          <cell r="A528">
            <v>1846610810</v>
          </cell>
          <cell r="B528" t="str">
            <v>תוכנית לילד החריג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</row>
        <row r="529">
          <cell r="A529">
            <v>1846700840</v>
          </cell>
          <cell r="B529" t="str">
            <v>מ.יום שיקומי לנכים</v>
          </cell>
          <cell r="C529">
            <v>44768</v>
          </cell>
          <cell r="D529">
            <v>33171</v>
          </cell>
          <cell r="E529">
            <v>0</v>
          </cell>
          <cell r="F529">
            <v>33171</v>
          </cell>
        </row>
        <row r="530">
          <cell r="A530">
            <v>1846710840</v>
          </cell>
          <cell r="B530" t="str">
            <v>הסעות למ.יום שיקומי לנכים</v>
          </cell>
          <cell r="C530">
            <v>100000</v>
          </cell>
          <cell r="D530">
            <v>0</v>
          </cell>
          <cell r="E530">
            <v>0</v>
          </cell>
          <cell r="F530">
            <v>0</v>
          </cell>
        </row>
        <row r="531">
          <cell r="A531">
            <v>1846720840</v>
          </cell>
          <cell r="B531" t="str">
            <v>ליווי למ.יום שיקומי</v>
          </cell>
          <cell r="C531">
            <v>40000</v>
          </cell>
          <cell r="D531">
            <v>23969</v>
          </cell>
          <cell r="E531">
            <v>0</v>
          </cell>
          <cell r="F531">
            <v>23969</v>
          </cell>
        </row>
        <row r="532">
          <cell r="A532">
            <v>1846740840</v>
          </cell>
          <cell r="B532" t="str">
            <v>מועדון חברתי לבוגרים</v>
          </cell>
          <cell r="C532">
            <v>36000</v>
          </cell>
          <cell r="D532">
            <v>60000</v>
          </cell>
          <cell r="E532">
            <v>0</v>
          </cell>
          <cell r="F532">
            <v>60000</v>
          </cell>
        </row>
        <row r="533">
          <cell r="A533">
            <v>1846750840</v>
          </cell>
          <cell r="B533" t="str">
            <v>תעסוקה נתמכת לנכים</v>
          </cell>
          <cell r="C533">
            <v>6667</v>
          </cell>
          <cell r="D533">
            <v>9622</v>
          </cell>
          <cell r="E533">
            <v>0</v>
          </cell>
          <cell r="F533">
            <v>9622</v>
          </cell>
        </row>
        <row r="534">
          <cell r="A534">
            <v>1846760840</v>
          </cell>
          <cell r="B534" t="str">
            <v>תוכנית מעבר</v>
          </cell>
          <cell r="C534">
            <v>6000</v>
          </cell>
          <cell r="D534">
            <v>5614</v>
          </cell>
          <cell r="E534">
            <v>0</v>
          </cell>
          <cell r="F534">
            <v>5614</v>
          </cell>
        </row>
        <row r="535">
          <cell r="A535">
            <v>1846800810</v>
          </cell>
          <cell r="B535" t="str">
            <v>דמי תקשורת לחירשים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</row>
        <row r="536">
          <cell r="A536">
            <v>1846800840</v>
          </cell>
          <cell r="B536" t="str">
            <v>מרכזי איבחון ושיקום</v>
          </cell>
          <cell r="C536">
            <v>28000</v>
          </cell>
          <cell r="D536">
            <v>27931</v>
          </cell>
          <cell r="E536">
            <v>0</v>
          </cell>
          <cell r="F536">
            <v>27931</v>
          </cell>
        </row>
        <row r="537">
          <cell r="A537">
            <v>1846805840</v>
          </cell>
          <cell r="B537" t="str">
            <v>מרכזי אבחון ושיקום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</row>
        <row r="538">
          <cell r="A538">
            <v>1846810840</v>
          </cell>
          <cell r="B538" t="str">
            <v>שיקום נכים</v>
          </cell>
          <cell r="C538">
            <v>16667</v>
          </cell>
          <cell r="D538">
            <v>7702</v>
          </cell>
          <cell r="E538">
            <v>0</v>
          </cell>
          <cell r="F538">
            <v>7702</v>
          </cell>
        </row>
        <row r="539">
          <cell r="A539">
            <v>1846820840</v>
          </cell>
          <cell r="B539" t="str">
            <v>נכים קשים בקהילה</v>
          </cell>
          <cell r="C539">
            <v>0</v>
          </cell>
          <cell r="D539">
            <v>1170</v>
          </cell>
          <cell r="E539">
            <v>0</v>
          </cell>
          <cell r="F539">
            <v>1170</v>
          </cell>
        </row>
        <row r="540">
          <cell r="A540">
            <v>1846825840</v>
          </cell>
          <cell r="B540" t="str">
            <v>בוגרים עוורים בקהילה</v>
          </cell>
          <cell r="C540">
            <v>42667</v>
          </cell>
          <cell r="D540">
            <v>0</v>
          </cell>
          <cell r="E540">
            <v>0</v>
          </cell>
          <cell r="F540">
            <v>0</v>
          </cell>
        </row>
        <row r="541">
          <cell r="A541">
            <v>1846830840</v>
          </cell>
          <cell r="B541" t="str">
            <v>ילדים עוורים בקהילה</v>
          </cell>
          <cell r="C541">
            <v>41333</v>
          </cell>
          <cell r="D541">
            <v>38357</v>
          </cell>
          <cell r="E541">
            <v>0</v>
          </cell>
          <cell r="F541">
            <v>38357</v>
          </cell>
        </row>
        <row r="542">
          <cell r="A542">
            <v>1847100840</v>
          </cell>
          <cell r="B542" t="str">
            <v>טיפול בנוער ובצעירים</v>
          </cell>
          <cell r="C542">
            <v>10667</v>
          </cell>
          <cell r="D542">
            <v>0</v>
          </cell>
          <cell r="E542">
            <v>10473.68</v>
          </cell>
          <cell r="F542">
            <v>10473.68</v>
          </cell>
        </row>
        <row r="543">
          <cell r="A543">
            <v>1847110840</v>
          </cell>
          <cell r="B543" t="str">
            <v>טיפול בנערות במצוקה</v>
          </cell>
          <cell r="C543">
            <v>12287</v>
          </cell>
          <cell r="D543">
            <v>3600</v>
          </cell>
          <cell r="E543">
            <v>4000</v>
          </cell>
          <cell r="F543">
            <v>7600</v>
          </cell>
        </row>
        <row r="544">
          <cell r="A544">
            <v>1847130840</v>
          </cell>
          <cell r="B544" t="str">
            <v>טיפול בחבורות רחוב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</row>
        <row r="545">
          <cell r="A545">
            <v>1847140840</v>
          </cell>
          <cell r="B545" t="str">
            <v>פרויקט וינגיט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</row>
        <row r="546">
          <cell r="A546">
            <v>1847300750</v>
          </cell>
          <cell r="B546" t="str">
            <v>פעילות תוכנית סמים ואלכהוול</v>
          </cell>
          <cell r="C546">
            <v>16000</v>
          </cell>
          <cell r="D546">
            <v>0</v>
          </cell>
          <cell r="E546">
            <v>0</v>
          </cell>
          <cell r="F546">
            <v>0</v>
          </cell>
        </row>
        <row r="547">
          <cell r="A547">
            <v>1847300840</v>
          </cell>
          <cell r="B547" t="str">
            <v>טיפול בנוער מתמכר</v>
          </cell>
          <cell r="C547">
            <v>12000</v>
          </cell>
          <cell r="D547">
            <v>133</v>
          </cell>
          <cell r="E547">
            <v>0</v>
          </cell>
          <cell r="F547">
            <v>133</v>
          </cell>
        </row>
        <row r="548">
          <cell r="A548">
            <v>1847310840</v>
          </cell>
          <cell r="B548" t="str">
            <v>מקלט לנערות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</row>
        <row r="549">
          <cell r="A549">
            <v>1847320840</v>
          </cell>
          <cell r="B549" t="str">
            <v>התמכרויות - מבוגרים</v>
          </cell>
          <cell r="C549">
            <v>26667</v>
          </cell>
          <cell r="D549">
            <v>30975</v>
          </cell>
          <cell r="E549">
            <v>0</v>
          </cell>
          <cell r="F549">
            <v>30975</v>
          </cell>
        </row>
        <row r="550">
          <cell r="A550">
            <v>1847330840</v>
          </cell>
          <cell r="B550" t="str">
            <v>מ.יום לנוער -סמים</v>
          </cell>
          <cell r="C550">
            <v>0</v>
          </cell>
          <cell r="D550">
            <v>2796</v>
          </cell>
          <cell r="E550">
            <v>0</v>
          </cell>
          <cell r="F550">
            <v>2796</v>
          </cell>
        </row>
        <row r="551">
          <cell r="A551">
            <v>1847400110</v>
          </cell>
          <cell r="B551" t="str">
            <v>שכר למפתן(מית"ר)</v>
          </cell>
          <cell r="C551">
            <v>593230</v>
          </cell>
          <cell r="D551">
            <v>562500.84</v>
          </cell>
          <cell r="E551">
            <v>0</v>
          </cell>
          <cell r="F551">
            <v>562500.84</v>
          </cell>
        </row>
        <row r="552">
          <cell r="A552">
            <v>1847400430</v>
          </cell>
          <cell r="B552" t="str">
            <v>מית"ר - חשמל</v>
          </cell>
          <cell r="C552">
            <v>25000</v>
          </cell>
          <cell r="D552">
            <v>2982.62</v>
          </cell>
          <cell r="E552">
            <v>0</v>
          </cell>
          <cell r="F552">
            <v>2982.62</v>
          </cell>
        </row>
        <row r="553">
          <cell r="A553">
            <v>1847400470</v>
          </cell>
          <cell r="B553" t="str">
            <v>מית"ר - ציוד משרדי</v>
          </cell>
          <cell r="C553">
            <v>6000</v>
          </cell>
          <cell r="D553">
            <v>0</v>
          </cell>
          <cell r="E553">
            <v>0</v>
          </cell>
          <cell r="F553">
            <v>0</v>
          </cell>
        </row>
        <row r="554">
          <cell r="A554">
            <v>1847400541</v>
          </cell>
          <cell r="B554" t="str">
            <v>מית"ר טלפונים</v>
          </cell>
          <cell r="C554">
            <v>5400</v>
          </cell>
          <cell r="D554">
            <v>4017.9</v>
          </cell>
          <cell r="E554">
            <v>0</v>
          </cell>
          <cell r="F554">
            <v>4017.9</v>
          </cell>
        </row>
        <row r="555">
          <cell r="A555">
            <v>1847400720</v>
          </cell>
          <cell r="B555" t="str">
            <v>מית"ר חומרים וציוד</v>
          </cell>
          <cell r="C555">
            <v>54000</v>
          </cell>
          <cell r="D555">
            <v>14286.01</v>
          </cell>
          <cell r="E555">
            <v>13100.91</v>
          </cell>
          <cell r="F555">
            <v>27386.92</v>
          </cell>
        </row>
        <row r="556">
          <cell r="A556">
            <v>1847400750</v>
          </cell>
          <cell r="B556" t="str">
            <v>מית"ר - קבלניות</v>
          </cell>
          <cell r="C556">
            <v>128000</v>
          </cell>
          <cell r="D556">
            <v>36477</v>
          </cell>
          <cell r="E556">
            <v>42961.4</v>
          </cell>
          <cell r="F556">
            <v>79438.399999999994</v>
          </cell>
        </row>
        <row r="557">
          <cell r="A557">
            <v>1847400780</v>
          </cell>
          <cell r="B557" t="str">
            <v>מזון מית"ר</v>
          </cell>
          <cell r="C557">
            <v>48000</v>
          </cell>
          <cell r="D557">
            <v>36493</v>
          </cell>
          <cell r="E557">
            <v>10250</v>
          </cell>
          <cell r="F557">
            <v>46743</v>
          </cell>
        </row>
        <row r="558">
          <cell r="A558">
            <v>1847400930</v>
          </cell>
          <cell r="B558" t="str">
            <v>מפתן מקומי-מית"ר</v>
          </cell>
          <cell r="C558">
            <v>3250</v>
          </cell>
          <cell r="D558">
            <v>3450</v>
          </cell>
          <cell r="E558">
            <v>0</v>
          </cell>
          <cell r="F558">
            <v>3450</v>
          </cell>
        </row>
        <row r="559">
          <cell r="A559">
            <v>1847410750</v>
          </cell>
          <cell r="B559" t="str">
            <v>מית"ר הסעות</v>
          </cell>
          <cell r="C559">
            <v>48000</v>
          </cell>
          <cell r="D559">
            <v>9103.2199999999993</v>
          </cell>
          <cell r="E559">
            <v>15850</v>
          </cell>
          <cell r="F559">
            <v>24953.22</v>
          </cell>
        </row>
        <row r="560">
          <cell r="A560">
            <v>1847410840</v>
          </cell>
          <cell r="B560" t="str">
            <v>מניעת אלימות במפתנים</v>
          </cell>
          <cell r="C560">
            <v>16000</v>
          </cell>
          <cell r="D560">
            <v>0</v>
          </cell>
          <cell r="E560">
            <v>0</v>
          </cell>
          <cell r="F560">
            <v>0</v>
          </cell>
        </row>
        <row r="561">
          <cell r="A561">
            <v>1847500540</v>
          </cell>
          <cell r="B561" t="str">
            <v>טלפון מית"ר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</row>
        <row r="562">
          <cell r="A562">
            <v>1848200840</v>
          </cell>
          <cell r="B562" t="str">
            <v>עבודה קהילתית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</row>
        <row r="563">
          <cell r="A563">
            <v>1848210840</v>
          </cell>
          <cell r="B563" t="str">
            <v>צח"י צפון ועוטף עז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</row>
        <row r="564">
          <cell r="A564">
            <v>1848300840</v>
          </cell>
          <cell r="B564" t="str">
            <v>פעולות התנדבות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</row>
        <row r="565">
          <cell r="A565">
            <v>1851000430</v>
          </cell>
          <cell r="B565" t="str">
            <v>מועצה דתית-חשמל ומים</v>
          </cell>
          <cell r="C565">
            <v>0</v>
          </cell>
          <cell r="D565">
            <v>7070.08</v>
          </cell>
          <cell r="E565">
            <v>0</v>
          </cell>
          <cell r="F565">
            <v>7070.08</v>
          </cell>
        </row>
        <row r="566">
          <cell r="A566">
            <v>1851000431</v>
          </cell>
          <cell r="B566" t="str">
            <v>מועצה דתית - חשמל</v>
          </cell>
          <cell r="C566">
            <v>6000</v>
          </cell>
          <cell r="D566">
            <v>0</v>
          </cell>
          <cell r="E566">
            <v>0</v>
          </cell>
          <cell r="F566">
            <v>0</v>
          </cell>
        </row>
        <row r="567">
          <cell r="A567">
            <v>1851000432</v>
          </cell>
          <cell r="B567" t="str">
            <v>מועצה דתית - מים</v>
          </cell>
          <cell r="C567">
            <v>25000</v>
          </cell>
          <cell r="D567">
            <v>20354</v>
          </cell>
          <cell r="E567">
            <v>0</v>
          </cell>
          <cell r="F567">
            <v>20354</v>
          </cell>
        </row>
        <row r="568">
          <cell r="A568">
            <v>1851000810</v>
          </cell>
          <cell r="B568" t="str">
            <v>השתתפות בתקציב הדתות</v>
          </cell>
          <cell r="C568">
            <v>16000</v>
          </cell>
          <cell r="D568">
            <v>14000</v>
          </cell>
          <cell r="E568">
            <v>0</v>
          </cell>
          <cell r="F568">
            <v>14000</v>
          </cell>
        </row>
        <row r="569">
          <cell r="A569">
            <v>1879000780</v>
          </cell>
          <cell r="B569" t="str">
            <v>איכות הסביבה שונות</v>
          </cell>
          <cell r="C569">
            <v>85000</v>
          </cell>
          <cell r="D569">
            <v>16955.07</v>
          </cell>
          <cell r="E569">
            <v>25273.52</v>
          </cell>
          <cell r="F569">
            <v>42228.59</v>
          </cell>
        </row>
        <row r="570">
          <cell r="A570">
            <v>1913000110</v>
          </cell>
          <cell r="B570" t="str">
            <v>שכר משק המים וביוב</v>
          </cell>
          <cell r="C570">
            <v>316000</v>
          </cell>
          <cell r="D570">
            <v>274122.83</v>
          </cell>
          <cell r="E570">
            <v>0</v>
          </cell>
          <cell r="F570">
            <v>274122.83</v>
          </cell>
        </row>
        <row r="571">
          <cell r="A571">
            <v>1913000420</v>
          </cell>
          <cell r="B571" t="str">
            <v>מים-תיקונים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</row>
        <row r="572">
          <cell r="A572">
            <v>1913000431</v>
          </cell>
          <cell r="B572" t="str">
            <v>**מבוטל***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</row>
        <row r="573">
          <cell r="A573">
            <v>1913000719</v>
          </cell>
          <cell r="B573" t="str">
            <v>חומרים מחלקת מים</v>
          </cell>
          <cell r="C573">
            <v>48000</v>
          </cell>
          <cell r="D573">
            <v>17854.25</v>
          </cell>
          <cell r="E573">
            <v>4175</v>
          </cell>
          <cell r="F573">
            <v>22029.25</v>
          </cell>
        </row>
        <row r="574">
          <cell r="A574">
            <v>1913000730</v>
          </cell>
          <cell r="B574" t="str">
            <v>תחזוקת רכב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</row>
        <row r="575">
          <cell r="A575">
            <v>1913000731</v>
          </cell>
          <cell r="B575" t="str">
            <v>דלק וכביש 6 רכב מח' מים</v>
          </cell>
          <cell r="C575">
            <v>24000</v>
          </cell>
          <cell r="D575">
            <v>22610.45</v>
          </cell>
          <cell r="E575">
            <v>0</v>
          </cell>
          <cell r="F575">
            <v>22610.45</v>
          </cell>
        </row>
        <row r="576">
          <cell r="A576">
            <v>1913000732</v>
          </cell>
          <cell r="B576" t="str">
            <v>מים תיקונים</v>
          </cell>
          <cell r="C576">
            <v>98000</v>
          </cell>
          <cell r="D576">
            <v>96239.2</v>
          </cell>
          <cell r="E576">
            <v>106</v>
          </cell>
          <cell r="F576">
            <v>96345.2</v>
          </cell>
        </row>
        <row r="577">
          <cell r="A577">
            <v>1913000735</v>
          </cell>
          <cell r="B577" t="str">
            <v>שכירות רכב מח' מים</v>
          </cell>
          <cell r="C577">
            <v>54000</v>
          </cell>
          <cell r="D577">
            <v>42345.31</v>
          </cell>
          <cell r="E577">
            <v>0</v>
          </cell>
          <cell r="F577">
            <v>42345.31</v>
          </cell>
        </row>
        <row r="578">
          <cell r="A578">
            <v>1913000750</v>
          </cell>
          <cell r="B578" t="str">
            <v>קבלניות מח' מים</v>
          </cell>
          <cell r="C578">
            <v>250000</v>
          </cell>
          <cell r="D578">
            <v>227745.2</v>
          </cell>
          <cell r="E578">
            <v>19847.400000000001</v>
          </cell>
          <cell r="F578">
            <v>247592.6</v>
          </cell>
        </row>
        <row r="579">
          <cell r="A579">
            <v>1913000780</v>
          </cell>
          <cell r="B579" t="str">
            <v>מדי מים</v>
          </cell>
          <cell r="C579">
            <v>50000</v>
          </cell>
          <cell r="D579">
            <v>38037.5</v>
          </cell>
          <cell r="E579">
            <v>11320</v>
          </cell>
          <cell r="F579">
            <v>49357.5</v>
          </cell>
        </row>
        <row r="580">
          <cell r="A580">
            <v>1913100729</v>
          </cell>
          <cell r="B580" t="str">
            <v>קנית מים</v>
          </cell>
          <cell r="C580">
            <v>13300000</v>
          </cell>
          <cell r="D580">
            <v>11433191</v>
          </cell>
          <cell r="E580">
            <v>0</v>
          </cell>
          <cell r="F580">
            <v>11433191</v>
          </cell>
        </row>
        <row r="581">
          <cell r="A581">
            <v>1913200750</v>
          </cell>
          <cell r="B581" t="str">
            <v>בדיקות מים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</row>
        <row r="582">
          <cell r="A582">
            <v>1913200770</v>
          </cell>
          <cell r="B582" t="str">
            <v>חשמל-תחנת שאיבה</v>
          </cell>
          <cell r="C582">
            <v>20000</v>
          </cell>
          <cell r="D582">
            <v>8875.5</v>
          </cell>
          <cell r="E582">
            <v>0</v>
          </cell>
          <cell r="F582">
            <v>8875.5</v>
          </cell>
        </row>
        <row r="583">
          <cell r="A583">
            <v>1943100410</v>
          </cell>
          <cell r="B583" t="str">
            <v>שכירות -שירותים ציבוריים וחניה</v>
          </cell>
          <cell r="C583">
            <v>9000</v>
          </cell>
          <cell r="D583">
            <v>15000</v>
          </cell>
          <cell r="E583">
            <v>0</v>
          </cell>
          <cell r="F583">
            <v>15000</v>
          </cell>
        </row>
        <row r="584">
          <cell r="A584">
            <v>1944000970</v>
          </cell>
          <cell r="B584" t="str">
            <v>הוצ' עודפות מס הכנסה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</row>
        <row r="585">
          <cell r="A585">
            <v>1972000694</v>
          </cell>
          <cell r="B585" t="str">
            <v>ביוב קרן</v>
          </cell>
          <cell r="C585">
            <v>1630000</v>
          </cell>
          <cell r="D585">
            <v>1601089.52</v>
          </cell>
          <cell r="E585">
            <v>0</v>
          </cell>
          <cell r="F585">
            <v>1601089.52</v>
          </cell>
        </row>
        <row r="586">
          <cell r="A586">
            <v>1972000695</v>
          </cell>
          <cell r="B586" t="str">
            <v>ביוב ריבית</v>
          </cell>
          <cell r="C586">
            <v>1315000</v>
          </cell>
          <cell r="D586">
            <v>1309946</v>
          </cell>
          <cell r="E586">
            <v>0</v>
          </cell>
          <cell r="F586">
            <v>1309946</v>
          </cell>
        </row>
        <row r="587">
          <cell r="A587">
            <v>1972000696</v>
          </cell>
          <cell r="B587" t="str">
            <v>ביוב הצמדה</v>
          </cell>
          <cell r="C587">
            <v>212000</v>
          </cell>
          <cell r="D587">
            <v>202936.18</v>
          </cell>
          <cell r="E587">
            <v>0</v>
          </cell>
          <cell r="F587">
            <v>202936.18</v>
          </cell>
        </row>
        <row r="588">
          <cell r="A588">
            <v>1972000720</v>
          </cell>
          <cell r="B588" t="str">
            <v>ביוב עירוני</v>
          </cell>
          <cell r="C588">
            <v>2000</v>
          </cell>
          <cell r="D588">
            <v>1876.2</v>
          </cell>
          <cell r="E588">
            <v>0</v>
          </cell>
          <cell r="F588">
            <v>1876.2</v>
          </cell>
        </row>
        <row r="589">
          <cell r="A589">
            <v>1972000750</v>
          </cell>
          <cell r="B589" t="str">
            <v>אחזקת ביוב</v>
          </cell>
          <cell r="C589">
            <v>353000</v>
          </cell>
          <cell r="D589">
            <v>253574</v>
          </cell>
          <cell r="E589">
            <v>45276</v>
          </cell>
          <cell r="F589">
            <v>298850</v>
          </cell>
        </row>
        <row r="590">
          <cell r="A590">
            <v>1972000780</v>
          </cell>
          <cell r="B590" t="str">
            <v>ביוב-שונות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</row>
        <row r="591">
          <cell r="A591">
            <v>1973000770</v>
          </cell>
          <cell r="B591" t="str">
            <v>חשמל-מכון שפכים</v>
          </cell>
          <cell r="C591">
            <v>610000</v>
          </cell>
          <cell r="D591">
            <v>564178.78</v>
          </cell>
          <cell r="E591">
            <v>0</v>
          </cell>
          <cell r="F591">
            <v>564178.78</v>
          </cell>
        </row>
        <row r="592">
          <cell r="A592">
            <v>1973100750</v>
          </cell>
          <cell r="B592" t="str">
            <v>אגרת ביוב/חוף כרמל</v>
          </cell>
          <cell r="C592">
            <v>310000</v>
          </cell>
          <cell r="D592">
            <v>115008</v>
          </cell>
          <cell r="E592">
            <v>0</v>
          </cell>
          <cell r="F592">
            <v>115008</v>
          </cell>
        </row>
        <row r="593">
          <cell r="A593">
            <v>1973100770</v>
          </cell>
          <cell r="B593" t="str">
            <v>חשמל מכון שפכים דאליה</v>
          </cell>
          <cell r="C593">
            <v>0</v>
          </cell>
          <cell r="D593">
            <v>143.87</v>
          </cell>
          <cell r="E593">
            <v>0</v>
          </cell>
          <cell r="F593">
            <v>143.87</v>
          </cell>
        </row>
        <row r="594">
          <cell r="A594">
            <v>1993000780</v>
          </cell>
          <cell r="B594" t="str">
            <v>הוצ' בגין שנים קודמות</v>
          </cell>
          <cell r="C594">
            <v>500000</v>
          </cell>
          <cell r="D594">
            <v>177377.46</v>
          </cell>
          <cell r="E594">
            <v>0</v>
          </cell>
          <cell r="F594">
            <v>177377.46</v>
          </cell>
        </row>
        <row r="595">
          <cell r="A595">
            <v>1993000781</v>
          </cell>
          <cell r="B595" t="str">
            <v>הוצאות שכר שנים קודמות</v>
          </cell>
          <cell r="C595">
            <v>0</v>
          </cell>
          <cell r="D595">
            <v>27295</v>
          </cell>
          <cell r="E595">
            <v>0</v>
          </cell>
          <cell r="F595">
            <v>27295</v>
          </cell>
        </row>
        <row r="596">
          <cell r="A596">
            <v>1994000970</v>
          </cell>
          <cell r="B596" t="str">
            <v>עודפות מס הכנסה</v>
          </cell>
          <cell r="C596">
            <v>18000</v>
          </cell>
          <cell r="D596">
            <v>0</v>
          </cell>
          <cell r="E596">
            <v>0</v>
          </cell>
          <cell r="F596">
            <v>0</v>
          </cell>
        </row>
        <row r="597">
          <cell r="A597">
            <v>1995000860</v>
          </cell>
          <cell r="B597" t="str">
            <v>הנחות ארנונה</v>
          </cell>
          <cell r="C597">
            <v>5880000</v>
          </cell>
          <cell r="D597">
            <v>4046027.77</v>
          </cell>
          <cell r="E597">
            <v>0</v>
          </cell>
          <cell r="F597">
            <v>4046027.77</v>
          </cell>
        </row>
        <row r="598">
          <cell r="A598">
            <v>1996000310</v>
          </cell>
          <cell r="B598" t="str">
            <v>משכורת פנסיונרים</v>
          </cell>
          <cell r="C598">
            <v>3140000</v>
          </cell>
          <cell r="D598">
            <v>3759141.63</v>
          </cell>
          <cell r="E598">
            <v>0</v>
          </cell>
          <cell r="F598">
            <v>3759141.63</v>
          </cell>
        </row>
        <row r="599">
          <cell r="A599">
            <v>1996001110</v>
          </cell>
          <cell r="B599" t="str">
            <v>שכר פנסיונרים נוספים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</row>
        <row r="600">
          <cell r="A600">
            <v>1998000310</v>
          </cell>
          <cell r="B600" t="str">
            <v>שכר פינסיונירם - התייעלות</v>
          </cell>
          <cell r="C600">
            <v>0</v>
          </cell>
          <cell r="D600">
            <v>-13103.02</v>
          </cell>
          <cell r="E600">
            <v>0</v>
          </cell>
          <cell r="F600">
            <v>-13103.02</v>
          </cell>
        </row>
        <row r="601">
          <cell r="A601">
            <v>1998001110</v>
          </cell>
          <cell r="B601" t="str">
            <v>התייעלות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</row>
        <row r="602">
          <cell r="A602">
            <v>1998001310</v>
          </cell>
          <cell r="B602" t="str">
            <v>שכר פנסיונירים-משפטיות</v>
          </cell>
          <cell r="C602">
            <v>0</v>
          </cell>
          <cell r="D602">
            <v>3248.35</v>
          </cell>
          <cell r="E602">
            <v>0</v>
          </cell>
          <cell r="F602">
            <v>3248.35</v>
          </cell>
        </row>
        <row r="603">
          <cell r="A603">
            <v>1999000980</v>
          </cell>
          <cell r="B603" t="str">
            <v>מענק כסוי גרעון</v>
          </cell>
          <cell r="C603">
            <v>2000000</v>
          </cell>
          <cell r="D603">
            <v>3737000</v>
          </cell>
          <cell r="E603">
            <v>0</v>
          </cell>
          <cell r="F603">
            <v>3737000</v>
          </cell>
        </row>
        <row r="604">
          <cell r="A604">
            <v>1999100590</v>
          </cell>
          <cell r="B604" t="str">
            <v>הוצאות מהסכמי פשרה</v>
          </cell>
          <cell r="C604">
            <v>4000000</v>
          </cell>
          <cell r="D604">
            <v>4118652.08</v>
          </cell>
          <cell r="E604">
            <v>0</v>
          </cell>
          <cell r="F604">
            <v>4118652.08</v>
          </cell>
        </row>
        <row r="605">
          <cell r="A605">
            <v>1999100980</v>
          </cell>
          <cell r="B605" t="str">
            <v>הוצאות מותנות בגביה</v>
          </cell>
          <cell r="C605">
            <v>1971000</v>
          </cell>
          <cell r="D605">
            <v>0</v>
          </cell>
          <cell r="E605">
            <v>0</v>
          </cell>
          <cell r="F60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8:G22"/>
  <sheetViews>
    <sheetView rightToLeft="1" view="pageBreakPreview" zoomScale="60" zoomScaleNormal="100" workbookViewId="0">
      <selection activeCell="C10" sqref="C10"/>
    </sheetView>
  </sheetViews>
  <sheetFormatPr defaultColWidth="9" defaultRowHeight="15"/>
  <cols>
    <col min="1" max="16384" width="9" style="36"/>
  </cols>
  <sheetData>
    <row r="8" spans="3:6">
      <c r="C8" s="270" t="s">
        <v>2087</v>
      </c>
      <c r="D8" s="270"/>
      <c r="E8" s="270"/>
      <c r="F8" s="270"/>
    </row>
    <row r="9" spans="3:6">
      <c r="C9" s="270"/>
      <c r="D9" s="270"/>
      <c r="E9" s="270"/>
      <c r="F9" s="270"/>
    </row>
    <row r="13" spans="3:6">
      <c r="C13" s="270" t="s">
        <v>700</v>
      </c>
      <c r="D13" s="270"/>
      <c r="E13" s="270"/>
      <c r="F13" s="270"/>
    </row>
    <row r="14" spans="3:6">
      <c r="C14" s="270"/>
      <c r="D14" s="270"/>
      <c r="E14" s="270"/>
      <c r="F14" s="270"/>
    </row>
    <row r="19" spans="2:7">
      <c r="B19" s="271" t="s">
        <v>701</v>
      </c>
      <c r="C19" s="271"/>
      <c r="D19" s="271"/>
      <c r="E19" s="271"/>
      <c r="F19" s="271"/>
      <c r="G19" s="271"/>
    </row>
    <row r="20" spans="2:7">
      <c r="B20" s="271"/>
      <c r="C20" s="271"/>
      <c r="D20" s="271"/>
      <c r="E20" s="271"/>
      <c r="F20" s="271"/>
      <c r="G20" s="271"/>
    </row>
    <row r="21" spans="2:7">
      <c r="B21" s="271"/>
      <c r="C21" s="271"/>
      <c r="D21" s="271"/>
      <c r="E21" s="271"/>
      <c r="F21" s="271"/>
      <c r="G21" s="271"/>
    </row>
    <row r="22" spans="2:7">
      <c r="B22" s="271"/>
      <c r="C22" s="271"/>
      <c r="D22" s="271"/>
      <c r="E22" s="271"/>
      <c r="F22" s="271"/>
      <c r="G22" s="271"/>
    </row>
  </sheetData>
  <mergeCells count="3">
    <mergeCell ref="C13:F14"/>
    <mergeCell ref="B19:G22"/>
    <mergeCell ref="C8:F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8" tint="-0.249977111117893"/>
  </sheetPr>
  <dimension ref="A1:J44"/>
  <sheetViews>
    <sheetView rightToLeft="1" view="pageBreakPreview" zoomScale="60" zoomScaleNormal="85" workbookViewId="0">
      <selection activeCell="M30" sqref="M30"/>
    </sheetView>
  </sheetViews>
  <sheetFormatPr defaultRowHeight="14.25"/>
  <cols>
    <col min="2" max="2" width="5.625" customWidth="1"/>
    <col min="3" max="3" width="7.625" customWidth="1"/>
    <col min="4" max="4" width="8.25" bestFit="1" customWidth="1"/>
    <col min="5" max="5" width="25.625" bestFit="1" customWidth="1"/>
    <col min="6" max="6" width="15" hidden="1" customWidth="1"/>
    <col min="7" max="7" width="14.75" hidden="1" customWidth="1"/>
    <col min="8" max="10" width="12.125" customWidth="1"/>
  </cols>
  <sheetData>
    <row r="1" spans="1:10" ht="20.25">
      <c r="A1" s="81"/>
      <c r="B1" s="287" t="s">
        <v>1546</v>
      </c>
      <c r="C1" s="287"/>
      <c r="D1" s="287"/>
      <c r="E1" s="287"/>
      <c r="F1" s="287"/>
      <c r="G1" s="287"/>
      <c r="H1" s="287"/>
      <c r="I1" s="287"/>
      <c r="J1" s="287"/>
    </row>
    <row r="2" spans="1:10" ht="18.75">
      <c r="A2" s="81"/>
      <c r="B2" s="92"/>
      <c r="C2" s="92"/>
      <c r="D2" s="92"/>
      <c r="E2" s="92"/>
      <c r="F2" s="92"/>
      <c r="G2" s="92"/>
      <c r="H2" s="92"/>
      <c r="I2" s="92"/>
      <c r="J2" s="92"/>
    </row>
    <row r="3" spans="1:10" ht="37.5">
      <c r="A3" s="82" t="str">
        <f>הוצאות!A2</f>
        <v>קוד</v>
      </c>
      <c r="B3" s="91" t="str">
        <f>הוצאות!C2</f>
        <v>סעיף</v>
      </c>
      <c r="C3" s="91" t="str">
        <f>הוצאות!D2</f>
        <v>פרק</v>
      </c>
      <c r="D3" s="91" t="str">
        <f>הוצאות!E2</f>
        <v>ראש פרק</v>
      </c>
      <c r="E3" s="91" t="str">
        <f>הוצאות!F2</f>
        <v>שם חשבון</v>
      </c>
      <c r="F3" s="91" t="str">
        <f>הוצאות!G2</f>
        <v>תקציב שנתי 2014</v>
      </c>
      <c r="G3" s="91" t="str">
        <f>הוצאות!H2</f>
        <v>ביצוע  שנתי 2014</v>
      </c>
      <c r="H3" s="91" t="str">
        <f>הוצאות!J2</f>
        <v>הצעת תקציב 2016</v>
      </c>
      <c r="I3" s="91" t="e">
        <f>הוצאות!#REF!</f>
        <v>#REF!</v>
      </c>
      <c r="J3" s="91" t="e">
        <f>הוצאות!#REF!</f>
        <v>#REF!</v>
      </c>
    </row>
    <row r="4" spans="1:10" ht="18.75">
      <c r="A4" s="83">
        <f>הוצאות!A5</f>
        <v>15</v>
      </c>
      <c r="B4" s="84" t="str">
        <f>הוצאות!C5</f>
        <v>511</v>
      </c>
      <c r="C4" s="84" t="str">
        <f>הוצאות!D5</f>
        <v>611100</v>
      </c>
      <c r="D4" s="84" t="str">
        <f>הוצאות!E5</f>
        <v>61</v>
      </c>
      <c r="E4" s="85" t="str">
        <f>הוצאות!F5</f>
        <v>אירוח וכיבוד</v>
      </c>
      <c r="F4" s="86">
        <f>הוצאות!G5</f>
        <v>12000</v>
      </c>
      <c r="G4" s="86">
        <f>הוצאות!H5</f>
        <v>32541</v>
      </c>
      <c r="H4" s="86">
        <f>הוצאות!J5</f>
        <v>20000</v>
      </c>
      <c r="I4" s="86" t="e">
        <f>הוצאות!#REF!</f>
        <v>#REF!</v>
      </c>
      <c r="J4" s="86" t="e">
        <f>הוצאות!#REF!</f>
        <v>#REF!</v>
      </c>
    </row>
    <row r="5" spans="1:10" ht="18.75">
      <c r="A5" s="83">
        <f>הוצאות!A6</f>
        <v>15</v>
      </c>
      <c r="B5" s="84" t="str">
        <f>הוצאות!C6</f>
        <v>514</v>
      </c>
      <c r="C5" s="84" t="str">
        <f>הוצאות!D6</f>
        <v>611100</v>
      </c>
      <c r="D5" s="84" t="str">
        <f>הוצאות!E6</f>
        <v>61</v>
      </c>
      <c r="E5" s="85" t="str">
        <f>הוצאות!F6</f>
        <v>מתנות נבחרים</v>
      </c>
      <c r="F5" s="86">
        <f>הוצאות!G6</f>
        <v>15000</v>
      </c>
      <c r="G5" s="86">
        <f>הוצאות!H6</f>
        <v>10100</v>
      </c>
      <c r="H5" s="86">
        <f>הוצאות!J6</f>
        <v>15000</v>
      </c>
      <c r="I5" s="86" t="e">
        <f>הוצאות!#REF!</f>
        <v>#REF!</v>
      </c>
      <c r="J5" s="86" t="e">
        <f>הוצאות!#REF!</f>
        <v>#REF!</v>
      </c>
    </row>
    <row r="6" spans="1:10" ht="18.75">
      <c r="A6" s="83">
        <f>הוצאות!$A$10</f>
        <v>15</v>
      </c>
      <c r="B6" s="84" t="str">
        <f>הוצאות!C10</f>
        <v>530</v>
      </c>
      <c r="C6" s="84" t="str">
        <f>הוצאות!D10</f>
        <v>611100</v>
      </c>
      <c r="D6" s="84" t="str">
        <f>הוצאות!E10</f>
        <v>61</v>
      </c>
      <c r="E6" s="85" t="str">
        <f>הוצאות!F10</f>
        <v>הוצאות רכב ראש המועצה</v>
      </c>
      <c r="F6" s="86">
        <f>הוצאות!G10</f>
        <v>50000</v>
      </c>
      <c r="G6" s="86">
        <f>הוצאות!H10</f>
        <v>64780.52</v>
      </c>
      <c r="H6" s="86">
        <f>הוצאות!J10</f>
        <v>60000</v>
      </c>
      <c r="I6" s="86" t="e">
        <f>הוצאות!#REF!</f>
        <v>#REF!</v>
      </c>
      <c r="J6" s="86" t="e">
        <f>הוצאות!#REF!</f>
        <v>#REF!</v>
      </c>
    </row>
    <row r="7" spans="1:10" ht="18.75">
      <c r="A7" s="83">
        <f>הוצאות!$A$12</f>
        <v>15</v>
      </c>
      <c r="B7" s="84" t="str">
        <f>הוצאות!C12</f>
        <v>560</v>
      </c>
      <c r="C7" s="84" t="str">
        <f>הוצאות!D12</f>
        <v>611100</v>
      </c>
      <c r="D7" s="84" t="str">
        <f>הוצאות!E12</f>
        <v>61</v>
      </c>
      <c r="E7" s="85" t="str">
        <f>הוצאות!F12</f>
        <v>צרכי משרד</v>
      </c>
      <c r="F7" s="86">
        <f>הוצאות!G12</f>
        <v>0</v>
      </c>
      <c r="G7" s="86">
        <f>הוצאות!H12</f>
        <v>8273.3700000000008</v>
      </c>
      <c r="H7" s="86">
        <f>הוצאות!J12</f>
        <v>8000</v>
      </c>
      <c r="I7" s="86" t="e">
        <f>הוצאות!#REF!</f>
        <v>#REF!</v>
      </c>
      <c r="J7" s="86" t="e">
        <f>הוצאות!#REF!</f>
        <v>#REF!</v>
      </c>
    </row>
    <row r="8" spans="1:10" ht="18.75">
      <c r="A8" s="83">
        <f>הוצאות!$A$13</f>
        <v>15</v>
      </c>
      <c r="B8" s="84" t="str">
        <f>הוצאות!C13</f>
        <v>780</v>
      </c>
      <c r="C8" s="84" t="str">
        <f>הוצאות!D13</f>
        <v>611100</v>
      </c>
      <c r="D8" s="84" t="str">
        <f>הוצאות!E13</f>
        <v>61</v>
      </c>
      <c r="E8" s="85" t="str">
        <f>הוצאות!F13</f>
        <v>הוצאות שונות</v>
      </c>
      <c r="F8" s="86">
        <f>הוצאות!G13</f>
        <v>7000</v>
      </c>
      <c r="G8" s="86">
        <f>הוצאות!H13</f>
        <v>14180.29</v>
      </c>
      <c r="H8" s="86">
        <f>הוצאות!J13</f>
        <v>10000</v>
      </c>
      <c r="I8" s="86" t="e">
        <f>הוצאות!#REF!</f>
        <v>#REF!</v>
      </c>
      <c r="J8" s="86" t="e">
        <f>הוצאות!#REF!</f>
        <v>#REF!</v>
      </c>
    </row>
    <row r="9" spans="1:10" ht="18.75">
      <c r="A9" s="83">
        <f>הוצאות!$A$27</f>
        <v>15</v>
      </c>
      <c r="B9" s="84" t="str">
        <f>הוצאות!C27</f>
        <v>560</v>
      </c>
      <c r="C9" s="84" t="str">
        <f>הוצאות!D27</f>
        <v>613000</v>
      </c>
      <c r="D9" s="84" t="str">
        <f>הוצאות!E27</f>
        <v>61</v>
      </c>
      <c r="E9" s="85" t="str">
        <f>הוצאות!F27</f>
        <v>צרכי משרד</v>
      </c>
      <c r="F9" s="86">
        <f>הוצאות!G27</f>
        <v>30000</v>
      </c>
      <c r="G9" s="86">
        <f>הוצאות!H27</f>
        <v>36912.6</v>
      </c>
      <c r="H9" s="86">
        <f>הוצאות!J27</f>
        <v>35000</v>
      </c>
      <c r="I9" s="86" t="e">
        <f>הוצאות!#REF!</f>
        <v>#REF!</v>
      </c>
      <c r="J9" s="86" t="e">
        <f>הוצאות!#REF!</f>
        <v>#REF!</v>
      </c>
    </row>
    <row r="10" spans="1:10" ht="18.75">
      <c r="A10" s="83">
        <f>הוצאות!$A$39</f>
        <v>15</v>
      </c>
      <c r="B10" s="84" t="str">
        <f>הוצאות!C39</f>
        <v>521</v>
      </c>
      <c r="C10" s="84" t="str">
        <f>הוצאות!D39</f>
        <v>616000</v>
      </c>
      <c r="D10" s="84" t="str">
        <f>הוצאות!E39</f>
        <v>61</v>
      </c>
      <c r="E10" s="85" t="str">
        <f>הוצאות!F39</f>
        <v>השתלמויות ע. מועצה</v>
      </c>
      <c r="F10" s="86">
        <f>הוצאות!G39</f>
        <v>50000</v>
      </c>
      <c r="G10" s="86">
        <f>הוצאות!H39</f>
        <v>55163</v>
      </c>
      <c r="H10" s="86">
        <f>הוצאות!J39</f>
        <v>110000</v>
      </c>
      <c r="I10" s="86" t="e">
        <f>הוצאות!#REF!</f>
        <v>#REF!</v>
      </c>
      <c r="J10" s="86" t="e">
        <f>הוצאות!#REF!</f>
        <v>#REF!</v>
      </c>
    </row>
    <row r="11" spans="1:10" ht="18.75">
      <c r="A11" s="83">
        <f>הוצאות!$A$65</f>
        <v>15</v>
      </c>
      <c r="B11" s="84" t="str">
        <f>הוצאות!C65</f>
        <v>750</v>
      </c>
      <c r="C11" s="84" t="str">
        <f>הוצאות!D65</f>
        <v>623000</v>
      </c>
      <c r="D11" s="84" t="str">
        <f>הוצאות!E65</f>
        <v>62</v>
      </c>
      <c r="E11" s="85" t="str">
        <f>הוצאות!F65</f>
        <v>עבודות קבלניות</v>
      </c>
      <c r="F11" s="86">
        <f>הוצאות!G65</f>
        <v>400000</v>
      </c>
      <c r="G11" s="86">
        <f>הוצאות!H65</f>
        <v>293388.40000000002</v>
      </c>
      <c r="H11" s="86">
        <f>הוצאות!J65</f>
        <v>300000</v>
      </c>
      <c r="I11" s="86" t="e">
        <f>הוצאות!#REF!</f>
        <v>#REF!</v>
      </c>
      <c r="J11" s="86" t="e">
        <f>הוצאות!#REF!</f>
        <v>#REF!</v>
      </c>
    </row>
    <row r="12" spans="1:10" ht="18.75">
      <c r="A12" s="83">
        <f>הוצאות!$A$82</f>
        <v>15</v>
      </c>
      <c r="B12" s="84" t="str">
        <f>הוצאות!C82</f>
        <v>750</v>
      </c>
      <c r="C12" s="84" t="str">
        <f>הוצאות!D82</f>
        <v>712200</v>
      </c>
      <c r="D12" s="84" t="str">
        <f>הוצאות!E82</f>
        <v>71</v>
      </c>
      <c r="E12" s="85" t="str">
        <f>הוצאות!F82</f>
        <v>עבודות קבלניות</v>
      </c>
      <c r="F12" s="86">
        <f>הוצאות!G82</f>
        <v>420000</v>
      </c>
      <c r="G12" s="86">
        <f>הוצאות!H82</f>
        <v>522234</v>
      </c>
      <c r="H12" s="86">
        <f>הוצאות!J82</f>
        <v>450000</v>
      </c>
      <c r="I12" s="86" t="e">
        <f>הוצאות!#REF!</f>
        <v>#REF!</v>
      </c>
      <c r="J12" s="86" t="e">
        <f>הוצאות!#REF!</f>
        <v>#REF!</v>
      </c>
    </row>
    <row r="13" spans="1:10" ht="18.75">
      <c r="A13" s="83">
        <f>הוצאות!$A$92</f>
        <v>15</v>
      </c>
      <c r="B13" s="84" t="str">
        <f>הוצאות!C92</f>
        <v>750</v>
      </c>
      <c r="C13" s="84" t="str">
        <f>הוצאות!D92</f>
        <v>715300</v>
      </c>
      <c r="D13" s="84" t="str">
        <f>הוצאות!E92</f>
        <v>71</v>
      </c>
      <c r="E13" s="85" t="str">
        <f>הוצאות!F92</f>
        <v>הדברת מזיקים-קבלניות</v>
      </c>
      <c r="F13" s="86">
        <f>הוצאות!G92</f>
        <v>40000</v>
      </c>
      <c r="G13" s="86">
        <f>הוצאות!H92</f>
        <v>23995</v>
      </c>
      <c r="H13" s="86">
        <f>הוצאות!J92</f>
        <v>25000</v>
      </c>
      <c r="I13" s="86" t="e">
        <f>הוצאות!#REF!</f>
        <v>#REF!</v>
      </c>
      <c r="J13" s="86" t="e">
        <f>הוצאות!#REF!</f>
        <v>#REF!</v>
      </c>
    </row>
    <row r="14" spans="1:10" ht="18.75">
      <c r="A14" s="83">
        <f>הוצאות!A163</f>
        <v>19</v>
      </c>
      <c r="B14" s="84" t="str">
        <f>הוצאות!C163</f>
        <v>930</v>
      </c>
      <c r="C14" s="84" t="str">
        <f>הוצאות!D163</f>
        <v>811010</v>
      </c>
      <c r="D14" s="84" t="str">
        <f>הוצאות!E163</f>
        <v>81</v>
      </c>
      <c r="E14" s="85" t="str">
        <f>הוצאות!F163</f>
        <v>ציוד ורהוט מוסדות חינוך</v>
      </c>
      <c r="F14" s="86">
        <f>הוצאות!G163</f>
        <v>120000</v>
      </c>
      <c r="G14" s="86">
        <f>הוצאות!H163</f>
        <v>108771.1</v>
      </c>
      <c r="H14" s="86">
        <f>הוצאות!J163</f>
        <v>120000</v>
      </c>
      <c r="I14" s="86" t="e">
        <f>הוצאות!#REF!</f>
        <v>#REF!</v>
      </c>
      <c r="J14" s="86" t="e">
        <f>הוצאות!#REF!</f>
        <v>#REF!</v>
      </c>
    </row>
    <row r="15" spans="1:10" ht="18.75">
      <c r="A15" s="83">
        <f>הוצאות!A164</f>
        <v>19</v>
      </c>
      <c r="B15" s="84" t="str">
        <f>הוצאות!C164</f>
        <v>750</v>
      </c>
      <c r="C15" s="84" t="str">
        <f>הוצאות!D164</f>
        <v>811020</v>
      </c>
      <c r="D15" s="84" t="str">
        <f>הוצאות!E164</f>
        <v>81</v>
      </c>
      <c r="E15" s="85" t="str">
        <f>הוצאות!F164</f>
        <v>שיפוצים מוסדות חינוך</v>
      </c>
      <c r="F15" s="86">
        <f>הוצאות!G164</f>
        <v>250000</v>
      </c>
      <c r="G15" s="86">
        <f>הוצאות!H164</f>
        <v>211139</v>
      </c>
      <c r="H15" s="86">
        <f>הוצאות!J164</f>
        <v>250000</v>
      </c>
      <c r="I15" s="86" t="e">
        <f>הוצאות!#REF!</f>
        <v>#REF!</v>
      </c>
      <c r="J15" s="86" t="e">
        <f>הוצאות!#REF!</f>
        <v>#REF!</v>
      </c>
    </row>
    <row r="16" spans="1:10" ht="18.75">
      <c r="A16" s="83">
        <f>הוצאות!$A$167</f>
        <v>19</v>
      </c>
      <c r="B16" s="84" t="str">
        <f>הוצאות!C167</f>
        <v>420</v>
      </c>
      <c r="C16" s="84" t="str">
        <f>הוצאות!D167</f>
        <v>812200</v>
      </c>
      <c r="D16" s="84" t="str">
        <f>הוצאות!E167</f>
        <v>81</v>
      </c>
      <c r="E16" s="85" t="str">
        <f>הוצאות!F167</f>
        <v>אחזקת מבנה</v>
      </c>
      <c r="F16" s="86">
        <f>הוצאות!G167</f>
        <v>15000</v>
      </c>
      <c r="G16" s="86">
        <f>הוצאות!H167</f>
        <v>63211</v>
      </c>
      <c r="H16" s="86">
        <f>הוצאות!J167</f>
        <v>15000</v>
      </c>
      <c r="I16" s="86" t="e">
        <f>הוצאות!#REF!</f>
        <v>#REF!</v>
      </c>
      <c r="J16" s="86" t="e">
        <f>הוצאות!#REF!</f>
        <v>#REF!</v>
      </c>
    </row>
    <row r="17" spans="1:10" ht="18.75">
      <c r="A17" s="83">
        <f>הוצאות!A170</f>
        <v>19</v>
      </c>
      <c r="B17" s="84" t="str">
        <f>הוצאות!C170</f>
        <v>433</v>
      </c>
      <c r="C17" s="84" t="str">
        <f>הוצאות!D170</f>
        <v>812200</v>
      </c>
      <c r="D17" s="84" t="str">
        <f>הוצאות!E170</f>
        <v>81</v>
      </c>
      <c r="E17" s="85" t="str">
        <f>הוצאות!F170</f>
        <v>חומרי ניקוי</v>
      </c>
      <c r="F17" s="86">
        <f>הוצאות!G170</f>
        <v>25000</v>
      </c>
      <c r="G17" s="86">
        <f>הוצאות!H170</f>
        <v>25364.28</v>
      </c>
      <c r="H17" s="86">
        <f>הוצאות!J170</f>
        <v>25000</v>
      </c>
      <c r="I17" s="86" t="e">
        <f>הוצאות!#REF!</f>
        <v>#REF!</v>
      </c>
      <c r="J17" s="86" t="e">
        <f>הוצאות!#REF!</f>
        <v>#REF!</v>
      </c>
    </row>
    <row r="18" spans="1:10" ht="18.75">
      <c r="A18" s="83">
        <f>הוצאות!A171</f>
        <v>19</v>
      </c>
      <c r="B18" s="84" t="str">
        <f>הוצאות!C171</f>
        <v>720</v>
      </c>
      <c r="C18" s="84" t="str">
        <f>הוצאות!D171</f>
        <v>812200</v>
      </c>
      <c r="D18" s="84" t="str">
        <f>הוצאות!E171</f>
        <v>81</v>
      </c>
      <c r="E18" s="85" t="str">
        <f>הוצאות!F171</f>
        <v>חומרים גני חובה</v>
      </c>
      <c r="F18" s="86">
        <f>הוצאות!G171</f>
        <v>20000</v>
      </c>
      <c r="G18" s="86">
        <f>הוצאות!H171</f>
        <v>3687</v>
      </c>
      <c r="H18" s="86">
        <f>הוצאות!J171</f>
        <v>10000</v>
      </c>
      <c r="I18" s="86" t="e">
        <f>הוצאות!#REF!</f>
        <v>#REF!</v>
      </c>
      <c r="J18" s="86" t="e">
        <f>הוצאות!#REF!</f>
        <v>#REF!</v>
      </c>
    </row>
    <row r="19" spans="1:10" ht="18.75">
      <c r="A19" s="83">
        <f>הוצאות!A172</f>
        <v>19</v>
      </c>
      <c r="B19" s="84" t="str">
        <f>הוצאות!C172</f>
        <v>740</v>
      </c>
      <c r="C19" s="84" t="str">
        <f>הוצאות!D172</f>
        <v>812200</v>
      </c>
      <c r="D19" s="84" t="str">
        <f>הוצאות!E172</f>
        <v>81</v>
      </c>
      <c r="E19" s="85" t="str">
        <f>הוצאות!F172</f>
        <v>כלים וציוד</v>
      </c>
      <c r="F19" s="86">
        <f>הוצאות!G172</f>
        <v>30000</v>
      </c>
      <c r="G19" s="86">
        <f>הוצאות!H172</f>
        <v>39009.199999999997</v>
      </c>
      <c r="H19" s="86">
        <f>הוצאות!J172</f>
        <v>30000</v>
      </c>
      <c r="I19" s="86" t="e">
        <f>הוצאות!#REF!</f>
        <v>#REF!</v>
      </c>
      <c r="J19" s="86" t="e">
        <f>הוצאות!#REF!</f>
        <v>#REF!</v>
      </c>
    </row>
    <row r="20" spans="1:10" ht="18.75">
      <c r="A20" s="83">
        <f>הוצאות!A173</f>
        <v>19</v>
      </c>
      <c r="B20" s="84" t="str">
        <f>הוצאות!C173</f>
        <v>750</v>
      </c>
      <c r="C20" s="84" t="str">
        <f>הוצאות!D173</f>
        <v>812200</v>
      </c>
      <c r="D20" s="84" t="str">
        <f>הוצאות!E173</f>
        <v>81</v>
      </c>
      <c r="E20" s="85" t="str">
        <f>הוצאות!F173</f>
        <v>קבלניות</v>
      </c>
      <c r="F20" s="86">
        <f>הוצאות!G173</f>
        <v>25000</v>
      </c>
      <c r="G20" s="86">
        <f>הוצאות!H173</f>
        <v>21651</v>
      </c>
      <c r="H20" s="86">
        <f>הוצאות!J173</f>
        <v>10000</v>
      </c>
      <c r="I20" s="86" t="e">
        <f>הוצאות!#REF!</f>
        <v>#REF!</v>
      </c>
      <c r="J20" s="86" t="e">
        <f>הוצאות!#REF!</f>
        <v>#REF!</v>
      </c>
    </row>
    <row r="21" spans="1:10" ht="18.75">
      <c r="A21" s="83">
        <f>הוצאות!$A$181</f>
        <v>19</v>
      </c>
      <c r="B21" s="84" t="str">
        <f>הוצאות!C181</f>
        <v>411</v>
      </c>
      <c r="C21" s="84" t="str">
        <f>הוצאות!D181</f>
        <v>812300</v>
      </c>
      <c r="D21" s="84" t="str">
        <f>הוצאות!E181</f>
        <v>81</v>
      </c>
      <c r="E21" s="85" t="str">
        <f>הוצאות!F181</f>
        <v>שיפוץ מושכר שהתפנה גנ"י</v>
      </c>
      <c r="F21" s="86">
        <f>הוצאות!G181</f>
        <v>20000</v>
      </c>
      <c r="G21" s="86">
        <f>הוצאות!H181</f>
        <v>31500</v>
      </c>
      <c r="H21" s="86">
        <f>הוצאות!J181</f>
        <v>20000</v>
      </c>
      <c r="I21" s="86" t="e">
        <f>הוצאות!#REF!</f>
        <v>#REF!</v>
      </c>
      <c r="J21" s="86" t="e">
        <f>הוצאות!#REF!</f>
        <v>#REF!</v>
      </c>
    </row>
    <row r="22" spans="1:10" ht="18.75">
      <c r="A22" s="83">
        <f>הוצאות!A183</f>
        <v>19</v>
      </c>
      <c r="B22" s="84" t="str">
        <f>הוצאות!C183</f>
        <v>432</v>
      </c>
      <c r="C22" s="84" t="str">
        <f>הוצאות!D183</f>
        <v>812300</v>
      </c>
      <c r="D22" s="84" t="str">
        <f>הוצאות!E183</f>
        <v>81</v>
      </c>
      <c r="E22" s="85" t="str">
        <f>הוצאות!F183</f>
        <v>טרום חובה גנים</v>
      </c>
      <c r="F22" s="86">
        <f>הוצאות!G183</f>
        <v>26000</v>
      </c>
      <c r="G22" s="86">
        <f>הוצאות!H183</f>
        <v>32308.400000000001</v>
      </c>
      <c r="H22" s="86">
        <f>הוצאות!J183</f>
        <v>30000</v>
      </c>
      <c r="I22" s="86" t="e">
        <f>הוצאות!#REF!</f>
        <v>#REF!</v>
      </c>
      <c r="J22" s="86" t="e">
        <f>הוצאות!#REF!</f>
        <v>#REF!</v>
      </c>
    </row>
    <row r="23" spans="1:10" ht="18.75">
      <c r="A23" s="83">
        <f>הוצאות!A184</f>
        <v>19</v>
      </c>
      <c r="B23" s="84" t="str">
        <f>הוצאות!C184</f>
        <v>433</v>
      </c>
      <c r="C23" s="84" t="str">
        <f>הוצאות!D184</f>
        <v>812300</v>
      </c>
      <c r="D23" s="84" t="str">
        <f>הוצאות!E184</f>
        <v>81</v>
      </c>
      <c r="E23" s="85" t="str">
        <f>הוצאות!F184</f>
        <v>חומרי ניקוי</v>
      </c>
      <c r="F23" s="86">
        <f>הוצאות!G184</f>
        <v>10000</v>
      </c>
      <c r="G23" s="86">
        <f>הוצאות!H184</f>
        <v>45094.1</v>
      </c>
      <c r="H23" s="86">
        <f>הוצאות!J184</f>
        <v>45000</v>
      </c>
      <c r="I23" s="86" t="e">
        <f>הוצאות!#REF!</f>
        <v>#REF!</v>
      </c>
      <c r="J23" s="86" t="e">
        <f>הוצאות!#REF!</f>
        <v>#REF!</v>
      </c>
    </row>
    <row r="24" spans="1:10" ht="18.75">
      <c r="A24" s="83">
        <f>הוצאות!$A$188</f>
        <v>19</v>
      </c>
      <c r="B24" s="84" t="str">
        <f>הוצאות!C188</f>
        <v>720</v>
      </c>
      <c r="C24" s="84" t="str">
        <f>הוצאות!D188</f>
        <v>812300</v>
      </c>
      <c r="D24" s="84" t="str">
        <f>הוצאות!E188</f>
        <v>81</v>
      </c>
      <c r="E24" s="85" t="str">
        <f>הוצאות!F188</f>
        <v>חומרים לפעולות</v>
      </c>
      <c r="F24" s="86">
        <f>הוצאות!G188</f>
        <v>26000</v>
      </c>
      <c r="G24" s="86">
        <f>הוצאות!H188</f>
        <v>40325</v>
      </c>
      <c r="H24" s="86">
        <f>הוצאות!J188</f>
        <v>30000</v>
      </c>
      <c r="I24" s="86" t="e">
        <f>הוצאות!#REF!</f>
        <v>#REF!</v>
      </c>
      <c r="J24" s="86" t="e">
        <f>הוצאות!#REF!</f>
        <v>#REF!</v>
      </c>
    </row>
    <row r="25" spans="1:10" ht="18.75">
      <c r="A25" s="83">
        <f>הוצאות!$A$214</f>
        <v>19</v>
      </c>
      <c r="B25" s="84" t="str">
        <f>הוצאות!C214</f>
        <v>750</v>
      </c>
      <c r="C25" s="84" t="str">
        <f>הוצאות!D214</f>
        <v>813210</v>
      </c>
      <c r="D25" s="84" t="str">
        <f>הוצאות!E214</f>
        <v>81</v>
      </c>
      <c r="E25" s="85" t="str">
        <f>הוצאות!F214</f>
        <v>ב"ס א -ע.קבלניות</v>
      </c>
      <c r="F25" s="86">
        <f>הוצאות!G214</f>
        <v>180000</v>
      </c>
      <c r="G25" s="86">
        <f>הוצאות!H214</f>
        <v>224427.53</v>
      </c>
      <c r="H25" s="86">
        <f>הוצאות!J214</f>
        <v>225000</v>
      </c>
      <c r="I25" s="86" t="e">
        <f>הוצאות!#REF!</f>
        <v>#REF!</v>
      </c>
      <c r="J25" s="86" t="e">
        <f>הוצאות!#REF!</f>
        <v>#REF!</v>
      </c>
    </row>
    <row r="26" spans="1:10" ht="18.75">
      <c r="A26" s="83">
        <f>הוצאות!$A$222</f>
        <v>19</v>
      </c>
      <c r="B26" s="84" t="str">
        <f>הוצאות!C222</f>
        <v>750</v>
      </c>
      <c r="C26" s="84" t="str">
        <f>הוצאות!D222</f>
        <v>813220</v>
      </c>
      <c r="D26" s="84" t="str">
        <f>הוצאות!E222</f>
        <v>81</v>
      </c>
      <c r="E26" s="85" t="str">
        <f>הוצאות!F222</f>
        <v>ב"ס ב -ע.קבלניות</v>
      </c>
      <c r="F26" s="86">
        <f>הוצאות!G222</f>
        <v>180000</v>
      </c>
      <c r="G26" s="86">
        <f>הוצאות!H222</f>
        <v>181328.87</v>
      </c>
      <c r="H26" s="86">
        <f>הוצאות!J222</f>
        <v>180000</v>
      </c>
      <c r="I26" s="86" t="e">
        <f>הוצאות!#REF!</f>
        <v>#REF!</v>
      </c>
      <c r="J26" s="86" t="e">
        <f>הוצאות!#REF!</f>
        <v>#REF!</v>
      </c>
    </row>
    <row r="27" spans="1:10" ht="18.75">
      <c r="A27" s="83">
        <f>הוצאות!$A$229</f>
        <v>19</v>
      </c>
      <c r="B27" s="84" t="str">
        <f>הוצאות!C229</f>
        <v>750</v>
      </c>
      <c r="C27" s="84" t="str">
        <f>הוצאות!D229</f>
        <v>813230</v>
      </c>
      <c r="D27" s="84" t="str">
        <f>הוצאות!E229</f>
        <v>81</v>
      </c>
      <c r="E27" s="85" t="str">
        <f>הוצאות!F229</f>
        <v>ב"ס ג -ע.קבלניות</v>
      </c>
      <c r="F27" s="86">
        <f>הוצאות!G229</f>
        <v>201000</v>
      </c>
      <c r="G27" s="86">
        <f>הוצאות!H229</f>
        <v>181461.86</v>
      </c>
      <c r="H27" s="86">
        <f>הוצאות!J229</f>
        <v>200000</v>
      </c>
      <c r="I27" s="86" t="e">
        <f>הוצאות!#REF!</f>
        <v>#REF!</v>
      </c>
      <c r="J27" s="86" t="e">
        <f>הוצאות!#REF!</f>
        <v>#REF!</v>
      </c>
    </row>
    <row r="28" spans="1:10" ht="18.75">
      <c r="A28" s="83">
        <f>הוצאות!$A$238</f>
        <v>19</v>
      </c>
      <c r="B28" s="84" t="str">
        <f>הוצאות!C238</f>
        <v>750</v>
      </c>
      <c r="C28" s="84" t="str">
        <f>הוצאות!D238</f>
        <v>813240</v>
      </c>
      <c r="D28" s="84" t="str">
        <f>הוצאות!E238</f>
        <v>81</v>
      </c>
      <c r="E28" s="85" t="str">
        <f>הוצאות!F238</f>
        <v>ב"ס ד עבודות קבלניות</v>
      </c>
      <c r="F28" s="86">
        <f>הוצאות!G238</f>
        <v>114000</v>
      </c>
      <c r="G28" s="86">
        <f>הוצאות!H238</f>
        <v>252070.03</v>
      </c>
      <c r="H28" s="86">
        <f>הוצאות!J238</f>
        <v>200000</v>
      </c>
      <c r="I28" s="86" t="e">
        <f>הוצאות!#REF!</f>
        <v>#REF!</v>
      </c>
      <c r="J28" s="86" t="e">
        <f>הוצאות!#REF!</f>
        <v>#REF!</v>
      </c>
    </row>
    <row r="29" spans="1:10" ht="18.75">
      <c r="A29" s="83">
        <f>הוצאות!$A$247</f>
        <v>19</v>
      </c>
      <c r="B29" s="84" t="str">
        <f>הוצאות!C247</f>
        <v>721</v>
      </c>
      <c r="C29" s="84" t="str">
        <f>הוצאות!D247</f>
        <v>813300</v>
      </c>
      <c r="D29" s="84" t="str">
        <f>הוצאות!E247</f>
        <v>81</v>
      </c>
      <c r="E29" s="85" t="str">
        <f>הוצאות!F247</f>
        <v>בי"ס אלוופא-מזון</v>
      </c>
      <c r="F29" s="86">
        <f>הוצאות!G247</f>
        <v>130000</v>
      </c>
      <c r="G29" s="86">
        <f>הוצאות!H247</f>
        <v>151735</v>
      </c>
      <c r="H29" s="86">
        <f>הוצאות!J247</f>
        <v>150000</v>
      </c>
      <c r="I29" s="86" t="e">
        <f>הוצאות!#REF!</f>
        <v>#REF!</v>
      </c>
      <c r="J29" s="86" t="e">
        <f>הוצאות!#REF!</f>
        <v>#REF!</v>
      </c>
    </row>
    <row r="30" spans="1:10" ht="18.75">
      <c r="A30" s="83">
        <f>הוצאות!$A$249</f>
        <v>19</v>
      </c>
      <c r="B30" s="84" t="str">
        <f>הוצאות!C249</f>
        <v>780</v>
      </c>
      <c r="C30" s="84" t="str">
        <f>הוצאות!D249</f>
        <v>813300</v>
      </c>
      <c r="D30" s="84" t="str">
        <f>הוצאות!E249</f>
        <v>81</v>
      </c>
      <c r="E30" s="85" t="str">
        <f>הוצאות!F249</f>
        <v>הוצאות שונות</v>
      </c>
      <c r="F30" s="86">
        <f>הוצאות!G249</f>
        <v>36000</v>
      </c>
      <c r="G30" s="86">
        <f>הוצאות!H249</f>
        <v>88657.8</v>
      </c>
      <c r="H30" s="86">
        <f>הוצאות!J249</f>
        <v>90000</v>
      </c>
      <c r="I30" s="86" t="e">
        <f>הוצאות!#REF!</f>
        <v>#REF!</v>
      </c>
      <c r="J30" s="86" t="e">
        <f>הוצאות!#REF!</f>
        <v>#REF!</v>
      </c>
    </row>
    <row r="31" spans="1:10" ht="18.75">
      <c r="A31" s="83">
        <f>הוצאות!$A$262</f>
        <v>19</v>
      </c>
      <c r="B31" s="84" t="str">
        <f>הוצאות!C262</f>
        <v>750</v>
      </c>
      <c r="C31" s="84" t="str">
        <f>הוצאות!D262</f>
        <v>814000</v>
      </c>
      <c r="D31" s="84" t="str">
        <f>הוצאות!E262</f>
        <v>81</v>
      </c>
      <c r="E31" s="85" t="str">
        <f>הוצאות!F262</f>
        <v>חט"ב- ע.קבלניות</v>
      </c>
      <c r="F31" s="86">
        <f>הוצאות!G262</f>
        <v>230000</v>
      </c>
      <c r="G31" s="86">
        <f>הוצאות!H262</f>
        <v>249330.13</v>
      </c>
      <c r="H31" s="86">
        <f>הוצאות!J262</f>
        <v>250000</v>
      </c>
      <c r="I31" s="86" t="e">
        <f>הוצאות!#REF!</f>
        <v>#REF!</v>
      </c>
      <c r="J31" s="86" t="e">
        <f>הוצאות!#REF!</f>
        <v>#REF!</v>
      </c>
    </row>
    <row r="32" spans="1:10" ht="18.75">
      <c r="A32" s="83">
        <f>הוצאות!$A$277</f>
        <v>19</v>
      </c>
      <c r="B32" s="84" t="str">
        <f>הוצאות!C277</f>
        <v>750</v>
      </c>
      <c r="C32" s="84" t="str">
        <f>הוצאות!D277</f>
        <v>815200</v>
      </c>
      <c r="D32" s="84" t="str">
        <f>הוצאות!E277</f>
        <v>81</v>
      </c>
      <c r="E32" s="85" t="str">
        <f>הוצאות!F277</f>
        <v>בתי ספר- שמירה</v>
      </c>
      <c r="F32" s="86">
        <f>הוצאות!G277</f>
        <v>270000</v>
      </c>
      <c r="G32" s="86">
        <f>הוצאות!H277</f>
        <v>371685.82</v>
      </c>
      <c r="H32" s="86">
        <f>הוצאות!J277</f>
        <v>961000</v>
      </c>
      <c r="I32" s="86" t="e">
        <f>הוצאות!#REF!</f>
        <v>#REF!</v>
      </c>
      <c r="J32" s="86" t="e">
        <f>הוצאות!#REF!</f>
        <v>#REF!</v>
      </c>
    </row>
    <row r="33" spans="1:10" ht="18.75">
      <c r="A33" s="83">
        <f>הוצאות!$A$293</f>
        <v>19</v>
      </c>
      <c r="B33" s="84" t="str">
        <f>הוצאות!C293</f>
        <v>780</v>
      </c>
      <c r="C33" s="84" t="str">
        <f>הוצאות!D293</f>
        <v>817600</v>
      </c>
      <c r="D33" s="84" t="str">
        <f>הוצאות!E293</f>
        <v>81</v>
      </c>
      <c r="E33" s="85" t="str">
        <f>הוצאות!F293</f>
        <v>שיקום שכונות חינוך</v>
      </c>
      <c r="F33" s="86">
        <f>הוצאות!G293</f>
        <v>80000</v>
      </c>
      <c r="G33" s="86">
        <f>הוצאות!H293</f>
        <v>56416.84</v>
      </c>
      <c r="H33" s="86">
        <f>הוצאות!J293</f>
        <v>80000</v>
      </c>
      <c r="I33" s="86" t="e">
        <f>הוצאות!#REF!</f>
        <v>#REF!</v>
      </c>
      <c r="J33" s="86" t="e">
        <f>הוצאות!#REF!</f>
        <v>#REF!</v>
      </c>
    </row>
    <row r="34" spans="1:10" ht="18.75">
      <c r="A34" s="83">
        <f>הוצאות!$A$307</f>
        <v>19</v>
      </c>
      <c r="B34" s="84" t="str">
        <f>הוצאות!C307</f>
        <v>780</v>
      </c>
      <c r="C34" s="84" t="str">
        <f>הוצאות!D307</f>
        <v>817910</v>
      </c>
      <c r="D34" s="84" t="str">
        <f>הוצאות!E307</f>
        <v>81</v>
      </c>
      <c r="E34" s="85" t="str">
        <f>הוצאות!F307</f>
        <v>שיקום שכונות תוכנית מלא</v>
      </c>
      <c r="F34" s="86">
        <f>הוצאות!G307</f>
        <v>40000</v>
      </c>
      <c r="G34" s="86">
        <f>הוצאות!H307</f>
        <v>0</v>
      </c>
      <c r="H34" s="86">
        <f>הוצאות!J307</f>
        <v>440000</v>
      </c>
      <c r="I34" s="86" t="e">
        <f>הוצאות!#REF!</f>
        <v>#REF!</v>
      </c>
      <c r="J34" s="86" t="e">
        <f>הוצאות!#REF!</f>
        <v>#REF!</v>
      </c>
    </row>
    <row r="35" spans="1:10" ht="18.75">
      <c r="A35" s="83">
        <f>הוצאות!$A$351</f>
        <v>15</v>
      </c>
      <c r="B35" s="84" t="str">
        <f>הוצאות!C351</f>
        <v>750</v>
      </c>
      <c r="C35" s="84" t="str">
        <f>הוצאות!D351</f>
        <v>829200</v>
      </c>
      <c r="D35" s="84" t="str">
        <f>הוצאות!E351</f>
        <v>82</v>
      </c>
      <c r="E35" s="85" t="str">
        <f>הוצאות!F351</f>
        <v>מגרש ספורט</v>
      </c>
      <c r="F35" s="86">
        <f>הוצאות!G351</f>
        <v>50000</v>
      </c>
      <c r="G35" s="86">
        <f>הוצאות!H351</f>
        <v>23600</v>
      </c>
      <c r="H35" s="87">
        <f>הוצאות!J351</f>
        <v>100000</v>
      </c>
      <c r="I35" s="87" t="e">
        <f>הוצאות!#REF!</f>
        <v>#REF!</v>
      </c>
      <c r="J35" s="87" t="e">
        <f>הוצאות!#REF!</f>
        <v>#REF!</v>
      </c>
    </row>
    <row r="36" spans="1:10" ht="18.75">
      <c r="A36" s="83">
        <f>הוצאות!$A$355</f>
        <v>15</v>
      </c>
      <c r="B36" s="84" t="str">
        <f>הוצאות!C355</f>
        <v>781</v>
      </c>
      <c r="C36" s="84" t="str">
        <f>הוצאות!D355</f>
        <v>829200</v>
      </c>
      <c r="D36" s="84" t="str">
        <f>הוצאות!E355</f>
        <v>82</v>
      </c>
      <c r="E36" s="85" t="str">
        <f>הוצאות!F355</f>
        <v>אחזקת מתקני ספורט</v>
      </c>
      <c r="F36" s="86">
        <f>הוצאות!G355</f>
        <v>0</v>
      </c>
      <c r="G36" s="86">
        <f>הוצאות!H355</f>
        <v>0</v>
      </c>
      <c r="H36" s="86">
        <f>הוצאות!J355</f>
        <v>120000</v>
      </c>
      <c r="I36" s="86" t="e">
        <f>הוצאות!#REF!</f>
        <v>#REF!</v>
      </c>
      <c r="J36" s="86" t="e">
        <f>הוצאות!#REF!</f>
        <v>#REF!</v>
      </c>
    </row>
    <row r="37" spans="1:10" ht="18.75">
      <c r="A37" s="83">
        <f>הוצאות!$A$375</f>
        <v>22</v>
      </c>
      <c r="B37" s="84" t="str">
        <f>הוצאות!C375</f>
        <v>420</v>
      </c>
      <c r="C37" s="84" t="str">
        <f>הוצאות!D375</f>
        <v>841000</v>
      </c>
      <c r="D37" s="84" t="str">
        <f>הוצאות!E375</f>
        <v>84</v>
      </c>
      <c r="E37" s="85" t="str">
        <f>הוצאות!F375</f>
        <v>תחזוקת מבנים</v>
      </c>
      <c r="F37" s="86">
        <f>הוצאות!G375</f>
        <v>12000</v>
      </c>
      <c r="G37" s="86">
        <f>הוצאות!H375</f>
        <v>2145</v>
      </c>
      <c r="H37" s="86">
        <f>הוצאות!J375</f>
        <v>5000</v>
      </c>
      <c r="I37" s="86" t="e">
        <f>הוצאות!#REF!</f>
        <v>#REF!</v>
      </c>
      <c r="J37" s="86" t="e">
        <f>הוצאות!#REF!</f>
        <v>#REF!</v>
      </c>
    </row>
    <row r="38" spans="1:10" ht="18.75">
      <c r="A38" s="83">
        <f>הוצאות!$A$378</f>
        <v>22</v>
      </c>
      <c r="B38" s="84" t="str">
        <f>הוצאות!C378</f>
        <v>780</v>
      </c>
      <c r="C38" s="84" t="str">
        <f>הוצאות!D378</f>
        <v>841000</v>
      </c>
      <c r="D38" s="84" t="str">
        <f>הוצאות!E378</f>
        <v>84</v>
      </c>
      <c r="E38" s="85" t="str">
        <f>הוצאות!F378</f>
        <v>הוצאות שונות</v>
      </c>
      <c r="F38" s="86">
        <f>הוצאות!G378</f>
        <v>11000</v>
      </c>
      <c r="G38" s="86">
        <f>הוצאות!H378</f>
        <v>8244.31</v>
      </c>
      <c r="H38" s="86">
        <f>הוצאות!J378</f>
        <v>8000</v>
      </c>
      <c r="I38" s="86" t="e">
        <f>הוצאות!#REF!</f>
        <v>#REF!</v>
      </c>
      <c r="J38" s="86" t="e">
        <f>הוצאות!#REF!</f>
        <v>#REF!</v>
      </c>
    </row>
    <row r="39" spans="1:10" ht="18.75">
      <c r="A39" s="83">
        <f>הוצאות!$A$384</f>
        <v>22</v>
      </c>
      <c r="B39" s="84" t="str">
        <f>הוצאות!C384</f>
        <v>560</v>
      </c>
      <c r="C39" s="84" t="str">
        <f>הוצאות!D384</f>
        <v>841003</v>
      </c>
      <c r="D39" s="84" t="str">
        <f>הוצאות!E384</f>
        <v>84</v>
      </c>
      <c r="E39" s="85" t="str">
        <f>הוצאות!F384</f>
        <v>הוצאות משרדיות</v>
      </c>
      <c r="F39" s="86">
        <f>הוצאות!G384</f>
        <v>0</v>
      </c>
      <c r="G39" s="86">
        <f>הוצאות!H384</f>
        <v>16044.2</v>
      </c>
      <c r="H39" s="86">
        <f>הוצאות!J384</f>
        <v>15000</v>
      </c>
      <c r="I39" s="86" t="e">
        <f>הוצאות!#REF!</f>
        <v>#REF!</v>
      </c>
      <c r="J39" s="86" t="e">
        <f>הוצאות!#REF!</f>
        <v>#REF!</v>
      </c>
    </row>
    <row r="40" spans="1:10" ht="18.75">
      <c r="A40" s="83">
        <f>הוצאות!$A$492</f>
        <v>15</v>
      </c>
      <c r="B40" s="84" t="str">
        <f>הוצאות!C492</f>
        <v>420</v>
      </c>
      <c r="C40" s="84" t="str">
        <f>הוצאות!D492</f>
        <v>938000</v>
      </c>
      <c r="D40" s="84" t="str">
        <f>הוצאות!E492</f>
        <v>93</v>
      </c>
      <c r="E40" s="85" t="str">
        <f>הוצאות!F492</f>
        <v>אחזקת מבנים</v>
      </c>
      <c r="F40" s="86">
        <f>הוצאות!G492</f>
        <v>25000</v>
      </c>
      <c r="G40" s="86">
        <f>הוצאות!H492</f>
        <v>16618</v>
      </c>
      <c r="H40" s="86">
        <f>הוצאות!J492</f>
        <v>35000</v>
      </c>
      <c r="I40" s="86" t="e">
        <f>הוצאות!#REF!</f>
        <v>#REF!</v>
      </c>
      <c r="J40" s="86" t="e">
        <f>הוצאות!#REF!</f>
        <v>#REF!</v>
      </c>
    </row>
    <row r="41" spans="1:10" ht="18.75">
      <c r="A41" s="83">
        <f>הוצאות!$A$494</f>
        <v>15</v>
      </c>
      <c r="B41" s="84" t="str">
        <f>הוצאות!C494</f>
        <v>511</v>
      </c>
      <c r="C41" s="84" t="str">
        <f>הוצאות!D494</f>
        <v>938000</v>
      </c>
      <c r="D41" s="84" t="str">
        <f>הוצאות!E494</f>
        <v>93</v>
      </c>
      <c r="E41" s="85" t="str">
        <f>הוצאות!F494</f>
        <v>כיבוד ע. מועצה</v>
      </c>
      <c r="F41" s="86">
        <f>הוצאות!G494</f>
        <v>8000</v>
      </c>
      <c r="G41" s="86">
        <f>הוצאות!H494</f>
        <v>4970</v>
      </c>
      <c r="H41" s="86">
        <f>הוצאות!J494</f>
        <v>10000</v>
      </c>
      <c r="I41" s="86" t="e">
        <f>הוצאות!#REF!</f>
        <v>#REF!</v>
      </c>
      <c r="J41" s="86" t="e">
        <f>הוצאות!#REF!</f>
        <v>#REF!</v>
      </c>
    </row>
    <row r="42" spans="1:10" ht="18.75">
      <c r="A42" s="83">
        <f>הוצאות!$A$496</f>
        <v>15</v>
      </c>
      <c r="B42" s="84" t="str">
        <f>הוצאות!C496</f>
        <v>560</v>
      </c>
      <c r="C42" s="84" t="str">
        <f>הוצאות!D496</f>
        <v>938000</v>
      </c>
      <c r="D42" s="84" t="str">
        <f>הוצאות!E496</f>
        <v>93</v>
      </c>
      <c r="E42" s="85" t="str">
        <f>הוצאות!F496</f>
        <v>צרכי משרד</v>
      </c>
      <c r="F42" s="86">
        <f>הוצאות!G496</f>
        <v>15000</v>
      </c>
      <c r="G42" s="86">
        <f>הוצאות!H496</f>
        <v>40748.410000000003</v>
      </c>
      <c r="H42" s="86">
        <f>הוצאות!J496</f>
        <v>30000</v>
      </c>
      <c r="I42" s="86" t="e">
        <f>הוצאות!#REF!</f>
        <v>#REF!</v>
      </c>
      <c r="J42" s="86" t="e">
        <f>הוצאות!#REF!</f>
        <v>#REF!</v>
      </c>
    </row>
    <row r="43" spans="1:10" ht="18.75">
      <c r="A43" s="83">
        <f>הוצאות!$A$512</f>
        <v>24</v>
      </c>
      <c r="B43" s="84" t="str">
        <f>הוצאות!C512</f>
        <v>780</v>
      </c>
      <c r="C43" s="84" t="str">
        <f>הוצאות!D512</f>
        <v>993000</v>
      </c>
      <c r="D43" s="84" t="str">
        <f>הוצאות!E512</f>
        <v>99</v>
      </c>
      <c r="E43" s="85" t="str">
        <f>הוצאות!F512</f>
        <v>הוצאות שנים קודמות</v>
      </c>
      <c r="F43" s="86">
        <f>הוצאות!G512</f>
        <v>0</v>
      </c>
      <c r="G43" s="86">
        <f>הוצאות!H512</f>
        <v>190114</v>
      </c>
      <c r="H43" s="86">
        <f>הוצאות!J512</f>
        <v>500000</v>
      </c>
      <c r="I43" s="86" t="e">
        <f>הוצאות!#REF!</f>
        <v>#REF!</v>
      </c>
      <c r="J43" s="86" t="e">
        <f>הוצאות!#REF!</f>
        <v>#REF!</v>
      </c>
    </row>
    <row r="44" spans="1:10" ht="18.75">
      <c r="A44" s="65"/>
      <c r="B44" s="88" t="str">
        <f>הוצאות!C521</f>
        <v xml:space="preserve">סה"כ תשלומים </v>
      </c>
      <c r="C44" s="89"/>
      <c r="D44" s="89"/>
      <c r="E44" s="88"/>
      <c r="F44" s="90">
        <f>SUM(F4:F43)</f>
        <v>3173000</v>
      </c>
      <c r="G44" s="90">
        <f>SUM(G4:G43)</f>
        <v>3743226.0599999996</v>
      </c>
      <c r="H44" s="90">
        <f>SUM(H4:H43)</f>
        <v>5217000</v>
      </c>
      <c r="I44" s="90" t="e">
        <f>SUM(I4:I43)</f>
        <v>#REF!</v>
      </c>
      <c r="J44" s="90" t="e">
        <f>SUM(J4:J43)</f>
        <v>#REF!</v>
      </c>
    </row>
  </sheetData>
  <mergeCells count="1">
    <mergeCell ref="B1:J1"/>
  </mergeCells>
  <conditionalFormatting sqref="B44:J44">
    <cfRule type="expression" dxfId="101" priority="1">
      <formula>$C575="310"</formula>
    </cfRule>
    <cfRule type="expression" dxfId="100" priority="2">
      <formula>$C44="110"</formula>
    </cfRule>
  </conditionalFormatting>
  <conditionalFormatting sqref="B43:J43">
    <cfRule type="expression" dxfId="99" priority="17">
      <formula>$C573="310"</formula>
    </cfRule>
    <cfRule type="expression" dxfId="98" priority="18">
      <formula>$C43="110"</formula>
    </cfRule>
  </conditionalFormatting>
  <conditionalFormatting sqref="B40:J42">
    <cfRule type="expression" dxfId="97" priority="21">
      <formula>$C569="310"</formula>
    </cfRule>
    <cfRule type="expression" dxfId="96" priority="22">
      <formula>$C40="110"</formula>
    </cfRule>
  </conditionalFormatting>
  <conditionalFormatting sqref="B35:J39">
    <cfRule type="expression" dxfId="95" priority="25">
      <formula>$C563="310"</formula>
    </cfRule>
    <cfRule type="expression" dxfId="94" priority="26">
      <formula>$C35="110"</formula>
    </cfRule>
  </conditionalFormatting>
  <conditionalFormatting sqref="B14:J34">
    <cfRule type="expression" dxfId="93" priority="27">
      <formula>$C541="310"</formula>
    </cfRule>
    <cfRule type="expression" dxfId="92" priority="28">
      <formula>$C14="110"</formula>
    </cfRule>
  </conditionalFormatting>
  <conditionalFormatting sqref="B12:J13">
    <cfRule type="expression" dxfId="91" priority="29">
      <formula>$C538="310"</formula>
    </cfRule>
    <cfRule type="expression" dxfId="90" priority="30">
      <formula>$C12="110"</formula>
    </cfRule>
  </conditionalFormatting>
  <conditionalFormatting sqref="B4:J11">
    <cfRule type="expression" dxfId="89" priority="31">
      <formula>$C529="310"</formula>
    </cfRule>
    <cfRule type="expression" dxfId="88" priority="32">
      <formula>$C4="110"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90" fitToWidth="0" fitToHeight="0" orientation="portrait" r:id="rId1"/>
  <headerFooter>
    <oddFooter>&amp;C&amp;"David,רגיל"&amp;P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D356"/>
  <sheetViews>
    <sheetView rightToLeft="1" view="pageBreakPreview" zoomScale="85" zoomScaleNormal="70" zoomScaleSheetLayoutView="85" workbookViewId="0">
      <selection activeCell="M30" sqref="M30"/>
    </sheetView>
  </sheetViews>
  <sheetFormatPr defaultColWidth="9" defaultRowHeight="15.75" outlineLevelRow="2"/>
  <cols>
    <col min="1" max="2" width="9" style="21"/>
    <col min="3" max="3" width="14" style="21" bestFit="1" customWidth="1"/>
    <col min="4" max="5" width="9" style="21"/>
    <col min="6" max="6" width="7.625" style="21" bestFit="1" customWidth="1"/>
    <col min="7" max="7" width="9" style="21"/>
    <col min="8" max="12" width="0" style="21" hidden="1" customWidth="1"/>
    <col min="13" max="13" width="12.125" style="21" bestFit="1" customWidth="1"/>
    <col min="14" max="14" width="10.375" style="21" customWidth="1"/>
    <col min="15" max="15" width="18.25" style="60" bestFit="1" customWidth="1"/>
    <col min="16" max="28" width="0" style="21" hidden="1" customWidth="1"/>
    <col min="29" max="29" width="13.125" style="21" customWidth="1"/>
    <col min="30" max="16384" width="9" style="21"/>
  </cols>
  <sheetData>
    <row r="1" spans="1:30">
      <c r="A1" s="21" t="s">
        <v>1525</v>
      </c>
      <c r="B1" s="21" t="s">
        <v>1524</v>
      </c>
      <c r="C1" s="21" t="s">
        <v>1523</v>
      </c>
      <c r="D1" s="21" t="s">
        <v>1522</v>
      </c>
      <c r="E1" s="21" t="s">
        <v>1521</v>
      </c>
      <c r="F1" s="21" t="s">
        <v>1520</v>
      </c>
      <c r="G1" s="21" t="s">
        <v>1519</v>
      </c>
      <c r="H1" s="21" t="s">
        <v>1518</v>
      </c>
      <c r="I1" s="21" t="s">
        <v>1517</v>
      </c>
      <c r="J1" s="21" t="s">
        <v>1516</v>
      </c>
      <c r="K1" s="21" t="s">
        <v>1515</v>
      </c>
      <c r="L1" s="21" t="s">
        <v>1514</v>
      </c>
      <c r="M1" s="21" t="s">
        <v>1513</v>
      </c>
      <c r="N1" s="21" t="s">
        <v>1512</v>
      </c>
      <c r="O1" s="60" t="s">
        <v>1511</v>
      </c>
      <c r="P1" s="21" t="s">
        <v>1510</v>
      </c>
      <c r="Q1" s="21" t="s">
        <v>1509</v>
      </c>
      <c r="R1" s="21" t="s">
        <v>1508</v>
      </c>
      <c r="S1" s="21" t="s">
        <v>1507</v>
      </c>
      <c r="T1" s="21" t="s">
        <v>1506</v>
      </c>
      <c r="U1" s="21" t="s">
        <v>1505</v>
      </c>
      <c r="V1" s="21" t="s">
        <v>1504</v>
      </c>
      <c r="W1" s="21" t="s">
        <v>1503</v>
      </c>
      <c r="X1" s="21" t="s">
        <v>1502</v>
      </c>
      <c r="Y1" s="21" t="s">
        <v>1501</v>
      </c>
      <c r="Z1" s="21" t="s">
        <v>1500</v>
      </c>
      <c r="AA1" s="21" t="s">
        <v>1499</v>
      </c>
      <c r="AB1" s="21" t="s">
        <v>1498</v>
      </c>
      <c r="AC1" s="21" t="s">
        <v>1497</v>
      </c>
    </row>
    <row r="2" spans="1:30" hidden="1" outlineLevel="2">
      <c r="A2" s="21">
        <v>467</v>
      </c>
      <c r="B2" s="21">
        <v>2911516</v>
      </c>
      <c r="C2" s="21">
        <v>29115169</v>
      </c>
      <c r="D2" s="21" t="s">
        <v>1153</v>
      </c>
      <c r="E2" s="21" t="s">
        <v>1496</v>
      </c>
      <c r="F2" s="21">
        <v>611100</v>
      </c>
      <c r="G2" s="21" t="s">
        <v>1151</v>
      </c>
      <c r="H2" s="21">
        <v>90541</v>
      </c>
      <c r="I2" s="21">
        <v>0</v>
      </c>
      <c r="J2" s="21">
        <v>18</v>
      </c>
      <c r="K2" s="21">
        <v>6</v>
      </c>
      <c r="L2" s="21">
        <v>0</v>
      </c>
      <c r="M2" s="21">
        <v>1200</v>
      </c>
      <c r="N2" s="61">
        <f>+M2/1200</f>
        <v>1</v>
      </c>
      <c r="O2" s="60">
        <v>619578.79</v>
      </c>
      <c r="P2" s="21">
        <v>95243.65</v>
      </c>
      <c r="Q2" s="21">
        <v>31605.19</v>
      </c>
      <c r="R2" s="21">
        <v>454599.05</v>
      </c>
      <c r="S2" s="21">
        <v>15960</v>
      </c>
      <c r="T2" s="21">
        <v>11524.15</v>
      </c>
      <c r="U2" s="21">
        <v>0</v>
      </c>
      <c r="V2" s="21">
        <v>0</v>
      </c>
      <c r="W2" s="21">
        <v>7540</v>
      </c>
      <c r="X2" s="21">
        <v>0</v>
      </c>
      <c r="Y2" s="21">
        <v>419574.9</v>
      </c>
      <c r="Z2" s="21">
        <v>38130.9</v>
      </c>
      <c r="AA2" s="21">
        <v>0</v>
      </c>
      <c r="AB2" s="21">
        <v>0</v>
      </c>
      <c r="AC2" s="21">
        <v>1611100</v>
      </c>
      <c r="AD2" s="21" t="s">
        <v>1150</v>
      </c>
    </row>
    <row r="3" spans="1:30" hidden="1" outlineLevel="2">
      <c r="A3" s="21">
        <v>467</v>
      </c>
      <c r="B3" s="21">
        <v>5479671</v>
      </c>
      <c r="C3" s="21">
        <v>54796719</v>
      </c>
      <c r="D3" s="21" t="s">
        <v>1153</v>
      </c>
      <c r="E3" s="21" t="s">
        <v>1152</v>
      </c>
      <c r="F3" s="21">
        <v>611100</v>
      </c>
      <c r="G3" s="21" t="s">
        <v>1151</v>
      </c>
      <c r="H3" s="21">
        <v>90541</v>
      </c>
      <c r="I3" s="21">
        <v>1</v>
      </c>
      <c r="J3" s="21">
        <v>0</v>
      </c>
      <c r="K3" s="21">
        <v>0</v>
      </c>
      <c r="L3" s="21">
        <v>0</v>
      </c>
      <c r="M3" s="21">
        <v>0</v>
      </c>
      <c r="N3" s="61">
        <f>+M3/1200</f>
        <v>0</v>
      </c>
      <c r="O3" s="60">
        <v>-0.06</v>
      </c>
      <c r="P3" s="21">
        <v>0</v>
      </c>
      <c r="Q3" s="21">
        <v>-0.01</v>
      </c>
      <c r="R3" s="21">
        <v>-0.05</v>
      </c>
      <c r="S3" s="21">
        <v>0</v>
      </c>
      <c r="T3" s="21">
        <v>0</v>
      </c>
      <c r="U3" s="21">
        <v>0</v>
      </c>
      <c r="V3" s="21">
        <v>0</v>
      </c>
      <c r="W3" s="21">
        <v>0</v>
      </c>
      <c r="X3" s="21">
        <v>0</v>
      </c>
      <c r="Y3" s="21">
        <v>-0.05</v>
      </c>
      <c r="Z3" s="21">
        <v>0</v>
      </c>
      <c r="AA3" s="21">
        <v>0</v>
      </c>
      <c r="AB3" s="21">
        <v>0</v>
      </c>
      <c r="AC3" s="21">
        <v>1611100</v>
      </c>
      <c r="AD3" s="21" t="s">
        <v>1150</v>
      </c>
    </row>
    <row r="4" spans="1:30" outlineLevel="1" collapsed="1">
      <c r="F4" s="62" t="s">
        <v>1495</v>
      </c>
      <c r="M4" s="21">
        <f>SUBTOTAL(9,M2:M3)</f>
        <v>1200</v>
      </c>
      <c r="N4" s="61">
        <f>SUBTOTAL(9,N2:N3)</f>
        <v>1</v>
      </c>
      <c r="O4" s="60">
        <f>SUBTOTAL(9,O2:O3)</f>
        <v>619578.73</v>
      </c>
      <c r="AC4" s="21" t="str">
        <f>"1"&amp;LEFT(F4,6)&amp;"110"</f>
        <v>1611100110</v>
      </c>
      <c r="AD4" s="21" t="str">
        <f>VLOOKUP(AC4,'פירוט שכר'!A:K,5,0)</f>
        <v>נבחרים-שכר</v>
      </c>
    </row>
    <row r="5" spans="1:30" hidden="1" outlineLevel="2">
      <c r="A5" s="21">
        <v>467</v>
      </c>
      <c r="B5" s="21">
        <v>2751111</v>
      </c>
      <c r="C5" s="21">
        <v>27511112</v>
      </c>
      <c r="D5" s="21" t="s">
        <v>1153</v>
      </c>
      <c r="E5" s="21" t="s">
        <v>1494</v>
      </c>
      <c r="F5" s="21">
        <v>611110</v>
      </c>
      <c r="G5" s="21" t="s">
        <v>1151</v>
      </c>
      <c r="H5" s="21">
        <v>90541</v>
      </c>
      <c r="I5" s="21">
        <v>0</v>
      </c>
      <c r="J5" s="21">
        <v>37</v>
      </c>
      <c r="K5" s="21">
        <v>3</v>
      </c>
      <c r="L5" s="21">
        <v>0</v>
      </c>
      <c r="M5" s="21">
        <v>700</v>
      </c>
      <c r="N5" s="61">
        <f>+M5/1200</f>
        <v>0.58333333333333337</v>
      </c>
      <c r="O5" s="60">
        <v>53931.65</v>
      </c>
      <c r="P5" s="21">
        <v>0</v>
      </c>
      <c r="Q5" s="21">
        <v>2102.79</v>
      </c>
      <c r="R5" s="21">
        <v>48212.86</v>
      </c>
      <c r="S5" s="21">
        <v>377.6</v>
      </c>
      <c r="T5" s="21">
        <v>0</v>
      </c>
      <c r="U5" s="21">
        <v>0</v>
      </c>
      <c r="V5" s="21">
        <v>688</v>
      </c>
      <c r="W5" s="21">
        <v>1002.6</v>
      </c>
      <c r="X5" s="21">
        <v>4.75</v>
      </c>
      <c r="Y5" s="21">
        <v>46139.91</v>
      </c>
      <c r="Z5" s="21">
        <v>3616</v>
      </c>
      <c r="AA5" s="21">
        <v>0</v>
      </c>
      <c r="AB5" s="21">
        <v>0</v>
      </c>
      <c r="AC5" s="21">
        <v>1613000</v>
      </c>
    </row>
    <row r="6" spans="1:30" hidden="1" outlineLevel="2">
      <c r="A6" s="21">
        <v>467</v>
      </c>
      <c r="B6" s="21">
        <v>2766834</v>
      </c>
      <c r="C6" s="21">
        <v>27668342</v>
      </c>
      <c r="D6" s="21" t="s">
        <v>1153</v>
      </c>
      <c r="E6" s="21" t="s">
        <v>1276</v>
      </c>
      <c r="F6" s="21">
        <v>611110</v>
      </c>
      <c r="G6" s="21" t="s">
        <v>1151</v>
      </c>
      <c r="H6" s="21">
        <v>90541</v>
      </c>
      <c r="I6" s="21">
        <v>1</v>
      </c>
      <c r="J6" s="21">
        <v>0</v>
      </c>
      <c r="K6" s="21">
        <v>0</v>
      </c>
      <c r="L6" s="21">
        <v>0</v>
      </c>
      <c r="M6" s="21">
        <v>0</v>
      </c>
      <c r="N6" s="61">
        <f>+M6/1200</f>
        <v>0</v>
      </c>
      <c r="O6" s="60">
        <v>2363.77</v>
      </c>
      <c r="P6" s="21">
        <v>287.08999999999997</v>
      </c>
      <c r="Q6" s="21">
        <v>88.05</v>
      </c>
      <c r="R6" s="21">
        <v>1824.85</v>
      </c>
      <c r="S6" s="21">
        <v>1131.75</v>
      </c>
      <c r="T6" s="21">
        <v>72.099999999999994</v>
      </c>
      <c r="U6" s="21">
        <v>0</v>
      </c>
      <c r="V6" s="21">
        <v>0</v>
      </c>
      <c r="W6" s="21">
        <v>411</v>
      </c>
      <c r="X6" s="21">
        <v>0</v>
      </c>
      <c r="Y6" s="21">
        <v>210</v>
      </c>
      <c r="Z6" s="21">
        <v>163.78</v>
      </c>
      <c r="AA6" s="21">
        <v>0</v>
      </c>
      <c r="AB6" s="21">
        <v>0</v>
      </c>
      <c r="AC6" s="21">
        <v>1613000</v>
      </c>
    </row>
    <row r="7" spans="1:30" outlineLevel="1" collapsed="1">
      <c r="F7" s="62" t="s">
        <v>1493</v>
      </c>
      <c r="M7" s="21">
        <f>SUBTOTAL(9,M5:M6)</f>
        <v>700</v>
      </c>
      <c r="N7" s="61">
        <f>SUBTOTAL(9,N5:N6)</f>
        <v>0.58333333333333337</v>
      </c>
      <c r="O7" s="60">
        <f>SUBTOTAL(9,O5:O6)</f>
        <v>56295.42</v>
      </c>
      <c r="AC7" s="21" t="str">
        <f>"1"&amp;LEFT(F7,6)&amp;"110"</f>
        <v>1611110110</v>
      </c>
      <c r="AD7" s="21" t="str">
        <f>VLOOKUP(AC7,'פירוט שכר'!A:K,5,0)</f>
        <v>לשכת ר"המועצה שכר</v>
      </c>
    </row>
    <row r="8" spans="1:30" hidden="1" outlineLevel="2">
      <c r="A8" s="21">
        <v>467</v>
      </c>
      <c r="B8" s="21">
        <v>4046691</v>
      </c>
      <c r="C8" s="21">
        <v>40466914</v>
      </c>
      <c r="D8" s="21" t="s">
        <v>1417</v>
      </c>
      <c r="E8" s="21" t="s">
        <v>1492</v>
      </c>
      <c r="F8" s="21">
        <v>613000</v>
      </c>
      <c r="G8" s="21" t="s">
        <v>1151</v>
      </c>
      <c r="H8" s="21">
        <v>90541</v>
      </c>
      <c r="I8" s="21">
        <v>0</v>
      </c>
      <c r="J8" s="21">
        <v>5</v>
      </c>
      <c r="K8" s="21">
        <v>8</v>
      </c>
      <c r="L8" s="21">
        <v>0</v>
      </c>
      <c r="M8" s="21">
        <v>1200</v>
      </c>
      <c r="N8" s="61">
        <f>+M8/1200</f>
        <v>1</v>
      </c>
      <c r="O8" s="60">
        <v>92945.45</v>
      </c>
      <c r="P8" s="21">
        <v>13309</v>
      </c>
      <c r="Q8" s="21">
        <v>2723.87</v>
      </c>
      <c r="R8" s="21">
        <v>71479.38</v>
      </c>
      <c r="S8" s="21">
        <v>3804.6</v>
      </c>
      <c r="T8" s="21">
        <v>6386</v>
      </c>
      <c r="U8" s="21">
        <v>0</v>
      </c>
      <c r="V8" s="21">
        <v>0</v>
      </c>
      <c r="W8" s="21">
        <v>994.2</v>
      </c>
      <c r="X8" s="21">
        <v>23.4</v>
      </c>
      <c r="Y8" s="21">
        <v>60271.18</v>
      </c>
      <c r="Z8" s="21">
        <v>5433.2</v>
      </c>
      <c r="AA8" s="21">
        <v>0</v>
      </c>
      <c r="AB8" s="21">
        <v>0</v>
      </c>
      <c r="AC8" s="21">
        <v>1613000</v>
      </c>
    </row>
    <row r="9" spans="1:30" hidden="1" outlineLevel="2">
      <c r="A9" s="21">
        <v>467</v>
      </c>
      <c r="B9" s="21">
        <v>5755557</v>
      </c>
      <c r="C9" s="21">
        <v>57555575</v>
      </c>
      <c r="D9" s="21" t="s">
        <v>1173</v>
      </c>
      <c r="E9" s="21" t="s">
        <v>1273</v>
      </c>
      <c r="F9" s="21">
        <v>613000</v>
      </c>
      <c r="G9" s="21" t="s">
        <v>1151</v>
      </c>
      <c r="H9" s="21">
        <v>90541</v>
      </c>
      <c r="I9" s="21">
        <v>0</v>
      </c>
      <c r="J9" s="21">
        <v>37</v>
      </c>
      <c r="K9" s="21">
        <v>4</v>
      </c>
      <c r="L9" s="21">
        <v>0</v>
      </c>
      <c r="M9" s="21">
        <v>1200</v>
      </c>
      <c r="N9" s="61">
        <f>+M9/1200</f>
        <v>1</v>
      </c>
      <c r="O9" s="60">
        <v>499734.41</v>
      </c>
      <c r="P9" s="21">
        <v>73529.55</v>
      </c>
      <c r="Q9" s="21">
        <v>23834.51</v>
      </c>
      <c r="R9" s="21">
        <v>374241.5</v>
      </c>
      <c r="S9" s="21">
        <v>10195.200000000001</v>
      </c>
      <c r="T9" s="21">
        <v>11870.95</v>
      </c>
      <c r="U9" s="21">
        <v>0</v>
      </c>
      <c r="V9" s="21">
        <v>50451.95</v>
      </c>
      <c r="W9" s="21">
        <v>7091</v>
      </c>
      <c r="X9" s="21">
        <v>0</v>
      </c>
      <c r="Y9" s="21">
        <v>294632.40000000002</v>
      </c>
      <c r="Z9" s="21">
        <v>28128.85</v>
      </c>
      <c r="AA9" s="21">
        <v>0</v>
      </c>
      <c r="AB9" s="21">
        <v>0</v>
      </c>
      <c r="AC9" s="21">
        <v>1613000</v>
      </c>
    </row>
    <row r="10" spans="1:30" outlineLevel="1" collapsed="1">
      <c r="F10" s="62" t="s">
        <v>1491</v>
      </c>
      <c r="M10" s="21">
        <f>SUBTOTAL(9,M8:M9)</f>
        <v>2400</v>
      </c>
      <c r="N10" s="61">
        <f>SUBTOTAL(9,N8:N9)</f>
        <v>2</v>
      </c>
      <c r="O10" s="60">
        <f>SUBTOTAL(9,O8:O9)</f>
        <v>592679.86</v>
      </c>
      <c r="AC10" s="21" t="str">
        <f>"1"&amp;LEFT(F10,6)&amp;"110"</f>
        <v>1613000110</v>
      </c>
      <c r="AD10" s="21" t="str">
        <f>VLOOKUP(AC10,'פירוט שכר'!A:K,5,0)</f>
        <v>מזכירות - שכר</v>
      </c>
    </row>
    <row r="11" spans="1:30" hidden="1" outlineLevel="2">
      <c r="A11" s="21">
        <v>467</v>
      </c>
      <c r="B11" s="21">
        <v>3342661</v>
      </c>
      <c r="C11" s="21">
        <v>33426610</v>
      </c>
      <c r="D11" s="21" t="s">
        <v>1153</v>
      </c>
      <c r="E11" s="21" t="s">
        <v>1204</v>
      </c>
      <c r="F11" s="21">
        <v>615000</v>
      </c>
      <c r="G11" s="21" t="s">
        <v>1151</v>
      </c>
      <c r="H11" s="21">
        <v>90541</v>
      </c>
      <c r="I11" s="21">
        <v>0</v>
      </c>
      <c r="J11" s="21">
        <v>37</v>
      </c>
      <c r="K11" s="21">
        <v>3</v>
      </c>
      <c r="L11" s="21">
        <v>0</v>
      </c>
      <c r="M11" s="21">
        <v>300</v>
      </c>
      <c r="N11" s="61">
        <f>+M11/1200</f>
        <v>0.25</v>
      </c>
      <c r="O11" s="60">
        <v>108063.52</v>
      </c>
      <c r="P11" s="21">
        <v>15801.35</v>
      </c>
      <c r="Q11" s="21">
        <v>3520.3</v>
      </c>
      <c r="R11" s="21">
        <v>82643.47</v>
      </c>
      <c r="S11" s="21">
        <v>2832</v>
      </c>
      <c r="T11" s="21">
        <v>2293</v>
      </c>
      <c r="U11" s="21">
        <v>0</v>
      </c>
      <c r="V11" s="21">
        <v>8426.5</v>
      </c>
      <c r="W11" s="21">
        <v>2745.75</v>
      </c>
      <c r="X11" s="21">
        <v>0</v>
      </c>
      <c r="Y11" s="21">
        <v>66346.22</v>
      </c>
      <c r="Z11" s="21">
        <v>6098.4</v>
      </c>
      <c r="AA11" s="21">
        <v>0</v>
      </c>
      <c r="AB11" s="21">
        <v>0</v>
      </c>
      <c r="AC11" s="21">
        <v>1615000</v>
      </c>
    </row>
    <row r="12" spans="1:30" outlineLevel="1" collapsed="1">
      <c r="F12" s="62" t="s">
        <v>1490</v>
      </c>
      <c r="M12" s="21">
        <f>SUBTOTAL(9,M11:M11)</f>
        <v>300</v>
      </c>
      <c r="N12" s="61">
        <f>SUBTOTAL(9,N11:N11)</f>
        <v>0.25</v>
      </c>
      <c r="O12" s="60">
        <f>SUBTOTAL(9,O11:O11)</f>
        <v>108063.52</v>
      </c>
      <c r="AC12" s="21" t="str">
        <f>"1"&amp;LEFT(F12,6)&amp;"110"</f>
        <v>1615000110</v>
      </c>
      <c r="AD12" s="21" t="str">
        <f>VLOOKUP(AC12,'פירוט שכר'!A:K,5,0)</f>
        <v>מבקר פנים-שכר</v>
      </c>
    </row>
    <row r="13" spans="1:30" hidden="1" outlineLevel="2">
      <c r="A13" s="21">
        <v>467</v>
      </c>
      <c r="B13" s="21">
        <v>3393334</v>
      </c>
      <c r="C13" s="21">
        <v>33933342</v>
      </c>
      <c r="D13" s="21" t="s">
        <v>1153</v>
      </c>
      <c r="E13" s="21" t="s">
        <v>1329</v>
      </c>
      <c r="F13" s="21">
        <v>621200</v>
      </c>
      <c r="G13" s="21" t="s">
        <v>1151</v>
      </c>
      <c r="H13" s="21">
        <v>90541</v>
      </c>
      <c r="I13" s="21">
        <v>1</v>
      </c>
      <c r="J13" s="21">
        <v>0</v>
      </c>
      <c r="K13" s="21">
        <v>0</v>
      </c>
      <c r="L13" s="21">
        <v>0</v>
      </c>
      <c r="M13" s="21">
        <v>0</v>
      </c>
      <c r="N13" s="61">
        <f>+M13/1200</f>
        <v>0</v>
      </c>
      <c r="O13" s="60">
        <v>3139.94</v>
      </c>
      <c r="P13" s="21">
        <v>468.85</v>
      </c>
      <c r="Q13" s="21">
        <v>83.99</v>
      </c>
      <c r="R13" s="21">
        <v>2404.5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2404.5</v>
      </c>
      <c r="Z13" s="21">
        <v>182.6</v>
      </c>
      <c r="AA13" s="21">
        <v>0</v>
      </c>
      <c r="AB13" s="21">
        <v>0</v>
      </c>
      <c r="AC13" s="21">
        <v>1621200</v>
      </c>
    </row>
    <row r="14" spans="1:30" outlineLevel="1" collapsed="1">
      <c r="F14" s="62" t="s">
        <v>1489</v>
      </c>
      <c r="M14" s="21">
        <f>SUBTOTAL(9,M13:M13)</f>
        <v>0</v>
      </c>
      <c r="N14" s="61">
        <f>SUBTOTAL(9,N13:N13)</f>
        <v>0</v>
      </c>
      <c r="O14" s="60">
        <f>SUBTOTAL(9,O13:O13)</f>
        <v>3139.94</v>
      </c>
      <c r="AC14" s="21" t="str">
        <f>"1"&amp;LEFT(F14,6)&amp;"110"</f>
        <v>1621200110</v>
      </c>
      <c r="AD14" s="21" t="str">
        <f>VLOOKUP(AC14,'פירוט שכר'!A:K,5,0)</f>
        <v>מינהל רכש ואספקה</v>
      </c>
    </row>
    <row r="15" spans="1:30" hidden="1" outlineLevel="2">
      <c r="A15" s="21">
        <v>467</v>
      </c>
      <c r="B15" s="21">
        <v>5942153</v>
      </c>
      <c r="C15" s="21">
        <v>59421537</v>
      </c>
      <c r="D15" s="21" t="s">
        <v>1488</v>
      </c>
      <c r="E15" s="21" t="s">
        <v>1280</v>
      </c>
      <c r="F15" s="21">
        <v>621300</v>
      </c>
      <c r="G15" s="21" t="s">
        <v>1151</v>
      </c>
      <c r="H15" s="21">
        <v>90541</v>
      </c>
      <c r="I15" s="21">
        <v>0</v>
      </c>
      <c r="J15" s="21">
        <v>37</v>
      </c>
      <c r="K15" s="21">
        <v>4</v>
      </c>
      <c r="L15" s="21">
        <v>0</v>
      </c>
      <c r="M15" s="21">
        <v>1200</v>
      </c>
      <c r="N15" s="61">
        <f>+M15/1200</f>
        <v>1</v>
      </c>
      <c r="O15" s="60">
        <v>479765.45</v>
      </c>
      <c r="P15" s="21">
        <v>67726.850000000006</v>
      </c>
      <c r="Q15" s="21">
        <v>22855.5</v>
      </c>
      <c r="R15" s="21">
        <v>361875.3</v>
      </c>
      <c r="S15" s="21">
        <v>6796.8</v>
      </c>
      <c r="T15" s="21">
        <v>11021.9</v>
      </c>
      <c r="U15" s="21">
        <v>0</v>
      </c>
      <c r="V15" s="21">
        <v>47254.25</v>
      </c>
      <c r="W15" s="21">
        <v>19918.55</v>
      </c>
      <c r="X15" s="21">
        <v>0</v>
      </c>
      <c r="Y15" s="21">
        <v>276883.8</v>
      </c>
      <c r="Z15" s="21">
        <v>27307.8</v>
      </c>
      <c r="AA15" s="21">
        <v>0</v>
      </c>
      <c r="AB15" s="21">
        <v>0</v>
      </c>
      <c r="AC15" s="21">
        <v>1621300</v>
      </c>
    </row>
    <row r="16" spans="1:30" outlineLevel="1" collapsed="1">
      <c r="F16" s="62" t="s">
        <v>1487</v>
      </c>
      <c r="M16" s="21">
        <f>SUBTOTAL(9,M15:M15)</f>
        <v>1200</v>
      </c>
      <c r="N16" s="61">
        <f>SUBTOTAL(9,N15:N15)</f>
        <v>1</v>
      </c>
      <c r="O16" s="60">
        <f>SUBTOTAL(9,O15:O15)</f>
        <v>479765.45</v>
      </c>
      <c r="AC16" s="21" t="str">
        <f>"1"&amp;LEFT(F16,6)&amp;"110"</f>
        <v>1621300110</v>
      </c>
      <c r="AD16" s="21" t="str">
        <f>VLOOKUP(AC16,'פירוט שכר'!A:K,5,0)</f>
        <v>גזברות והנה"ח שכר</v>
      </c>
    </row>
    <row r="17" spans="1:30" hidden="1" outlineLevel="2">
      <c r="A17" s="21">
        <v>467</v>
      </c>
      <c r="B17" s="21">
        <v>2644876</v>
      </c>
      <c r="C17" s="21">
        <v>26448761</v>
      </c>
      <c r="D17" s="21" t="s">
        <v>1181</v>
      </c>
      <c r="E17" s="21" t="s">
        <v>1486</v>
      </c>
      <c r="F17" s="21">
        <v>623000</v>
      </c>
      <c r="G17" s="21" t="s">
        <v>1151</v>
      </c>
      <c r="H17" s="21">
        <v>90541</v>
      </c>
      <c r="I17" s="21">
        <v>0</v>
      </c>
      <c r="J17" s="21">
        <v>5</v>
      </c>
      <c r="K17" s="21">
        <v>9</v>
      </c>
      <c r="L17" s="21">
        <v>0</v>
      </c>
      <c r="M17" s="21">
        <v>600</v>
      </c>
      <c r="N17" s="61">
        <f>+M17/1200</f>
        <v>0.5</v>
      </c>
      <c r="O17" s="60">
        <v>53194.19</v>
      </c>
      <c r="P17" s="21">
        <v>7673.5</v>
      </c>
      <c r="Q17" s="21">
        <v>1389.32</v>
      </c>
      <c r="R17" s="21">
        <v>41111.07</v>
      </c>
      <c r="S17" s="21">
        <v>2544.4499999999998</v>
      </c>
      <c r="T17" s="21">
        <v>3406.5</v>
      </c>
      <c r="U17" s="21">
        <v>0</v>
      </c>
      <c r="V17" s="21">
        <v>0</v>
      </c>
      <c r="W17" s="21">
        <v>702.6</v>
      </c>
      <c r="X17" s="21">
        <v>1.9</v>
      </c>
      <c r="Y17" s="21">
        <v>34455.620000000003</v>
      </c>
      <c r="Z17" s="21">
        <v>3020.3</v>
      </c>
      <c r="AA17" s="21">
        <v>0</v>
      </c>
      <c r="AB17" s="21">
        <v>0</v>
      </c>
      <c r="AC17" s="21">
        <v>1623000</v>
      </c>
    </row>
    <row r="18" spans="1:30" hidden="1" outlineLevel="2">
      <c r="A18" s="21">
        <v>467</v>
      </c>
      <c r="B18" s="21">
        <v>5482262</v>
      </c>
      <c r="C18" s="21">
        <v>54822622</v>
      </c>
      <c r="D18" s="21" t="s">
        <v>1485</v>
      </c>
      <c r="E18" s="21" t="s">
        <v>1214</v>
      </c>
      <c r="F18" s="21">
        <v>623000</v>
      </c>
      <c r="G18" s="21" t="s">
        <v>1151</v>
      </c>
      <c r="H18" s="21">
        <v>90541</v>
      </c>
      <c r="I18" s="21">
        <v>0</v>
      </c>
      <c r="J18" s="21">
        <v>5</v>
      </c>
      <c r="K18" s="21">
        <v>11</v>
      </c>
      <c r="L18" s="21">
        <v>0</v>
      </c>
      <c r="M18" s="21">
        <v>1200</v>
      </c>
      <c r="N18" s="61">
        <f>+M18/1200</f>
        <v>1</v>
      </c>
      <c r="O18" s="60">
        <v>146677.89000000001</v>
      </c>
      <c r="P18" s="21">
        <v>21206.35</v>
      </c>
      <c r="Q18" s="21">
        <v>5408.22</v>
      </c>
      <c r="R18" s="21">
        <v>111644.72</v>
      </c>
      <c r="S18" s="21">
        <v>2201.15</v>
      </c>
      <c r="T18" s="21">
        <v>7667</v>
      </c>
      <c r="U18" s="21">
        <v>0</v>
      </c>
      <c r="V18" s="21">
        <v>0</v>
      </c>
      <c r="W18" s="21">
        <v>994.2</v>
      </c>
      <c r="X18" s="21">
        <v>16378.25</v>
      </c>
      <c r="Y18" s="21">
        <v>84404.12</v>
      </c>
      <c r="Z18" s="21">
        <v>8418.6</v>
      </c>
      <c r="AA18" s="21">
        <v>0</v>
      </c>
      <c r="AB18" s="21">
        <v>0</v>
      </c>
      <c r="AC18" s="21">
        <v>1623000</v>
      </c>
    </row>
    <row r="19" spans="1:30" outlineLevel="1" collapsed="1">
      <c r="F19" s="62" t="s">
        <v>1484</v>
      </c>
      <c r="M19" s="21">
        <f>SUBTOTAL(9,M17:M18)</f>
        <v>1800</v>
      </c>
      <c r="N19" s="61">
        <f>SUBTOTAL(9,N17:N18)</f>
        <v>1.5</v>
      </c>
      <c r="O19" s="60">
        <f>SUBTOTAL(9,O17:O18)</f>
        <v>199872.08000000002</v>
      </c>
      <c r="AC19" s="21" t="str">
        <f>"1"&amp;LEFT(F19,6)&amp;"110"</f>
        <v>1623000110</v>
      </c>
      <c r="AD19" s="21" t="str">
        <f>VLOOKUP(AC19,'פירוט שכר'!A:K,5,0)</f>
        <v>גבייה-משכורת</v>
      </c>
    </row>
    <row r="20" spans="1:30" hidden="1" outlineLevel="2">
      <c r="A20" s="21">
        <v>467</v>
      </c>
      <c r="B20" s="21">
        <v>2616406</v>
      </c>
      <c r="C20" s="21">
        <v>26164061</v>
      </c>
      <c r="D20" s="21" t="s">
        <v>1483</v>
      </c>
      <c r="E20" s="21" t="s">
        <v>1482</v>
      </c>
      <c r="F20" s="21">
        <v>713000</v>
      </c>
      <c r="G20" s="21" t="s">
        <v>1151</v>
      </c>
      <c r="H20" s="21">
        <v>90541</v>
      </c>
      <c r="I20" s="21">
        <v>0</v>
      </c>
      <c r="J20" s="21">
        <v>77</v>
      </c>
      <c r="K20" s="21">
        <v>38</v>
      </c>
      <c r="L20" s="21">
        <v>0</v>
      </c>
      <c r="M20" s="21">
        <v>1125.8</v>
      </c>
      <c r="N20" s="61">
        <f>+M20/1200</f>
        <v>0.93816666666666659</v>
      </c>
      <c r="O20" s="60">
        <v>105754.71</v>
      </c>
      <c r="P20" s="21">
        <v>12372.8</v>
      </c>
      <c r="Q20" s="21">
        <v>3459.53</v>
      </c>
      <c r="R20" s="21">
        <v>83781.23</v>
      </c>
      <c r="S20" s="21">
        <v>3500</v>
      </c>
      <c r="T20" s="21">
        <v>7064.55</v>
      </c>
      <c r="U20" s="21">
        <v>0</v>
      </c>
      <c r="V20" s="21">
        <v>8777.4500000000007</v>
      </c>
      <c r="W20" s="21">
        <v>4298.1499999999996</v>
      </c>
      <c r="X20" s="21">
        <v>2402.15</v>
      </c>
      <c r="Y20" s="21">
        <v>57738.93</v>
      </c>
      <c r="Z20" s="21">
        <v>6141.15</v>
      </c>
      <c r="AA20" s="21">
        <v>0</v>
      </c>
      <c r="AB20" s="21">
        <v>0</v>
      </c>
      <c r="AC20" s="21">
        <v>1713000</v>
      </c>
    </row>
    <row r="21" spans="1:30" outlineLevel="1" collapsed="1">
      <c r="F21" s="62" t="s">
        <v>1481</v>
      </c>
      <c r="M21" s="21">
        <f>SUBTOTAL(9,M20:M20)</f>
        <v>1125.8</v>
      </c>
      <c r="N21" s="61">
        <f>SUBTOTAL(9,N20:N20)</f>
        <v>0.93816666666666659</v>
      </c>
      <c r="O21" s="60">
        <f>SUBTOTAL(9,O20:O20)</f>
        <v>105754.71</v>
      </c>
      <c r="AC21" s="21" t="str">
        <f>"1"&amp;LEFT(F21,6)&amp;"110"</f>
        <v>1713000110</v>
      </c>
      <c r="AD21" s="21" t="str">
        <f>VLOOKUP(AC21,'פירוט שכר'!A:K,5,0)</f>
        <v>פיקוח תברואי-משכורת</v>
      </c>
    </row>
    <row r="22" spans="1:30" hidden="1" outlineLevel="2">
      <c r="A22" s="21">
        <v>467</v>
      </c>
      <c r="B22" s="21">
        <v>2337765</v>
      </c>
      <c r="C22" s="21">
        <v>23377658</v>
      </c>
      <c r="D22" s="21" t="s">
        <v>1183</v>
      </c>
      <c r="E22" s="21" t="s">
        <v>1198</v>
      </c>
      <c r="F22" s="21">
        <v>722000</v>
      </c>
      <c r="G22" s="21" t="s">
        <v>1151</v>
      </c>
      <c r="H22" s="21">
        <v>90541</v>
      </c>
      <c r="I22" s="21">
        <v>0</v>
      </c>
      <c r="J22" s="21">
        <v>5</v>
      </c>
      <c r="K22" s="21">
        <v>7</v>
      </c>
      <c r="L22" s="21">
        <v>0</v>
      </c>
      <c r="M22" s="21">
        <v>1200</v>
      </c>
      <c r="N22" s="61">
        <f>+M22/1200</f>
        <v>1</v>
      </c>
      <c r="O22" s="60">
        <v>95408.68</v>
      </c>
      <c r="P22" s="21">
        <v>14018.56</v>
      </c>
      <c r="Q22" s="21">
        <v>2788.12</v>
      </c>
      <c r="R22" s="21">
        <v>73101.09</v>
      </c>
      <c r="S22" s="21">
        <v>0</v>
      </c>
      <c r="T22" s="21">
        <v>6640</v>
      </c>
      <c r="U22" s="21">
        <v>0</v>
      </c>
      <c r="V22" s="21">
        <v>0</v>
      </c>
      <c r="W22" s="21">
        <v>583.20000000000005</v>
      </c>
      <c r="X22" s="21">
        <v>5</v>
      </c>
      <c r="Y22" s="21">
        <v>65872.89</v>
      </c>
      <c r="Z22" s="21">
        <v>5500.91</v>
      </c>
      <c r="AA22" s="21">
        <v>0</v>
      </c>
      <c r="AB22" s="21">
        <v>0</v>
      </c>
      <c r="AC22" s="21">
        <v>1722000</v>
      </c>
    </row>
    <row r="23" spans="1:30" hidden="1" outlineLevel="2">
      <c r="A23" s="21">
        <v>467</v>
      </c>
      <c r="B23" s="21">
        <v>5947614</v>
      </c>
      <c r="C23" s="21">
        <v>59476143</v>
      </c>
      <c r="D23" s="21" t="s">
        <v>1173</v>
      </c>
      <c r="E23" s="21" t="s">
        <v>1176</v>
      </c>
      <c r="F23" s="21">
        <v>722000</v>
      </c>
      <c r="G23" s="21" t="s">
        <v>1151</v>
      </c>
      <c r="H23" s="21">
        <v>90541</v>
      </c>
      <c r="I23" s="21">
        <v>1</v>
      </c>
      <c r="J23" s="21">
        <v>0</v>
      </c>
      <c r="K23" s="21">
        <v>0</v>
      </c>
      <c r="L23" s="21">
        <v>0</v>
      </c>
      <c r="M23" s="21">
        <v>0</v>
      </c>
      <c r="N23" s="61">
        <f>+M23/1200</f>
        <v>0</v>
      </c>
      <c r="O23" s="60">
        <v>19669.66</v>
      </c>
      <c r="P23" s="21">
        <v>1247.04</v>
      </c>
      <c r="Q23" s="21">
        <v>631.37</v>
      </c>
      <c r="R23" s="21">
        <v>16637.599999999999</v>
      </c>
      <c r="S23" s="21">
        <v>1620</v>
      </c>
      <c r="T23" s="21">
        <v>1037.45</v>
      </c>
      <c r="U23" s="21">
        <v>0</v>
      </c>
      <c r="V23" s="21">
        <v>2522.65</v>
      </c>
      <c r="W23" s="21">
        <v>1598.25</v>
      </c>
      <c r="X23" s="21">
        <v>5621.85</v>
      </c>
      <c r="Y23" s="21">
        <v>4237.3999999999996</v>
      </c>
      <c r="Z23" s="21">
        <v>1153.6500000000001</v>
      </c>
      <c r="AA23" s="21">
        <v>0</v>
      </c>
      <c r="AB23" s="21">
        <v>0</v>
      </c>
      <c r="AC23" s="21">
        <v>1722000</v>
      </c>
    </row>
    <row r="24" spans="1:30" outlineLevel="1" collapsed="1">
      <c r="F24" s="62" t="s">
        <v>1480</v>
      </c>
      <c r="M24" s="21">
        <f>SUBTOTAL(9,M22:M23)</f>
        <v>1200</v>
      </c>
      <c r="N24" s="61">
        <f>SUBTOTAL(9,N22:N23)</f>
        <v>1</v>
      </c>
      <c r="O24" s="60">
        <f>SUBTOTAL(9,O22:O23)</f>
        <v>115078.34</v>
      </c>
      <c r="AC24" s="21" t="str">
        <f>"1"&amp;LEFT(F24,6)&amp;"110"</f>
        <v>1722000110</v>
      </c>
      <c r="AD24" s="21" t="str">
        <f>VLOOKUP(AC24,'פירוט שכר'!A:K,5,0)</f>
        <v>קב"ט-משכורת</v>
      </c>
    </row>
    <row r="25" spans="1:30" hidden="1" outlineLevel="2">
      <c r="A25" s="21">
        <v>467</v>
      </c>
      <c r="B25" s="21">
        <v>3342587</v>
      </c>
      <c r="C25" s="21">
        <v>33425877</v>
      </c>
      <c r="D25" s="21" t="s">
        <v>1183</v>
      </c>
      <c r="E25" s="21" t="s">
        <v>1479</v>
      </c>
      <c r="F25" s="21">
        <v>731000</v>
      </c>
      <c r="G25" s="21" t="s">
        <v>1151</v>
      </c>
      <c r="H25" s="21">
        <v>90541</v>
      </c>
      <c r="I25" s="21">
        <v>0</v>
      </c>
      <c r="J25" s="21">
        <v>5</v>
      </c>
      <c r="K25" s="21">
        <v>9</v>
      </c>
      <c r="L25" s="21">
        <v>0</v>
      </c>
      <c r="M25" s="21">
        <v>1200</v>
      </c>
      <c r="N25" s="61">
        <f>+M25/1200</f>
        <v>1</v>
      </c>
      <c r="O25" s="60">
        <v>111689.33</v>
      </c>
      <c r="P25" s="21">
        <v>15203.4</v>
      </c>
      <c r="Q25" s="21">
        <v>3696.7</v>
      </c>
      <c r="R25" s="21">
        <v>86273.48</v>
      </c>
      <c r="S25" s="21">
        <v>0</v>
      </c>
      <c r="T25" s="21">
        <v>6813</v>
      </c>
      <c r="U25" s="21">
        <v>0</v>
      </c>
      <c r="V25" s="21">
        <v>0</v>
      </c>
      <c r="W25" s="21">
        <v>10933.2</v>
      </c>
      <c r="X25" s="21">
        <v>716.45</v>
      </c>
      <c r="Y25" s="21">
        <v>67810.83</v>
      </c>
      <c r="Z25" s="21">
        <v>6515.75</v>
      </c>
      <c r="AA25" s="21">
        <v>0</v>
      </c>
      <c r="AB25" s="21">
        <v>0</v>
      </c>
      <c r="AC25" s="21">
        <v>1731000</v>
      </c>
    </row>
    <row r="26" spans="1:30" hidden="1" outlineLevel="2">
      <c r="A26" s="21">
        <v>467</v>
      </c>
      <c r="B26" s="21">
        <v>4349091</v>
      </c>
      <c r="C26" s="21">
        <v>43490911</v>
      </c>
      <c r="D26" s="21" t="s">
        <v>1173</v>
      </c>
      <c r="E26" s="21" t="s">
        <v>1190</v>
      </c>
      <c r="F26" s="21">
        <v>731000</v>
      </c>
      <c r="G26" s="21" t="s">
        <v>1151</v>
      </c>
      <c r="H26" s="21">
        <v>90541</v>
      </c>
      <c r="I26" s="21">
        <v>1</v>
      </c>
      <c r="J26" s="21">
        <v>0</v>
      </c>
      <c r="K26" s="21">
        <v>0</v>
      </c>
      <c r="L26" s="21">
        <v>0</v>
      </c>
      <c r="M26" s="21">
        <v>0</v>
      </c>
      <c r="N26" s="61">
        <f>+M26/1200</f>
        <v>0</v>
      </c>
      <c r="O26" s="60">
        <v>31865.05</v>
      </c>
      <c r="P26" s="21">
        <v>1478.99</v>
      </c>
      <c r="Q26" s="21">
        <v>954.18</v>
      </c>
      <c r="R26" s="21">
        <v>27357.599999999999</v>
      </c>
      <c r="S26" s="21">
        <v>0</v>
      </c>
      <c r="T26" s="21">
        <v>0</v>
      </c>
      <c r="U26" s="21">
        <v>0</v>
      </c>
      <c r="V26" s="21">
        <v>0</v>
      </c>
      <c r="W26" s="21">
        <v>68.5</v>
      </c>
      <c r="X26" s="21">
        <v>2669.75</v>
      </c>
      <c r="Y26" s="21">
        <v>24619.35</v>
      </c>
      <c r="Z26" s="21">
        <v>2074.2800000000002</v>
      </c>
      <c r="AA26" s="21">
        <v>0</v>
      </c>
      <c r="AB26" s="21">
        <v>0</v>
      </c>
      <c r="AC26" s="21">
        <v>1731000</v>
      </c>
    </row>
    <row r="27" spans="1:30" hidden="1" outlineLevel="2">
      <c r="A27" s="21">
        <v>467</v>
      </c>
      <c r="B27" s="21">
        <v>5754710</v>
      </c>
      <c r="C27" s="21">
        <v>57547101</v>
      </c>
      <c r="D27" s="21" t="s">
        <v>1173</v>
      </c>
      <c r="E27" s="21" t="s">
        <v>1478</v>
      </c>
      <c r="F27" s="21">
        <v>731000</v>
      </c>
      <c r="G27" s="21" t="s">
        <v>1151</v>
      </c>
      <c r="H27" s="21">
        <v>90541</v>
      </c>
      <c r="I27" s="21">
        <v>0</v>
      </c>
      <c r="J27" s="21">
        <v>37</v>
      </c>
      <c r="K27" s="21">
        <v>4</v>
      </c>
      <c r="L27" s="21">
        <v>0</v>
      </c>
      <c r="M27" s="21">
        <v>1200</v>
      </c>
      <c r="N27" s="61">
        <f>+M27/1200</f>
        <v>1</v>
      </c>
      <c r="O27" s="60">
        <v>505256.84</v>
      </c>
      <c r="P27" s="21">
        <v>77534.45</v>
      </c>
      <c r="Q27" s="21">
        <v>23947.79</v>
      </c>
      <c r="R27" s="21">
        <v>375515.05</v>
      </c>
      <c r="S27" s="21">
        <v>10195.200000000001</v>
      </c>
      <c r="T27" s="21">
        <v>11158.2</v>
      </c>
      <c r="U27" s="21">
        <v>0</v>
      </c>
      <c r="V27" s="21">
        <v>45178.45</v>
      </c>
      <c r="W27" s="21">
        <v>7251</v>
      </c>
      <c r="X27" s="21">
        <v>0</v>
      </c>
      <c r="Y27" s="21">
        <v>301732.2</v>
      </c>
      <c r="Z27" s="21">
        <v>28259.55</v>
      </c>
      <c r="AA27" s="21">
        <v>0</v>
      </c>
      <c r="AB27" s="21">
        <v>0</v>
      </c>
      <c r="AC27" s="21">
        <v>1731000</v>
      </c>
    </row>
    <row r="28" spans="1:30" outlineLevel="1" collapsed="1">
      <c r="F28" s="62" t="s">
        <v>1477</v>
      </c>
      <c r="M28" s="21">
        <f>SUBTOTAL(9,M25:M27)</f>
        <v>2400</v>
      </c>
      <c r="N28" s="61">
        <f>SUBTOTAL(9,N25:N27)</f>
        <v>2</v>
      </c>
      <c r="O28" s="60">
        <f>SUBTOTAL(9,O25:O27)</f>
        <v>648811.22</v>
      </c>
      <c r="AC28" s="21" t="str">
        <f>"1"&amp;LEFT(F28,6)&amp;"110"</f>
        <v>1731000110</v>
      </c>
      <c r="AD28" s="21" t="str">
        <f>VLOOKUP(AC28,'פירוט שכר'!A:K,5,0)</f>
        <v>מהנדס-משכורת</v>
      </c>
    </row>
    <row r="29" spans="1:30" hidden="1" outlineLevel="2">
      <c r="A29" s="21">
        <v>467</v>
      </c>
      <c r="B29" s="21">
        <v>2921459</v>
      </c>
      <c r="C29" s="21">
        <v>29214590</v>
      </c>
      <c r="D29" s="21" t="s">
        <v>1476</v>
      </c>
      <c r="E29" s="21" t="s">
        <v>1176</v>
      </c>
      <c r="F29" s="21">
        <v>741000</v>
      </c>
      <c r="G29" s="21" t="s">
        <v>1151</v>
      </c>
      <c r="H29" s="21">
        <v>90541</v>
      </c>
      <c r="I29" s="21">
        <v>0</v>
      </c>
      <c r="J29" s="21">
        <v>5</v>
      </c>
      <c r="K29" s="21">
        <v>6</v>
      </c>
      <c r="L29" s="21">
        <v>0</v>
      </c>
      <c r="M29" s="21">
        <v>1200</v>
      </c>
      <c r="N29" s="61">
        <f>+M29/1200</f>
        <v>1</v>
      </c>
      <c r="O29" s="60">
        <v>86766.14</v>
      </c>
      <c r="P29" s="21">
        <v>12310.5</v>
      </c>
      <c r="Q29" s="21">
        <v>2461.7399999999998</v>
      </c>
      <c r="R29" s="21">
        <v>66929.05</v>
      </c>
      <c r="S29" s="21">
        <v>0</v>
      </c>
      <c r="T29" s="21">
        <v>5359</v>
      </c>
      <c r="U29" s="21">
        <v>0</v>
      </c>
      <c r="V29" s="21">
        <v>0</v>
      </c>
      <c r="W29" s="21">
        <v>939.75</v>
      </c>
      <c r="X29" s="21">
        <v>2870.1</v>
      </c>
      <c r="Y29" s="21">
        <v>57760.2</v>
      </c>
      <c r="Z29" s="21">
        <v>5064.8500000000004</v>
      </c>
      <c r="AA29" s="21">
        <v>0</v>
      </c>
      <c r="AB29" s="21">
        <v>0</v>
      </c>
      <c r="AC29" s="21">
        <v>1741000</v>
      </c>
    </row>
    <row r="30" spans="1:30" outlineLevel="1" collapsed="1">
      <c r="F30" s="62" t="s">
        <v>1475</v>
      </c>
      <c r="M30" s="21">
        <f>SUBTOTAL(9,M29:M29)</f>
        <v>1200</v>
      </c>
      <c r="N30" s="61">
        <f>SUBTOTAL(9,N29:N29)</f>
        <v>1</v>
      </c>
      <c r="O30" s="60">
        <f>SUBTOTAL(9,O29:O29)</f>
        <v>86766.14</v>
      </c>
      <c r="AC30" s="21" t="str">
        <f>"1"&amp;LEFT(F30,6)&amp;"110"</f>
        <v>1741000110</v>
      </c>
      <c r="AD30" s="21" t="str">
        <f>VLOOKUP(AC30,'פירוט שכר'!A:K,5,0)</f>
        <v>נכסים ציבוריים-משכורת</v>
      </c>
    </row>
    <row r="31" spans="1:30" hidden="1" outlineLevel="2">
      <c r="A31" s="21">
        <v>467</v>
      </c>
      <c r="B31" s="21">
        <v>2750924</v>
      </c>
      <c r="C31" s="21">
        <v>27509249</v>
      </c>
      <c r="D31" s="21" t="s">
        <v>1256</v>
      </c>
      <c r="E31" s="21" t="s">
        <v>1474</v>
      </c>
      <c r="F31" s="21">
        <v>747200</v>
      </c>
      <c r="G31" s="21" t="s">
        <v>1151</v>
      </c>
      <c r="H31" s="21">
        <v>90541</v>
      </c>
      <c r="I31" s="21">
        <v>1</v>
      </c>
      <c r="J31" s="21">
        <v>0</v>
      </c>
      <c r="K31" s="21">
        <v>0</v>
      </c>
      <c r="L31" s="21">
        <v>0</v>
      </c>
      <c r="M31" s="21">
        <v>0</v>
      </c>
      <c r="N31" s="61">
        <f>+M31/1200</f>
        <v>0</v>
      </c>
      <c r="O31" s="60">
        <v>35941.480000000003</v>
      </c>
      <c r="P31" s="21">
        <v>0</v>
      </c>
      <c r="Q31" s="21">
        <v>1291.98</v>
      </c>
      <c r="R31" s="21">
        <v>32232.1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32232.1</v>
      </c>
      <c r="Z31" s="21">
        <v>2417.4</v>
      </c>
      <c r="AA31" s="21">
        <v>0</v>
      </c>
      <c r="AB31" s="21">
        <v>0</v>
      </c>
      <c r="AC31" s="21">
        <v>1747200</v>
      </c>
    </row>
    <row r="32" spans="1:30" hidden="1" outlineLevel="2">
      <c r="A32" s="21">
        <v>467</v>
      </c>
      <c r="B32" s="21">
        <v>3339705</v>
      </c>
      <c r="C32" s="21">
        <v>33397050</v>
      </c>
      <c r="D32" s="21" t="s">
        <v>1256</v>
      </c>
      <c r="E32" s="21" t="s">
        <v>1416</v>
      </c>
      <c r="F32" s="21">
        <v>747200</v>
      </c>
      <c r="G32" s="21" t="s">
        <v>1151</v>
      </c>
      <c r="H32" s="21">
        <v>90541</v>
      </c>
      <c r="I32" s="21">
        <v>1</v>
      </c>
      <c r="J32" s="21">
        <v>0</v>
      </c>
      <c r="K32" s="21">
        <v>0</v>
      </c>
      <c r="L32" s="21">
        <v>0</v>
      </c>
      <c r="M32" s="21">
        <v>0</v>
      </c>
      <c r="N32" s="61">
        <f>+M32/1200</f>
        <v>0</v>
      </c>
      <c r="O32" s="60">
        <v>59565.55</v>
      </c>
      <c r="P32" s="21">
        <v>7587.74</v>
      </c>
      <c r="Q32" s="21">
        <v>2043.19</v>
      </c>
      <c r="R32" s="21">
        <v>46425.8</v>
      </c>
      <c r="S32" s="21">
        <v>7920</v>
      </c>
      <c r="T32" s="21">
        <v>2260</v>
      </c>
      <c r="U32" s="21">
        <v>0</v>
      </c>
      <c r="V32" s="21">
        <v>0</v>
      </c>
      <c r="W32" s="21">
        <v>68.5</v>
      </c>
      <c r="X32" s="21">
        <v>0</v>
      </c>
      <c r="Y32" s="21">
        <v>36177.300000000003</v>
      </c>
      <c r="Z32" s="21">
        <v>3508.82</v>
      </c>
      <c r="AA32" s="21">
        <v>0</v>
      </c>
      <c r="AB32" s="21">
        <v>0</v>
      </c>
      <c r="AC32" s="21">
        <v>1747200</v>
      </c>
    </row>
    <row r="33" spans="1:30" hidden="1" outlineLevel="2">
      <c r="A33" s="21">
        <v>467</v>
      </c>
      <c r="B33" s="21">
        <v>5940787</v>
      </c>
      <c r="C33" s="21">
        <v>59407874</v>
      </c>
      <c r="D33" s="21" t="s">
        <v>1473</v>
      </c>
      <c r="E33" s="21" t="s">
        <v>1176</v>
      </c>
      <c r="F33" s="21">
        <v>747200</v>
      </c>
      <c r="G33" s="21" t="s">
        <v>1151</v>
      </c>
      <c r="H33" s="21">
        <v>90541</v>
      </c>
      <c r="I33" s="21">
        <v>0</v>
      </c>
      <c r="J33" s="21">
        <v>5</v>
      </c>
      <c r="K33" s="21">
        <v>6</v>
      </c>
      <c r="L33" s="21">
        <v>0</v>
      </c>
      <c r="M33" s="21">
        <v>800</v>
      </c>
      <c r="N33" s="61">
        <f>+M33/1200</f>
        <v>0.66666666666666663</v>
      </c>
      <c r="O33" s="60">
        <v>152539.07</v>
      </c>
      <c r="P33" s="21">
        <v>24596.55</v>
      </c>
      <c r="Q33" s="21">
        <v>5672.26</v>
      </c>
      <c r="R33" s="21">
        <v>113697.76</v>
      </c>
      <c r="S33" s="21">
        <v>7920</v>
      </c>
      <c r="T33" s="21">
        <v>4697</v>
      </c>
      <c r="U33" s="21">
        <v>0</v>
      </c>
      <c r="V33" s="21">
        <v>0</v>
      </c>
      <c r="W33" s="21">
        <v>401.1</v>
      </c>
      <c r="X33" s="21">
        <v>44.25</v>
      </c>
      <c r="Y33" s="21">
        <v>100635.41</v>
      </c>
      <c r="Z33" s="21">
        <v>8572.5</v>
      </c>
      <c r="AA33" s="21">
        <v>0</v>
      </c>
      <c r="AB33" s="21">
        <v>0</v>
      </c>
      <c r="AC33" s="21">
        <v>1747200</v>
      </c>
    </row>
    <row r="34" spans="1:30" hidden="1" outlineLevel="2">
      <c r="A34" s="21">
        <v>467</v>
      </c>
      <c r="B34" s="21">
        <v>30835002</v>
      </c>
      <c r="C34" s="21">
        <v>308350024</v>
      </c>
      <c r="D34" s="21" t="s">
        <v>1173</v>
      </c>
      <c r="E34" s="21" t="s">
        <v>1280</v>
      </c>
      <c r="F34" s="21">
        <v>747200</v>
      </c>
      <c r="G34" s="21" t="s">
        <v>1151</v>
      </c>
      <c r="H34" s="21">
        <v>90541</v>
      </c>
      <c r="I34" s="21">
        <v>1</v>
      </c>
      <c r="J34" s="21">
        <v>0</v>
      </c>
      <c r="K34" s="21">
        <v>0</v>
      </c>
      <c r="L34" s="21">
        <v>0</v>
      </c>
      <c r="M34" s="21">
        <v>0</v>
      </c>
      <c r="N34" s="61">
        <f>+M34/1200</f>
        <v>0</v>
      </c>
      <c r="O34" s="60">
        <v>10337.549999999999</v>
      </c>
      <c r="P34" s="21">
        <v>0</v>
      </c>
      <c r="Q34" s="21">
        <v>321.45</v>
      </c>
      <c r="R34" s="21">
        <v>9317.35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9317.35</v>
      </c>
      <c r="Z34" s="21">
        <v>698.75</v>
      </c>
      <c r="AA34" s="21">
        <v>0</v>
      </c>
      <c r="AB34" s="21">
        <v>0</v>
      </c>
      <c r="AC34" s="21">
        <v>1747200</v>
      </c>
    </row>
    <row r="35" spans="1:30" outlineLevel="1" collapsed="1">
      <c r="F35" s="62" t="s">
        <v>1472</v>
      </c>
      <c r="M35" s="21">
        <f>SUBTOTAL(9,M31:M34)</f>
        <v>800</v>
      </c>
      <c r="N35" s="61">
        <f>SUBTOTAL(9,N31:N34)</f>
        <v>0.66666666666666663</v>
      </c>
      <c r="O35" s="60">
        <f>SUBTOTAL(9,O31:O34)</f>
        <v>258383.65</v>
      </c>
      <c r="AC35" s="21" t="str">
        <f>"1"&amp;LEFT(F35,6)&amp;"110"</f>
        <v>1747200110</v>
      </c>
      <c r="AD35" s="21" t="str">
        <f>VLOOKUP(AC35,'פירוט שכר'!A:K,5,0)</f>
        <v>חוף רחצה-משכורת</v>
      </c>
    </row>
    <row r="36" spans="1:30" hidden="1" outlineLevel="2">
      <c r="A36" s="21">
        <v>467</v>
      </c>
      <c r="B36" s="21">
        <v>5584867</v>
      </c>
      <c r="C36" s="21">
        <v>55848675</v>
      </c>
      <c r="D36" s="21" t="s">
        <v>1153</v>
      </c>
      <c r="E36" s="21" t="s">
        <v>1293</v>
      </c>
      <c r="F36" s="21">
        <v>811000</v>
      </c>
      <c r="G36" s="21" t="s">
        <v>1151</v>
      </c>
      <c r="H36" s="21">
        <v>90541</v>
      </c>
      <c r="I36" s="21">
        <v>0</v>
      </c>
      <c r="J36" s="21">
        <v>44</v>
      </c>
      <c r="K36" s="21">
        <v>1</v>
      </c>
      <c r="L36" s="21">
        <v>1</v>
      </c>
      <c r="M36" s="21">
        <v>1200</v>
      </c>
      <c r="N36" s="61">
        <f>+M36/1200</f>
        <v>1</v>
      </c>
      <c r="O36" s="60">
        <v>303540.65000000002</v>
      </c>
      <c r="P36" s="21">
        <v>36735.949999999997</v>
      </c>
      <c r="Q36" s="21">
        <v>13808.5</v>
      </c>
      <c r="R36" s="21">
        <v>235233.65</v>
      </c>
      <c r="S36" s="21">
        <v>-74.349999999999994</v>
      </c>
      <c r="T36" s="21">
        <v>11391.75</v>
      </c>
      <c r="U36" s="21">
        <v>0</v>
      </c>
      <c r="V36" s="21">
        <v>18790.7</v>
      </c>
      <c r="W36" s="21">
        <v>7091</v>
      </c>
      <c r="X36" s="21">
        <v>17631.05</v>
      </c>
      <c r="Y36" s="21">
        <v>180403.5</v>
      </c>
      <c r="Z36" s="21">
        <v>17762.55</v>
      </c>
      <c r="AA36" s="21">
        <v>0</v>
      </c>
      <c r="AB36" s="21">
        <v>0</v>
      </c>
      <c r="AC36" s="21">
        <v>1811000</v>
      </c>
    </row>
    <row r="37" spans="1:30" outlineLevel="1" collapsed="1">
      <c r="F37" s="62" t="s">
        <v>1471</v>
      </c>
      <c r="M37" s="21">
        <f>SUBTOTAL(9,M36:M36)</f>
        <v>1200</v>
      </c>
      <c r="N37" s="61">
        <f>SUBTOTAL(9,N36:N36)</f>
        <v>1</v>
      </c>
      <c r="O37" s="60">
        <f>SUBTOTAL(9,O36:O36)</f>
        <v>303540.65000000002</v>
      </c>
      <c r="AC37" s="21" t="str">
        <f>"1"&amp;LEFT(F37,6)&amp;"110"</f>
        <v>1811000110</v>
      </c>
      <c r="AD37" s="21" t="str">
        <f>VLOOKUP(AC37,'פירוט שכר'!A:K,5,0)</f>
        <v>מנהל חינוך-משכורת</v>
      </c>
    </row>
    <row r="38" spans="1:30" hidden="1" outlineLevel="2">
      <c r="A38" s="21">
        <v>467</v>
      </c>
      <c r="B38" s="21">
        <v>2312838</v>
      </c>
      <c r="C38" s="21">
        <v>23128382</v>
      </c>
      <c r="D38" s="21" t="s">
        <v>1470</v>
      </c>
      <c r="E38" s="21" t="s">
        <v>1469</v>
      </c>
      <c r="F38" s="21">
        <v>811100</v>
      </c>
      <c r="G38" s="21" t="s">
        <v>1151</v>
      </c>
      <c r="H38" s="21">
        <v>90541</v>
      </c>
      <c r="I38" s="21">
        <v>0</v>
      </c>
      <c r="J38" s="21">
        <v>46</v>
      </c>
      <c r="K38" s="21">
        <v>1</v>
      </c>
      <c r="L38" s="21">
        <v>2</v>
      </c>
      <c r="M38" s="21">
        <v>1200</v>
      </c>
      <c r="N38" s="61">
        <f>+M38/1200</f>
        <v>1</v>
      </c>
      <c r="O38" s="60">
        <v>278615.40000000002</v>
      </c>
      <c r="P38" s="21">
        <v>37002.65</v>
      </c>
      <c r="Q38" s="21">
        <v>12324.75</v>
      </c>
      <c r="R38" s="21">
        <v>213179.6</v>
      </c>
      <c r="S38" s="21">
        <v>-65.099999999999994</v>
      </c>
      <c r="T38" s="21">
        <v>10185.35</v>
      </c>
      <c r="U38" s="21">
        <v>0</v>
      </c>
      <c r="V38" s="21">
        <v>8596.2999999999993</v>
      </c>
      <c r="W38" s="21">
        <v>16000.15</v>
      </c>
      <c r="X38" s="21">
        <v>29067.85</v>
      </c>
      <c r="Y38" s="21">
        <v>149395.04999999999</v>
      </c>
      <c r="Z38" s="21">
        <v>16108.4</v>
      </c>
      <c r="AA38" s="21">
        <v>0</v>
      </c>
      <c r="AB38" s="21">
        <v>0</v>
      </c>
      <c r="AC38" s="21">
        <v>1811000</v>
      </c>
    </row>
    <row r="39" spans="1:30" outlineLevel="1" collapsed="1">
      <c r="F39" s="62" t="s">
        <v>1468</v>
      </c>
      <c r="M39" s="21">
        <f>SUBTOTAL(9,M38:M38)</f>
        <v>1200</v>
      </c>
      <c r="N39" s="61">
        <f>SUBTOTAL(9,N38:N38)</f>
        <v>1</v>
      </c>
      <c r="O39" s="60">
        <f>SUBTOTAL(9,O38:O38)</f>
        <v>278615.40000000002</v>
      </c>
      <c r="AC39" s="21" t="str">
        <f>"1"&amp;LEFT(F39,6)&amp;"110"</f>
        <v>1811100110</v>
      </c>
    </row>
    <row r="40" spans="1:30" hidden="1" outlineLevel="2">
      <c r="A40" s="21">
        <v>467</v>
      </c>
      <c r="B40" s="21">
        <v>3665503</v>
      </c>
      <c r="C40" s="21">
        <v>36655033</v>
      </c>
      <c r="D40" s="21" t="s">
        <v>1194</v>
      </c>
      <c r="E40" s="21" t="s">
        <v>1338</v>
      </c>
      <c r="F40" s="21">
        <v>811200</v>
      </c>
      <c r="G40" s="21" t="s">
        <v>1151</v>
      </c>
      <c r="H40" s="21">
        <v>90541</v>
      </c>
      <c r="I40" s="21">
        <v>0</v>
      </c>
      <c r="J40" s="21">
        <v>5</v>
      </c>
      <c r="K40" s="21">
        <v>6</v>
      </c>
      <c r="L40" s="21">
        <v>0</v>
      </c>
      <c r="M40" s="21">
        <v>1200</v>
      </c>
      <c r="N40" s="61">
        <f>+M40/1200</f>
        <v>1</v>
      </c>
      <c r="O40" s="60">
        <v>90200.58</v>
      </c>
      <c r="P40" s="21">
        <v>9958.35</v>
      </c>
      <c r="Q40" s="21">
        <v>2702.88</v>
      </c>
      <c r="R40" s="21">
        <v>72130.2</v>
      </c>
      <c r="S40" s="21">
        <v>5598.25</v>
      </c>
      <c r="T40" s="21">
        <v>2679.5</v>
      </c>
      <c r="U40" s="21">
        <v>0</v>
      </c>
      <c r="V40" s="21">
        <v>0</v>
      </c>
      <c r="W40" s="21">
        <v>6702.6</v>
      </c>
      <c r="X40" s="21">
        <v>26.75</v>
      </c>
      <c r="Y40" s="21">
        <v>57123.1</v>
      </c>
      <c r="Z40" s="21">
        <v>5409.15</v>
      </c>
      <c r="AA40" s="21">
        <v>0</v>
      </c>
      <c r="AB40" s="21">
        <v>0</v>
      </c>
      <c r="AC40" s="21">
        <v>1811000</v>
      </c>
    </row>
    <row r="41" spans="1:30" outlineLevel="1" collapsed="1">
      <c r="F41" s="62" t="s">
        <v>1467</v>
      </c>
      <c r="M41" s="21">
        <f>SUBTOTAL(9,M40:M40)</f>
        <v>1200</v>
      </c>
      <c r="N41" s="61">
        <f>SUBTOTAL(9,N40:N40)</f>
        <v>1</v>
      </c>
      <c r="O41" s="60">
        <f>SUBTOTAL(9,O40:O40)</f>
        <v>90200.58</v>
      </c>
      <c r="AC41" s="21" t="str">
        <f>"1"&amp;LEFT(F41,6)&amp;"110"</f>
        <v>1811200110</v>
      </c>
    </row>
    <row r="42" spans="1:30" hidden="1" outlineLevel="2">
      <c r="A42" s="21">
        <v>467</v>
      </c>
      <c r="B42" s="21">
        <v>2590860</v>
      </c>
      <c r="C42" s="21">
        <v>25908609</v>
      </c>
      <c r="D42" s="21" t="s">
        <v>1153</v>
      </c>
      <c r="E42" s="21" t="s">
        <v>1359</v>
      </c>
      <c r="F42" s="21">
        <v>812200</v>
      </c>
      <c r="G42" s="21" t="s">
        <v>1151</v>
      </c>
      <c r="H42" s="21">
        <v>90541</v>
      </c>
      <c r="I42" s="21">
        <v>0</v>
      </c>
      <c r="J42" s="21">
        <v>5</v>
      </c>
      <c r="K42" s="21">
        <v>7</v>
      </c>
      <c r="L42" s="21">
        <v>0</v>
      </c>
      <c r="M42" s="21">
        <v>1000</v>
      </c>
      <c r="N42" s="61">
        <f t="shared" ref="N42:N55" si="0">+M42/1200</f>
        <v>0.83333333333333337</v>
      </c>
      <c r="O42" s="60">
        <v>80132.92</v>
      </c>
      <c r="P42" s="21">
        <v>11719.95</v>
      </c>
      <c r="Q42" s="21">
        <v>2373.44</v>
      </c>
      <c r="R42" s="21">
        <v>61411.18</v>
      </c>
      <c r="S42" s="21">
        <v>0</v>
      </c>
      <c r="T42" s="21">
        <v>6213</v>
      </c>
      <c r="U42" s="21">
        <v>0</v>
      </c>
      <c r="V42" s="21">
        <v>0</v>
      </c>
      <c r="W42" s="21">
        <v>623</v>
      </c>
      <c r="X42" s="21">
        <v>8.5500000000000007</v>
      </c>
      <c r="Y42" s="21">
        <v>54566.63</v>
      </c>
      <c r="Z42" s="21">
        <v>4628.3500000000004</v>
      </c>
      <c r="AA42" s="21">
        <v>0</v>
      </c>
      <c r="AB42" s="21">
        <v>0</v>
      </c>
      <c r="AC42" s="21">
        <v>1812200</v>
      </c>
    </row>
    <row r="43" spans="1:30" hidden="1" outlineLevel="2">
      <c r="A43" s="21">
        <v>467</v>
      </c>
      <c r="B43" s="21">
        <v>2618322</v>
      </c>
      <c r="C43" s="21">
        <v>26183228</v>
      </c>
      <c r="D43" s="21" t="s">
        <v>1153</v>
      </c>
      <c r="E43" s="21" t="s">
        <v>1466</v>
      </c>
      <c r="F43" s="21">
        <v>812200</v>
      </c>
      <c r="G43" s="21" t="s">
        <v>1151</v>
      </c>
      <c r="H43" s="21">
        <v>90541</v>
      </c>
      <c r="I43" s="21">
        <v>0</v>
      </c>
      <c r="J43" s="21">
        <v>5</v>
      </c>
      <c r="K43" s="21">
        <v>7</v>
      </c>
      <c r="L43" s="21">
        <v>0</v>
      </c>
      <c r="M43" s="21">
        <v>1200</v>
      </c>
      <c r="N43" s="61">
        <f t="shared" si="0"/>
        <v>1</v>
      </c>
      <c r="O43" s="60">
        <v>91924.5</v>
      </c>
      <c r="P43" s="21">
        <v>13542.5</v>
      </c>
      <c r="Q43" s="21">
        <v>2666.4</v>
      </c>
      <c r="R43" s="21">
        <v>70391</v>
      </c>
      <c r="S43" s="21">
        <v>0</v>
      </c>
      <c r="T43" s="21">
        <v>5786</v>
      </c>
      <c r="U43" s="21">
        <v>0</v>
      </c>
      <c r="V43" s="21">
        <v>0</v>
      </c>
      <c r="W43" s="21">
        <v>994.2</v>
      </c>
      <c r="X43" s="21">
        <v>16.05</v>
      </c>
      <c r="Y43" s="21">
        <v>63594.75</v>
      </c>
      <c r="Z43" s="21">
        <v>5324.6</v>
      </c>
      <c r="AA43" s="21">
        <v>0</v>
      </c>
      <c r="AB43" s="21">
        <v>0</v>
      </c>
      <c r="AC43" s="21">
        <v>1812200</v>
      </c>
    </row>
    <row r="44" spans="1:30" hidden="1" outlineLevel="2">
      <c r="A44" s="21">
        <v>467</v>
      </c>
      <c r="B44" s="21">
        <v>2750507</v>
      </c>
      <c r="C44" s="21">
        <v>27505072</v>
      </c>
      <c r="D44" s="21" t="s">
        <v>1454</v>
      </c>
      <c r="E44" s="21" t="s">
        <v>1427</v>
      </c>
      <c r="F44" s="21">
        <v>812200</v>
      </c>
      <c r="G44" s="21" t="s">
        <v>1151</v>
      </c>
      <c r="H44" s="21">
        <v>90541</v>
      </c>
      <c r="I44" s="21">
        <v>0</v>
      </c>
      <c r="J44" s="21">
        <v>5</v>
      </c>
      <c r="K44" s="21">
        <v>6</v>
      </c>
      <c r="L44" s="21">
        <v>0</v>
      </c>
      <c r="M44" s="21">
        <v>960</v>
      </c>
      <c r="N44" s="61">
        <f t="shared" si="0"/>
        <v>0.8</v>
      </c>
      <c r="O44" s="60">
        <v>71654.649999999994</v>
      </c>
      <c r="P44" s="21">
        <v>10679.3</v>
      </c>
      <c r="Q44" s="21">
        <v>1949.73</v>
      </c>
      <c r="R44" s="21">
        <v>54890.53</v>
      </c>
      <c r="S44" s="21">
        <v>0</v>
      </c>
      <c r="T44" s="21">
        <v>3074.4</v>
      </c>
      <c r="U44" s="21">
        <v>0</v>
      </c>
      <c r="V44" s="21">
        <v>0</v>
      </c>
      <c r="W44" s="21">
        <v>408</v>
      </c>
      <c r="X44" s="21">
        <v>-15.45</v>
      </c>
      <c r="Y44" s="21">
        <v>51423.58</v>
      </c>
      <c r="Z44" s="21">
        <v>4135.09</v>
      </c>
      <c r="AA44" s="21">
        <v>0</v>
      </c>
      <c r="AB44" s="21">
        <v>0</v>
      </c>
      <c r="AC44" s="21">
        <v>1812200</v>
      </c>
    </row>
    <row r="45" spans="1:30" hidden="1" outlineLevel="2">
      <c r="A45" s="21">
        <v>467</v>
      </c>
      <c r="B45" s="21">
        <v>2759563</v>
      </c>
      <c r="C45" s="21">
        <v>27595636</v>
      </c>
      <c r="D45" s="21" t="s">
        <v>1298</v>
      </c>
      <c r="E45" s="21" t="s">
        <v>1409</v>
      </c>
      <c r="F45" s="21">
        <v>812200</v>
      </c>
      <c r="G45" s="21" t="s">
        <v>1151</v>
      </c>
      <c r="H45" s="21">
        <v>90541</v>
      </c>
      <c r="I45" s="21">
        <v>0</v>
      </c>
      <c r="J45" s="21">
        <v>5</v>
      </c>
      <c r="K45" s="21">
        <v>37</v>
      </c>
      <c r="L45" s="21">
        <v>0</v>
      </c>
      <c r="M45" s="21">
        <v>1200</v>
      </c>
      <c r="N45" s="61">
        <f t="shared" si="0"/>
        <v>1</v>
      </c>
      <c r="O45" s="60">
        <v>104365.21</v>
      </c>
      <c r="P45" s="21">
        <v>15755.83</v>
      </c>
      <c r="Q45" s="21">
        <v>3322.33</v>
      </c>
      <c r="R45" s="21">
        <v>79319.87</v>
      </c>
      <c r="S45" s="21">
        <v>-30.25</v>
      </c>
      <c r="T45" s="21">
        <v>7067</v>
      </c>
      <c r="U45" s="21">
        <v>0</v>
      </c>
      <c r="V45" s="21">
        <v>0</v>
      </c>
      <c r="W45" s="21">
        <v>583.20000000000005</v>
      </c>
      <c r="X45" s="21">
        <v>14.9</v>
      </c>
      <c r="Y45" s="21">
        <v>71685.02</v>
      </c>
      <c r="Z45" s="21">
        <v>5967.18</v>
      </c>
      <c r="AA45" s="21">
        <v>0</v>
      </c>
      <c r="AB45" s="21">
        <v>0</v>
      </c>
      <c r="AC45" s="21">
        <v>1812200</v>
      </c>
    </row>
    <row r="46" spans="1:30" hidden="1" outlineLevel="2">
      <c r="A46" s="21">
        <v>467</v>
      </c>
      <c r="B46" s="21">
        <v>3310543</v>
      </c>
      <c r="C46" s="21">
        <v>33105438</v>
      </c>
      <c r="D46" s="21" t="s">
        <v>1465</v>
      </c>
      <c r="E46" s="21" t="s">
        <v>1338</v>
      </c>
      <c r="F46" s="21">
        <v>812200</v>
      </c>
      <c r="G46" s="21" t="s">
        <v>1151</v>
      </c>
      <c r="H46" s="21">
        <v>90541</v>
      </c>
      <c r="I46" s="21">
        <v>0</v>
      </c>
      <c r="J46" s="21">
        <v>5</v>
      </c>
      <c r="K46" s="21">
        <v>37</v>
      </c>
      <c r="L46" s="21">
        <v>0</v>
      </c>
      <c r="M46" s="21">
        <v>1200</v>
      </c>
      <c r="N46" s="61">
        <f t="shared" si="0"/>
        <v>1</v>
      </c>
      <c r="O46" s="60">
        <v>96571.62</v>
      </c>
      <c r="P46" s="21">
        <v>14228.3</v>
      </c>
      <c r="Q46" s="21">
        <v>2871.73</v>
      </c>
      <c r="R46" s="21">
        <v>73884.89</v>
      </c>
      <c r="S46" s="21">
        <v>0</v>
      </c>
      <c r="T46" s="21">
        <v>6213</v>
      </c>
      <c r="U46" s="21">
        <v>0</v>
      </c>
      <c r="V46" s="21">
        <v>0</v>
      </c>
      <c r="W46" s="21">
        <v>994.2</v>
      </c>
      <c r="X46" s="21">
        <v>4.3499999999999996</v>
      </c>
      <c r="Y46" s="21">
        <v>66673.34</v>
      </c>
      <c r="Z46" s="21">
        <v>5586.7</v>
      </c>
      <c r="AA46" s="21">
        <v>0</v>
      </c>
      <c r="AB46" s="21">
        <v>0</v>
      </c>
      <c r="AC46" s="21">
        <v>1812200</v>
      </c>
    </row>
    <row r="47" spans="1:30" hidden="1" outlineLevel="2">
      <c r="A47" s="21">
        <v>467</v>
      </c>
      <c r="B47" s="21">
        <v>3310728</v>
      </c>
      <c r="C47" s="21">
        <v>33107285</v>
      </c>
      <c r="D47" s="21" t="s">
        <v>1153</v>
      </c>
      <c r="E47" s="21" t="s">
        <v>1433</v>
      </c>
      <c r="F47" s="21">
        <v>812200</v>
      </c>
      <c r="G47" s="21" t="s">
        <v>1151</v>
      </c>
      <c r="H47" s="21">
        <v>90541</v>
      </c>
      <c r="I47" s="21">
        <v>0</v>
      </c>
      <c r="J47" s="21">
        <v>5</v>
      </c>
      <c r="K47" s="21">
        <v>5</v>
      </c>
      <c r="L47" s="21">
        <v>0</v>
      </c>
      <c r="M47" s="21">
        <v>1200</v>
      </c>
      <c r="N47" s="61">
        <f t="shared" si="0"/>
        <v>1</v>
      </c>
      <c r="O47" s="60">
        <v>89093.91</v>
      </c>
      <c r="P47" s="21">
        <v>13275.34</v>
      </c>
      <c r="Q47" s="21">
        <v>2415.06</v>
      </c>
      <c r="R47" s="21">
        <v>68265.399999999994</v>
      </c>
      <c r="S47" s="21">
        <v>0</v>
      </c>
      <c r="T47" s="21">
        <v>5359</v>
      </c>
      <c r="U47" s="21">
        <v>0</v>
      </c>
      <c r="V47" s="21">
        <v>0</v>
      </c>
      <c r="W47" s="21">
        <v>455.7</v>
      </c>
      <c r="X47" s="21">
        <v>33.450000000000003</v>
      </c>
      <c r="Y47" s="21">
        <v>62417.25</v>
      </c>
      <c r="Z47" s="21">
        <v>5138.1099999999997</v>
      </c>
      <c r="AA47" s="21">
        <v>0</v>
      </c>
      <c r="AB47" s="21">
        <v>0</v>
      </c>
      <c r="AC47" s="21">
        <v>1812200</v>
      </c>
    </row>
    <row r="48" spans="1:30" hidden="1" outlineLevel="2">
      <c r="A48" s="21">
        <v>467</v>
      </c>
      <c r="B48" s="21">
        <v>3342606</v>
      </c>
      <c r="C48" s="21">
        <v>33426065</v>
      </c>
      <c r="D48" s="21" t="s">
        <v>1249</v>
      </c>
      <c r="E48" s="21" t="s">
        <v>1435</v>
      </c>
      <c r="F48" s="21">
        <v>812200</v>
      </c>
      <c r="G48" s="21" t="s">
        <v>1151</v>
      </c>
      <c r="H48" s="21">
        <v>90541</v>
      </c>
      <c r="I48" s="21">
        <v>0</v>
      </c>
      <c r="J48" s="21">
        <v>5</v>
      </c>
      <c r="K48" s="21">
        <v>6</v>
      </c>
      <c r="L48" s="21">
        <v>0</v>
      </c>
      <c r="M48" s="21">
        <v>960</v>
      </c>
      <c r="N48" s="61">
        <f t="shared" si="0"/>
        <v>0.8</v>
      </c>
      <c r="O48" s="60">
        <v>76982.47</v>
      </c>
      <c r="P48" s="21">
        <v>10413.48</v>
      </c>
      <c r="Q48" s="21">
        <v>2174.81</v>
      </c>
      <c r="R48" s="21">
        <v>59884.63</v>
      </c>
      <c r="S48" s="21">
        <v>5078.3999999999996</v>
      </c>
      <c r="T48" s="21">
        <v>4287.2</v>
      </c>
      <c r="U48" s="21">
        <v>0</v>
      </c>
      <c r="V48" s="21">
        <v>0</v>
      </c>
      <c r="W48" s="21">
        <v>422.7</v>
      </c>
      <c r="X48" s="21">
        <v>16.7</v>
      </c>
      <c r="Y48" s="21">
        <v>50079.63</v>
      </c>
      <c r="Z48" s="21">
        <v>4509.55</v>
      </c>
      <c r="AA48" s="21">
        <v>0</v>
      </c>
      <c r="AB48" s="21">
        <v>0</v>
      </c>
      <c r="AC48" s="21">
        <v>1812200</v>
      </c>
    </row>
    <row r="49" spans="1:30" hidden="1" outlineLevel="2">
      <c r="A49" s="21">
        <v>467</v>
      </c>
      <c r="B49" s="21">
        <v>3342802</v>
      </c>
      <c r="C49" s="21">
        <v>33428020</v>
      </c>
      <c r="D49" s="21" t="s">
        <v>1464</v>
      </c>
      <c r="E49" s="21" t="s">
        <v>1333</v>
      </c>
      <c r="F49" s="21">
        <v>812200</v>
      </c>
      <c r="G49" s="21" t="s">
        <v>1151</v>
      </c>
      <c r="H49" s="21">
        <v>90541</v>
      </c>
      <c r="I49" s="21">
        <v>0</v>
      </c>
      <c r="J49" s="21">
        <v>5</v>
      </c>
      <c r="K49" s="21">
        <v>37</v>
      </c>
      <c r="L49" s="21">
        <v>0</v>
      </c>
      <c r="M49" s="21">
        <v>1200</v>
      </c>
      <c r="N49" s="61">
        <f t="shared" si="0"/>
        <v>1</v>
      </c>
      <c r="O49" s="60">
        <v>105215.85</v>
      </c>
      <c r="P49" s="21">
        <v>15250.7</v>
      </c>
      <c r="Q49" s="21">
        <v>3312.05</v>
      </c>
      <c r="R49" s="21">
        <v>80565.45</v>
      </c>
      <c r="S49" s="21">
        <v>0</v>
      </c>
      <c r="T49" s="21">
        <v>6464.85</v>
      </c>
      <c r="U49" s="21">
        <v>0</v>
      </c>
      <c r="V49" s="21">
        <v>0</v>
      </c>
      <c r="W49" s="21">
        <v>994.2</v>
      </c>
      <c r="X49" s="21">
        <v>-16.2</v>
      </c>
      <c r="Y49" s="21">
        <v>73122.600000000006</v>
      </c>
      <c r="Z49" s="21">
        <v>6087.65</v>
      </c>
      <c r="AA49" s="21">
        <v>0</v>
      </c>
      <c r="AB49" s="21">
        <v>0</v>
      </c>
      <c r="AC49" s="21">
        <v>1812200</v>
      </c>
    </row>
    <row r="50" spans="1:30" hidden="1" outlineLevel="2">
      <c r="A50" s="21">
        <v>467</v>
      </c>
      <c r="B50" s="21">
        <v>3457629</v>
      </c>
      <c r="C50" s="21">
        <v>34576298</v>
      </c>
      <c r="D50" s="21" t="s">
        <v>1446</v>
      </c>
      <c r="E50" s="21" t="s">
        <v>1368</v>
      </c>
      <c r="F50" s="21">
        <v>812200</v>
      </c>
      <c r="G50" s="21" t="s">
        <v>1151</v>
      </c>
      <c r="H50" s="21">
        <v>90541</v>
      </c>
      <c r="I50" s="21">
        <v>0</v>
      </c>
      <c r="J50" s="21">
        <v>5</v>
      </c>
      <c r="K50" s="21">
        <v>7</v>
      </c>
      <c r="L50" s="21">
        <v>0</v>
      </c>
      <c r="M50" s="21">
        <v>1200</v>
      </c>
      <c r="N50" s="61">
        <f t="shared" si="0"/>
        <v>1</v>
      </c>
      <c r="O50" s="60">
        <v>99164.89</v>
      </c>
      <c r="P50" s="21">
        <v>16457.810000000001</v>
      </c>
      <c r="Q50" s="21">
        <v>2971.42</v>
      </c>
      <c r="R50" s="21">
        <v>74155.77</v>
      </c>
      <c r="S50" s="21">
        <v>1902.3</v>
      </c>
      <c r="T50" s="21">
        <v>5786</v>
      </c>
      <c r="U50" s="21">
        <v>0</v>
      </c>
      <c r="V50" s="21">
        <v>0</v>
      </c>
      <c r="W50" s="21">
        <v>583.20000000000005</v>
      </c>
      <c r="X50" s="21">
        <v>-12.25</v>
      </c>
      <c r="Y50" s="21">
        <v>65896.52</v>
      </c>
      <c r="Z50" s="21">
        <v>5579.89</v>
      </c>
      <c r="AA50" s="21">
        <v>0</v>
      </c>
      <c r="AB50" s="21">
        <v>0</v>
      </c>
      <c r="AC50" s="21">
        <v>1812200</v>
      </c>
    </row>
    <row r="51" spans="1:30" hidden="1" outlineLevel="2">
      <c r="A51" s="21">
        <v>467</v>
      </c>
      <c r="B51" s="21">
        <v>4349257</v>
      </c>
      <c r="C51" s="21">
        <v>43492578</v>
      </c>
      <c r="D51" s="21" t="s">
        <v>1443</v>
      </c>
      <c r="E51" s="21" t="s">
        <v>1184</v>
      </c>
      <c r="F51" s="21">
        <v>812200</v>
      </c>
      <c r="G51" s="21" t="s">
        <v>1151</v>
      </c>
      <c r="H51" s="21">
        <v>90541</v>
      </c>
      <c r="I51" s="21">
        <v>0</v>
      </c>
      <c r="J51" s="21">
        <v>5</v>
      </c>
      <c r="K51" s="21">
        <v>6</v>
      </c>
      <c r="L51" s="21">
        <v>0</v>
      </c>
      <c r="M51" s="21">
        <v>712</v>
      </c>
      <c r="N51" s="61">
        <f t="shared" si="0"/>
        <v>0.59333333333333338</v>
      </c>
      <c r="O51" s="60">
        <v>56946.25</v>
      </c>
      <c r="P51" s="21">
        <v>7667.43</v>
      </c>
      <c r="Q51" s="21">
        <v>1539.91</v>
      </c>
      <c r="R51" s="21">
        <v>44391.3</v>
      </c>
      <c r="S51" s="21">
        <v>3766.5</v>
      </c>
      <c r="T51" s="21">
        <v>4287.2</v>
      </c>
      <c r="U51" s="21">
        <v>0</v>
      </c>
      <c r="V51" s="21">
        <v>0</v>
      </c>
      <c r="W51" s="21">
        <v>268.64999999999998</v>
      </c>
      <c r="X51" s="21">
        <v>-2.25</v>
      </c>
      <c r="Y51" s="21">
        <v>36071.199999999997</v>
      </c>
      <c r="Z51" s="21">
        <v>3347.61</v>
      </c>
      <c r="AA51" s="21">
        <v>0</v>
      </c>
      <c r="AB51" s="21">
        <v>0</v>
      </c>
      <c r="AC51" s="21">
        <v>1812200</v>
      </c>
    </row>
    <row r="52" spans="1:30" hidden="1" outlineLevel="2">
      <c r="A52" s="21">
        <v>467</v>
      </c>
      <c r="B52" s="21">
        <v>4982768</v>
      </c>
      <c r="C52" s="21">
        <v>49827686</v>
      </c>
      <c r="D52" s="21" t="s">
        <v>1183</v>
      </c>
      <c r="E52" s="21" t="s">
        <v>1463</v>
      </c>
      <c r="F52" s="21">
        <v>812200</v>
      </c>
      <c r="G52" s="21" t="s">
        <v>1151</v>
      </c>
      <c r="H52" s="21">
        <v>90541</v>
      </c>
      <c r="I52" s="21">
        <v>0</v>
      </c>
      <c r="J52" s="21">
        <v>5</v>
      </c>
      <c r="K52" s="21">
        <v>5</v>
      </c>
      <c r="L52" s="21">
        <v>0</v>
      </c>
      <c r="M52" s="21">
        <v>761.2</v>
      </c>
      <c r="N52" s="61">
        <f t="shared" si="0"/>
        <v>0.63433333333333342</v>
      </c>
      <c r="O52" s="60">
        <v>65837.100000000006</v>
      </c>
      <c r="P52" s="21">
        <v>8787.15</v>
      </c>
      <c r="Q52" s="21">
        <v>1892.21</v>
      </c>
      <c r="R52" s="21">
        <v>51268.44</v>
      </c>
      <c r="S52" s="21">
        <v>3939.7</v>
      </c>
      <c r="T52" s="21">
        <v>4347.95</v>
      </c>
      <c r="U52" s="21">
        <v>0</v>
      </c>
      <c r="V52" s="21">
        <v>0</v>
      </c>
      <c r="W52" s="21">
        <v>702.95</v>
      </c>
      <c r="X52" s="21">
        <v>38.5</v>
      </c>
      <c r="Y52" s="21">
        <v>42239.34</v>
      </c>
      <c r="Z52" s="21">
        <v>3889.3</v>
      </c>
      <c r="AA52" s="21">
        <v>0</v>
      </c>
      <c r="AB52" s="21">
        <v>0</v>
      </c>
      <c r="AC52" s="21">
        <v>1812200</v>
      </c>
    </row>
    <row r="53" spans="1:30" hidden="1" outlineLevel="2">
      <c r="A53" s="21">
        <v>467</v>
      </c>
      <c r="B53" s="21">
        <v>5112715</v>
      </c>
      <c r="C53" s="21">
        <v>51127157</v>
      </c>
      <c r="D53" s="21" t="s">
        <v>1462</v>
      </c>
      <c r="E53" s="21" t="s">
        <v>1359</v>
      </c>
      <c r="F53" s="21">
        <v>812200</v>
      </c>
      <c r="G53" s="21" t="s">
        <v>1151</v>
      </c>
      <c r="H53" s="21">
        <v>90541</v>
      </c>
      <c r="I53" s="21">
        <v>0</v>
      </c>
      <c r="J53" s="21">
        <v>5</v>
      </c>
      <c r="K53" s="21">
        <v>7</v>
      </c>
      <c r="L53" s="21">
        <v>0</v>
      </c>
      <c r="M53" s="21">
        <v>1000</v>
      </c>
      <c r="N53" s="61">
        <f t="shared" si="0"/>
        <v>0.83333333333333337</v>
      </c>
      <c r="O53" s="60">
        <v>104710.6</v>
      </c>
      <c r="P53" s="21">
        <v>14981</v>
      </c>
      <c r="Q53" s="21">
        <v>3302.54</v>
      </c>
      <c r="R53" s="21">
        <v>80374.210000000006</v>
      </c>
      <c r="S53" s="21">
        <v>-32.15</v>
      </c>
      <c r="T53" s="21">
        <v>14134</v>
      </c>
      <c r="U53" s="21">
        <v>0</v>
      </c>
      <c r="V53" s="21">
        <v>0</v>
      </c>
      <c r="W53" s="21">
        <v>486</v>
      </c>
      <c r="X53" s="21">
        <v>5.4</v>
      </c>
      <c r="Y53" s="21">
        <v>65780.960000000006</v>
      </c>
      <c r="Z53" s="21">
        <v>6052.85</v>
      </c>
      <c r="AA53" s="21">
        <v>0</v>
      </c>
      <c r="AB53" s="21">
        <v>0</v>
      </c>
      <c r="AC53" s="21">
        <v>1812200</v>
      </c>
    </row>
    <row r="54" spans="1:30" hidden="1" outlineLevel="2">
      <c r="A54" s="21">
        <v>467</v>
      </c>
      <c r="B54" s="21">
        <v>5514469</v>
      </c>
      <c r="C54" s="21">
        <v>55144695</v>
      </c>
      <c r="D54" s="21" t="s">
        <v>1173</v>
      </c>
      <c r="E54" s="21" t="s">
        <v>1461</v>
      </c>
      <c r="F54" s="21">
        <v>812200</v>
      </c>
      <c r="G54" s="21" t="s">
        <v>1151</v>
      </c>
      <c r="H54" s="21">
        <v>90541</v>
      </c>
      <c r="I54" s="21">
        <v>0</v>
      </c>
      <c r="J54" s="21">
        <v>5</v>
      </c>
      <c r="K54" s="21">
        <v>37</v>
      </c>
      <c r="L54" s="21">
        <v>0</v>
      </c>
      <c r="M54" s="21">
        <v>1200</v>
      </c>
      <c r="N54" s="61">
        <f t="shared" si="0"/>
        <v>1</v>
      </c>
      <c r="O54" s="60">
        <v>123705.36</v>
      </c>
      <c r="P54" s="21">
        <v>18844.55</v>
      </c>
      <c r="Q54" s="21">
        <v>4188.78</v>
      </c>
      <c r="R54" s="21">
        <v>93606.23</v>
      </c>
      <c r="S54" s="21">
        <v>-32.9</v>
      </c>
      <c r="T54" s="21">
        <v>7067</v>
      </c>
      <c r="U54" s="21">
        <v>0</v>
      </c>
      <c r="V54" s="21">
        <v>0</v>
      </c>
      <c r="W54" s="21">
        <v>994.2</v>
      </c>
      <c r="X54" s="21">
        <v>-19.95</v>
      </c>
      <c r="Y54" s="21">
        <v>85597.88</v>
      </c>
      <c r="Z54" s="21">
        <v>7065.8</v>
      </c>
      <c r="AA54" s="21">
        <v>0</v>
      </c>
      <c r="AB54" s="21">
        <v>0</v>
      </c>
      <c r="AC54" s="21">
        <v>1812200</v>
      </c>
    </row>
    <row r="55" spans="1:30" hidden="1" outlineLevel="2">
      <c r="A55" s="21">
        <v>467</v>
      </c>
      <c r="B55" s="21">
        <v>5685969</v>
      </c>
      <c r="C55" s="21">
        <v>56859697</v>
      </c>
      <c r="D55" s="21" t="s">
        <v>1173</v>
      </c>
      <c r="E55" s="21" t="s">
        <v>1333</v>
      </c>
      <c r="F55" s="21">
        <v>812200</v>
      </c>
      <c r="G55" s="21" t="s">
        <v>1151</v>
      </c>
      <c r="H55" s="21">
        <v>90541</v>
      </c>
      <c r="I55" s="21">
        <v>0</v>
      </c>
      <c r="J55" s="21">
        <v>5</v>
      </c>
      <c r="K55" s="21">
        <v>7</v>
      </c>
      <c r="L55" s="21">
        <v>0</v>
      </c>
      <c r="M55" s="21">
        <v>1200</v>
      </c>
      <c r="N55" s="61">
        <f t="shared" si="0"/>
        <v>1</v>
      </c>
      <c r="O55" s="60">
        <v>111707.3</v>
      </c>
      <c r="P55" s="21">
        <v>17019.599999999999</v>
      </c>
      <c r="Q55" s="21">
        <v>3587.83</v>
      </c>
      <c r="R55" s="21">
        <v>84702.07</v>
      </c>
      <c r="S55" s="21">
        <v>-31.5</v>
      </c>
      <c r="T55" s="21">
        <v>7067</v>
      </c>
      <c r="U55" s="21">
        <v>0</v>
      </c>
      <c r="V55" s="21">
        <v>0</v>
      </c>
      <c r="W55" s="21">
        <v>994.2</v>
      </c>
      <c r="X55" s="21">
        <v>9</v>
      </c>
      <c r="Y55" s="21">
        <v>76663.37</v>
      </c>
      <c r="Z55" s="21">
        <v>6397.8</v>
      </c>
      <c r="AA55" s="21">
        <v>0</v>
      </c>
      <c r="AB55" s="21">
        <v>0</v>
      </c>
      <c r="AC55" s="21">
        <v>1812200</v>
      </c>
    </row>
    <row r="56" spans="1:30" outlineLevel="1" collapsed="1">
      <c r="F56" s="62" t="s">
        <v>1460</v>
      </c>
      <c r="M56" s="21">
        <f>SUBTOTAL(9,M42:M55)</f>
        <v>14993.2</v>
      </c>
      <c r="N56" s="61">
        <f>SUBTOTAL(9,N42:N55)</f>
        <v>12.494333333333335</v>
      </c>
      <c r="O56" s="60">
        <f>SUBTOTAL(9,O42:O55)</f>
        <v>1278012.6299999999</v>
      </c>
      <c r="AC56" s="21" t="str">
        <f>"1"&amp;LEFT(F56,6)&amp;"110"</f>
        <v>1812200110</v>
      </c>
      <c r="AD56" s="21" t="str">
        <f>VLOOKUP(AC56,'פירוט שכר'!A:K,5,0)</f>
        <v>גני"י חובה-משכורת</v>
      </c>
    </row>
    <row r="57" spans="1:30" hidden="1" outlineLevel="2">
      <c r="A57" s="21">
        <v>467</v>
      </c>
      <c r="B57" s="21">
        <v>2313002</v>
      </c>
      <c r="C57" s="21">
        <v>23130024</v>
      </c>
      <c r="D57" s="21" t="s">
        <v>1315</v>
      </c>
      <c r="E57" s="21" t="s">
        <v>1248</v>
      </c>
      <c r="F57" s="21">
        <v>812300</v>
      </c>
      <c r="G57" s="21" t="s">
        <v>1151</v>
      </c>
      <c r="H57" s="21">
        <v>90541</v>
      </c>
      <c r="I57" s="21">
        <v>1</v>
      </c>
      <c r="J57" s="21">
        <v>0</v>
      </c>
      <c r="K57" s="21">
        <v>0</v>
      </c>
      <c r="L57" s="21">
        <v>0</v>
      </c>
      <c r="M57" s="21">
        <v>0</v>
      </c>
      <c r="N57" s="61">
        <f t="shared" ref="N57:N83" si="1">+M57/1200</f>
        <v>0</v>
      </c>
      <c r="O57" s="60">
        <v>13114.8</v>
      </c>
      <c r="P57" s="21">
        <v>146.44</v>
      </c>
      <c r="Q57" s="21">
        <v>433.74</v>
      </c>
      <c r="R57" s="21">
        <v>11635</v>
      </c>
      <c r="S57" s="21">
        <v>0</v>
      </c>
      <c r="T57" s="21">
        <v>1212.8</v>
      </c>
      <c r="U57" s="21">
        <v>0</v>
      </c>
      <c r="V57" s="21">
        <v>0</v>
      </c>
      <c r="W57" s="21">
        <v>10920</v>
      </c>
      <c r="X57" s="21">
        <v>0</v>
      </c>
      <c r="Y57" s="21">
        <v>-497.8</v>
      </c>
      <c r="Z57" s="21">
        <v>899.62</v>
      </c>
      <c r="AA57" s="21">
        <v>0</v>
      </c>
      <c r="AB57" s="21">
        <v>0</v>
      </c>
      <c r="AC57" s="21">
        <v>1812300</v>
      </c>
    </row>
    <row r="58" spans="1:30" hidden="1" outlineLevel="2">
      <c r="A58" s="21">
        <v>467</v>
      </c>
      <c r="B58" s="21">
        <v>2319966</v>
      </c>
      <c r="C58" s="21">
        <v>23199664</v>
      </c>
      <c r="D58" s="21" t="s">
        <v>1459</v>
      </c>
      <c r="E58" s="21" t="s">
        <v>1172</v>
      </c>
      <c r="F58" s="21">
        <v>812300</v>
      </c>
      <c r="G58" s="21" t="s">
        <v>1151</v>
      </c>
      <c r="H58" s="21">
        <v>90541</v>
      </c>
      <c r="I58" s="21">
        <v>0</v>
      </c>
      <c r="J58" s="21">
        <v>5</v>
      </c>
      <c r="K58" s="21">
        <v>7</v>
      </c>
      <c r="L58" s="21">
        <v>0</v>
      </c>
      <c r="M58" s="21">
        <v>1100</v>
      </c>
      <c r="N58" s="61">
        <f t="shared" si="1"/>
        <v>0.91666666666666663</v>
      </c>
      <c r="O58" s="60">
        <v>110459.94</v>
      </c>
      <c r="P58" s="21">
        <v>16401.3</v>
      </c>
      <c r="Q58" s="21">
        <v>3662.68</v>
      </c>
      <c r="R58" s="21">
        <v>84047.26</v>
      </c>
      <c r="S58" s="21">
        <v>-29.7</v>
      </c>
      <c r="T58" s="21">
        <v>5865.65</v>
      </c>
      <c r="U58" s="21">
        <v>0</v>
      </c>
      <c r="V58" s="21">
        <v>0</v>
      </c>
      <c r="W58" s="21">
        <v>5249.6</v>
      </c>
      <c r="X58" s="21">
        <v>31.7</v>
      </c>
      <c r="Y58" s="21">
        <v>72930.009999999995</v>
      </c>
      <c r="Z58" s="21">
        <v>6348.7</v>
      </c>
      <c r="AA58" s="21">
        <v>0</v>
      </c>
      <c r="AB58" s="21">
        <v>0</v>
      </c>
      <c r="AC58" s="21">
        <v>1812300</v>
      </c>
    </row>
    <row r="59" spans="1:30" hidden="1" outlineLevel="2">
      <c r="A59" s="21">
        <v>467</v>
      </c>
      <c r="B59" s="21">
        <v>2327966</v>
      </c>
      <c r="C59" s="21">
        <v>23279664</v>
      </c>
      <c r="D59" s="21" t="s">
        <v>1153</v>
      </c>
      <c r="E59" s="21" t="s">
        <v>1458</v>
      </c>
      <c r="F59" s="21">
        <v>812300</v>
      </c>
      <c r="G59" s="21" t="s">
        <v>1151</v>
      </c>
      <c r="H59" s="21">
        <v>90541</v>
      </c>
      <c r="I59" s="21">
        <v>0</v>
      </c>
      <c r="J59" s="21">
        <v>5</v>
      </c>
      <c r="K59" s="21">
        <v>37</v>
      </c>
      <c r="L59" s="21">
        <v>0</v>
      </c>
      <c r="M59" s="21">
        <v>1200</v>
      </c>
      <c r="N59" s="61">
        <f t="shared" si="1"/>
        <v>1</v>
      </c>
      <c r="O59" s="60">
        <v>111525.51</v>
      </c>
      <c r="P59" s="21">
        <v>16501.099999999999</v>
      </c>
      <c r="Q59" s="21">
        <v>3594.54</v>
      </c>
      <c r="R59" s="21">
        <v>85008.92</v>
      </c>
      <c r="S59" s="21">
        <v>3774.3</v>
      </c>
      <c r="T59" s="21">
        <v>7067</v>
      </c>
      <c r="U59" s="21">
        <v>0</v>
      </c>
      <c r="V59" s="21">
        <v>0</v>
      </c>
      <c r="W59" s="21">
        <v>994.2</v>
      </c>
      <c r="X59" s="21">
        <v>11.05</v>
      </c>
      <c r="Y59" s="21">
        <v>73162.37</v>
      </c>
      <c r="Z59" s="21">
        <v>6420.95</v>
      </c>
      <c r="AA59" s="21">
        <v>0</v>
      </c>
      <c r="AB59" s="21">
        <v>0</v>
      </c>
      <c r="AC59" s="21">
        <v>1812300</v>
      </c>
    </row>
    <row r="60" spans="1:30" hidden="1" outlineLevel="2">
      <c r="A60" s="21">
        <v>467</v>
      </c>
      <c r="B60" s="21">
        <v>2616750</v>
      </c>
      <c r="C60" s="21">
        <v>26167502</v>
      </c>
      <c r="D60" s="21" t="s">
        <v>1173</v>
      </c>
      <c r="E60" s="21" t="s">
        <v>1386</v>
      </c>
      <c r="F60" s="21">
        <v>812300</v>
      </c>
      <c r="G60" s="21" t="s">
        <v>1151</v>
      </c>
      <c r="H60" s="21">
        <v>90541</v>
      </c>
      <c r="I60" s="21">
        <v>1</v>
      </c>
      <c r="J60" s="21">
        <v>0</v>
      </c>
      <c r="K60" s="21">
        <v>0</v>
      </c>
      <c r="L60" s="21">
        <v>0</v>
      </c>
      <c r="M60" s="21">
        <v>0</v>
      </c>
      <c r="N60" s="61">
        <f t="shared" si="1"/>
        <v>0</v>
      </c>
      <c r="O60" s="60">
        <v>9564.75</v>
      </c>
      <c r="P60" s="21">
        <v>378.75</v>
      </c>
      <c r="Q60" s="21">
        <v>313.10000000000002</v>
      </c>
      <c r="R60" s="21">
        <v>8253.85</v>
      </c>
      <c r="S60" s="21">
        <v>0</v>
      </c>
      <c r="T60" s="21">
        <v>0</v>
      </c>
      <c r="U60" s="21">
        <v>0</v>
      </c>
      <c r="V60" s="21">
        <v>0</v>
      </c>
      <c r="W60" s="21">
        <v>0</v>
      </c>
      <c r="X60" s="21">
        <v>0</v>
      </c>
      <c r="Y60" s="21">
        <v>8253.85</v>
      </c>
      <c r="Z60" s="21">
        <v>619.04999999999995</v>
      </c>
      <c r="AA60" s="21">
        <v>0</v>
      </c>
      <c r="AB60" s="21">
        <v>0</v>
      </c>
      <c r="AC60" s="21">
        <v>1812300</v>
      </c>
    </row>
    <row r="61" spans="1:30" hidden="1" outlineLevel="2">
      <c r="A61" s="21">
        <v>467</v>
      </c>
      <c r="B61" s="21">
        <v>2627304</v>
      </c>
      <c r="C61" s="21">
        <v>26273045</v>
      </c>
      <c r="D61" s="21" t="s">
        <v>1173</v>
      </c>
      <c r="E61" s="21" t="s">
        <v>1457</v>
      </c>
      <c r="F61" s="21">
        <v>812300</v>
      </c>
      <c r="G61" s="21" t="s">
        <v>1151</v>
      </c>
      <c r="H61" s="21">
        <v>90541</v>
      </c>
      <c r="I61" s="21">
        <v>0</v>
      </c>
      <c r="J61" s="21">
        <v>5</v>
      </c>
      <c r="K61" s="21">
        <v>37</v>
      </c>
      <c r="L61" s="21">
        <v>0</v>
      </c>
      <c r="M61" s="21">
        <v>1200</v>
      </c>
      <c r="N61" s="61">
        <f t="shared" si="1"/>
        <v>1</v>
      </c>
      <c r="O61" s="60">
        <v>116344.01</v>
      </c>
      <c r="P61" s="21">
        <v>16758.25</v>
      </c>
      <c r="Q61" s="21">
        <v>3879.92</v>
      </c>
      <c r="R61" s="21">
        <v>88986.59</v>
      </c>
      <c r="S61" s="21">
        <v>3804.6</v>
      </c>
      <c r="T61" s="21">
        <v>6640</v>
      </c>
      <c r="U61" s="21">
        <v>0</v>
      </c>
      <c r="V61" s="21">
        <v>0</v>
      </c>
      <c r="W61" s="21">
        <v>994.2</v>
      </c>
      <c r="X61" s="21">
        <v>-14</v>
      </c>
      <c r="Y61" s="21">
        <v>77561.789999999994</v>
      </c>
      <c r="Z61" s="21">
        <v>6719.25</v>
      </c>
      <c r="AA61" s="21">
        <v>0</v>
      </c>
      <c r="AB61" s="21">
        <v>0</v>
      </c>
      <c r="AC61" s="21">
        <v>1812300</v>
      </c>
    </row>
    <row r="62" spans="1:30" hidden="1" outlineLevel="2">
      <c r="A62" s="21">
        <v>467</v>
      </c>
      <c r="B62" s="21">
        <v>2627601</v>
      </c>
      <c r="C62" s="21">
        <v>26276014</v>
      </c>
      <c r="D62" s="21" t="s">
        <v>1256</v>
      </c>
      <c r="E62" s="21" t="s">
        <v>1456</v>
      </c>
      <c r="F62" s="21">
        <v>812300</v>
      </c>
      <c r="G62" s="21" t="s">
        <v>1151</v>
      </c>
      <c r="H62" s="21">
        <v>90541</v>
      </c>
      <c r="I62" s="21">
        <v>0</v>
      </c>
      <c r="J62" s="21">
        <v>5</v>
      </c>
      <c r="K62" s="21">
        <v>37</v>
      </c>
      <c r="L62" s="21">
        <v>0</v>
      </c>
      <c r="M62" s="21">
        <v>1200</v>
      </c>
      <c r="N62" s="61">
        <f t="shared" si="1"/>
        <v>1</v>
      </c>
      <c r="O62" s="60">
        <v>105933.65</v>
      </c>
      <c r="P62" s="21">
        <v>15353.1</v>
      </c>
      <c r="Q62" s="21">
        <v>3348.41</v>
      </c>
      <c r="R62" s="21">
        <v>81104.09</v>
      </c>
      <c r="S62" s="21">
        <v>0</v>
      </c>
      <c r="T62" s="21">
        <v>6468.7</v>
      </c>
      <c r="U62" s="21">
        <v>0</v>
      </c>
      <c r="V62" s="21">
        <v>0</v>
      </c>
      <c r="W62" s="21">
        <v>994.2</v>
      </c>
      <c r="X62" s="21">
        <v>-13.5</v>
      </c>
      <c r="Y62" s="21">
        <v>73654.69</v>
      </c>
      <c r="Z62" s="21">
        <v>6128.05</v>
      </c>
      <c r="AA62" s="21">
        <v>0</v>
      </c>
      <c r="AB62" s="21">
        <v>0</v>
      </c>
      <c r="AC62" s="21">
        <v>1812300</v>
      </c>
    </row>
    <row r="63" spans="1:30" hidden="1" outlineLevel="2">
      <c r="A63" s="21">
        <v>467</v>
      </c>
      <c r="B63" s="21">
        <v>2627886</v>
      </c>
      <c r="C63" s="21">
        <v>26278861</v>
      </c>
      <c r="D63" s="21" t="s">
        <v>1153</v>
      </c>
      <c r="E63" s="21" t="s">
        <v>1455</v>
      </c>
      <c r="F63" s="21">
        <v>812300</v>
      </c>
      <c r="G63" s="21" t="s">
        <v>1151</v>
      </c>
      <c r="H63" s="21">
        <v>90541</v>
      </c>
      <c r="I63" s="21">
        <v>0</v>
      </c>
      <c r="J63" s="21">
        <v>5</v>
      </c>
      <c r="K63" s="21">
        <v>37</v>
      </c>
      <c r="L63" s="21">
        <v>0</v>
      </c>
      <c r="M63" s="21">
        <v>1200</v>
      </c>
      <c r="N63" s="61">
        <f t="shared" si="1"/>
        <v>1</v>
      </c>
      <c r="O63" s="60">
        <v>103832.56</v>
      </c>
      <c r="P63" s="21">
        <v>14233.45</v>
      </c>
      <c r="Q63" s="21">
        <v>3279.59</v>
      </c>
      <c r="R63" s="21">
        <v>80255.17</v>
      </c>
      <c r="S63" s="21">
        <v>6348</v>
      </c>
      <c r="T63" s="21">
        <v>6213</v>
      </c>
      <c r="U63" s="21">
        <v>0</v>
      </c>
      <c r="V63" s="21">
        <v>0</v>
      </c>
      <c r="W63" s="21">
        <v>994.2</v>
      </c>
      <c r="X63" s="21">
        <v>4.8499999999999996</v>
      </c>
      <c r="Y63" s="21">
        <v>66695.12</v>
      </c>
      <c r="Z63" s="21">
        <v>6064.35</v>
      </c>
      <c r="AA63" s="21">
        <v>0</v>
      </c>
      <c r="AB63" s="21">
        <v>0</v>
      </c>
      <c r="AC63" s="21">
        <v>1812300</v>
      </c>
    </row>
    <row r="64" spans="1:30" hidden="1" outlineLevel="2">
      <c r="A64" s="21">
        <v>467</v>
      </c>
      <c r="B64" s="21">
        <v>2635647</v>
      </c>
      <c r="C64" s="21">
        <v>26356477</v>
      </c>
      <c r="D64" s="21" t="s">
        <v>1183</v>
      </c>
      <c r="E64" s="21" t="s">
        <v>1437</v>
      </c>
      <c r="F64" s="21">
        <v>812300</v>
      </c>
      <c r="G64" s="21" t="s">
        <v>1151</v>
      </c>
      <c r="H64" s="21">
        <v>90541</v>
      </c>
      <c r="I64" s="21">
        <v>1</v>
      </c>
      <c r="J64" s="21">
        <v>0</v>
      </c>
      <c r="K64" s="21">
        <v>0</v>
      </c>
      <c r="L64" s="21">
        <v>0</v>
      </c>
      <c r="M64" s="21">
        <v>0</v>
      </c>
      <c r="N64" s="61">
        <f t="shared" si="1"/>
        <v>0</v>
      </c>
      <c r="O64" s="60">
        <v>673.38</v>
      </c>
      <c r="P64" s="21">
        <v>249.93</v>
      </c>
      <c r="Q64" s="21">
        <v>28.5</v>
      </c>
      <c r="R64" s="21">
        <v>342.35</v>
      </c>
      <c r="S64" s="21">
        <v>0</v>
      </c>
      <c r="T64" s="21">
        <v>0</v>
      </c>
      <c r="U64" s="21">
        <v>0</v>
      </c>
      <c r="V64" s="21">
        <v>0</v>
      </c>
      <c r="W64" s="21">
        <v>411</v>
      </c>
      <c r="X64" s="21">
        <v>0</v>
      </c>
      <c r="Y64" s="21">
        <v>-68.650000000000006</v>
      </c>
      <c r="Z64" s="21">
        <v>52.6</v>
      </c>
      <c r="AA64" s="21">
        <v>0</v>
      </c>
      <c r="AB64" s="21">
        <v>0</v>
      </c>
      <c r="AC64" s="21">
        <v>1812300</v>
      </c>
    </row>
    <row r="65" spans="1:29" hidden="1" outlineLevel="2">
      <c r="A65" s="21">
        <v>467</v>
      </c>
      <c r="B65" s="21">
        <v>2750507</v>
      </c>
      <c r="C65" s="21">
        <v>27505072</v>
      </c>
      <c r="D65" s="21" t="s">
        <v>1454</v>
      </c>
      <c r="E65" s="21" t="s">
        <v>1427</v>
      </c>
      <c r="F65" s="21">
        <v>812300</v>
      </c>
      <c r="G65" s="21" t="s">
        <v>1151</v>
      </c>
      <c r="H65" s="21">
        <v>90541</v>
      </c>
      <c r="I65" s="21">
        <v>1</v>
      </c>
      <c r="J65" s="21">
        <v>0</v>
      </c>
      <c r="K65" s="21">
        <v>0</v>
      </c>
      <c r="L65" s="21">
        <v>0</v>
      </c>
      <c r="M65" s="21">
        <v>0</v>
      </c>
      <c r="N65" s="61">
        <f t="shared" si="1"/>
        <v>0</v>
      </c>
      <c r="O65" s="60">
        <v>6387.51</v>
      </c>
      <c r="P65" s="21">
        <v>884.9</v>
      </c>
      <c r="Q65" s="21">
        <v>193.7</v>
      </c>
      <c r="R65" s="21">
        <v>4913.45</v>
      </c>
      <c r="S65" s="21">
        <v>0</v>
      </c>
      <c r="T65" s="21">
        <v>1212.8</v>
      </c>
      <c r="U65" s="21">
        <v>0</v>
      </c>
      <c r="V65" s="21">
        <v>0</v>
      </c>
      <c r="W65" s="21">
        <v>411</v>
      </c>
      <c r="X65" s="21">
        <v>0</v>
      </c>
      <c r="Y65" s="21">
        <v>3289.65</v>
      </c>
      <c r="Z65" s="21">
        <v>395.46</v>
      </c>
      <c r="AA65" s="21">
        <v>0</v>
      </c>
      <c r="AB65" s="21">
        <v>0</v>
      </c>
      <c r="AC65" s="21">
        <v>1812300</v>
      </c>
    </row>
    <row r="66" spans="1:29" hidden="1" outlineLevel="2">
      <c r="A66" s="21">
        <v>467</v>
      </c>
      <c r="B66" s="21">
        <v>2751180</v>
      </c>
      <c r="C66" s="21">
        <v>27511807</v>
      </c>
      <c r="D66" s="21" t="s">
        <v>1453</v>
      </c>
      <c r="E66" s="21" t="s">
        <v>1452</v>
      </c>
      <c r="F66" s="21">
        <v>812300</v>
      </c>
      <c r="G66" s="21" t="s">
        <v>1151</v>
      </c>
      <c r="H66" s="21">
        <v>90541</v>
      </c>
      <c r="I66" s="21">
        <v>0</v>
      </c>
      <c r="J66" s="21">
        <v>5</v>
      </c>
      <c r="K66" s="21">
        <v>37</v>
      </c>
      <c r="L66" s="21">
        <v>0</v>
      </c>
      <c r="M66" s="21">
        <v>1200</v>
      </c>
      <c r="N66" s="61">
        <f t="shared" si="1"/>
        <v>1</v>
      </c>
      <c r="O66" s="60">
        <v>117305.26</v>
      </c>
      <c r="P66" s="21">
        <v>17497.599999999999</v>
      </c>
      <c r="Q66" s="21">
        <v>3890.39</v>
      </c>
      <c r="R66" s="21">
        <v>89183.32</v>
      </c>
      <c r="S66" s="21">
        <v>-30.4</v>
      </c>
      <c r="T66" s="21">
        <v>7332.15</v>
      </c>
      <c r="U66" s="21">
        <v>0</v>
      </c>
      <c r="V66" s="21">
        <v>0</v>
      </c>
      <c r="W66" s="21">
        <v>994.2</v>
      </c>
      <c r="X66" s="21">
        <v>-16.55</v>
      </c>
      <c r="Y66" s="21">
        <v>80903.92</v>
      </c>
      <c r="Z66" s="21">
        <v>6733.95</v>
      </c>
      <c r="AA66" s="21">
        <v>0</v>
      </c>
      <c r="AB66" s="21">
        <v>0</v>
      </c>
      <c r="AC66" s="21">
        <v>1812300</v>
      </c>
    </row>
    <row r="67" spans="1:29" hidden="1" outlineLevel="2">
      <c r="A67" s="21">
        <v>467</v>
      </c>
      <c r="B67" s="21">
        <v>2766815</v>
      </c>
      <c r="C67" s="21">
        <v>27668151</v>
      </c>
      <c r="D67" s="21" t="s">
        <v>1170</v>
      </c>
      <c r="E67" s="21" t="s">
        <v>1436</v>
      </c>
      <c r="F67" s="21">
        <v>812300</v>
      </c>
      <c r="G67" s="21" t="s">
        <v>1151</v>
      </c>
      <c r="H67" s="21">
        <v>90541</v>
      </c>
      <c r="I67" s="21">
        <v>1</v>
      </c>
      <c r="J67" s="21">
        <v>0</v>
      </c>
      <c r="K67" s="21">
        <v>0</v>
      </c>
      <c r="L67" s="21">
        <v>0</v>
      </c>
      <c r="M67" s="21">
        <v>0</v>
      </c>
      <c r="N67" s="61">
        <f t="shared" si="1"/>
        <v>0</v>
      </c>
      <c r="O67" s="60">
        <v>575.35</v>
      </c>
      <c r="P67" s="21">
        <v>234.59</v>
      </c>
      <c r="Q67" s="21">
        <v>25.21</v>
      </c>
      <c r="R67" s="21">
        <v>268.45</v>
      </c>
      <c r="S67" s="21">
        <v>0</v>
      </c>
      <c r="T67" s="21">
        <v>0</v>
      </c>
      <c r="U67" s="21">
        <v>0</v>
      </c>
      <c r="V67" s="21">
        <v>0</v>
      </c>
      <c r="W67" s="21">
        <v>411</v>
      </c>
      <c r="X67" s="21">
        <v>0</v>
      </c>
      <c r="Y67" s="21">
        <v>-142.55000000000001</v>
      </c>
      <c r="Z67" s="21">
        <v>47.1</v>
      </c>
      <c r="AA67" s="21">
        <v>0</v>
      </c>
      <c r="AB67" s="21">
        <v>0</v>
      </c>
      <c r="AC67" s="21">
        <v>1812300</v>
      </c>
    </row>
    <row r="68" spans="1:29" hidden="1" outlineLevel="2">
      <c r="A68" s="21">
        <v>467</v>
      </c>
      <c r="B68" s="21">
        <v>2767373</v>
      </c>
      <c r="C68" s="21">
        <v>27673730</v>
      </c>
      <c r="D68" s="21" t="s">
        <v>1153</v>
      </c>
      <c r="E68" s="21" t="s">
        <v>1387</v>
      </c>
      <c r="F68" s="21">
        <v>812300</v>
      </c>
      <c r="G68" s="21" t="s">
        <v>1151</v>
      </c>
      <c r="H68" s="21">
        <v>90541</v>
      </c>
      <c r="I68" s="21">
        <v>0</v>
      </c>
      <c r="J68" s="21">
        <v>5</v>
      </c>
      <c r="K68" s="21">
        <v>7</v>
      </c>
      <c r="L68" s="21">
        <v>0</v>
      </c>
      <c r="M68" s="21">
        <v>1200</v>
      </c>
      <c r="N68" s="61">
        <f t="shared" si="1"/>
        <v>1</v>
      </c>
      <c r="O68" s="60">
        <v>84659.43</v>
      </c>
      <c r="P68" s="21">
        <v>12579.33</v>
      </c>
      <c r="Q68" s="21">
        <v>2332.0100000000002</v>
      </c>
      <c r="R68" s="21">
        <v>64865.13</v>
      </c>
      <c r="S68" s="21">
        <v>0</v>
      </c>
      <c r="T68" s="21">
        <v>3577.85</v>
      </c>
      <c r="U68" s="21">
        <v>0</v>
      </c>
      <c r="V68" s="21">
        <v>0</v>
      </c>
      <c r="W68" s="21">
        <v>528.75</v>
      </c>
      <c r="X68" s="21">
        <v>138.4</v>
      </c>
      <c r="Y68" s="21">
        <v>60620.13</v>
      </c>
      <c r="Z68" s="21">
        <v>4882.96</v>
      </c>
      <c r="AA68" s="21">
        <v>0</v>
      </c>
      <c r="AB68" s="21">
        <v>0</v>
      </c>
      <c r="AC68" s="21">
        <v>1812300</v>
      </c>
    </row>
    <row r="69" spans="1:29" hidden="1" outlineLevel="2">
      <c r="A69" s="21">
        <v>467</v>
      </c>
      <c r="B69" s="21">
        <v>2825151</v>
      </c>
      <c r="C69" s="21">
        <v>28251510</v>
      </c>
      <c r="D69" s="21" t="s">
        <v>1173</v>
      </c>
      <c r="E69" s="21" t="s">
        <v>1451</v>
      </c>
      <c r="F69" s="21">
        <v>812300</v>
      </c>
      <c r="G69" s="21" t="s">
        <v>1151</v>
      </c>
      <c r="H69" s="21">
        <v>90541</v>
      </c>
      <c r="I69" s="21">
        <v>0</v>
      </c>
      <c r="J69" s="21">
        <v>5</v>
      </c>
      <c r="K69" s="21">
        <v>37</v>
      </c>
      <c r="L69" s="21">
        <v>0</v>
      </c>
      <c r="M69" s="21">
        <v>1200</v>
      </c>
      <c r="N69" s="61">
        <f t="shared" si="1"/>
        <v>1</v>
      </c>
      <c r="O69" s="60">
        <v>101632.74</v>
      </c>
      <c r="P69" s="21">
        <v>15100.3</v>
      </c>
      <c r="Q69" s="21">
        <v>3159.38</v>
      </c>
      <c r="R69" s="21">
        <v>77514.210000000006</v>
      </c>
      <c r="S69" s="21">
        <v>0</v>
      </c>
      <c r="T69" s="21">
        <v>6386.85</v>
      </c>
      <c r="U69" s="21">
        <v>0</v>
      </c>
      <c r="V69" s="21">
        <v>0</v>
      </c>
      <c r="W69" s="21">
        <v>994.2</v>
      </c>
      <c r="X69" s="21">
        <v>7.25</v>
      </c>
      <c r="Y69" s="21">
        <v>70125.91</v>
      </c>
      <c r="Z69" s="21">
        <v>5858.85</v>
      </c>
      <c r="AA69" s="21">
        <v>0</v>
      </c>
      <c r="AB69" s="21">
        <v>0</v>
      </c>
      <c r="AC69" s="21">
        <v>1812300</v>
      </c>
    </row>
    <row r="70" spans="1:29" hidden="1" outlineLevel="2">
      <c r="A70" s="21">
        <v>467</v>
      </c>
      <c r="B70" s="21">
        <v>3145566</v>
      </c>
      <c r="C70" s="21">
        <v>31455660</v>
      </c>
      <c r="D70" s="21" t="s">
        <v>1153</v>
      </c>
      <c r="E70" s="21" t="s">
        <v>1450</v>
      </c>
      <c r="F70" s="21">
        <v>812300</v>
      </c>
      <c r="G70" s="21" t="s">
        <v>1151</v>
      </c>
      <c r="H70" s="21">
        <v>90541</v>
      </c>
      <c r="I70" s="21">
        <v>0</v>
      </c>
      <c r="J70" s="21">
        <v>5</v>
      </c>
      <c r="K70" s="21">
        <v>7</v>
      </c>
      <c r="L70" s="21">
        <v>0</v>
      </c>
      <c r="M70" s="21">
        <v>1200</v>
      </c>
      <c r="N70" s="61">
        <f t="shared" si="1"/>
        <v>1</v>
      </c>
      <c r="O70" s="60">
        <v>105348.55</v>
      </c>
      <c r="P70" s="21">
        <v>18010.150000000001</v>
      </c>
      <c r="Q70" s="21">
        <v>3156.87</v>
      </c>
      <c r="R70" s="21">
        <v>78266.38</v>
      </c>
      <c r="S70" s="21">
        <v>0</v>
      </c>
      <c r="T70" s="21">
        <v>6213</v>
      </c>
      <c r="U70" s="21">
        <v>0</v>
      </c>
      <c r="V70" s="21">
        <v>0</v>
      </c>
      <c r="W70" s="21">
        <v>994.2</v>
      </c>
      <c r="X70" s="21">
        <v>-14.5</v>
      </c>
      <c r="Y70" s="21">
        <v>71073.679999999993</v>
      </c>
      <c r="Z70" s="21">
        <v>5915.15</v>
      </c>
      <c r="AA70" s="21">
        <v>0</v>
      </c>
      <c r="AB70" s="21">
        <v>0</v>
      </c>
      <c r="AC70" s="21">
        <v>1812300</v>
      </c>
    </row>
    <row r="71" spans="1:29" hidden="1" outlineLevel="2">
      <c r="A71" s="21">
        <v>467</v>
      </c>
      <c r="B71" s="21">
        <v>3159446</v>
      </c>
      <c r="C71" s="21">
        <v>31594468</v>
      </c>
      <c r="D71" s="21" t="s">
        <v>1153</v>
      </c>
      <c r="E71" s="21" t="s">
        <v>1449</v>
      </c>
      <c r="F71" s="21">
        <v>812300</v>
      </c>
      <c r="G71" s="21" t="s">
        <v>1151</v>
      </c>
      <c r="H71" s="21">
        <v>90541</v>
      </c>
      <c r="I71" s="21">
        <v>0</v>
      </c>
      <c r="J71" s="21">
        <v>5</v>
      </c>
      <c r="K71" s="21">
        <v>7</v>
      </c>
      <c r="L71" s="21">
        <v>0</v>
      </c>
      <c r="M71" s="21">
        <v>1200</v>
      </c>
      <c r="N71" s="61">
        <f t="shared" si="1"/>
        <v>1</v>
      </c>
      <c r="O71" s="60">
        <v>93415.41</v>
      </c>
      <c r="P71" s="21">
        <v>12699.4</v>
      </c>
      <c r="Q71" s="21">
        <v>2760.14</v>
      </c>
      <c r="R71" s="21">
        <v>72475.02</v>
      </c>
      <c r="S71" s="21">
        <v>6348</v>
      </c>
      <c r="T71" s="21">
        <v>5786</v>
      </c>
      <c r="U71" s="21">
        <v>0</v>
      </c>
      <c r="V71" s="21">
        <v>0</v>
      </c>
      <c r="W71" s="21">
        <v>994.2</v>
      </c>
      <c r="X71" s="21">
        <v>80.05</v>
      </c>
      <c r="Y71" s="21">
        <v>59266.77</v>
      </c>
      <c r="Z71" s="21">
        <v>5480.85</v>
      </c>
      <c r="AA71" s="21">
        <v>0</v>
      </c>
      <c r="AB71" s="21">
        <v>0</v>
      </c>
      <c r="AC71" s="21">
        <v>1812300</v>
      </c>
    </row>
    <row r="72" spans="1:29" hidden="1" outlineLevel="2">
      <c r="A72" s="21">
        <v>467</v>
      </c>
      <c r="B72" s="21">
        <v>3310728</v>
      </c>
      <c r="C72" s="21">
        <v>33107285</v>
      </c>
      <c r="D72" s="21" t="s">
        <v>1153</v>
      </c>
      <c r="E72" s="21" t="s">
        <v>1433</v>
      </c>
      <c r="F72" s="21">
        <v>812300</v>
      </c>
      <c r="G72" s="21" t="s">
        <v>1151</v>
      </c>
      <c r="H72" s="21">
        <v>90541</v>
      </c>
      <c r="I72" s="21">
        <v>1</v>
      </c>
      <c r="J72" s="21">
        <v>0</v>
      </c>
      <c r="K72" s="21">
        <v>0</v>
      </c>
      <c r="L72" s="21">
        <v>0</v>
      </c>
      <c r="M72" s="21">
        <v>0</v>
      </c>
      <c r="N72" s="61">
        <f t="shared" si="1"/>
        <v>0</v>
      </c>
      <c r="O72" s="60">
        <v>-4184.8999999999996</v>
      </c>
      <c r="P72" s="21">
        <v>-490.65</v>
      </c>
      <c r="Q72" s="21">
        <v>-107.29</v>
      </c>
      <c r="R72" s="21">
        <v>-3353.45</v>
      </c>
      <c r="S72" s="21">
        <v>0</v>
      </c>
      <c r="T72" s="21">
        <v>0</v>
      </c>
      <c r="U72" s="21">
        <v>0</v>
      </c>
      <c r="V72" s="21">
        <v>0</v>
      </c>
      <c r="W72" s="21">
        <v>411</v>
      </c>
      <c r="X72" s="21">
        <v>0</v>
      </c>
      <c r="Y72" s="21">
        <v>-3764.45</v>
      </c>
      <c r="Z72" s="21">
        <v>-233.51</v>
      </c>
      <c r="AA72" s="21">
        <v>0</v>
      </c>
      <c r="AB72" s="21">
        <v>0</v>
      </c>
      <c r="AC72" s="21">
        <v>1812300</v>
      </c>
    </row>
    <row r="73" spans="1:29" hidden="1" outlineLevel="2">
      <c r="A73" s="21">
        <v>467</v>
      </c>
      <c r="B73" s="21">
        <v>3342606</v>
      </c>
      <c r="C73" s="21">
        <v>33426065</v>
      </c>
      <c r="D73" s="21" t="s">
        <v>1249</v>
      </c>
      <c r="E73" s="21" t="s">
        <v>1435</v>
      </c>
      <c r="F73" s="21">
        <v>812300</v>
      </c>
      <c r="G73" s="21" t="s">
        <v>1151</v>
      </c>
      <c r="H73" s="21">
        <v>90541</v>
      </c>
      <c r="I73" s="21">
        <v>1</v>
      </c>
      <c r="J73" s="21">
        <v>0</v>
      </c>
      <c r="K73" s="21">
        <v>0</v>
      </c>
      <c r="L73" s="21">
        <v>0</v>
      </c>
      <c r="M73" s="21">
        <v>0</v>
      </c>
      <c r="N73" s="61">
        <f t="shared" si="1"/>
        <v>0</v>
      </c>
      <c r="O73" s="60">
        <v>6294.96</v>
      </c>
      <c r="P73" s="21">
        <v>736.42</v>
      </c>
      <c r="Q73" s="21">
        <v>267.89</v>
      </c>
      <c r="R73" s="21">
        <v>4896.3999999999996</v>
      </c>
      <c r="S73" s="21">
        <v>0</v>
      </c>
      <c r="T73" s="21">
        <v>234.35</v>
      </c>
      <c r="U73" s="21">
        <v>0</v>
      </c>
      <c r="V73" s="21">
        <v>0</v>
      </c>
      <c r="W73" s="21">
        <v>411</v>
      </c>
      <c r="X73" s="21">
        <v>0</v>
      </c>
      <c r="Y73" s="21">
        <v>4251.05</v>
      </c>
      <c r="Z73" s="21">
        <v>394.25</v>
      </c>
      <c r="AA73" s="21">
        <v>0</v>
      </c>
      <c r="AB73" s="21">
        <v>0</v>
      </c>
      <c r="AC73" s="21">
        <v>1812300</v>
      </c>
    </row>
    <row r="74" spans="1:29" hidden="1" outlineLevel="2">
      <c r="A74" s="21">
        <v>467</v>
      </c>
      <c r="B74" s="21">
        <v>3344483</v>
      </c>
      <c r="C74" s="21">
        <v>33444837</v>
      </c>
      <c r="D74" s="21" t="s">
        <v>1153</v>
      </c>
      <c r="E74" s="21" t="s">
        <v>1448</v>
      </c>
      <c r="F74" s="21">
        <v>812300</v>
      </c>
      <c r="G74" s="21" t="s">
        <v>1151</v>
      </c>
      <c r="H74" s="21">
        <v>90541</v>
      </c>
      <c r="I74" s="21">
        <v>0</v>
      </c>
      <c r="J74" s="21">
        <v>5</v>
      </c>
      <c r="K74" s="21">
        <v>7</v>
      </c>
      <c r="L74" s="21">
        <v>0</v>
      </c>
      <c r="M74" s="21">
        <v>1200</v>
      </c>
      <c r="N74" s="61">
        <f t="shared" si="1"/>
        <v>1</v>
      </c>
      <c r="O74" s="60">
        <v>102556.64</v>
      </c>
      <c r="P74" s="21">
        <v>14850.1</v>
      </c>
      <c r="Q74" s="21">
        <v>3231.56</v>
      </c>
      <c r="R74" s="21">
        <v>78539.28</v>
      </c>
      <c r="S74" s="21">
        <v>0</v>
      </c>
      <c r="T74" s="21">
        <v>6465.95</v>
      </c>
      <c r="U74" s="21">
        <v>0</v>
      </c>
      <c r="V74" s="21">
        <v>0</v>
      </c>
      <c r="W74" s="21">
        <v>994.2</v>
      </c>
      <c r="X74" s="21">
        <v>1.85</v>
      </c>
      <c r="Y74" s="21">
        <v>71077.279999999999</v>
      </c>
      <c r="Z74" s="21">
        <v>5935.7</v>
      </c>
      <c r="AA74" s="21">
        <v>0</v>
      </c>
      <c r="AB74" s="21">
        <v>0</v>
      </c>
      <c r="AC74" s="21">
        <v>1812300</v>
      </c>
    </row>
    <row r="75" spans="1:29" hidden="1" outlineLevel="2">
      <c r="A75" s="21">
        <v>467</v>
      </c>
      <c r="B75" s="21">
        <v>3361090</v>
      </c>
      <c r="C75" s="21">
        <v>33610908</v>
      </c>
      <c r="D75" s="21" t="s">
        <v>1153</v>
      </c>
      <c r="E75" s="21" t="s">
        <v>1447</v>
      </c>
      <c r="F75" s="21">
        <v>812300</v>
      </c>
      <c r="G75" s="21" t="s">
        <v>1151</v>
      </c>
      <c r="H75" s="21">
        <v>90541</v>
      </c>
      <c r="I75" s="21">
        <v>0</v>
      </c>
      <c r="J75" s="21">
        <v>5</v>
      </c>
      <c r="K75" s="21">
        <v>7</v>
      </c>
      <c r="L75" s="21">
        <v>0</v>
      </c>
      <c r="M75" s="21">
        <v>400</v>
      </c>
      <c r="N75" s="61">
        <f t="shared" si="1"/>
        <v>0.33333333333333331</v>
      </c>
      <c r="O75" s="60">
        <v>36796.449999999997</v>
      </c>
      <c r="P75" s="21">
        <v>5288.85</v>
      </c>
      <c r="Q75" s="21">
        <v>1090.5</v>
      </c>
      <c r="R75" s="21">
        <v>28280.25</v>
      </c>
      <c r="S75" s="21">
        <v>0</v>
      </c>
      <c r="T75" s="21">
        <v>6213</v>
      </c>
      <c r="U75" s="21">
        <v>0</v>
      </c>
      <c r="V75" s="21">
        <v>0</v>
      </c>
      <c r="W75" s="21">
        <v>194.4</v>
      </c>
      <c r="X75" s="21">
        <v>0</v>
      </c>
      <c r="Y75" s="21">
        <v>21872.85</v>
      </c>
      <c r="Z75" s="21">
        <v>2136.85</v>
      </c>
      <c r="AA75" s="21">
        <v>0</v>
      </c>
      <c r="AB75" s="21">
        <v>0</v>
      </c>
      <c r="AC75" s="21">
        <v>1812300</v>
      </c>
    </row>
    <row r="76" spans="1:29" hidden="1" outlineLevel="2">
      <c r="A76" s="21">
        <v>467</v>
      </c>
      <c r="B76" s="21">
        <v>3457629</v>
      </c>
      <c r="C76" s="21">
        <v>34576298</v>
      </c>
      <c r="D76" s="21" t="s">
        <v>1446</v>
      </c>
      <c r="E76" s="21" t="s">
        <v>1368</v>
      </c>
      <c r="F76" s="21">
        <v>812300</v>
      </c>
      <c r="G76" s="21" t="s">
        <v>1151</v>
      </c>
      <c r="H76" s="21">
        <v>90541</v>
      </c>
      <c r="I76" s="21">
        <v>1</v>
      </c>
      <c r="J76" s="21">
        <v>0</v>
      </c>
      <c r="K76" s="21">
        <v>0</v>
      </c>
      <c r="L76" s="21">
        <v>0</v>
      </c>
      <c r="M76" s="21">
        <v>0</v>
      </c>
      <c r="N76" s="61">
        <f t="shared" si="1"/>
        <v>0</v>
      </c>
      <c r="O76" s="60">
        <v>7788.62</v>
      </c>
      <c r="P76" s="21">
        <v>1056.8399999999999</v>
      </c>
      <c r="Q76" s="21">
        <v>299.32</v>
      </c>
      <c r="R76" s="21">
        <v>5958.55</v>
      </c>
      <c r="S76" s="21">
        <v>0</v>
      </c>
      <c r="T76" s="21">
        <v>246.6</v>
      </c>
      <c r="U76" s="21">
        <v>0</v>
      </c>
      <c r="V76" s="21">
        <v>0</v>
      </c>
      <c r="W76" s="21">
        <v>411</v>
      </c>
      <c r="X76" s="21">
        <v>0</v>
      </c>
      <c r="Y76" s="21">
        <v>5300.95</v>
      </c>
      <c r="Z76" s="21">
        <v>473.91</v>
      </c>
      <c r="AA76" s="21">
        <v>0</v>
      </c>
      <c r="AB76" s="21">
        <v>0</v>
      </c>
      <c r="AC76" s="21">
        <v>1812300</v>
      </c>
    </row>
    <row r="77" spans="1:29" hidden="1" outlineLevel="2">
      <c r="A77" s="21">
        <v>467</v>
      </c>
      <c r="B77" s="21">
        <v>3639109</v>
      </c>
      <c r="C77" s="21">
        <v>36391092</v>
      </c>
      <c r="D77" s="21" t="s">
        <v>1173</v>
      </c>
      <c r="E77" s="21" t="s">
        <v>1445</v>
      </c>
      <c r="F77" s="21">
        <v>812300</v>
      </c>
      <c r="G77" s="21" t="s">
        <v>1151</v>
      </c>
      <c r="H77" s="21">
        <v>90541</v>
      </c>
      <c r="I77" s="21">
        <v>0</v>
      </c>
      <c r="J77" s="21">
        <v>5</v>
      </c>
      <c r="K77" s="21">
        <v>37</v>
      </c>
      <c r="L77" s="21">
        <v>0</v>
      </c>
      <c r="M77" s="21">
        <v>1200</v>
      </c>
      <c r="N77" s="61">
        <f t="shared" si="1"/>
        <v>1</v>
      </c>
      <c r="O77" s="60">
        <v>106642.87</v>
      </c>
      <c r="P77" s="21">
        <v>17490.2</v>
      </c>
      <c r="Q77" s="21">
        <v>3266.86</v>
      </c>
      <c r="R77" s="21">
        <v>79851.66</v>
      </c>
      <c r="S77" s="21">
        <v>3804.6</v>
      </c>
      <c r="T77" s="21">
        <v>5786</v>
      </c>
      <c r="U77" s="21">
        <v>0</v>
      </c>
      <c r="V77" s="21">
        <v>0</v>
      </c>
      <c r="W77" s="21">
        <v>994.2</v>
      </c>
      <c r="X77" s="21">
        <v>23.1</v>
      </c>
      <c r="Y77" s="21">
        <v>69243.759999999995</v>
      </c>
      <c r="Z77" s="21">
        <v>6034.15</v>
      </c>
      <c r="AA77" s="21">
        <v>0</v>
      </c>
      <c r="AB77" s="21">
        <v>0</v>
      </c>
      <c r="AC77" s="21">
        <v>1812300</v>
      </c>
    </row>
    <row r="78" spans="1:29" hidden="1" outlineLevel="2">
      <c r="A78" s="21">
        <v>467</v>
      </c>
      <c r="B78" s="21">
        <v>3648306</v>
      </c>
      <c r="C78" s="21">
        <v>36483063</v>
      </c>
      <c r="D78" s="21" t="s">
        <v>1153</v>
      </c>
      <c r="E78" s="21" t="s">
        <v>1444</v>
      </c>
      <c r="F78" s="21">
        <v>812300</v>
      </c>
      <c r="G78" s="21" t="s">
        <v>1151</v>
      </c>
      <c r="H78" s="21">
        <v>90541</v>
      </c>
      <c r="I78" s="21">
        <v>0</v>
      </c>
      <c r="J78" s="21">
        <v>5</v>
      </c>
      <c r="K78" s="21">
        <v>7</v>
      </c>
      <c r="L78" s="21">
        <v>0</v>
      </c>
      <c r="M78" s="21">
        <v>1200</v>
      </c>
      <c r="N78" s="61">
        <f t="shared" si="1"/>
        <v>1</v>
      </c>
      <c r="O78" s="60">
        <v>103421.48</v>
      </c>
      <c r="P78" s="21">
        <v>16693.95</v>
      </c>
      <c r="Q78" s="21">
        <v>3153.38</v>
      </c>
      <c r="R78" s="21">
        <v>77701.3</v>
      </c>
      <c r="S78" s="21">
        <v>3804.6</v>
      </c>
      <c r="T78" s="21">
        <v>5933.5</v>
      </c>
      <c r="U78" s="21">
        <v>0</v>
      </c>
      <c r="V78" s="21">
        <v>0</v>
      </c>
      <c r="W78" s="21">
        <v>994.2</v>
      </c>
      <c r="X78" s="21">
        <v>14.1</v>
      </c>
      <c r="Y78" s="21">
        <v>66954.899999999994</v>
      </c>
      <c r="Z78" s="21">
        <v>5872.85</v>
      </c>
      <c r="AA78" s="21">
        <v>0</v>
      </c>
      <c r="AB78" s="21">
        <v>0</v>
      </c>
      <c r="AC78" s="21">
        <v>1812300</v>
      </c>
    </row>
    <row r="79" spans="1:29" hidden="1" outlineLevel="2">
      <c r="A79" s="21">
        <v>467</v>
      </c>
      <c r="B79" s="21">
        <v>4349257</v>
      </c>
      <c r="C79" s="21">
        <v>43492578</v>
      </c>
      <c r="D79" s="21" t="s">
        <v>1443</v>
      </c>
      <c r="E79" s="21" t="s">
        <v>1184</v>
      </c>
      <c r="F79" s="21">
        <v>812300</v>
      </c>
      <c r="G79" s="21" t="s">
        <v>1151</v>
      </c>
      <c r="H79" s="21">
        <v>90541</v>
      </c>
      <c r="I79" s="21">
        <v>1</v>
      </c>
      <c r="J79" s="21">
        <v>0</v>
      </c>
      <c r="K79" s="21">
        <v>0</v>
      </c>
      <c r="L79" s="21">
        <v>0</v>
      </c>
      <c r="M79" s="21">
        <v>0</v>
      </c>
      <c r="N79" s="61">
        <f t="shared" si="1"/>
        <v>0</v>
      </c>
      <c r="O79" s="60">
        <v>723.88</v>
      </c>
      <c r="P79" s="21">
        <v>279.67</v>
      </c>
      <c r="Q79" s="21">
        <v>22.07</v>
      </c>
      <c r="R79" s="21">
        <v>374.1</v>
      </c>
      <c r="S79" s="21">
        <v>0</v>
      </c>
      <c r="T79" s="21">
        <v>0</v>
      </c>
      <c r="U79" s="21">
        <v>0</v>
      </c>
      <c r="V79" s="21">
        <v>0</v>
      </c>
      <c r="W79" s="21">
        <v>0</v>
      </c>
      <c r="X79" s="21">
        <v>559.15</v>
      </c>
      <c r="Y79" s="21">
        <v>-185.05</v>
      </c>
      <c r="Z79" s="21">
        <v>48.04</v>
      </c>
      <c r="AA79" s="21">
        <v>0</v>
      </c>
      <c r="AB79" s="21">
        <v>0</v>
      </c>
      <c r="AC79" s="21">
        <v>1812300</v>
      </c>
    </row>
    <row r="80" spans="1:29" hidden="1" outlineLevel="2">
      <c r="A80" s="21">
        <v>467</v>
      </c>
      <c r="B80" s="21">
        <v>5239983</v>
      </c>
      <c r="C80" s="21">
        <v>52399839</v>
      </c>
      <c r="D80" s="21" t="s">
        <v>1298</v>
      </c>
      <c r="E80" s="21" t="s">
        <v>1184</v>
      </c>
      <c r="F80" s="21">
        <v>812300</v>
      </c>
      <c r="G80" s="21" t="s">
        <v>1151</v>
      </c>
      <c r="H80" s="21">
        <v>90541</v>
      </c>
      <c r="I80" s="21">
        <v>0</v>
      </c>
      <c r="J80" s="21">
        <v>5</v>
      </c>
      <c r="K80" s="21">
        <v>7</v>
      </c>
      <c r="L80" s="21">
        <v>0</v>
      </c>
      <c r="M80" s="21">
        <v>900</v>
      </c>
      <c r="N80" s="61">
        <f t="shared" si="1"/>
        <v>0.75</v>
      </c>
      <c r="O80" s="60">
        <v>91571.97</v>
      </c>
      <c r="P80" s="21">
        <v>12934.5</v>
      </c>
      <c r="Q80" s="21">
        <v>3123.65</v>
      </c>
      <c r="R80" s="21">
        <v>70226.570000000007</v>
      </c>
      <c r="S80" s="21">
        <v>-32.200000000000003</v>
      </c>
      <c r="T80" s="21">
        <v>6467.5</v>
      </c>
      <c r="U80" s="21">
        <v>0</v>
      </c>
      <c r="V80" s="21">
        <v>0</v>
      </c>
      <c r="W80" s="21">
        <v>6454.2</v>
      </c>
      <c r="X80" s="21">
        <v>24.4</v>
      </c>
      <c r="Y80" s="21">
        <v>57312.67</v>
      </c>
      <c r="Z80" s="21">
        <v>5287.25</v>
      </c>
      <c r="AA80" s="21">
        <v>0</v>
      </c>
      <c r="AB80" s="21">
        <v>0</v>
      </c>
      <c r="AC80" s="21">
        <v>1812300</v>
      </c>
    </row>
    <row r="81" spans="1:30" hidden="1" outlineLevel="2">
      <c r="A81" s="21">
        <v>467</v>
      </c>
      <c r="B81" s="21">
        <v>5697523</v>
      </c>
      <c r="C81" s="21">
        <v>56975238</v>
      </c>
      <c r="D81" s="21" t="s">
        <v>1442</v>
      </c>
      <c r="E81" s="21" t="s">
        <v>1441</v>
      </c>
      <c r="F81" s="21">
        <v>812300</v>
      </c>
      <c r="G81" s="21" t="s">
        <v>1151</v>
      </c>
      <c r="H81" s="21">
        <v>90541</v>
      </c>
      <c r="I81" s="21">
        <v>0</v>
      </c>
      <c r="J81" s="21">
        <v>5</v>
      </c>
      <c r="K81" s="21">
        <v>7</v>
      </c>
      <c r="L81" s="21">
        <v>0</v>
      </c>
      <c r="M81" s="21">
        <v>1100</v>
      </c>
      <c r="N81" s="61">
        <f t="shared" si="1"/>
        <v>0.91666666666666663</v>
      </c>
      <c r="O81" s="60">
        <v>126207.98</v>
      </c>
      <c r="P81" s="21">
        <v>17430.400000000001</v>
      </c>
      <c r="Q81" s="21">
        <v>4396.05</v>
      </c>
      <c r="R81" s="21">
        <v>97056.98</v>
      </c>
      <c r="S81" s="21">
        <v>-30.4</v>
      </c>
      <c r="T81" s="21">
        <v>6140</v>
      </c>
      <c r="U81" s="21">
        <v>0</v>
      </c>
      <c r="V81" s="21">
        <v>0</v>
      </c>
      <c r="W81" s="21">
        <v>12988.95</v>
      </c>
      <c r="X81" s="21">
        <v>-10.45</v>
      </c>
      <c r="Y81" s="21">
        <v>77968.88</v>
      </c>
      <c r="Z81" s="21">
        <v>7324.55</v>
      </c>
      <c r="AA81" s="21">
        <v>0</v>
      </c>
      <c r="AB81" s="21">
        <v>0</v>
      </c>
      <c r="AC81" s="21">
        <v>1812300</v>
      </c>
    </row>
    <row r="82" spans="1:30" hidden="1" outlineLevel="2">
      <c r="A82" s="21">
        <v>467</v>
      </c>
      <c r="B82" s="21">
        <v>20576402</v>
      </c>
      <c r="C82" s="21">
        <v>205764020</v>
      </c>
      <c r="D82" s="21" t="s">
        <v>1170</v>
      </c>
      <c r="E82" s="21" t="s">
        <v>1440</v>
      </c>
      <c r="F82" s="21">
        <v>812300</v>
      </c>
      <c r="G82" s="21" t="s">
        <v>1151</v>
      </c>
      <c r="H82" s="21">
        <v>90541</v>
      </c>
      <c r="I82" s="21">
        <v>1</v>
      </c>
      <c r="J82" s="21">
        <v>0</v>
      </c>
      <c r="K82" s="21">
        <v>0</v>
      </c>
      <c r="L82" s="21">
        <v>0</v>
      </c>
      <c r="M82" s="21">
        <v>0</v>
      </c>
      <c r="N82" s="61">
        <f t="shared" si="1"/>
        <v>0</v>
      </c>
      <c r="O82" s="60">
        <v>14235.49</v>
      </c>
      <c r="P82" s="21">
        <v>473.35</v>
      </c>
      <c r="Q82" s="21">
        <v>427.94</v>
      </c>
      <c r="R82" s="21">
        <v>12403.9</v>
      </c>
      <c r="S82" s="21">
        <v>0</v>
      </c>
      <c r="T82" s="21">
        <v>0</v>
      </c>
      <c r="U82" s="21">
        <v>0</v>
      </c>
      <c r="V82" s="21">
        <v>0</v>
      </c>
      <c r="W82" s="21">
        <v>0</v>
      </c>
      <c r="X82" s="21">
        <v>0</v>
      </c>
      <c r="Y82" s="21">
        <v>12403.9</v>
      </c>
      <c r="Z82" s="21">
        <v>930.3</v>
      </c>
      <c r="AA82" s="21">
        <v>0</v>
      </c>
      <c r="AB82" s="21">
        <v>0</v>
      </c>
      <c r="AC82" s="21">
        <v>1812300</v>
      </c>
    </row>
    <row r="83" spans="1:30" hidden="1" outlineLevel="2">
      <c r="A83" s="21">
        <v>467</v>
      </c>
      <c r="B83" s="21">
        <v>30503925</v>
      </c>
      <c r="C83" s="21">
        <v>305039257</v>
      </c>
      <c r="D83" s="21" t="s">
        <v>1173</v>
      </c>
      <c r="E83" s="21" t="s">
        <v>1439</v>
      </c>
      <c r="F83" s="21">
        <v>812300</v>
      </c>
      <c r="G83" s="21" t="s">
        <v>1151</v>
      </c>
      <c r="H83" s="21">
        <v>90541</v>
      </c>
      <c r="I83" s="21">
        <v>1</v>
      </c>
      <c r="J83" s="21">
        <v>0</v>
      </c>
      <c r="K83" s="21">
        <v>0</v>
      </c>
      <c r="L83" s="21">
        <v>0</v>
      </c>
      <c r="M83" s="21">
        <v>0</v>
      </c>
      <c r="N83" s="61">
        <f t="shared" si="1"/>
        <v>0</v>
      </c>
      <c r="O83" s="60">
        <v>3232.1</v>
      </c>
      <c r="P83" s="21">
        <v>0</v>
      </c>
      <c r="Q83" s="21">
        <v>100.5</v>
      </c>
      <c r="R83" s="21">
        <v>2913.1</v>
      </c>
      <c r="S83" s="21">
        <v>0</v>
      </c>
      <c r="T83" s="21">
        <v>0</v>
      </c>
      <c r="U83" s="21">
        <v>0</v>
      </c>
      <c r="V83" s="21">
        <v>0</v>
      </c>
      <c r="W83" s="21">
        <v>0</v>
      </c>
      <c r="X83" s="21">
        <v>0</v>
      </c>
      <c r="Y83" s="21">
        <v>2913.1</v>
      </c>
      <c r="Z83" s="21">
        <v>218.5</v>
      </c>
      <c r="AA83" s="21">
        <v>0</v>
      </c>
      <c r="AB83" s="21">
        <v>0</v>
      </c>
      <c r="AC83" s="21">
        <v>1812300</v>
      </c>
    </row>
    <row r="84" spans="1:30" outlineLevel="1" collapsed="1">
      <c r="F84" s="62" t="s">
        <v>1438</v>
      </c>
      <c r="M84" s="21">
        <f>SUBTOTAL(9,M57:M83)</f>
        <v>17900</v>
      </c>
      <c r="N84" s="61">
        <f>SUBTOTAL(9,N57:N83)</f>
        <v>14.916666666666666</v>
      </c>
      <c r="O84" s="60">
        <f>SUBTOTAL(9,O57:O83)</f>
        <v>1676060.3899999997</v>
      </c>
      <c r="AC84" s="21" t="str">
        <f>"1"&amp;LEFT(F84,6)&amp;"110"</f>
        <v>1812300110</v>
      </c>
      <c r="AD84" s="21" t="str">
        <f>VLOOKUP(AC84,'פירוט שכר'!A:K,5,0)</f>
        <v>גנים ט.חובה-משכורת</v>
      </c>
    </row>
    <row r="85" spans="1:30" hidden="1" outlineLevel="2">
      <c r="A85" s="21">
        <v>467</v>
      </c>
      <c r="B85" s="21">
        <v>2625853</v>
      </c>
      <c r="C85" s="21">
        <v>26258533</v>
      </c>
      <c r="D85" s="21" t="s">
        <v>1183</v>
      </c>
      <c r="E85" s="21" t="s">
        <v>1225</v>
      </c>
      <c r="F85" s="21">
        <v>812310</v>
      </c>
      <c r="G85" s="21" t="s">
        <v>1151</v>
      </c>
      <c r="H85" s="21">
        <v>90541</v>
      </c>
      <c r="I85" s="21">
        <v>1</v>
      </c>
      <c r="J85" s="21">
        <v>0</v>
      </c>
      <c r="K85" s="21">
        <v>0</v>
      </c>
      <c r="L85" s="21">
        <v>0</v>
      </c>
      <c r="M85" s="21">
        <v>0</v>
      </c>
      <c r="N85" s="61">
        <f t="shared" ref="N85:N96" si="2">+M85/1200</f>
        <v>0</v>
      </c>
      <c r="O85" s="60">
        <v>22972.74</v>
      </c>
      <c r="P85" s="21">
        <v>2909.1</v>
      </c>
      <c r="Q85" s="21">
        <v>623.89</v>
      </c>
      <c r="R85" s="21">
        <v>18083.45</v>
      </c>
      <c r="S85" s="21">
        <v>0</v>
      </c>
      <c r="T85" s="21">
        <v>1434.7</v>
      </c>
      <c r="U85" s="21">
        <v>0</v>
      </c>
      <c r="V85" s="21">
        <v>0</v>
      </c>
      <c r="W85" s="21">
        <v>0</v>
      </c>
      <c r="X85" s="21">
        <v>0</v>
      </c>
      <c r="Y85" s="21">
        <v>16648.75</v>
      </c>
      <c r="Z85" s="21">
        <v>1356.3</v>
      </c>
      <c r="AA85" s="21">
        <v>0</v>
      </c>
      <c r="AB85" s="21">
        <v>0</v>
      </c>
      <c r="AC85" s="21">
        <v>1812300</v>
      </c>
    </row>
    <row r="86" spans="1:30" hidden="1" outlineLevel="2">
      <c r="A86" s="21">
        <v>467</v>
      </c>
      <c r="B86" s="21">
        <v>2635647</v>
      </c>
      <c r="C86" s="21">
        <v>26356477</v>
      </c>
      <c r="D86" s="21" t="s">
        <v>1183</v>
      </c>
      <c r="E86" s="21" t="s">
        <v>1437</v>
      </c>
      <c r="F86" s="21">
        <v>812310</v>
      </c>
      <c r="G86" s="21" t="s">
        <v>1151</v>
      </c>
      <c r="H86" s="21">
        <v>90541</v>
      </c>
      <c r="I86" s="21">
        <v>0</v>
      </c>
      <c r="J86" s="21">
        <v>5</v>
      </c>
      <c r="K86" s="21">
        <v>7</v>
      </c>
      <c r="L86" s="21">
        <v>0</v>
      </c>
      <c r="M86" s="21">
        <v>1200</v>
      </c>
      <c r="N86" s="61">
        <f t="shared" si="2"/>
        <v>1</v>
      </c>
      <c r="O86" s="60">
        <v>107359.44</v>
      </c>
      <c r="P86" s="21">
        <v>16448.57</v>
      </c>
      <c r="Q86" s="21">
        <v>3363.97</v>
      </c>
      <c r="R86" s="21">
        <v>81422.05</v>
      </c>
      <c r="S86" s="21">
        <v>0</v>
      </c>
      <c r="T86" s="21">
        <v>6640</v>
      </c>
      <c r="U86" s="21">
        <v>0</v>
      </c>
      <c r="V86" s="21">
        <v>0</v>
      </c>
      <c r="W86" s="21">
        <v>583.20000000000005</v>
      </c>
      <c r="X86" s="21">
        <v>0.6</v>
      </c>
      <c r="Y86" s="21">
        <v>74198.25</v>
      </c>
      <c r="Z86" s="21">
        <v>6124.85</v>
      </c>
      <c r="AA86" s="21">
        <v>0</v>
      </c>
      <c r="AB86" s="21">
        <v>0</v>
      </c>
      <c r="AC86" s="21">
        <v>1812300</v>
      </c>
    </row>
    <row r="87" spans="1:30" hidden="1" outlineLevel="2">
      <c r="A87" s="21">
        <v>467</v>
      </c>
      <c r="B87" s="21">
        <v>2766815</v>
      </c>
      <c r="C87" s="21">
        <v>27668151</v>
      </c>
      <c r="D87" s="21" t="s">
        <v>1170</v>
      </c>
      <c r="E87" s="21" t="s">
        <v>1436</v>
      </c>
      <c r="F87" s="21">
        <v>812310</v>
      </c>
      <c r="G87" s="21" t="s">
        <v>1151</v>
      </c>
      <c r="H87" s="21">
        <v>90541</v>
      </c>
      <c r="I87" s="21">
        <v>0</v>
      </c>
      <c r="J87" s="21">
        <v>5</v>
      </c>
      <c r="K87" s="21">
        <v>37</v>
      </c>
      <c r="L87" s="21">
        <v>0</v>
      </c>
      <c r="M87" s="21">
        <v>1200</v>
      </c>
      <c r="N87" s="61">
        <f t="shared" si="2"/>
        <v>1</v>
      </c>
      <c r="O87" s="60">
        <v>105606.67</v>
      </c>
      <c r="P87" s="21">
        <v>16181.11</v>
      </c>
      <c r="Q87" s="21">
        <v>3274.59</v>
      </c>
      <c r="R87" s="21">
        <v>80123.42</v>
      </c>
      <c r="S87" s="21">
        <v>0</v>
      </c>
      <c r="T87" s="21">
        <v>6640</v>
      </c>
      <c r="U87" s="21">
        <v>0</v>
      </c>
      <c r="V87" s="21">
        <v>0</v>
      </c>
      <c r="W87" s="21">
        <v>583.20000000000005</v>
      </c>
      <c r="X87" s="21">
        <v>1.2</v>
      </c>
      <c r="Y87" s="21">
        <v>72899.02</v>
      </c>
      <c r="Z87" s="21">
        <v>6027.55</v>
      </c>
      <c r="AA87" s="21">
        <v>0</v>
      </c>
      <c r="AB87" s="21">
        <v>0</v>
      </c>
      <c r="AC87" s="21">
        <v>1812300</v>
      </c>
    </row>
    <row r="88" spans="1:30" hidden="1" outlineLevel="2">
      <c r="A88" s="21">
        <v>467</v>
      </c>
      <c r="B88" s="21">
        <v>2984367</v>
      </c>
      <c r="C88" s="21">
        <v>29843679</v>
      </c>
      <c r="D88" s="21" t="s">
        <v>1183</v>
      </c>
      <c r="E88" s="21" t="s">
        <v>1435</v>
      </c>
      <c r="F88" s="21">
        <v>812310</v>
      </c>
      <c r="G88" s="21" t="s">
        <v>1151</v>
      </c>
      <c r="H88" s="21">
        <v>90541</v>
      </c>
      <c r="I88" s="21">
        <v>1</v>
      </c>
      <c r="J88" s="21">
        <v>0</v>
      </c>
      <c r="K88" s="21">
        <v>0</v>
      </c>
      <c r="L88" s="21">
        <v>0</v>
      </c>
      <c r="M88" s="21">
        <v>0</v>
      </c>
      <c r="N88" s="61">
        <f t="shared" si="2"/>
        <v>0</v>
      </c>
      <c r="O88" s="60">
        <v>7647.03</v>
      </c>
      <c r="P88" s="21">
        <v>606.29999999999995</v>
      </c>
      <c r="Q88" s="21">
        <v>218.93</v>
      </c>
      <c r="R88" s="21">
        <v>6345.85</v>
      </c>
      <c r="S88" s="21">
        <v>0</v>
      </c>
      <c r="T88" s="21">
        <v>1652.5</v>
      </c>
      <c r="U88" s="21">
        <v>0</v>
      </c>
      <c r="V88" s="21">
        <v>0</v>
      </c>
      <c r="W88" s="21">
        <v>0</v>
      </c>
      <c r="X88" s="21">
        <v>0</v>
      </c>
      <c r="Y88" s="21">
        <v>4693.3500000000004</v>
      </c>
      <c r="Z88" s="21">
        <v>475.95</v>
      </c>
      <c r="AA88" s="21">
        <v>0</v>
      </c>
      <c r="AB88" s="21">
        <v>0</v>
      </c>
      <c r="AC88" s="21">
        <v>1812300</v>
      </c>
    </row>
    <row r="89" spans="1:30" hidden="1" outlineLevel="2">
      <c r="A89" s="21">
        <v>467</v>
      </c>
      <c r="B89" s="21">
        <v>3159568</v>
      </c>
      <c r="C89" s="21">
        <v>31595689</v>
      </c>
      <c r="D89" s="21" t="s">
        <v>1153</v>
      </c>
      <c r="E89" s="21" t="s">
        <v>1406</v>
      </c>
      <c r="F89" s="21">
        <v>812310</v>
      </c>
      <c r="G89" s="21" t="s">
        <v>1151</v>
      </c>
      <c r="H89" s="21">
        <v>90541</v>
      </c>
      <c r="I89" s="21">
        <v>0</v>
      </c>
      <c r="J89" s="21">
        <v>5</v>
      </c>
      <c r="K89" s="21">
        <v>7</v>
      </c>
      <c r="L89" s="21">
        <v>0</v>
      </c>
      <c r="M89" s="21">
        <v>960</v>
      </c>
      <c r="N89" s="61">
        <f t="shared" si="2"/>
        <v>0.8</v>
      </c>
      <c r="O89" s="60">
        <v>73338.98</v>
      </c>
      <c r="P89" s="21">
        <v>10464.86</v>
      </c>
      <c r="Q89" s="21">
        <v>2013.67</v>
      </c>
      <c r="R89" s="21">
        <v>56597.33</v>
      </c>
      <c r="S89" s="21">
        <v>1521.9</v>
      </c>
      <c r="T89" s="21">
        <v>4628.8</v>
      </c>
      <c r="U89" s="21">
        <v>0</v>
      </c>
      <c r="V89" s="21">
        <v>0</v>
      </c>
      <c r="W89" s="21">
        <v>466.8</v>
      </c>
      <c r="X89" s="21">
        <v>-1.95</v>
      </c>
      <c r="Y89" s="21">
        <v>49981.78</v>
      </c>
      <c r="Z89" s="21">
        <v>4263.12</v>
      </c>
      <c r="AA89" s="21">
        <v>0</v>
      </c>
      <c r="AB89" s="21">
        <v>0</v>
      </c>
      <c r="AC89" s="21">
        <v>1812300</v>
      </c>
    </row>
    <row r="90" spans="1:30" hidden="1" outlineLevel="2">
      <c r="A90" s="21">
        <v>467</v>
      </c>
      <c r="B90" s="21">
        <v>3252139</v>
      </c>
      <c r="C90" s="21">
        <v>32521395</v>
      </c>
      <c r="D90" s="21" t="s">
        <v>1173</v>
      </c>
      <c r="E90" s="21" t="s">
        <v>1434</v>
      </c>
      <c r="F90" s="21">
        <v>812310</v>
      </c>
      <c r="G90" s="21" t="s">
        <v>1151</v>
      </c>
      <c r="H90" s="21">
        <v>90541</v>
      </c>
      <c r="I90" s="21">
        <v>1</v>
      </c>
      <c r="J90" s="21">
        <v>0</v>
      </c>
      <c r="K90" s="21">
        <v>0</v>
      </c>
      <c r="L90" s="21">
        <v>0</v>
      </c>
      <c r="M90" s="21">
        <v>0</v>
      </c>
      <c r="N90" s="61">
        <f t="shared" si="2"/>
        <v>0</v>
      </c>
      <c r="O90" s="60">
        <v>16117.71</v>
      </c>
      <c r="P90" s="21">
        <v>1691.6</v>
      </c>
      <c r="Q90" s="21">
        <v>455.11</v>
      </c>
      <c r="R90" s="21">
        <v>12981.6</v>
      </c>
      <c r="S90" s="21">
        <v>0</v>
      </c>
      <c r="T90" s="21">
        <v>1537.2</v>
      </c>
      <c r="U90" s="21">
        <v>0</v>
      </c>
      <c r="V90" s="21">
        <v>0</v>
      </c>
      <c r="W90" s="21">
        <v>0</v>
      </c>
      <c r="X90" s="21">
        <v>0</v>
      </c>
      <c r="Y90" s="21">
        <v>11444.4</v>
      </c>
      <c r="Z90" s="21">
        <v>989.4</v>
      </c>
      <c r="AA90" s="21">
        <v>0</v>
      </c>
      <c r="AB90" s="21">
        <v>0</v>
      </c>
      <c r="AC90" s="21">
        <v>1812300</v>
      </c>
    </row>
    <row r="91" spans="1:30" hidden="1" outlineLevel="2">
      <c r="A91" s="21">
        <v>467</v>
      </c>
      <c r="B91" s="21">
        <v>3310728</v>
      </c>
      <c r="C91" s="21">
        <v>33107285</v>
      </c>
      <c r="D91" s="21" t="s">
        <v>1153</v>
      </c>
      <c r="E91" s="21" t="s">
        <v>1433</v>
      </c>
      <c r="F91" s="21">
        <v>812310</v>
      </c>
      <c r="G91" s="21" t="s">
        <v>1151</v>
      </c>
      <c r="H91" s="21">
        <v>90541</v>
      </c>
      <c r="I91" s="21">
        <v>1</v>
      </c>
      <c r="J91" s="21">
        <v>0</v>
      </c>
      <c r="K91" s="21">
        <v>0</v>
      </c>
      <c r="L91" s="21">
        <v>0</v>
      </c>
      <c r="M91" s="21">
        <v>0</v>
      </c>
      <c r="N91" s="61">
        <f t="shared" si="2"/>
        <v>0</v>
      </c>
      <c r="O91" s="60">
        <v>-573.94000000000005</v>
      </c>
      <c r="P91" s="21">
        <v>-87.59</v>
      </c>
      <c r="Q91" s="21">
        <v>-11.4</v>
      </c>
      <c r="R91" s="21">
        <v>-450.2</v>
      </c>
      <c r="S91" s="21">
        <v>0</v>
      </c>
      <c r="T91" s="21">
        <v>0</v>
      </c>
      <c r="U91" s="21">
        <v>0</v>
      </c>
      <c r="V91" s="21">
        <v>0</v>
      </c>
      <c r="W91" s="21">
        <v>0</v>
      </c>
      <c r="X91" s="21">
        <v>0</v>
      </c>
      <c r="Y91" s="21">
        <v>-450.2</v>
      </c>
      <c r="Z91" s="21">
        <v>-24.75</v>
      </c>
      <c r="AA91" s="21">
        <v>0</v>
      </c>
      <c r="AB91" s="21">
        <v>0</v>
      </c>
      <c r="AC91" s="21">
        <v>1812300</v>
      </c>
    </row>
    <row r="92" spans="1:30" hidden="1" outlineLevel="2">
      <c r="A92" s="21">
        <v>467</v>
      </c>
      <c r="B92" s="21">
        <v>3380069</v>
      </c>
      <c r="C92" s="21">
        <v>33800699</v>
      </c>
      <c r="D92" s="21" t="s">
        <v>1183</v>
      </c>
      <c r="E92" s="21" t="s">
        <v>1432</v>
      </c>
      <c r="F92" s="21">
        <v>812310</v>
      </c>
      <c r="G92" s="21" t="s">
        <v>1151</v>
      </c>
      <c r="H92" s="21">
        <v>90541</v>
      </c>
      <c r="I92" s="21">
        <v>1</v>
      </c>
      <c r="J92" s="21">
        <v>0</v>
      </c>
      <c r="K92" s="21">
        <v>0</v>
      </c>
      <c r="L92" s="21">
        <v>0</v>
      </c>
      <c r="M92" s="21">
        <v>0</v>
      </c>
      <c r="N92" s="61">
        <f t="shared" si="2"/>
        <v>0</v>
      </c>
      <c r="O92" s="60">
        <v>22463.54</v>
      </c>
      <c r="P92" s="21">
        <v>2661.6</v>
      </c>
      <c r="Q92" s="21">
        <v>615.74</v>
      </c>
      <c r="R92" s="21">
        <v>17847.599999999999</v>
      </c>
      <c r="S92" s="21">
        <v>0</v>
      </c>
      <c r="T92" s="21">
        <v>1016.25</v>
      </c>
      <c r="U92" s="21">
        <v>0</v>
      </c>
      <c r="V92" s="21">
        <v>0</v>
      </c>
      <c r="W92" s="21">
        <v>0</v>
      </c>
      <c r="X92" s="21">
        <v>0</v>
      </c>
      <c r="Y92" s="21">
        <v>16831.349999999999</v>
      </c>
      <c r="Z92" s="21">
        <v>1338.6</v>
      </c>
      <c r="AA92" s="21">
        <v>0</v>
      </c>
      <c r="AB92" s="21">
        <v>0</v>
      </c>
      <c r="AC92" s="21">
        <v>1812300</v>
      </c>
    </row>
    <row r="93" spans="1:30" hidden="1" outlineLevel="2">
      <c r="A93" s="21">
        <v>467</v>
      </c>
      <c r="B93" s="21">
        <v>3800364</v>
      </c>
      <c r="C93" s="21">
        <v>38003646</v>
      </c>
      <c r="D93" s="21" t="s">
        <v>1153</v>
      </c>
      <c r="E93" s="21" t="s">
        <v>1419</v>
      </c>
      <c r="F93" s="21">
        <v>812310</v>
      </c>
      <c r="G93" s="21" t="s">
        <v>1151</v>
      </c>
      <c r="H93" s="21">
        <v>90541</v>
      </c>
      <c r="I93" s="21">
        <v>1</v>
      </c>
      <c r="J93" s="21">
        <v>0</v>
      </c>
      <c r="K93" s="21">
        <v>0</v>
      </c>
      <c r="L93" s="21">
        <v>0</v>
      </c>
      <c r="M93" s="21">
        <v>0</v>
      </c>
      <c r="N93" s="61">
        <f t="shared" si="2"/>
        <v>0</v>
      </c>
      <c r="O93" s="60">
        <v>24727.48</v>
      </c>
      <c r="P93" s="21">
        <v>3183.65</v>
      </c>
      <c r="Q93" s="21">
        <v>679.23</v>
      </c>
      <c r="R93" s="21">
        <v>19387.95</v>
      </c>
      <c r="S93" s="21">
        <v>0</v>
      </c>
      <c r="T93" s="21">
        <v>1345.05</v>
      </c>
      <c r="U93" s="21">
        <v>0</v>
      </c>
      <c r="V93" s="21">
        <v>0</v>
      </c>
      <c r="W93" s="21">
        <v>0</v>
      </c>
      <c r="X93" s="21">
        <v>0</v>
      </c>
      <c r="Y93" s="21">
        <v>18042.900000000001</v>
      </c>
      <c r="Z93" s="21">
        <v>1476.65</v>
      </c>
      <c r="AA93" s="21">
        <v>0</v>
      </c>
      <c r="AB93" s="21">
        <v>0</v>
      </c>
      <c r="AC93" s="21">
        <v>1812300</v>
      </c>
    </row>
    <row r="94" spans="1:30" hidden="1" outlineLevel="2">
      <c r="A94" s="21">
        <v>467</v>
      </c>
      <c r="B94" s="21">
        <v>6014109</v>
      </c>
      <c r="C94" s="21">
        <v>60141090</v>
      </c>
      <c r="D94" s="21" t="s">
        <v>1153</v>
      </c>
      <c r="E94" s="21" t="s">
        <v>1240</v>
      </c>
      <c r="F94" s="21">
        <v>812310</v>
      </c>
      <c r="G94" s="21" t="s">
        <v>1151</v>
      </c>
      <c r="H94" s="21">
        <v>90541</v>
      </c>
      <c r="I94" s="21">
        <v>0</v>
      </c>
      <c r="J94" s="21">
        <v>5</v>
      </c>
      <c r="K94" s="21">
        <v>6</v>
      </c>
      <c r="L94" s="21">
        <v>0</v>
      </c>
      <c r="M94" s="21">
        <v>1080</v>
      </c>
      <c r="N94" s="61">
        <f t="shared" si="2"/>
        <v>0.9</v>
      </c>
      <c r="O94" s="60">
        <v>84368.26</v>
      </c>
      <c r="P94" s="21">
        <v>11393.56</v>
      </c>
      <c r="Q94" s="21">
        <v>2313.94</v>
      </c>
      <c r="R94" s="21">
        <v>65713.919999999998</v>
      </c>
      <c r="S94" s="21">
        <v>5713.2</v>
      </c>
      <c r="T94" s="21">
        <v>4823.1000000000004</v>
      </c>
      <c r="U94" s="21">
        <v>0</v>
      </c>
      <c r="V94" s="21">
        <v>0</v>
      </c>
      <c r="W94" s="21">
        <v>475.5</v>
      </c>
      <c r="X94" s="21">
        <v>12.65</v>
      </c>
      <c r="Y94" s="21">
        <v>54689.47</v>
      </c>
      <c r="Z94" s="21">
        <v>4946.84</v>
      </c>
      <c r="AA94" s="21">
        <v>0</v>
      </c>
      <c r="AB94" s="21">
        <v>0</v>
      </c>
      <c r="AC94" s="21">
        <v>1812300</v>
      </c>
    </row>
    <row r="95" spans="1:30" hidden="1" outlineLevel="2">
      <c r="A95" s="21">
        <v>467</v>
      </c>
      <c r="B95" s="21">
        <v>6129721</v>
      </c>
      <c r="C95" s="21">
        <v>61297214</v>
      </c>
      <c r="D95" s="21" t="s">
        <v>1209</v>
      </c>
      <c r="E95" s="21" t="s">
        <v>1431</v>
      </c>
      <c r="F95" s="21">
        <v>812310</v>
      </c>
      <c r="G95" s="21" t="s">
        <v>1151</v>
      </c>
      <c r="H95" s="21">
        <v>90541</v>
      </c>
      <c r="I95" s="21">
        <v>1</v>
      </c>
      <c r="J95" s="21">
        <v>0</v>
      </c>
      <c r="K95" s="21">
        <v>0</v>
      </c>
      <c r="L95" s="21">
        <v>0</v>
      </c>
      <c r="M95" s="21">
        <v>0</v>
      </c>
      <c r="N95" s="61">
        <f t="shared" si="2"/>
        <v>0</v>
      </c>
      <c r="O95" s="60">
        <v>19280.45</v>
      </c>
      <c r="P95" s="21">
        <v>2236.3000000000002</v>
      </c>
      <c r="Q95" s="21">
        <v>541.15</v>
      </c>
      <c r="R95" s="21">
        <v>15337.05</v>
      </c>
      <c r="S95" s="21">
        <v>0</v>
      </c>
      <c r="T95" s="21">
        <v>1404.85</v>
      </c>
      <c r="U95" s="21">
        <v>0</v>
      </c>
      <c r="V95" s="21">
        <v>0</v>
      </c>
      <c r="W95" s="21">
        <v>0</v>
      </c>
      <c r="X95" s="21">
        <v>0</v>
      </c>
      <c r="Y95" s="21">
        <v>13932.2</v>
      </c>
      <c r="Z95" s="21">
        <v>1165.95</v>
      </c>
      <c r="AA95" s="21">
        <v>0</v>
      </c>
      <c r="AB95" s="21">
        <v>0</v>
      </c>
      <c r="AC95" s="21">
        <v>1812300</v>
      </c>
    </row>
    <row r="96" spans="1:30" hidden="1" outlineLevel="2">
      <c r="A96" s="21">
        <v>467</v>
      </c>
      <c r="B96" s="21">
        <v>6605322</v>
      </c>
      <c r="C96" s="21">
        <v>66053224</v>
      </c>
      <c r="D96" s="21" t="s">
        <v>1173</v>
      </c>
      <c r="E96" s="21" t="s">
        <v>1430</v>
      </c>
      <c r="F96" s="21">
        <v>812310</v>
      </c>
      <c r="G96" s="21" t="s">
        <v>1151</v>
      </c>
      <c r="H96" s="21">
        <v>90541</v>
      </c>
      <c r="I96" s="21">
        <v>1</v>
      </c>
      <c r="J96" s="21">
        <v>0</v>
      </c>
      <c r="K96" s="21">
        <v>0</v>
      </c>
      <c r="L96" s="21">
        <v>0</v>
      </c>
      <c r="M96" s="21">
        <v>0</v>
      </c>
      <c r="N96" s="61">
        <f t="shared" si="2"/>
        <v>0</v>
      </c>
      <c r="O96" s="60">
        <v>4404.22</v>
      </c>
      <c r="P96" s="21">
        <v>389.9</v>
      </c>
      <c r="Q96" s="21">
        <v>124.82</v>
      </c>
      <c r="R96" s="21">
        <v>3618.1</v>
      </c>
      <c r="S96" s="21">
        <v>0</v>
      </c>
      <c r="T96" s="21">
        <v>866.8</v>
      </c>
      <c r="U96" s="21">
        <v>0</v>
      </c>
      <c r="V96" s="21">
        <v>0</v>
      </c>
      <c r="W96" s="21">
        <v>0</v>
      </c>
      <c r="X96" s="21">
        <v>0</v>
      </c>
      <c r="Y96" s="21">
        <v>2751.3</v>
      </c>
      <c r="Z96" s="21">
        <v>271.39999999999998</v>
      </c>
      <c r="AA96" s="21">
        <v>0</v>
      </c>
      <c r="AB96" s="21">
        <v>0</v>
      </c>
      <c r="AC96" s="21">
        <v>1812300</v>
      </c>
    </row>
    <row r="97" spans="1:30" outlineLevel="1" collapsed="1">
      <c r="F97" s="62" t="s">
        <v>1429</v>
      </c>
      <c r="M97" s="21">
        <f>SUBTOTAL(9,M85:M96)</f>
        <v>4440</v>
      </c>
      <c r="N97" s="61">
        <f>SUBTOTAL(9,N85:N96)</f>
        <v>3.6999999999999997</v>
      </c>
      <c r="O97" s="60">
        <f>SUBTOTAL(9,O85:O96)</f>
        <v>487712.57999999996</v>
      </c>
      <c r="AC97" s="21" t="str">
        <f>"1"&amp;LEFT(F97,6)&amp;"110"</f>
        <v>1812310110</v>
      </c>
    </row>
    <row r="98" spans="1:30" hidden="1" outlineLevel="2">
      <c r="A98" s="21">
        <v>467</v>
      </c>
      <c r="B98" s="21">
        <v>3169348</v>
      </c>
      <c r="C98" s="21">
        <v>31693484</v>
      </c>
      <c r="D98" s="21" t="s">
        <v>1153</v>
      </c>
      <c r="E98" s="21" t="s">
        <v>1370</v>
      </c>
      <c r="F98" s="21">
        <v>812500</v>
      </c>
      <c r="G98" s="21" t="s">
        <v>1151</v>
      </c>
      <c r="H98" s="21">
        <v>90541</v>
      </c>
      <c r="I98" s="21">
        <v>0</v>
      </c>
      <c r="J98" s="21">
        <v>5</v>
      </c>
      <c r="K98" s="21">
        <v>9</v>
      </c>
      <c r="L98" s="21">
        <v>0</v>
      </c>
      <c r="M98" s="21">
        <v>1200</v>
      </c>
      <c r="N98" s="61">
        <f>+M98/1200</f>
        <v>1</v>
      </c>
      <c r="O98" s="60">
        <v>115009.38</v>
      </c>
      <c r="P98" s="21">
        <v>19434.2</v>
      </c>
      <c r="Q98" s="21">
        <v>3647.61</v>
      </c>
      <c r="R98" s="21">
        <v>85496.960000000006</v>
      </c>
      <c r="S98" s="21">
        <v>0</v>
      </c>
      <c r="T98" s="21">
        <v>6386</v>
      </c>
      <c r="U98" s="21">
        <v>0</v>
      </c>
      <c r="V98" s="21">
        <v>0</v>
      </c>
      <c r="W98" s="21">
        <v>583.20000000000005</v>
      </c>
      <c r="X98" s="21">
        <v>0.85</v>
      </c>
      <c r="Y98" s="21">
        <v>78526.91</v>
      </c>
      <c r="Z98" s="21">
        <v>6430.61</v>
      </c>
      <c r="AA98" s="21">
        <v>0</v>
      </c>
      <c r="AB98" s="21">
        <v>0</v>
      </c>
      <c r="AC98" s="21">
        <v>1812500</v>
      </c>
    </row>
    <row r="99" spans="1:30" outlineLevel="1" collapsed="1">
      <c r="F99" s="62" t="s">
        <v>1428</v>
      </c>
      <c r="M99" s="21">
        <f>SUBTOTAL(9,M98:M98)</f>
        <v>1200</v>
      </c>
      <c r="N99" s="61">
        <f>SUBTOTAL(9,N98:N98)</f>
        <v>1</v>
      </c>
      <c r="O99" s="60">
        <f>SUBTOTAL(9,O98:O98)</f>
        <v>115009.38</v>
      </c>
      <c r="AC99" s="21" t="str">
        <f>"1"&amp;LEFT(F99,6)&amp;"110"</f>
        <v>1812500110</v>
      </c>
      <c r="AD99" s="21" t="str">
        <f>VLOOKUP(AC99,'פירוט שכר'!A:K,5,0)</f>
        <v>גנים טיפוליים-משכורת</v>
      </c>
    </row>
    <row r="100" spans="1:30" hidden="1" outlineLevel="2">
      <c r="A100" s="21">
        <v>467</v>
      </c>
      <c r="B100" s="21">
        <v>3252342</v>
      </c>
      <c r="C100" s="21">
        <v>32523425</v>
      </c>
      <c r="D100" s="21" t="s">
        <v>1249</v>
      </c>
      <c r="E100" s="21" t="s">
        <v>1427</v>
      </c>
      <c r="F100" s="21">
        <v>813200</v>
      </c>
      <c r="G100" s="21" t="s">
        <v>1151</v>
      </c>
      <c r="H100" s="21">
        <v>90541</v>
      </c>
      <c r="I100" s="21">
        <v>1</v>
      </c>
      <c r="J100" s="21">
        <v>0</v>
      </c>
      <c r="K100" s="21">
        <v>0</v>
      </c>
      <c r="L100" s="21">
        <v>0</v>
      </c>
      <c r="M100" s="21">
        <v>0</v>
      </c>
      <c r="N100" s="61">
        <f>+M100/1200</f>
        <v>0</v>
      </c>
      <c r="O100" s="60">
        <v>20242.509999999998</v>
      </c>
      <c r="P100" s="21">
        <v>347.1</v>
      </c>
      <c r="Q100" s="21">
        <v>618.66</v>
      </c>
      <c r="R100" s="21">
        <v>17931.900000000001</v>
      </c>
      <c r="S100" s="21">
        <v>0</v>
      </c>
      <c r="T100" s="21">
        <v>0</v>
      </c>
      <c r="U100" s="21">
        <v>0</v>
      </c>
      <c r="V100" s="21">
        <v>0</v>
      </c>
      <c r="W100" s="21">
        <v>0</v>
      </c>
      <c r="X100" s="21">
        <v>0</v>
      </c>
      <c r="Y100" s="21">
        <v>17931.900000000001</v>
      </c>
      <c r="Z100" s="21">
        <v>1344.85</v>
      </c>
      <c r="AA100" s="21">
        <v>0</v>
      </c>
      <c r="AB100" s="21">
        <v>0</v>
      </c>
      <c r="AC100" s="21">
        <v>1817630</v>
      </c>
    </row>
    <row r="101" spans="1:30" hidden="1" outlineLevel="2">
      <c r="A101" s="21">
        <v>467</v>
      </c>
      <c r="B101" s="21">
        <v>30131064</v>
      </c>
      <c r="C101" s="21">
        <v>301310645</v>
      </c>
      <c r="D101" s="21" t="s">
        <v>1173</v>
      </c>
      <c r="E101" s="21" t="s">
        <v>1426</v>
      </c>
      <c r="F101" s="21">
        <v>813200</v>
      </c>
      <c r="G101" s="21" t="s">
        <v>1151</v>
      </c>
      <c r="H101" s="21">
        <v>90541</v>
      </c>
      <c r="I101" s="21">
        <v>1</v>
      </c>
      <c r="J101" s="21">
        <v>0</v>
      </c>
      <c r="K101" s="21">
        <v>0</v>
      </c>
      <c r="L101" s="21">
        <v>0</v>
      </c>
      <c r="M101" s="21">
        <v>0</v>
      </c>
      <c r="N101" s="61">
        <f>+M101/1200</f>
        <v>0</v>
      </c>
      <c r="O101" s="60">
        <v>4659.8999999999996</v>
      </c>
      <c r="P101" s="21">
        <v>0</v>
      </c>
      <c r="Q101" s="21">
        <v>144.9</v>
      </c>
      <c r="R101" s="21">
        <v>4200</v>
      </c>
      <c r="S101" s="21">
        <v>0</v>
      </c>
      <c r="T101" s="21">
        <v>0</v>
      </c>
      <c r="U101" s="21">
        <v>0</v>
      </c>
      <c r="V101" s="21">
        <v>0</v>
      </c>
      <c r="W101" s="21">
        <v>0</v>
      </c>
      <c r="X101" s="21">
        <v>0</v>
      </c>
      <c r="Y101" s="21">
        <v>4200</v>
      </c>
      <c r="Z101" s="21">
        <v>315</v>
      </c>
      <c r="AA101" s="21">
        <v>0</v>
      </c>
      <c r="AB101" s="21">
        <v>0</v>
      </c>
      <c r="AC101" s="21">
        <v>1817630</v>
      </c>
    </row>
    <row r="102" spans="1:30" outlineLevel="1" collapsed="1">
      <c r="F102" s="62" t="s">
        <v>1425</v>
      </c>
      <c r="M102" s="21">
        <f>SUBTOTAL(9,M100:M101)</f>
        <v>0</v>
      </c>
      <c r="N102" s="61">
        <f>SUBTOTAL(9,N100:N101)</f>
        <v>0</v>
      </c>
      <c r="O102" s="60">
        <f>SUBTOTAL(9,O100:O101)</f>
        <v>24902.409999999996</v>
      </c>
      <c r="AC102" s="21" t="str">
        <f>"1"&amp;LEFT(F102,6)&amp;"110"</f>
        <v>1813200110</v>
      </c>
      <c r="AD102" s="21" t="str">
        <f>VLOOKUP(AC102,'פירוט שכר'!A:K,5,0)</f>
        <v>בתי ספר יסודיים - שכר</v>
      </c>
    </row>
    <row r="103" spans="1:30" hidden="1" outlineLevel="2">
      <c r="A103" s="21">
        <v>467</v>
      </c>
      <c r="B103" s="21">
        <v>2313002</v>
      </c>
      <c r="C103" s="21">
        <v>23130024</v>
      </c>
      <c r="D103" s="21" t="s">
        <v>1315</v>
      </c>
      <c r="E103" s="21" t="s">
        <v>1248</v>
      </c>
      <c r="F103" s="21">
        <v>813210</v>
      </c>
      <c r="G103" s="21" t="s">
        <v>1151</v>
      </c>
      <c r="H103" s="21">
        <v>90541</v>
      </c>
      <c r="I103" s="21">
        <v>0</v>
      </c>
      <c r="J103" s="21">
        <v>5</v>
      </c>
      <c r="K103" s="21">
        <v>6</v>
      </c>
      <c r="L103" s="21">
        <v>0</v>
      </c>
      <c r="M103" s="21">
        <v>960</v>
      </c>
      <c r="N103" s="61">
        <f t="shared" ref="N103:N111" si="3">+M103/1200</f>
        <v>0.8</v>
      </c>
      <c r="O103" s="60">
        <v>70980.009999999995</v>
      </c>
      <c r="P103" s="21">
        <v>10567.01</v>
      </c>
      <c r="Q103" s="21">
        <v>1951.73</v>
      </c>
      <c r="R103" s="21">
        <v>54365.59</v>
      </c>
      <c r="S103" s="21">
        <v>0</v>
      </c>
      <c r="T103" s="21">
        <v>3074.4</v>
      </c>
      <c r="U103" s="21">
        <v>0</v>
      </c>
      <c r="V103" s="21">
        <v>0</v>
      </c>
      <c r="W103" s="21">
        <v>422.7</v>
      </c>
      <c r="X103" s="21">
        <v>5.05</v>
      </c>
      <c r="Y103" s="21">
        <v>50863.44</v>
      </c>
      <c r="Z103" s="21">
        <v>4095.68</v>
      </c>
      <c r="AA103" s="21">
        <v>0</v>
      </c>
      <c r="AB103" s="21">
        <v>0</v>
      </c>
      <c r="AC103" s="21">
        <v>0</v>
      </c>
    </row>
    <row r="104" spans="1:30" hidden="1" outlineLevel="2">
      <c r="A104" s="21">
        <v>467</v>
      </c>
      <c r="B104" s="21">
        <v>2643735</v>
      </c>
      <c r="C104" s="21">
        <v>26437350</v>
      </c>
      <c r="D104" s="21" t="s">
        <v>1153</v>
      </c>
      <c r="E104" s="21" t="s">
        <v>1424</v>
      </c>
      <c r="F104" s="21">
        <v>813210</v>
      </c>
      <c r="G104" s="21" t="s">
        <v>1151</v>
      </c>
      <c r="H104" s="21">
        <v>90541</v>
      </c>
      <c r="I104" s="21">
        <v>1</v>
      </c>
      <c r="J104" s="21">
        <v>0</v>
      </c>
      <c r="K104" s="21">
        <v>0</v>
      </c>
      <c r="L104" s="21">
        <v>0</v>
      </c>
      <c r="M104" s="21">
        <v>0</v>
      </c>
      <c r="N104" s="61">
        <f t="shared" si="3"/>
        <v>0</v>
      </c>
      <c r="O104" s="60">
        <v>8952.3799999999992</v>
      </c>
      <c r="P104" s="21">
        <v>0</v>
      </c>
      <c r="Q104" s="21">
        <v>278.38</v>
      </c>
      <c r="R104" s="21">
        <v>8068.85</v>
      </c>
      <c r="S104" s="21">
        <v>0</v>
      </c>
      <c r="T104" s="21">
        <v>0</v>
      </c>
      <c r="U104" s="21">
        <v>0</v>
      </c>
      <c r="V104" s="21">
        <v>0</v>
      </c>
      <c r="W104" s="21">
        <v>0</v>
      </c>
      <c r="X104" s="21">
        <v>0</v>
      </c>
      <c r="Y104" s="21">
        <v>8068.85</v>
      </c>
      <c r="Z104" s="21">
        <v>605.15</v>
      </c>
      <c r="AA104" s="21">
        <v>0</v>
      </c>
      <c r="AB104" s="21">
        <v>0</v>
      </c>
      <c r="AC104" s="21">
        <v>0</v>
      </c>
    </row>
    <row r="105" spans="1:30" hidden="1" outlineLevel="2">
      <c r="A105" s="21">
        <v>467</v>
      </c>
      <c r="B105" s="21">
        <v>2752864</v>
      </c>
      <c r="C105" s="21">
        <v>27528645</v>
      </c>
      <c r="D105" s="21" t="s">
        <v>1344</v>
      </c>
      <c r="E105" s="21" t="s">
        <v>1419</v>
      </c>
      <c r="F105" s="21">
        <v>813210</v>
      </c>
      <c r="G105" s="21" t="s">
        <v>1151</v>
      </c>
      <c r="H105" s="21">
        <v>90541</v>
      </c>
      <c r="I105" s="21">
        <v>0</v>
      </c>
      <c r="J105" s="21">
        <v>5</v>
      </c>
      <c r="K105" s="21">
        <v>11</v>
      </c>
      <c r="L105" s="21">
        <v>0</v>
      </c>
      <c r="M105" s="21">
        <v>1200</v>
      </c>
      <c r="N105" s="61">
        <f t="shared" si="3"/>
        <v>1</v>
      </c>
      <c r="O105" s="60">
        <v>141415.35</v>
      </c>
      <c r="P105" s="21">
        <v>21084.91</v>
      </c>
      <c r="Q105" s="21">
        <v>5299.37</v>
      </c>
      <c r="R105" s="21">
        <v>106967.75</v>
      </c>
      <c r="S105" s="21">
        <v>1104.5</v>
      </c>
      <c r="T105" s="21">
        <v>7667</v>
      </c>
      <c r="U105" s="21">
        <v>0</v>
      </c>
      <c r="V105" s="21">
        <v>0</v>
      </c>
      <c r="W105" s="21">
        <v>720.2</v>
      </c>
      <c r="X105" s="21">
        <v>-1.9</v>
      </c>
      <c r="Y105" s="21">
        <v>97477.95</v>
      </c>
      <c r="Z105" s="21">
        <v>8063.32</v>
      </c>
      <c r="AA105" s="21">
        <v>0</v>
      </c>
      <c r="AB105" s="21">
        <v>0</v>
      </c>
      <c r="AC105" s="21">
        <v>0</v>
      </c>
    </row>
    <row r="106" spans="1:30" hidden="1" outlineLevel="2">
      <c r="A106" s="21">
        <v>467</v>
      </c>
      <c r="B106" s="21">
        <v>3169335</v>
      </c>
      <c r="C106" s="21">
        <v>31693351</v>
      </c>
      <c r="D106" s="21" t="s">
        <v>1363</v>
      </c>
      <c r="E106" s="21" t="s">
        <v>1362</v>
      </c>
      <c r="F106" s="21">
        <v>813210</v>
      </c>
      <c r="G106" s="21" t="s">
        <v>1151</v>
      </c>
      <c r="H106" s="21">
        <v>90541</v>
      </c>
      <c r="I106" s="21">
        <v>0</v>
      </c>
      <c r="J106" s="21">
        <v>5</v>
      </c>
      <c r="K106" s="21">
        <v>7</v>
      </c>
      <c r="L106" s="21">
        <v>0</v>
      </c>
      <c r="M106" s="21">
        <v>960</v>
      </c>
      <c r="N106" s="61">
        <f t="shared" si="3"/>
        <v>0.8</v>
      </c>
      <c r="O106" s="60">
        <v>76955.8</v>
      </c>
      <c r="P106" s="21">
        <v>10748.83</v>
      </c>
      <c r="Q106" s="21">
        <v>2071.1</v>
      </c>
      <c r="R106" s="21">
        <v>59644.31</v>
      </c>
      <c r="S106" s="21">
        <v>3043.8</v>
      </c>
      <c r="T106" s="21">
        <v>4982.8500000000004</v>
      </c>
      <c r="U106" s="21">
        <v>0</v>
      </c>
      <c r="V106" s="21">
        <v>0</v>
      </c>
      <c r="W106" s="21">
        <v>422.7</v>
      </c>
      <c r="X106" s="21">
        <v>107.65</v>
      </c>
      <c r="Y106" s="21">
        <v>51087.31</v>
      </c>
      <c r="Z106" s="21">
        <v>4491.5600000000004</v>
      </c>
      <c r="AA106" s="21">
        <v>0</v>
      </c>
      <c r="AB106" s="21">
        <v>0</v>
      </c>
      <c r="AC106" s="21">
        <v>0</v>
      </c>
    </row>
    <row r="107" spans="1:30" hidden="1" outlineLevel="2">
      <c r="A107" s="21">
        <v>467</v>
      </c>
      <c r="B107" s="21">
        <v>3426287</v>
      </c>
      <c r="C107" s="21">
        <v>34262873</v>
      </c>
      <c r="D107" s="21" t="s">
        <v>1423</v>
      </c>
      <c r="E107" s="21" t="s">
        <v>1362</v>
      </c>
      <c r="F107" s="21">
        <v>813210</v>
      </c>
      <c r="G107" s="21" t="s">
        <v>1151</v>
      </c>
      <c r="H107" s="21">
        <v>90541</v>
      </c>
      <c r="I107" s="21">
        <v>0</v>
      </c>
      <c r="J107" s="21">
        <v>5</v>
      </c>
      <c r="K107" s="21">
        <v>7</v>
      </c>
      <c r="L107" s="21">
        <v>0</v>
      </c>
      <c r="M107" s="21">
        <v>960</v>
      </c>
      <c r="N107" s="61">
        <f t="shared" si="3"/>
        <v>0.8</v>
      </c>
      <c r="O107" s="60">
        <v>80934.48</v>
      </c>
      <c r="P107" s="21">
        <v>10534.7</v>
      </c>
      <c r="Q107" s="21">
        <v>2363.15</v>
      </c>
      <c r="R107" s="21">
        <v>63247.78</v>
      </c>
      <c r="S107" s="21">
        <v>0</v>
      </c>
      <c r="T107" s="21">
        <v>4628.8</v>
      </c>
      <c r="U107" s="21">
        <v>0</v>
      </c>
      <c r="V107" s="21">
        <v>0</v>
      </c>
      <c r="W107" s="21">
        <v>9473.85</v>
      </c>
      <c r="X107" s="21">
        <v>54.6</v>
      </c>
      <c r="Y107" s="21">
        <v>49090.53</v>
      </c>
      <c r="Z107" s="21">
        <v>4788.8500000000004</v>
      </c>
      <c r="AA107" s="21">
        <v>0</v>
      </c>
      <c r="AB107" s="21">
        <v>0</v>
      </c>
      <c r="AC107" s="21">
        <v>0</v>
      </c>
    </row>
    <row r="108" spans="1:30" hidden="1" outlineLevel="2">
      <c r="A108" s="21">
        <v>467</v>
      </c>
      <c r="B108" s="21">
        <v>5584875</v>
      </c>
      <c r="C108" s="21">
        <v>55848758</v>
      </c>
      <c r="D108" s="21" t="s">
        <v>1153</v>
      </c>
      <c r="E108" s="21" t="s">
        <v>1422</v>
      </c>
      <c r="F108" s="21">
        <v>813210</v>
      </c>
      <c r="G108" s="21" t="s">
        <v>1151</v>
      </c>
      <c r="H108" s="21">
        <v>90541</v>
      </c>
      <c r="I108" s="21">
        <v>0</v>
      </c>
      <c r="J108" s="21">
        <v>5</v>
      </c>
      <c r="K108" s="21">
        <v>36</v>
      </c>
      <c r="L108" s="21">
        <v>0</v>
      </c>
      <c r="M108" s="21">
        <v>1200</v>
      </c>
      <c r="N108" s="61">
        <f t="shared" si="3"/>
        <v>1</v>
      </c>
      <c r="O108" s="60">
        <v>93491.39</v>
      </c>
      <c r="P108" s="21">
        <v>16084.35</v>
      </c>
      <c r="Q108" s="21">
        <v>2584.1</v>
      </c>
      <c r="R108" s="21">
        <v>69560.59</v>
      </c>
      <c r="S108" s="21">
        <v>0</v>
      </c>
      <c r="T108" s="21">
        <v>5786</v>
      </c>
      <c r="U108" s="21">
        <v>0</v>
      </c>
      <c r="V108" s="21">
        <v>0</v>
      </c>
      <c r="W108" s="21">
        <v>510.6</v>
      </c>
      <c r="X108" s="21">
        <v>0</v>
      </c>
      <c r="Y108" s="21">
        <v>63263.99</v>
      </c>
      <c r="Z108" s="21">
        <v>5262.35</v>
      </c>
      <c r="AA108" s="21">
        <v>0</v>
      </c>
      <c r="AB108" s="21">
        <v>0</v>
      </c>
      <c r="AC108" s="21">
        <v>0</v>
      </c>
    </row>
    <row r="109" spans="1:30" hidden="1" outlineLevel="2">
      <c r="A109" s="21">
        <v>467</v>
      </c>
      <c r="B109" s="21">
        <v>5631901</v>
      </c>
      <c r="C109" s="21">
        <v>56319015</v>
      </c>
      <c r="D109" s="21" t="s">
        <v>1173</v>
      </c>
      <c r="E109" s="21" t="s">
        <v>1421</v>
      </c>
      <c r="F109" s="21">
        <v>813210</v>
      </c>
      <c r="G109" s="21" t="s">
        <v>1151</v>
      </c>
      <c r="H109" s="21">
        <v>90541</v>
      </c>
      <c r="I109" s="21">
        <v>1</v>
      </c>
      <c r="J109" s="21">
        <v>0</v>
      </c>
      <c r="K109" s="21">
        <v>0</v>
      </c>
      <c r="L109" s="21">
        <v>0</v>
      </c>
      <c r="M109" s="21">
        <v>0</v>
      </c>
      <c r="N109" s="61">
        <f t="shared" si="3"/>
        <v>0</v>
      </c>
      <c r="O109" s="60">
        <v>20466.240000000002</v>
      </c>
      <c r="P109" s="21">
        <v>752.9</v>
      </c>
      <c r="Q109" s="21">
        <v>612.99</v>
      </c>
      <c r="R109" s="21">
        <v>17767.75</v>
      </c>
      <c r="S109" s="21">
        <v>0</v>
      </c>
      <c r="T109" s="21">
        <v>0</v>
      </c>
      <c r="U109" s="21">
        <v>0</v>
      </c>
      <c r="V109" s="21">
        <v>0</v>
      </c>
      <c r="W109" s="21">
        <v>0</v>
      </c>
      <c r="X109" s="21">
        <v>0</v>
      </c>
      <c r="Y109" s="21">
        <v>17767.75</v>
      </c>
      <c r="Z109" s="21">
        <v>1332.6</v>
      </c>
      <c r="AA109" s="21">
        <v>0</v>
      </c>
      <c r="AB109" s="21">
        <v>0</v>
      </c>
      <c r="AC109" s="21">
        <v>0</v>
      </c>
    </row>
    <row r="110" spans="1:30" hidden="1" outlineLevel="2">
      <c r="A110" s="21">
        <v>467</v>
      </c>
      <c r="B110" s="21">
        <v>6046395</v>
      </c>
      <c r="C110" s="21">
        <v>60463957</v>
      </c>
      <c r="D110" s="21" t="s">
        <v>1173</v>
      </c>
      <c r="E110" s="21" t="s">
        <v>1172</v>
      </c>
      <c r="F110" s="21">
        <v>813210</v>
      </c>
      <c r="G110" s="21" t="s">
        <v>1151</v>
      </c>
      <c r="H110" s="21">
        <v>90541</v>
      </c>
      <c r="I110" s="21">
        <v>0</v>
      </c>
      <c r="J110" s="21">
        <v>5</v>
      </c>
      <c r="K110" s="21">
        <v>5</v>
      </c>
      <c r="L110" s="21">
        <v>0</v>
      </c>
      <c r="M110" s="21">
        <v>768.9</v>
      </c>
      <c r="N110" s="61">
        <f t="shared" si="3"/>
        <v>0.64074999999999993</v>
      </c>
      <c r="O110" s="60">
        <v>55658.6</v>
      </c>
      <c r="P110" s="21">
        <v>9543.4500000000007</v>
      </c>
      <c r="Q110" s="21">
        <v>1441.52</v>
      </c>
      <c r="R110" s="21">
        <v>41539.93</v>
      </c>
      <c r="S110" s="21">
        <v>507.3</v>
      </c>
      <c r="T110" s="21">
        <v>3074.4</v>
      </c>
      <c r="U110" s="21">
        <v>0</v>
      </c>
      <c r="V110" s="21">
        <v>0</v>
      </c>
      <c r="W110" s="21">
        <v>294.75</v>
      </c>
      <c r="X110" s="21">
        <v>38</v>
      </c>
      <c r="Y110" s="21">
        <v>37625.480000000003</v>
      </c>
      <c r="Z110" s="21">
        <v>3133.7</v>
      </c>
      <c r="AA110" s="21">
        <v>0</v>
      </c>
      <c r="AB110" s="21">
        <v>0</v>
      </c>
      <c r="AC110" s="21">
        <v>0</v>
      </c>
    </row>
    <row r="111" spans="1:30" hidden="1" outlineLevel="2">
      <c r="A111" s="21">
        <v>467</v>
      </c>
      <c r="B111" s="21">
        <v>31143227</v>
      </c>
      <c r="C111" s="21">
        <v>311432272</v>
      </c>
      <c r="D111" s="21" t="s">
        <v>1153</v>
      </c>
      <c r="E111" s="21" t="s">
        <v>1413</v>
      </c>
      <c r="F111" s="21">
        <v>813210</v>
      </c>
      <c r="G111" s="21" t="s">
        <v>1151</v>
      </c>
      <c r="H111" s="21">
        <v>90541</v>
      </c>
      <c r="I111" s="21">
        <v>1</v>
      </c>
      <c r="J111" s="21">
        <v>0</v>
      </c>
      <c r="K111" s="21">
        <v>0</v>
      </c>
      <c r="L111" s="21">
        <v>0</v>
      </c>
      <c r="M111" s="21">
        <v>0</v>
      </c>
      <c r="N111" s="61">
        <f t="shared" si="3"/>
        <v>0</v>
      </c>
      <c r="O111" s="60">
        <v>16178.42</v>
      </c>
      <c r="P111" s="21">
        <v>0</v>
      </c>
      <c r="Q111" s="21">
        <v>503.07</v>
      </c>
      <c r="R111" s="21">
        <v>14581.75</v>
      </c>
      <c r="S111" s="21">
        <v>0</v>
      </c>
      <c r="T111" s="21">
        <v>0</v>
      </c>
      <c r="U111" s="21">
        <v>0</v>
      </c>
      <c r="V111" s="21">
        <v>0</v>
      </c>
      <c r="W111" s="21">
        <v>0</v>
      </c>
      <c r="X111" s="21">
        <v>0</v>
      </c>
      <c r="Y111" s="21">
        <v>14581.75</v>
      </c>
      <c r="Z111" s="21">
        <v>1093.5999999999999</v>
      </c>
      <c r="AA111" s="21">
        <v>0</v>
      </c>
      <c r="AB111" s="21">
        <v>0</v>
      </c>
      <c r="AC111" s="21">
        <v>0</v>
      </c>
    </row>
    <row r="112" spans="1:30" outlineLevel="1" collapsed="1">
      <c r="F112" s="62" t="s">
        <v>1420</v>
      </c>
      <c r="M112" s="21">
        <f>SUBTOTAL(9,M103:M111)</f>
        <v>6048.9</v>
      </c>
      <c r="N112" s="61">
        <f>SUBTOTAL(9,N103:N111)</f>
        <v>5.0407500000000001</v>
      </c>
      <c r="O112" s="60">
        <f>SUBTOTAL(9,O103:O111)</f>
        <v>565032.67000000004</v>
      </c>
      <c r="AC112" s="21" t="str">
        <f>"1"&amp;LEFT(F112,6)&amp;"110"</f>
        <v>1813210110</v>
      </c>
      <c r="AD112" s="21" t="str">
        <f>VLOOKUP(AC112,'פירוט שכר'!A:K,5,0)</f>
        <v>ב"ס א -משכורת</v>
      </c>
    </row>
    <row r="113" spans="1:30" hidden="1" outlineLevel="2">
      <c r="A113" s="21">
        <v>467</v>
      </c>
      <c r="B113" s="21">
        <v>2752864</v>
      </c>
      <c r="C113" s="21">
        <v>27528645</v>
      </c>
      <c r="D113" s="21" t="s">
        <v>1344</v>
      </c>
      <c r="E113" s="21" t="s">
        <v>1419</v>
      </c>
      <c r="F113" s="21">
        <v>813211</v>
      </c>
      <c r="G113" s="21" t="s">
        <v>1151</v>
      </c>
      <c r="H113" s="21">
        <v>90541</v>
      </c>
      <c r="I113" s="21">
        <v>1</v>
      </c>
      <c r="J113" s="21">
        <v>0</v>
      </c>
      <c r="K113" s="21">
        <v>0</v>
      </c>
      <c r="L113" s="21">
        <v>0</v>
      </c>
      <c r="M113" s="21">
        <v>0</v>
      </c>
      <c r="N113" s="61">
        <f>+M113/1200</f>
        <v>0</v>
      </c>
      <c r="O113" s="60">
        <v>46863.360000000001</v>
      </c>
      <c r="P113" s="21">
        <v>7275.74</v>
      </c>
      <c r="Q113" s="21">
        <v>2135.39</v>
      </c>
      <c r="R113" s="21">
        <v>34835.1</v>
      </c>
      <c r="S113" s="21">
        <v>224.75</v>
      </c>
      <c r="T113" s="21">
        <v>0</v>
      </c>
      <c r="U113" s="21">
        <v>0</v>
      </c>
      <c r="V113" s="21">
        <v>0</v>
      </c>
      <c r="W113" s="21">
        <v>274</v>
      </c>
      <c r="X113" s="21">
        <v>0</v>
      </c>
      <c r="Y113" s="21">
        <v>34336.35</v>
      </c>
      <c r="Z113" s="21">
        <v>2617.13</v>
      </c>
      <c r="AA113" s="21">
        <v>0</v>
      </c>
      <c r="AB113" s="21">
        <v>0</v>
      </c>
      <c r="AC113" s="21">
        <v>1813210</v>
      </c>
    </row>
    <row r="114" spans="1:30" outlineLevel="1" collapsed="1">
      <c r="F114" s="62" t="s">
        <v>1418</v>
      </c>
      <c r="M114" s="21">
        <f>SUBTOTAL(9,M113:M113)</f>
        <v>0</v>
      </c>
      <c r="N114" s="61">
        <f>SUBTOTAL(9,N113:N113)</f>
        <v>0</v>
      </c>
      <c r="O114" s="60">
        <f>SUBTOTAL(9,O113:O113)</f>
        <v>46863.360000000001</v>
      </c>
      <c r="AC114" s="21" t="str">
        <f>"1"&amp;LEFT(F114,6)&amp;"110"</f>
        <v>1813211110</v>
      </c>
    </row>
    <row r="115" spans="1:30" hidden="1" outlineLevel="2">
      <c r="A115" s="21">
        <v>467</v>
      </c>
      <c r="B115" s="21">
        <v>2346258</v>
      </c>
      <c r="C115" s="21">
        <v>23462583</v>
      </c>
      <c r="D115" s="21" t="s">
        <v>1153</v>
      </c>
      <c r="E115" s="21" t="s">
        <v>1307</v>
      </c>
      <c r="F115" s="21">
        <v>813220</v>
      </c>
      <c r="G115" s="21" t="s">
        <v>1151</v>
      </c>
      <c r="H115" s="21">
        <v>90541</v>
      </c>
      <c r="I115" s="21">
        <v>1</v>
      </c>
      <c r="J115" s="21">
        <v>0</v>
      </c>
      <c r="K115" s="21">
        <v>0</v>
      </c>
      <c r="L115" s="21">
        <v>0</v>
      </c>
      <c r="M115" s="21">
        <v>0</v>
      </c>
      <c r="N115" s="61">
        <f t="shared" ref="N115:N123" si="4">+M115/1200</f>
        <v>0</v>
      </c>
      <c r="O115" s="60">
        <v>16515.080000000002</v>
      </c>
      <c r="P115" s="21">
        <v>590.54999999999995</v>
      </c>
      <c r="Q115" s="21">
        <v>495.18</v>
      </c>
      <c r="R115" s="21">
        <v>14352.9</v>
      </c>
      <c r="S115" s="21">
        <v>0</v>
      </c>
      <c r="T115" s="21">
        <v>0</v>
      </c>
      <c r="U115" s="21">
        <v>0</v>
      </c>
      <c r="V115" s="21">
        <v>0</v>
      </c>
      <c r="W115" s="21">
        <v>0</v>
      </c>
      <c r="X115" s="21">
        <v>0</v>
      </c>
      <c r="Y115" s="21">
        <v>14352.9</v>
      </c>
      <c r="Z115" s="21">
        <v>1076.45</v>
      </c>
      <c r="AA115" s="21">
        <v>0</v>
      </c>
      <c r="AB115" s="21">
        <v>0</v>
      </c>
      <c r="AC115" s="21">
        <v>1813220</v>
      </c>
    </row>
    <row r="116" spans="1:30" hidden="1" outlineLevel="2">
      <c r="A116" s="21">
        <v>467</v>
      </c>
      <c r="B116" s="21">
        <v>2825471</v>
      </c>
      <c r="C116" s="21">
        <v>28254712</v>
      </c>
      <c r="D116" s="21" t="s">
        <v>1173</v>
      </c>
      <c r="E116" s="21" t="s">
        <v>1411</v>
      </c>
      <c r="F116" s="21">
        <v>813220</v>
      </c>
      <c r="G116" s="21" t="s">
        <v>1151</v>
      </c>
      <c r="H116" s="21">
        <v>90541</v>
      </c>
      <c r="I116" s="21">
        <v>0</v>
      </c>
      <c r="J116" s="21">
        <v>5</v>
      </c>
      <c r="K116" s="21">
        <v>11</v>
      </c>
      <c r="L116" s="21">
        <v>0</v>
      </c>
      <c r="M116" s="21">
        <v>1200</v>
      </c>
      <c r="N116" s="61">
        <f t="shared" si="4"/>
        <v>1</v>
      </c>
      <c r="O116" s="60">
        <v>143166.03</v>
      </c>
      <c r="P116" s="21">
        <v>21665.43</v>
      </c>
      <c r="Q116" s="21">
        <v>5249.1</v>
      </c>
      <c r="R116" s="21">
        <v>108102.96</v>
      </c>
      <c r="S116" s="21">
        <v>1147.9000000000001</v>
      </c>
      <c r="T116" s="21">
        <v>7240</v>
      </c>
      <c r="U116" s="21">
        <v>0</v>
      </c>
      <c r="V116" s="21">
        <v>0</v>
      </c>
      <c r="W116" s="21">
        <v>720.2</v>
      </c>
      <c r="X116" s="21">
        <v>5.75</v>
      </c>
      <c r="Y116" s="21">
        <v>98989.11</v>
      </c>
      <c r="Z116" s="21">
        <v>8148.54</v>
      </c>
      <c r="AA116" s="21">
        <v>0</v>
      </c>
      <c r="AB116" s="21">
        <v>0</v>
      </c>
      <c r="AC116" s="21">
        <v>1813220</v>
      </c>
    </row>
    <row r="117" spans="1:30" hidden="1" outlineLevel="2">
      <c r="A117" s="21">
        <v>467</v>
      </c>
      <c r="B117" s="21">
        <v>2913344</v>
      </c>
      <c r="C117" s="21">
        <v>29133444</v>
      </c>
      <c r="D117" s="21" t="s">
        <v>1417</v>
      </c>
      <c r="E117" s="21" t="s">
        <v>1172</v>
      </c>
      <c r="F117" s="21">
        <v>813220</v>
      </c>
      <c r="G117" s="21" t="s">
        <v>1151</v>
      </c>
      <c r="H117" s="21">
        <v>90541</v>
      </c>
      <c r="I117" s="21">
        <v>0</v>
      </c>
      <c r="J117" s="21">
        <v>5</v>
      </c>
      <c r="K117" s="21">
        <v>7</v>
      </c>
      <c r="L117" s="21">
        <v>0</v>
      </c>
      <c r="M117" s="21">
        <v>826.6</v>
      </c>
      <c r="N117" s="61">
        <f t="shared" si="4"/>
        <v>0.6888333333333333</v>
      </c>
      <c r="O117" s="60">
        <v>68418.98</v>
      </c>
      <c r="P117" s="21">
        <v>10189.700000000001</v>
      </c>
      <c r="Q117" s="21">
        <v>1828.57</v>
      </c>
      <c r="R117" s="21">
        <v>52425.51</v>
      </c>
      <c r="S117" s="21">
        <v>0</v>
      </c>
      <c r="T117" s="21">
        <v>4970.3999999999996</v>
      </c>
      <c r="U117" s="21">
        <v>0</v>
      </c>
      <c r="V117" s="21">
        <v>0</v>
      </c>
      <c r="W117" s="21">
        <v>432.05</v>
      </c>
      <c r="X117" s="21">
        <v>42.75</v>
      </c>
      <c r="Y117" s="21">
        <v>46980.31</v>
      </c>
      <c r="Z117" s="21">
        <v>3975.2</v>
      </c>
      <c r="AA117" s="21">
        <v>0</v>
      </c>
      <c r="AB117" s="21">
        <v>0</v>
      </c>
      <c r="AC117" s="21">
        <v>1813220</v>
      </c>
    </row>
    <row r="118" spans="1:30" hidden="1" outlineLevel="2">
      <c r="A118" s="21">
        <v>467</v>
      </c>
      <c r="B118" s="21">
        <v>3339705</v>
      </c>
      <c r="C118" s="21">
        <v>33397050</v>
      </c>
      <c r="D118" s="21" t="s">
        <v>1256</v>
      </c>
      <c r="E118" s="21" t="s">
        <v>1416</v>
      </c>
      <c r="F118" s="21">
        <v>813220</v>
      </c>
      <c r="G118" s="21" t="s">
        <v>1151</v>
      </c>
      <c r="H118" s="21">
        <v>90541</v>
      </c>
      <c r="I118" s="21">
        <v>0</v>
      </c>
      <c r="J118" s="21">
        <v>5</v>
      </c>
      <c r="K118" s="21">
        <v>7</v>
      </c>
      <c r="L118" s="21">
        <v>0</v>
      </c>
      <c r="M118" s="21">
        <v>600</v>
      </c>
      <c r="N118" s="61">
        <f t="shared" si="4"/>
        <v>0.5</v>
      </c>
      <c r="O118" s="60">
        <v>67840.63</v>
      </c>
      <c r="P118" s="21">
        <v>10662.36</v>
      </c>
      <c r="Q118" s="21">
        <v>2489.94</v>
      </c>
      <c r="R118" s="21">
        <v>50872.75</v>
      </c>
      <c r="S118" s="21">
        <v>0</v>
      </c>
      <c r="T118" s="21">
        <v>3124.3</v>
      </c>
      <c r="U118" s="21">
        <v>0</v>
      </c>
      <c r="V118" s="21">
        <v>0</v>
      </c>
      <c r="W118" s="21">
        <v>340.2</v>
      </c>
      <c r="X118" s="21">
        <v>0</v>
      </c>
      <c r="Y118" s="21">
        <v>47408.25</v>
      </c>
      <c r="Z118" s="21">
        <v>3815.58</v>
      </c>
      <c r="AA118" s="21">
        <v>0</v>
      </c>
      <c r="AB118" s="21">
        <v>0</v>
      </c>
      <c r="AC118" s="21">
        <v>1813220</v>
      </c>
    </row>
    <row r="119" spans="1:30" hidden="1" outlineLevel="2">
      <c r="A119" s="21">
        <v>467</v>
      </c>
      <c r="B119" s="21">
        <v>3426454</v>
      </c>
      <c r="C119" s="21">
        <v>34264549</v>
      </c>
      <c r="D119" s="21" t="s">
        <v>1153</v>
      </c>
      <c r="E119" s="21" t="s">
        <v>1397</v>
      </c>
      <c r="F119" s="21">
        <v>813220</v>
      </c>
      <c r="G119" s="21" t="s">
        <v>1151</v>
      </c>
      <c r="H119" s="21">
        <v>90541</v>
      </c>
      <c r="I119" s="21">
        <v>1</v>
      </c>
      <c r="J119" s="21">
        <v>0</v>
      </c>
      <c r="K119" s="21">
        <v>0</v>
      </c>
      <c r="L119" s="21">
        <v>0</v>
      </c>
      <c r="M119" s="21">
        <v>0</v>
      </c>
      <c r="N119" s="61">
        <f t="shared" si="4"/>
        <v>0</v>
      </c>
      <c r="O119" s="60">
        <v>7208.19</v>
      </c>
      <c r="P119" s="21">
        <v>0</v>
      </c>
      <c r="Q119" s="21">
        <v>224.14</v>
      </c>
      <c r="R119" s="21">
        <v>6496.75</v>
      </c>
      <c r="S119" s="21">
        <v>0</v>
      </c>
      <c r="T119" s="21">
        <v>0</v>
      </c>
      <c r="U119" s="21">
        <v>0</v>
      </c>
      <c r="V119" s="21">
        <v>0</v>
      </c>
      <c r="W119" s="21">
        <v>0</v>
      </c>
      <c r="X119" s="21">
        <v>0</v>
      </c>
      <c r="Y119" s="21">
        <v>6496.75</v>
      </c>
      <c r="Z119" s="21">
        <v>487.3</v>
      </c>
      <c r="AA119" s="21">
        <v>0</v>
      </c>
      <c r="AB119" s="21">
        <v>0</v>
      </c>
      <c r="AC119" s="21">
        <v>1813220</v>
      </c>
    </row>
    <row r="120" spans="1:30" hidden="1" outlineLevel="2">
      <c r="A120" s="21">
        <v>467</v>
      </c>
      <c r="B120" s="21">
        <v>3639302</v>
      </c>
      <c r="C120" s="21">
        <v>36393023</v>
      </c>
      <c r="D120" s="21" t="s">
        <v>1153</v>
      </c>
      <c r="E120" s="21" t="s">
        <v>1415</v>
      </c>
      <c r="F120" s="21">
        <v>813220</v>
      </c>
      <c r="G120" s="21" t="s">
        <v>1151</v>
      </c>
      <c r="H120" s="21">
        <v>90541</v>
      </c>
      <c r="I120" s="21">
        <v>1</v>
      </c>
      <c r="J120" s="21">
        <v>0</v>
      </c>
      <c r="K120" s="21">
        <v>0</v>
      </c>
      <c r="L120" s="21">
        <v>0</v>
      </c>
      <c r="M120" s="21">
        <v>0</v>
      </c>
      <c r="N120" s="61">
        <f t="shared" si="4"/>
        <v>0</v>
      </c>
      <c r="O120" s="60">
        <v>23945.64</v>
      </c>
      <c r="P120" s="21">
        <v>3117.5</v>
      </c>
      <c r="Q120" s="21">
        <v>656.99</v>
      </c>
      <c r="R120" s="21">
        <v>18743</v>
      </c>
      <c r="S120" s="21">
        <v>0</v>
      </c>
      <c r="T120" s="21">
        <v>896.7</v>
      </c>
      <c r="U120" s="21">
        <v>0</v>
      </c>
      <c r="V120" s="21">
        <v>0</v>
      </c>
      <c r="W120" s="21">
        <v>0</v>
      </c>
      <c r="X120" s="21">
        <v>0</v>
      </c>
      <c r="Y120" s="21">
        <v>17846.3</v>
      </c>
      <c r="Z120" s="21">
        <v>1428.15</v>
      </c>
      <c r="AA120" s="21">
        <v>0</v>
      </c>
      <c r="AB120" s="21">
        <v>0</v>
      </c>
      <c r="AC120" s="21">
        <v>1813220</v>
      </c>
    </row>
    <row r="121" spans="1:30" hidden="1" outlineLevel="2">
      <c r="A121" s="21">
        <v>467</v>
      </c>
      <c r="B121" s="21">
        <v>3648316</v>
      </c>
      <c r="C121" s="21">
        <v>36483162</v>
      </c>
      <c r="D121" s="21" t="s">
        <v>1183</v>
      </c>
      <c r="E121" s="21" t="s">
        <v>1414</v>
      </c>
      <c r="F121" s="21">
        <v>813220</v>
      </c>
      <c r="G121" s="21" t="s">
        <v>1151</v>
      </c>
      <c r="H121" s="21">
        <v>90541</v>
      </c>
      <c r="I121" s="21">
        <v>1</v>
      </c>
      <c r="J121" s="21">
        <v>0</v>
      </c>
      <c r="K121" s="21">
        <v>0</v>
      </c>
      <c r="L121" s="21">
        <v>0</v>
      </c>
      <c r="M121" s="21">
        <v>0</v>
      </c>
      <c r="N121" s="61">
        <f t="shared" si="4"/>
        <v>0</v>
      </c>
      <c r="O121" s="60">
        <v>28557.79</v>
      </c>
      <c r="P121" s="21">
        <v>3598.6</v>
      </c>
      <c r="Q121" s="21">
        <v>785.44</v>
      </c>
      <c r="R121" s="21">
        <v>22466.3</v>
      </c>
      <c r="S121" s="21">
        <v>0</v>
      </c>
      <c r="T121" s="21">
        <v>1135.8</v>
      </c>
      <c r="U121" s="21">
        <v>0</v>
      </c>
      <c r="V121" s="21">
        <v>0</v>
      </c>
      <c r="W121" s="21">
        <v>0</v>
      </c>
      <c r="X121" s="21">
        <v>0</v>
      </c>
      <c r="Y121" s="21">
        <v>21330.5</v>
      </c>
      <c r="Z121" s="21">
        <v>1707.45</v>
      </c>
      <c r="AA121" s="21">
        <v>0</v>
      </c>
      <c r="AB121" s="21">
        <v>0</v>
      </c>
      <c r="AC121" s="21">
        <v>1813220</v>
      </c>
    </row>
    <row r="122" spans="1:30" hidden="1" outlineLevel="2">
      <c r="A122" s="21">
        <v>467</v>
      </c>
      <c r="B122" s="21">
        <v>30147982</v>
      </c>
      <c r="C122" s="21">
        <v>301479820</v>
      </c>
      <c r="D122" s="21" t="s">
        <v>1153</v>
      </c>
      <c r="E122" s="21" t="s">
        <v>1374</v>
      </c>
      <c r="F122" s="21">
        <v>813220</v>
      </c>
      <c r="G122" s="21" t="s">
        <v>1151</v>
      </c>
      <c r="H122" s="21">
        <v>90541</v>
      </c>
      <c r="I122" s="21">
        <v>0</v>
      </c>
      <c r="J122" s="21">
        <v>5</v>
      </c>
      <c r="K122" s="21">
        <v>5</v>
      </c>
      <c r="L122" s="21">
        <v>0</v>
      </c>
      <c r="M122" s="21">
        <v>960</v>
      </c>
      <c r="N122" s="61">
        <f t="shared" si="4"/>
        <v>0.8</v>
      </c>
      <c r="O122" s="60">
        <v>64426.44</v>
      </c>
      <c r="P122" s="21">
        <v>8443.5499999999993</v>
      </c>
      <c r="Q122" s="21">
        <v>1759.54</v>
      </c>
      <c r="R122" s="21">
        <v>50398.25</v>
      </c>
      <c r="S122" s="21">
        <v>3043.8</v>
      </c>
      <c r="T122" s="21">
        <v>3035.95</v>
      </c>
      <c r="U122" s="21">
        <v>0</v>
      </c>
      <c r="V122" s="21">
        <v>0</v>
      </c>
      <c r="W122" s="21">
        <v>775.35</v>
      </c>
      <c r="X122" s="21">
        <v>35.299999999999997</v>
      </c>
      <c r="Y122" s="21">
        <v>43507.85</v>
      </c>
      <c r="Z122" s="21">
        <v>3825.1</v>
      </c>
      <c r="AA122" s="21">
        <v>0</v>
      </c>
      <c r="AB122" s="21">
        <v>0</v>
      </c>
      <c r="AC122" s="21">
        <v>1813220</v>
      </c>
    </row>
    <row r="123" spans="1:30" hidden="1" outlineLevel="2">
      <c r="A123" s="21">
        <v>467</v>
      </c>
      <c r="B123" s="21">
        <v>31143227</v>
      </c>
      <c r="C123" s="21">
        <v>311432272</v>
      </c>
      <c r="D123" s="21" t="s">
        <v>1153</v>
      </c>
      <c r="E123" s="21" t="s">
        <v>1413</v>
      </c>
      <c r="F123" s="21">
        <v>813220</v>
      </c>
      <c r="G123" s="21" t="s">
        <v>1151</v>
      </c>
      <c r="H123" s="21">
        <v>90541</v>
      </c>
      <c r="I123" s="21">
        <v>1</v>
      </c>
      <c r="J123" s="21">
        <v>0</v>
      </c>
      <c r="K123" s="21">
        <v>0</v>
      </c>
      <c r="L123" s="21">
        <v>0</v>
      </c>
      <c r="M123" s="21">
        <v>0</v>
      </c>
      <c r="N123" s="61">
        <f t="shared" si="4"/>
        <v>0</v>
      </c>
      <c r="O123" s="60">
        <v>2111.23</v>
      </c>
      <c r="P123" s="21">
        <v>315.60000000000002</v>
      </c>
      <c r="Q123" s="21">
        <v>55.83</v>
      </c>
      <c r="R123" s="21">
        <v>1618.4</v>
      </c>
      <c r="S123" s="21">
        <v>0</v>
      </c>
      <c r="T123" s="21">
        <v>0</v>
      </c>
      <c r="U123" s="21">
        <v>0</v>
      </c>
      <c r="V123" s="21">
        <v>0</v>
      </c>
      <c r="W123" s="21">
        <v>0</v>
      </c>
      <c r="X123" s="21">
        <v>0</v>
      </c>
      <c r="Y123" s="21">
        <v>1618.4</v>
      </c>
      <c r="Z123" s="21">
        <v>121.4</v>
      </c>
      <c r="AA123" s="21">
        <v>0</v>
      </c>
      <c r="AB123" s="21">
        <v>0</v>
      </c>
      <c r="AC123" s="21">
        <v>1813220</v>
      </c>
    </row>
    <row r="124" spans="1:30" outlineLevel="1" collapsed="1">
      <c r="F124" s="62" t="s">
        <v>1412</v>
      </c>
      <c r="M124" s="21">
        <f>SUBTOTAL(9,M115:M123)</f>
        <v>3586.6</v>
      </c>
      <c r="N124" s="61">
        <f>SUBTOTAL(9,N115:N123)</f>
        <v>2.988833333333333</v>
      </c>
      <c r="O124" s="60">
        <f>SUBTOTAL(9,O115:O123)</f>
        <v>422190.00999999995</v>
      </c>
      <c r="AC124" s="21" t="str">
        <f>"1"&amp;LEFT(F124,6)&amp;"110"</f>
        <v>1813220110</v>
      </c>
      <c r="AD124" s="21" t="str">
        <f>VLOOKUP(AC124,'פירוט שכר'!A:K,5,0)</f>
        <v>ב"ס ב -משכורת</v>
      </c>
    </row>
    <row r="125" spans="1:30" hidden="1" outlineLevel="2">
      <c r="A125" s="21">
        <v>467</v>
      </c>
      <c r="B125" s="21">
        <v>2825471</v>
      </c>
      <c r="C125" s="21">
        <v>28254712</v>
      </c>
      <c r="D125" s="21" t="s">
        <v>1173</v>
      </c>
      <c r="E125" s="21" t="s">
        <v>1411</v>
      </c>
      <c r="F125" s="21">
        <v>813221</v>
      </c>
      <c r="G125" s="21" t="s">
        <v>1151</v>
      </c>
      <c r="H125" s="21">
        <v>90541</v>
      </c>
      <c r="I125" s="21">
        <v>1</v>
      </c>
      <c r="J125" s="21">
        <v>0</v>
      </c>
      <c r="K125" s="21">
        <v>0</v>
      </c>
      <c r="L125" s="21">
        <v>0</v>
      </c>
      <c r="M125" s="21">
        <v>0</v>
      </c>
      <c r="N125" s="61">
        <f>+M125/1200</f>
        <v>0</v>
      </c>
      <c r="O125" s="60">
        <v>55285.19</v>
      </c>
      <c r="P125" s="21">
        <v>8623.17</v>
      </c>
      <c r="Q125" s="21">
        <v>2303.41</v>
      </c>
      <c r="R125" s="21">
        <v>41259.65</v>
      </c>
      <c r="S125" s="21">
        <v>230</v>
      </c>
      <c r="T125" s="21">
        <v>0</v>
      </c>
      <c r="U125" s="21">
        <v>0</v>
      </c>
      <c r="V125" s="21">
        <v>0</v>
      </c>
      <c r="W125" s="21">
        <v>274</v>
      </c>
      <c r="X125" s="21">
        <v>0</v>
      </c>
      <c r="Y125" s="21">
        <v>40755.65</v>
      </c>
      <c r="Z125" s="21">
        <v>3098.96</v>
      </c>
      <c r="AA125" s="21">
        <v>0</v>
      </c>
      <c r="AB125" s="21">
        <v>0</v>
      </c>
      <c r="AC125" s="21">
        <v>813220</v>
      </c>
    </row>
    <row r="126" spans="1:30" outlineLevel="1" collapsed="1">
      <c r="F126" s="62" t="s">
        <v>1410</v>
      </c>
      <c r="M126" s="21">
        <f>SUBTOTAL(9,M125:M125)</f>
        <v>0</v>
      </c>
      <c r="N126" s="61">
        <f>SUBTOTAL(9,N125:N125)</f>
        <v>0</v>
      </c>
      <c r="O126" s="60">
        <f>SUBTOTAL(9,O125:O125)</f>
        <v>55285.19</v>
      </c>
      <c r="AC126" s="21" t="str">
        <f>"1"&amp;LEFT(F126,6)&amp;"110"</f>
        <v>1813221110</v>
      </c>
    </row>
    <row r="127" spans="1:30" hidden="1" outlineLevel="2">
      <c r="A127" s="21">
        <v>467</v>
      </c>
      <c r="B127" s="21">
        <v>2312554</v>
      </c>
      <c r="C127" s="21">
        <v>23125545</v>
      </c>
      <c r="D127" s="21" t="s">
        <v>1400</v>
      </c>
      <c r="E127" s="21" t="s">
        <v>1399</v>
      </c>
      <c r="F127" s="21">
        <v>813230</v>
      </c>
      <c r="G127" s="21" t="s">
        <v>1151</v>
      </c>
      <c r="H127" s="21">
        <v>90541</v>
      </c>
      <c r="I127" s="21">
        <v>0</v>
      </c>
      <c r="J127" s="21">
        <v>5</v>
      </c>
      <c r="K127" s="21">
        <v>40</v>
      </c>
      <c r="L127" s="21">
        <v>0</v>
      </c>
      <c r="M127" s="21">
        <v>1200</v>
      </c>
      <c r="N127" s="61">
        <f t="shared" ref="N127:N137" si="5">+M127/1200</f>
        <v>1</v>
      </c>
      <c r="O127" s="60">
        <v>164712.76</v>
      </c>
      <c r="P127" s="21">
        <v>23411.74</v>
      </c>
      <c r="Q127" s="21">
        <v>6497.28</v>
      </c>
      <c r="R127" s="21">
        <v>125400.04</v>
      </c>
      <c r="S127" s="21">
        <v>2344.6999999999998</v>
      </c>
      <c r="T127" s="21">
        <v>7667</v>
      </c>
      <c r="U127" s="21">
        <v>0</v>
      </c>
      <c r="V127" s="21">
        <v>0</v>
      </c>
      <c r="W127" s="21">
        <v>8864.85</v>
      </c>
      <c r="X127" s="21">
        <v>0.3</v>
      </c>
      <c r="Y127" s="21">
        <v>106523.19</v>
      </c>
      <c r="Z127" s="21">
        <v>9403.7000000000007</v>
      </c>
      <c r="AA127" s="21">
        <v>0</v>
      </c>
      <c r="AB127" s="21">
        <v>0</v>
      </c>
      <c r="AC127" s="21">
        <v>0</v>
      </c>
    </row>
    <row r="128" spans="1:30" hidden="1" outlineLevel="2">
      <c r="A128" s="21">
        <v>467</v>
      </c>
      <c r="B128" s="21">
        <v>2759563</v>
      </c>
      <c r="C128" s="21">
        <v>27595636</v>
      </c>
      <c r="D128" s="21" t="s">
        <v>1298</v>
      </c>
      <c r="E128" s="21" t="s">
        <v>1409</v>
      </c>
      <c r="F128" s="21">
        <v>813230</v>
      </c>
      <c r="G128" s="21" t="s">
        <v>1151</v>
      </c>
      <c r="H128" s="21">
        <v>90541</v>
      </c>
      <c r="I128" s="21">
        <v>1</v>
      </c>
      <c r="J128" s="21">
        <v>0</v>
      </c>
      <c r="K128" s="21">
        <v>0</v>
      </c>
      <c r="L128" s="21">
        <v>0</v>
      </c>
      <c r="M128" s="21">
        <v>0</v>
      </c>
      <c r="N128" s="61">
        <f t="shared" si="5"/>
        <v>0</v>
      </c>
      <c r="O128" s="60">
        <v>3979.41</v>
      </c>
      <c r="P128" s="21">
        <v>214.32</v>
      </c>
      <c r="Q128" s="21">
        <v>223.52</v>
      </c>
      <c r="R128" s="21">
        <v>3269.4</v>
      </c>
      <c r="S128" s="21">
        <v>0</v>
      </c>
      <c r="T128" s="21">
        <v>0</v>
      </c>
      <c r="U128" s="21">
        <v>0</v>
      </c>
      <c r="V128" s="21">
        <v>0</v>
      </c>
      <c r="W128" s="21">
        <v>4467</v>
      </c>
      <c r="X128" s="21">
        <v>192.7</v>
      </c>
      <c r="Y128" s="21">
        <v>-1390.3</v>
      </c>
      <c r="Z128" s="21">
        <v>272.17</v>
      </c>
      <c r="AA128" s="21">
        <v>0</v>
      </c>
      <c r="AB128" s="21">
        <v>0</v>
      </c>
      <c r="AC128" s="21">
        <v>0</v>
      </c>
    </row>
    <row r="129" spans="1:30" hidden="1" outlineLevel="2">
      <c r="A129" s="21">
        <v>467</v>
      </c>
      <c r="B129" s="21">
        <v>2979093</v>
      </c>
      <c r="C129" s="21">
        <v>29790938</v>
      </c>
      <c r="D129" s="21" t="s">
        <v>1153</v>
      </c>
      <c r="E129" s="21" t="s">
        <v>1408</v>
      </c>
      <c r="F129" s="21">
        <v>813230</v>
      </c>
      <c r="G129" s="21" t="s">
        <v>1151</v>
      </c>
      <c r="H129" s="21">
        <v>90541</v>
      </c>
      <c r="I129" s="21">
        <v>0</v>
      </c>
      <c r="J129" s="21">
        <v>5</v>
      </c>
      <c r="K129" s="21">
        <v>37</v>
      </c>
      <c r="L129" s="21">
        <v>0</v>
      </c>
      <c r="M129" s="21">
        <v>1080</v>
      </c>
      <c r="N129" s="61">
        <f t="shared" si="5"/>
        <v>0.9</v>
      </c>
      <c r="O129" s="60">
        <v>85266.31</v>
      </c>
      <c r="P129" s="21">
        <v>14560.25</v>
      </c>
      <c r="Q129" s="21">
        <v>2233.61</v>
      </c>
      <c r="R129" s="21">
        <v>63653.25</v>
      </c>
      <c r="S129" s="21">
        <v>0</v>
      </c>
      <c r="T129" s="21">
        <v>5105</v>
      </c>
      <c r="U129" s="21">
        <v>0</v>
      </c>
      <c r="V129" s="21">
        <v>0</v>
      </c>
      <c r="W129" s="21">
        <v>1347</v>
      </c>
      <c r="X129" s="21">
        <v>23.25</v>
      </c>
      <c r="Y129" s="21">
        <v>57178</v>
      </c>
      <c r="Z129" s="21">
        <v>4819.2</v>
      </c>
      <c r="AA129" s="21">
        <v>0</v>
      </c>
      <c r="AB129" s="21">
        <v>0</v>
      </c>
      <c r="AC129" s="21">
        <v>0</v>
      </c>
    </row>
    <row r="130" spans="1:30" hidden="1" outlineLevel="2">
      <c r="A130" s="21">
        <v>467</v>
      </c>
      <c r="B130" s="21">
        <v>3159035</v>
      </c>
      <c r="C130" s="21">
        <v>31590359</v>
      </c>
      <c r="D130" s="21" t="s">
        <v>1173</v>
      </c>
      <c r="E130" s="21" t="s">
        <v>1364</v>
      </c>
      <c r="F130" s="21">
        <v>813230</v>
      </c>
      <c r="G130" s="21" t="s">
        <v>1151</v>
      </c>
      <c r="H130" s="21">
        <v>90541</v>
      </c>
      <c r="I130" s="21">
        <v>1</v>
      </c>
      <c r="J130" s="21">
        <v>0</v>
      </c>
      <c r="K130" s="21">
        <v>0</v>
      </c>
      <c r="L130" s="21">
        <v>0</v>
      </c>
      <c r="M130" s="21">
        <v>0</v>
      </c>
      <c r="N130" s="61">
        <f t="shared" si="5"/>
        <v>0</v>
      </c>
      <c r="O130" s="60">
        <v>-7729.4</v>
      </c>
      <c r="P130" s="21">
        <v>-1158.81</v>
      </c>
      <c r="Q130" s="21">
        <v>-197.64</v>
      </c>
      <c r="R130" s="21">
        <v>-5944.65</v>
      </c>
      <c r="S130" s="21">
        <v>0</v>
      </c>
      <c r="T130" s="21">
        <v>0</v>
      </c>
      <c r="U130" s="21">
        <v>0</v>
      </c>
      <c r="V130" s="21">
        <v>0</v>
      </c>
      <c r="W130" s="21">
        <v>0</v>
      </c>
      <c r="X130" s="21">
        <v>0</v>
      </c>
      <c r="Y130" s="21">
        <v>-5944.65</v>
      </c>
      <c r="Z130" s="21">
        <v>-428.3</v>
      </c>
      <c r="AA130" s="21">
        <v>0</v>
      </c>
      <c r="AB130" s="21">
        <v>0</v>
      </c>
      <c r="AC130" s="21">
        <v>0</v>
      </c>
    </row>
    <row r="131" spans="1:30" hidden="1" outlineLevel="2">
      <c r="A131" s="21">
        <v>467</v>
      </c>
      <c r="B131" s="21">
        <v>3159143</v>
      </c>
      <c r="C131" s="21">
        <v>31591431</v>
      </c>
      <c r="D131" s="21" t="s">
        <v>1183</v>
      </c>
      <c r="E131" s="21" t="s">
        <v>1407</v>
      </c>
      <c r="F131" s="21">
        <v>813230</v>
      </c>
      <c r="G131" s="21" t="s">
        <v>1151</v>
      </c>
      <c r="H131" s="21">
        <v>90541</v>
      </c>
      <c r="I131" s="21">
        <v>1</v>
      </c>
      <c r="J131" s="21">
        <v>0</v>
      </c>
      <c r="K131" s="21">
        <v>0</v>
      </c>
      <c r="L131" s="21">
        <v>0</v>
      </c>
      <c r="M131" s="21">
        <v>0</v>
      </c>
      <c r="N131" s="61">
        <f t="shared" si="5"/>
        <v>0</v>
      </c>
      <c r="O131" s="60">
        <v>2734</v>
      </c>
      <c r="P131" s="21">
        <v>0</v>
      </c>
      <c r="Q131" s="21">
        <v>0</v>
      </c>
      <c r="R131" s="21">
        <v>2734</v>
      </c>
      <c r="S131" s="21">
        <v>0</v>
      </c>
      <c r="T131" s="21">
        <v>0</v>
      </c>
      <c r="U131" s="21">
        <v>0</v>
      </c>
      <c r="V131" s="21">
        <v>0</v>
      </c>
      <c r="W131" s="21">
        <v>0</v>
      </c>
      <c r="X131" s="21">
        <v>0</v>
      </c>
      <c r="Y131" s="21">
        <v>2734</v>
      </c>
      <c r="Z131" s="21">
        <v>0</v>
      </c>
      <c r="AA131" s="21">
        <v>0</v>
      </c>
      <c r="AB131" s="21">
        <v>0</v>
      </c>
      <c r="AC131" s="21">
        <v>0</v>
      </c>
    </row>
    <row r="132" spans="1:30" hidden="1" outlineLevel="2">
      <c r="A132" s="21">
        <v>467</v>
      </c>
      <c r="B132" s="21">
        <v>3159568</v>
      </c>
      <c r="C132" s="21">
        <v>31595689</v>
      </c>
      <c r="D132" s="21" t="s">
        <v>1153</v>
      </c>
      <c r="E132" s="21" t="s">
        <v>1406</v>
      </c>
      <c r="F132" s="21">
        <v>813230</v>
      </c>
      <c r="G132" s="21" t="s">
        <v>1151</v>
      </c>
      <c r="H132" s="21">
        <v>90541</v>
      </c>
      <c r="I132" s="21">
        <v>1</v>
      </c>
      <c r="J132" s="21">
        <v>0</v>
      </c>
      <c r="K132" s="21">
        <v>0</v>
      </c>
      <c r="L132" s="21">
        <v>0</v>
      </c>
      <c r="M132" s="21">
        <v>0</v>
      </c>
      <c r="N132" s="61">
        <f t="shared" si="5"/>
        <v>0</v>
      </c>
      <c r="O132" s="60">
        <v>4925.8900000000003</v>
      </c>
      <c r="P132" s="21">
        <v>834.29</v>
      </c>
      <c r="Q132" s="21">
        <v>164.42</v>
      </c>
      <c r="R132" s="21">
        <v>3628.15</v>
      </c>
      <c r="S132" s="21">
        <v>0</v>
      </c>
      <c r="T132" s="21">
        <v>0</v>
      </c>
      <c r="U132" s="21">
        <v>0</v>
      </c>
      <c r="V132" s="21">
        <v>0</v>
      </c>
      <c r="W132" s="21">
        <v>411</v>
      </c>
      <c r="X132" s="21">
        <v>557.35</v>
      </c>
      <c r="Y132" s="21">
        <v>2659.8</v>
      </c>
      <c r="Z132" s="21">
        <v>299.02999999999997</v>
      </c>
      <c r="AA132" s="21">
        <v>0</v>
      </c>
      <c r="AB132" s="21">
        <v>0</v>
      </c>
      <c r="AC132" s="21">
        <v>0</v>
      </c>
    </row>
    <row r="133" spans="1:30" hidden="1" outlineLevel="2">
      <c r="A133" s="21">
        <v>467</v>
      </c>
      <c r="B133" s="21">
        <v>3726403</v>
      </c>
      <c r="C133" s="21">
        <v>37264033</v>
      </c>
      <c r="D133" s="21" t="s">
        <v>1153</v>
      </c>
      <c r="E133" s="21" t="s">
        <v>1375</v>
      </c>
      <c r="F133" s="21">
        <v>813230</v>
      </c>
      <c r="G133" s="21" t="s">
        <v>1151</v>
      </c>
      <c r="H133" s="21">
        <v>90541</v>
      </c>
      <c r="I133" s="21">
        <v>0</v>
      </c>
      <c r="J133" s="21">
        <v>5</v>
      </c>
      <c r="K133" s="21">
        <v>5</v>
      </c>
      <c r="L133" s="21">
        <v>0</v>
      </c>
      <c r="M133" s="21">
        <v>960</v>
      </c>
      <c r="N133" s="61">
        <f t="shared" si="5"/>
        <v>0.8</v>
      </c>
      <c r="O133" s="60">
        <v>64302.07</v>
      </c>
      <c r="P133" s="21">
        <v>8278.32</v>
      </c>
      <c r="Q133" s="21">
        <v>1749.67</v>
      </c>
      <c r="R133" s="21">
        <v>50470.55</v>
      </c>
      <c r="S133" s="21">
        <v>0</v>
      </c>
      <c r="T133" s="21">
        <v>3074.4</v>
      </c>
      <c r="U133" s="21">
        <v>0</v>
      </c>
      <c r="V133" s="21">
        <v>0</v>
      </c>
      <c r="W133" s="21">
        <v>364.35</v>
      </c>
      <c r="X133" s="21">
        <v>27.75</v>
      </c>
      <c r="Y133" s="21">
        <v>47004.05</v>
      </c>
      <c r="Z133" s="21">
        <v>3803.53</v>
      </c>
      <c r="AA133" s="21">
        <v>0</v>
      </c>
      <c r="AB133" s="21">
        <v>0</v>
      </c>
      <c r="AC133" s="21">
        <v>0</v>
      </c>
    </row>
    <row r="134" spans="1:30" hidden="1" outlineLevel="2">
      <c r="A134" s="21">
        <v>467</v>
      </c>
      <c r="B134" s="21">
        <v>3800085</v>
      </c>
      <c r="C134" s="21">
        <v>38000857</v>
      </c>
      <c r="D134" s="21" t="s">
        <v>1153</v>
      </c>
      <c r="E134" s="21" t="s">
        <v>1405</v>
      </c>
      <c r="F134" s="21">
        <v>813230</v>
      </c>
      <c r="G134" s="21" t="s">
        <v>1151</v>
      </c>
      <c r="H134" s="21">
        <v>90541</v>
      </c>
      <c r="I134" s="21">
        <v>1</v>
      </c>
      <c r="J134" s="21">
        <v>0</v>
      </c>
      <c r="K134" s="21">
        <v>0</v>
      </c>
      <c r="L134" s="21">
        <v>0</v>
      </c>
      <c r="M134" s="21">
        <v>0</v>
      </c>
      <c r="N134" s="61">
        <f t="shared" si="5"/>
        <v>0</v>
      </c>
      <c r="O134" s="60">
        <v>39460.699999999997</v>
      </c>
      <c r="P134" s="21">
        <v>4746.75</v>
      </c>
      <c r="Q134" s="21">
        <v>1079.45</v>
      </c>
      <c r="R134" s="21">
        <v>31287.95</v>
      </c>
      <c r="S134" s="21">
        <v>0</v>
      </c>
      <c r="T134" s="21">
        <v>1315.15</v>
      </c>
      <c r="U134" s="21">
        <v>0</v>
      </c>
      <c r="V134" s="21">
        <v>0</v>
      </c>
      <c r="W134" s="21">
        <v>0</v>
      </c>
      <c r="X134" s="21">
        <v>0</v>
      </c>
      <c r="Y134" s="21">
        <v>29972.799999999999</v>
      </c>
      <c r="Z134" s="21">
        <v>2346.5500000000002</v>
      </c>
      <c r="AA134" s="21">
        <v>0</v>
      </c>
      <c r="AB134" s="21">
        <v>0</v>
      </c>
      <c r="AC134" s="21">
        <v>0</v>
      </c>
    </row>
    <row r="135" spans="1:30" hidden="1" outlineLevel="2">
      <c r="A135" s="21">
        <v>467</v>
      </c>
      <c r="B135" s="21">
        <v>4080964</v>
      </c>
      <c r="C135" s="21">
        <v>40809642</v>
      </c>
      <c r="D135" s="21" t="s">
        <v>1153</v>
      </c>
      <c r="E135" s="21" t="s">
        <v>1404</v>
      </c>
      <c r="F135" s="21">
        <v>813230</v>
      </c>
      <c r="G135" s="21" t="s">
        <v>1151</v>
      </c>
      <c r="H135" s="21">
        <v>90541</v>
      </c>
      <c r="I135" s="21">
        <v>0</v>
      </c>
      <c r="J135" s="21">
        <v>5</v>
      </c>
      <c r="K135" s="21">
        <v>7</v>
      </c>
      <c r="L135" s="21">
        <v>0</v>
      </c>
      <c r="M135" s="21">
        <v>960</v>
      </c>
      <c r="N135" s="61">
        <f t="shared" si="5"/>
        <v>0.8</v>
      </c>
      <c r="O135" s="60">
        <v>76952.77</v>
      </c>
      <c r="P135" s="21">
        <v>10699.45</v>
      </c>
      <c r="Q135" s="21">
        <v>2086.48</v>
      </c>
      <c r="R135" s="21">
        <v>59648.04</v>
      </c>
      <c r="S135" s="21">
        <v>4230.6499999999996</v>
      </c>
      <c r="T135" s="21">
        <v>4287.2</v>
      </c>
      <c r="U135" s="21">
        <v>0</v>
      </c>
      <c r="V135" s="21">
        <v>0</v>
      </c>
      <c r="W135" s="21">
        <v>833.7</v>
      </c>
      <c r="X135" s="21">
        <v>20</v>
      </c>
      <c r="Y135" s="21">
        <v>50276.49</v>
      </c>
      <c r="Z135" s="21">
        <v>4518.8</v>
      </c>
      <c r="AA135" s="21">
        <v>0</v>
      </c>
      <c r="AB135" s="21">
        <v>0</v>
      </c>
      <c r="AC135" s="21">
        <v>0</v>
      </c>
    </row>
    <row r="136" spans="1:30" hidden="1" outlineLevel="2">
      <c r="A136" s="21">
        <v>467</v>
      </c>
      <c r="B136" s="21">
        <v>5947892</v>
      </c>
      <c r="C136" s="21">
        <v>59478925</v>
      </c>
      <c r="D136" s="21" t="s">
        <v>1403</v>
      </c>
      <c r="E136" s="21" t="s">
        <v>1402</v>
      </c>
      <c r="F136" s="21">
        <v>813230</v>
      </c>
      <c r="G136" s="21" t="s">
        <v>1151</v>
      </c>
      <c r="H136" s="21">
        <v>90541</v>
      </c>
      <c r="I136" s="21">
        <v>1</v>
      </c>
      <c r="J136" s="21">
        <v>0</v>
      </c>
      <c r="K136" s="21">
        <v>0</v>
      </c>
      <c r="L136" s="21">
        <v>0</v>
      </c>
      <c r="M136" s="21">
        <v>0</v>
      </c>
      <c r="N136" s="61">
        <f t="shared" si="5"/>
        <v>0</v>
      </c>
      <c r="O136" s="60">
        <v>18699.87</v>
      </c>
      <c r="P136" s="21">
        <v>784.4</v>
      </c>
      <c r="Q136" s="21">
        <v>560.82000000000005</v>
      </c>
      <c r="R136" s="21">
        <v>16135.5</v>
      </c>
      <c r="S136" s="21">
        <v>0</v>
      </c>
      <c r="T136" s="21">
        <v>0</v>
      </c>
      <c r="U136" s="21">
        <v>0</v>
      </c>
      <c r="V136" s="21">
        <v>0</v>
      </c>
      <c r="W136" s="21">
        <v>0</v>
      </c>
      <c r="X136" s="21">
        <v>0</v>
      </c>
      <c r="Y136" s="21">
        <v>16135.5</v>
      </c>
      <c r="Z136" s="21">
        <v>1219.1500000000001</v>
      </c>
      <c r="AA136" s="21">
        <v>0</v>
      </c>
      <c r="AB136" s="21">
        <v>0</v>
      </c>
      <c r="AC136" s="21">
        <v>0</v>
      </c>
    </row>
    <row r="137" spans="1:30" hidden="1" outlineLevel="2">
      <c r="A137" s="21">
        <v>467</v>
      </c>
      <c r="B137" s="21">
        <v>6046395</v>
      </c>
      <c r="C137" s="21">
        <v>60463957</v>
      </c>
      <c r="D137" s="21" t="s">
        <v>1173</v>
      </c>
      <c r="E137" s="21" t="s">
        <v>1172</v>
      </c>
      <c r="F137" s="21">
        <v>813230</v>
      </c>
      <c r="G137" s="21" t="s">
        <v>1151</v>
      </c>
      <c r="H137" s="21">
        <v>90541</v>
      </c>
      <c r="I137" s="21">
        <v>1</v>
      </c>
      <c r="J137" s="21">
        <v>0</v>
      </c>
      <c r="K137" s="21">
        <v>0</v>
      </c>
      <c r="L137" s="21">
        <v>0</v>
      </c>
      <c r="M137" s="21">
        <v>0</v>
      </c>
      <c r="N137" s="61">
        <f t="shared" si="5"/>
        <v>0</v>
      </c>
      <c r="O137" s="60">
        <v>562.48</v>
      </c>
      <c r="P137" s="21">
        <v>-391.85</v>
      </c>
      <c r="Q137" s="21">
        <v>38.630000000000003</v>
      </c>
      <c r="R137" s="21">
        <v>831.7</v>
      </c>
      <c r="S137" s="21">
        <v>1931</v>
      </c>
      <c r="T137" s="21">
        <v>1212.8</v>
      </c>
      <c r="U137" s="21">
        <v>0</v>
      </c>
      <c r="V137" s="21">
        <v>0</v>
      </c>
      <c r="W137" s="21">
        <v>411</v>
      </c>
      <c r="X137" s="21">
        <v>0</v>
      </c>
      <c r="Y137" s="21">
        <v>-2723.1</v>
      </c>
      <c r="Z137" s="21">
        <v>84</v>
      </c>
      <c r="AA137" s="21">
        <v>0</v>
      </c>
      <c r="AB137" s="21">
        <v>0</v>
      </c>
      <c r="AC137" s="21">
        <v>0</v>
      </c>
    </row>
    <row r="138" spans="1:30" outlineLevel="1" collapsed="1">
      <c r="F138" s="62" t="s">
        <v>1401</v>
      </c>
      <c r="M138" s="21">
        <f>SUBTOTAL(9,M127:M137)</f>
        <v>4200</v>
      </c>
      <c r="N138" s="61">
        <f>SUBTOTAL(9,N127:N137)</f>
        <v>3.5</v>
      </c>
      <c r="O138" s="60">
        <f>SUBTOTAL(9,O127:O137)</f>
        <v>453866.86000000004</v>
      </c>
      <c r="AC138" s="21" t="str">
        <f>"1"&amp;LEFT(F138,6)&amp;"110"</f>
        <v>1813230110</v>
      </c>
      <c r="AD138" s="21" t="str">
        <f>VLOOKUP(AC138,'פירוט שכר'!A:K,5,0)</f>
        <v>ב"ס ג חדשני-משכורת</v>
      </c>
    </row>
    <row r="139" spans="1:30" hidden="1" outlineLevel="2">
      <c r="A139" s="21">
        <v>467</v>
      </c>
      <c r="B139" s="21">
        <v>2312554</v>
      </c>
      <c r="C139" s="21">
        <v>23125545</v>
      </c>
      <c r="D139" s="21" t="s">
        <v>1400</v>
      </c>
      <c r="E139" s="21" t="s">
        <v>1399</v>
      </c>
      <c r="F139" s="21">
        <v>813231</v>
      </c>
      <c r="G139" s="21" t="s">
        <v>1151</v>
      </c>
      <c r="H139" s="21">
        <v>90541</v>
      </c>
      <c r="I139" s="21">
        <v>1</v>
      </c>
      <c r="J139" s="21">
        <v>0</v>
      </c>
      <c r="K139" s="21">
        <v>0</v>
      </c>
      <c r="L139" s="21">
        <v>0</v>
      </c>
      <c r="M139" s="21">
        <v>0</v>
      </c>
      <c r="N139" s="61">
        <f>+M139/1200</f>
        <v>0</v>
      </c>
      <c r="O139" s="60">
        <v>49839.7</v>
      </c>
      <c r="P139" s="21">
        <v>7444.26</v>
      </c>
      <c r="Q139" s="21">
        <v>2311.34</v>
      </c>
      <c r="R139" s="21">
        <v>37283.35</v>
      </c>
      <c r="S139" s="21">
        <v>364.25</v>
      </c>
      <c r="T139" s="21">
        <v>0</v>
      </c>
      <c r="U139" s="21">
        <v>0</v>
      </c>
      <c r="V139" s="21">
        <v>0</v>
      </c>
      <c r="W139" s="21">
        <v>2357.5500000000002</v>
      </c>
      <c r="X139" s="21">
        <v>0</v>
      </c>
      <c r="Y139" s="21">
        <v>34561.550000000003</v>
      </c>
      <c r="Z139" s="21">
        <v>2800.75</v>
      </c>
      <c r="AA139" s="21">
        <v>0</v>
      </c>
      <c r="AB139" s="21">
        <v>0</v>
      </c>
      <c r="AC139" s="21">
        <v>1813230</v>
      </c>
    </row>
    <row r="140" spans="1:30" outlineLevel="1" collapsed="1">
      <c r="F140" s="62" t="s">
        <v>1398</v>
      </c>
      <c r="M140" s="21">
        <f>SUBTOTAL(9,M139:M139)</f>
        <v>0</v>
      </c>
      <c r="N140" s="61">
        <f>SUBTOTAL(9,N139:N139)</f>
        <v>0</v>
      </c>
      <c r="O140" s="60">
        <f>SUBTOTAL(9,O139:O139)</f>
        <v>49839.7</v>
      </c>
      <c r="AC140" s="21" t="str">
        <f>"1"&amp;LEFT(F140,6)&amp;"110"</f>
        <v>1813231110</v>
      </c>
    </row>
    <row r="141" spans="1:30" hidden="1" outlineLevel="2">
      <c r="A141" s="21">
        <v>467</v>
      </c>
      <c r="B141" s="21">
        <v>2318810</v>
      </c>
      <c r="C141" s="21">
        <v>23188105</v>
      </c>
      <c r="D141" s="21" t="s">
        <v>1249</v>
      </c>
      <c r="E141" s="21" t="s">
        <v>1371</v>
      </c>
      <c r="F141" s="21">
        <v>813240</v>
      </c>
      <c r="G141" s="21" t="s">
        <v>1151</v>
      </c>
      <c r="H141" s="21">
        <v>90541</v>
      </c>
      <c r="I141" s="21">
        <v>1</v>
      </c>
      <c r="J141" s="21">
        <v>0</v>
      </c>
      <c r="K141" s="21">
        <v>0</v>
      </c>
      <c r="L141" s="21">
        <v>0</v>
      </c>
      <c r="M141" s="21">
        <v>0</v>
      </c>
      <c r="N141" s="61">
        <f t="shared" ref="N141:N147" si="6">+M141/1200</f>
        <v>0</v>
      </c>
      <c r="O141" s="60">
        <v>1499.2</v>
      </c>
      <c r="P141" s="21">
        <v>57.95</v>
      </c>
      <c r="Q141" s="21">
        <v>71.540000000000006</v>
      </c>
      <c r="R141" s="21">
        <v>1253.3</v>
      </c>
      <c r="S141" s="21">
        <v>1147.9000000000001</v>
      </c>
      <c r="T141" s="21">
        <v>0</v>
      </c>
      <c r="U141" s="21">
        <v>0</v>
      </c>
      <c r="V141" s="21">
        <v>0</v>
      </c>
      <c r="W141" s="21">
        <v>137</v>
      </c>
      <c r="X141" s="21">
        <v>0</v>
      </c>
      <c r="Y141" s="21">
        <v>-31.6</v>
      </c>
      <c r="Z141" s="21">
        <v>116.41</v>
      </c>
      <c r="AA141" s="21">
        <v>0</v>
      </c>
      <c r="AB141" s="21">
        <v>0</v>
      </c>
      <c r="AC141" s="21">
        <v>1813200</v>
      </c>
    </row>
    <row r="142" spans="1:30" hidden="1" outlineLevel="2">
      <c r="A142" s="21">
        <v>467</v>
      </c>
      <c r="B142" s="21">
        <v>2627397</v>
      </c>
      <c r="C142" s="21">
        <v>26273979</v>
      </c>
      <c r="D142" s="21" t="s">
        <v>1252</v>
      </c>
      <c r="E142" s="21" t="s">
        <v>1251</v>
      </c>
      <c r="F142" s="21">
        <v>813240</v>
      </c>
      <c r="G142" s="21" t="s">
        <v>1151</v>
      </c>
      <c r="H142" s="21">
        <v>90541</v>
      </c>
      <c r="I142" s="21">
        <v>0</v>
      </c>
      <c r="J142" s="21">
        <v>5</v>
      </c>
      <c r="K142" s="21">
        <v>5</v>
      </c>
      <c r="L142" s="21">
        <v>0</v>
      </c>
      <c r="M142" s="21">
        <v>960</v>
      </c>
      <c r="N142" s="61">
        <f t="shared" si="6"/>
        <v>0.8</v>
      </c>
      <c r="O142" s="60">
        <v>66153.69</v>
      </c>
      <c r="P142" s="21">
        <v>8988.42</v>
      </c>
      <c r="Q142" s="21">
        <v>1796.35</v>
      </c>
      <c r="R142" s="21">
        <v>51463.99</v>
      </c>
      <c r="S142" s="21">
        <v>0</v>
      </c>
      <c r="T142" s="21">
        <v>4998.1499999999996</v>
      </c>
      <c r="U142" s="21">
        <v>0</v>
      </c>
      <c r="V142" s="21">
        <v>0</v>
      </c>
      <c r="W142" s="21">
        <v>760.8</v>
      </c>
      <c r="X142" s="21">
        <v>0</v>
      </c>
      <c r="Y142" s="21">
        <v>45705.04</v>
      </c>
      <c r="Z142" s="21">
        <v>3904.93</v>
      </c>
      <c r="AA142" s="21">
        <v>0</v>
      </c>
      <c r="AB142" s="21">
        <v>0</v>
      </c>
      <c r="AC142" s="21">
        <v>1813200</v>
      </c>
    </row>
    <row r="143" spans="1:30" hidden="1" outlineLevel="2">
      <c r="A143" s="21">
        <v>467</v>
      </c>
      <c r="B143" s="21">
        <v>3426454</v>
      </c>
      <c r="C143" s="21">
        <v>34264549</v>
      </c>
      <c r="D143" s="21" t="s">
        <v>1153</v>
      </c>
      <c r="E143" s="21" t="s">
        <v>1397</v>
      </c>
      <c r="F143" s="21">
        <v>813240</v>
      </c>
      <c r="G143" s="21" t="s">
        <v>1151</v>
      </c>
      <c r="H143" s="21">
        <v>90541</v>
      </c>
      <c r="I143" s="21">
        <v>1</v>
      </c>
      <c r="J143" s="21">
        <v>0</v>
      </c>
      <c r="K143" s="21">
        <v>0</v>
      </c>
      <c r="L143" s="21">
        <v>0</v>
      </c>
      <c r="M143" s="21">
        <v>0</v>
      </c>
      <c r="N143" s="61">
        <f t="shared" si="6"/>
        <v>0</v>
      </c>
      <c r="O143" s="60">
        <v>2111.23</v>
      </c>
      <c r="P143" s="21">
        <v>315.60000000000002</v>
      </c>
      <c r="Q143" s="21">
        <v>55.83</v>
      </c>
      <c r="R143" s="21">
        <v>1618.4</v>
      </c>
      <c r="S143" s="21">
        <v>0</v>
      </c>
      <c r="T143" s="21">
        <v>0</v>
      </c>
      <c r="U143" s="21">
        <v>0</v>
      </c>
      <c r="V143" s="21">
        <v>0</v>
      </c>
      <c r="W143" s="21">
        <v>0</v>
      </c>
      <c r="X143" s="21">
        <v>0</v>
      </c>
      <c r="Y143" s="21">
        <v>1618.4</v>
      </c>
      <c r="Z143" s="21">
        <v>121.4</v>
      </c>
      <c r="AA143" s="21">
        <v>0</v>
      </c>
      <c r="AB143" s="21">
        <v>0</v>
      </c>
      <c r="AC143" s="21">
        <v>1813200</v>
      </c>
    </row>
    <row r="144" spans="1:30" hidden="1" outlineLevel="2">
      <c r="A144" s="21">
        <v>467</v>
      </c>
      <c r="B144" s="21">
        <v>3623510</v>
      </c>
      <c r="C144" s="21">
        <v>36235109</v>
      </c>
      <c r="D144" s="21" t="s">
        <v>1153</v>
      </c>
      <c r="E144" s="21" t="s">
        <v>1396</v>
      </c>
      <c r="F144" s="21">
        <v>813240</v>
      </c>
      <c r="G144" s="21" t="s">
        <v>1151</v>
      </c>
      <c r="H144" s="21">
        <v>90541</v>
      </c>
      <c r="I144" s="21">
        <v>1</v>
      </c>
      <c r="J144" s="21">
        <v>0</v>
      </c>
      <c r="K144" s="21">
        <v>0</v>
      </c>
      <c r="L144" s="21">
        <v>0</v>
      </c>
      <c r="M144" s="21">
        <v>0</v>
      </c>
      <c r="N144" s="61">
        <f t="shared" si="6"/>
        <v>0</v>
      </c>
      <c r="O144" s="60">
        <v>35554.25</v>
      </c>
      <c r="P144" s="21">
        <v>4601.3500000000004</v>
      </c>
      <c r="Q144" s="21">
        <v>962.5</v>
      </c>
      <c r="R144" s="21">
        <v>27898.1</v>
      </c>
      <c r="S144" s="21">
        <v>0</v>
      </c>
      <c r="T144" s="21">
        <v>1404.85</v>
      </c>
      <c r="U144" s="21">
        <v>0</v>
      </c>
      <c r="V144" s="21">
        <v>0</v>
      </c>
      <c r="W144" s="21">
        <v>0</v>
      </c>
      <c r="X144" s="21">
        <v>0</v>
      </c>
      <c r="Y144" s="21">
        <v>26493.25</v>
      </c>
      <c r="Z144" s="21">
        <v>2092.3000000000002</v>
      </c>
      <c r="AA144" s="21">
        <v>0</v>
      </c>
      <c r="AB144" s="21">
        <v>0</v>
      </c>
      <c r="AC144" s="21">
        <v>1813200</v>
      </c>
    </row>
    <row r="145" spans="1:30" hidden="1" outlineLevel="2">
      <c r="A145" s="21">
        <v>467</v>
      </c>
      <c r="B145" s="21">
        <v>3726403</v>
      </c>
      <c r="C145" s="21">
        <v>37264033</v>
      </c>
      <c r="D145" s="21" t="s">
        <v>1153</v>
      </c>
      <c r="E145" s="21" t="s">
        <v>1375</v>
      </c>
      <c r="F145" s="21">
        <v>813240</v>
      </c>
      <c r="G145" s="21" t="s">
        <v>1151</v>
      </c>
      <c r="H145" s="21">
        <v>90541</v>
      </c>
      <c r="I145" s="21">
        <v>1</v>
      </c>
      <c r="J145" s="21">
        <v>0</v>
      </c>
      <c r="K145" s="21">
        <v>0</v>
      </c>
      <c r="L145" s="21">
        <v>0</v>
      </c>
      <c r="M145" s="21">
        <v>0</v>
      </c>
      <c r="N145" s="61">
        <f t="shared" si="6"/>
        <v>0</v>
      </c>
      <c r="O145" s="60">
        <v>-1441.27</v>
      </c>
      <c r="P145" s="21">
        <v>-254.02</v>
      </c>
      <c r="Q145" s="21">
        <v>-25.77</v>
      </c>
      <c r="R145" s="21">
        <v>-1105.55</v>
      </c>
      <c r="S145" s="21">
        <v>0</v>
      </c>
      <c r="T145" s="21">
        <v>1212.8</v>
      </c>
      <c r="U145" s="21">
        <v>0</v>
      </c>
      <c r="V145" s="21">
        <v>0</v>
      </c>
      <c r="W145" s="21">
        <v>411</v>
      </c>
      <c r="X145" s="21">
        <v>0</v>
      </c>
      <c r="Y145" s="21">
        <v>-2729.35</v>
      </c>
      <c r="Z145" s="21">
        <v>-55.93</v>
      </c>
      <c r="AA145" s="21">
        <v>0</v>
      </c>
      <c r="AB145" s="21">
        <v>0</v>
      </c>
      <c r="AC145" s="21">
        <v>1813200</v>
      </c>
    </row>
    <row r="146" spans="1:30" hidden="1" outlineLevel="2">
      <c r="A146" s="21">
        <v>467</v>
      </c>
      <c r="B146" s="21">
        <v>3913163</v>
      </c>
      <c r="C146" s="21">
        <v>39131636</v>
      </c>
      <c r="D146" s="21" t="s">
        <v>1395</v>
      </c>
      <c r="E146" s="21" t="s">
        <v>1200</v>
      </c>
      <c r="F146" s="21">
        <v>813240</v>
      </c>
      <c r="G146" s="21" t="s">
        <v>1151</v>
      </c>
      <c r="H146" s="21">
        <v>90541</v>
      </c>
      <c r="I146" s="21">
        <v>1</v>
      </c>
      <c r="J146" s="21">
        <v>0</v>
      </c>
      <c r="K146" s="21">
        <v>0</v>
      </c>
      <c r="L146" s="21">
        <v>0</v>
      </c>
      <c r="M146" s="21">
        <v>0</v>
      </c>
      <c r="N146" s="61">
        <f t="shared" si="6"/>
        <v>0</v>
      </c>
      <c r="O146" s="60">
        <v>35469.08</v>
      </c>
      <c r="P146" s="21">
        <v>3958.1</v>
      </c>
      <c r="Q146" s="21">
        <v>986.63</v>
      </c>
      <c r="R146" s="21">
        <v>28394.7</v>
      </c>
      <c r="S146" s="21">
        <v>0</v>
      </c>
      <c r="T146" s="21">
        <v>2301.5500000000002</v>
      </c>
      <c r="U146" s="21">
        <v>0</v>
      </c>
      <c r="V146" s="21">
        <v>0</v>
      </c>
      <c r="W146" s="21">
        <v>0</v>
      </c>
      <c r="X146" s="21">
        <v>0</v>
      </c>
      <c r="Y146" s="21">
        <v>26093.15</v>
      </c>
      <c r="Z146" s="21">
        <v>2129.65</v>
      </c>
      <c r="AA146" s="21">
        <v>0</v>
      </c>
      <c r="AB146" s="21">
        <v>0</v>
      </c>
      <c r="AC146" s="21">
        <v>1813200</v>
      </c>
    </row>
    <row r="147" spans="1:30" hidden="1" outlineLevel="2">
      <c r="A147" s="21">
        <v>467</v>
      </c>
      <c r="B147" s="21">
        <v>5996815</v>
      </c>
      <c r="C147" s="21">
        <v>59968156</v>
      </c>
      <c r="D147" s="21" t="s">
        <v>1394</v>
      </c>
      <c r="E147" s="21" t="s">
        <v>1393</v>
      </c>
      <c r="F147" s="21">
        <v>813240</v>
      </c>
      <c r="G147" s="21" t="s">
        <v>1151</v>
      </c>
      <c r="H147" s="21">
        <v>90541</v>
      </c>
      <c r="I147" s="21">
        <v>0</v>
      </c>
      <c r="J147" s="21">
        <v>5</v>
      </c>
      <c r="K147" s="21">
        <v>5</v>
      </c>
      <c r="L147" s="21">
        <v>0</v>
      </c>
      <c r="M147" s="21">
        <v>1200</v>
      </c>
      <c r="N147" s="61">
        <f t="shared" si="6"/>
        <v>1</v>
      </c>
      <c r="O147" s="60">
        <v>81617.37</v>
      </c>
      <c r="P147" s="21">
        <v>12051.5</v>
      </c>
      <c r="Q147" s="21">
        <v>2182.7199999999998</v>
      </c>
      <c r="R147" s="21">
        <v>62665.05</v>
      </c>
      <c r="S147" s="21">
        <v>0</v>
      </c>
      <c r="T147" s="21">
        <v>5359</v>
      </c>
      <c r="U147" s="21">
        <v>0</v>
      </c>
      <c r="V147" s="21">
        <v>0</v>
      </c>
      <c r="W147" s="21">
        <v>866.7</v>
      </c>
      <c r="X147" s="21">
        <v>24.1</v>
      </c>
      <c r="Y147" s="21">
        <v>56415.25</v>
      </c>
      <c r="Z147" s="21">
        <v>4718.1000000000004</v>
      </c>
      <c r="AA147" s="21">
        <v>0</v>
      </c>
      <c r="AB147" s="21">
        <v>0</v>
      </c>
      <c r="AC147" s="21">
        <v>1813200</v>
      </c>
    </row>
    <row r="148" spans="1:30" outlineLevel="1" collapsed="1">
      <c r="F148" s="62" t="s">
        <v>1392</v>
      </c>
      <c r="M148" s="21">
        <f>SUBTOTAL(9,M141:M147)</f>
        <v>2160</v>
      </c>
      <c r="N148" s="61">
        <f>SUBTOTAL(9,N141:N147)</f>
        <v>1.8</v>
      </c>
      <c r="O148" s="60">
        <f>SUBTOTAL(9,O141:O147)</f>
        <v>220963.55</v>
      </c>
      <c r="AC148" s="21" t="str">
        <f>"1"&amp;LEFT(F148,6)&amp;"110"</f>
        <v>1813240110</v>
      </c>
      <c r="AD148" s="21" t="str">
        <f>VLOOKUP(AC148,'פירוט שכר'!A:K,5,0)</f>
        <v>משכורת ב"ס יסודי ד</v>
      </c>
    </row>
    <row r="149" spans="1:30" hidden="1" outlineLevel="2">
      <c r="A149" s="21">
        <v>467</v>
      </c>
      <c r="B149" s="21">
        <v>2318810</v>
      </c>
      <c r="C149" s="21">
        <v>23188105</v>
      </c>
      <c r="D149" s="21" t="s">
        <v>1249</v>
      </c>
      <c r="E149" s="21" t="s">
        <v>1371</v>
      </c>
      <c r="F149" s="21">
        <v>813241</v>
      </c>
      <c r="G149" s="21" t="s">
        <v>1151</v>
      </c>
      <c r="H149" s="21">
        <v>90541</v>
      </c>
      <c r="I149" s="21">
        <v>1</v>
      </c>
      <c r="J149" s="21">
        <v>0</v>
      </c>
      <c r="K149" s="21">
        <v>0</v>
      </c>
      <c r="L149" s="21">
        <v>0</v>
      </c>
      <c r="M149" s="21">
        <v>0</v>
      </c>
      <c r="N149" s="61">
        <f>+M149/1200</f>
        <v>0</v>
      </c>
      <c r="O149" s="60">
        <v>30457.360000000001</v>
      </c>
      <c r="P149" s="21">
        <v>4792.66</v>
      </c>
      <c r="Q149" s="21">
        <v>1392.63</v>
      </c>
      <c r="R149" s="21">
        <v>22574.5</v>
      </c>
      <c r="S149" s="21">
        <v>230</v>
      </c>
      <c r="T149" s="21">
        <v>0</v>
      </c>
      <c r="U149" s="21">
        <v>0</v>
      </c>
      <c r="V149" s="21">
        <v>0</v>
      </c>
      <c r="W149" s="21">
        <v>274</v>
      </c>
      <c r="X149" s="21">
        <v>0</v>
      </c>
      <c r="Y149" s="21">
        <v>22070.5</v>
      </c>
      <c r="Z149" s="21">
        <v>1697.57</v>
      </c>
      <c r="AA149" s="21">
        <v>0</v>
      </c>
      <c r="AB149" s="21">
        <v>0</v>
      </c>
      <c r="AC149" s="21">
        <v>0</v>
      </c>
    </row>
    <row r="150" spans="1:30" outlineLevel="1" collapsed="1">
      <c r="F150" s="62" t="s">
        <v>1391</v>
      </c>
      <c r="M150" s="21">
        <f>SUBTOTAL(9,M149:M149)</f>
        <v>0</v>
      </c>
      <c r="N150" s="61">
        <f>SUBTOTAL(9,N149:N149)</f>
        <v>0</v>
      </c>
      <c r="O150" s="60">
        <f>SUBTOTAL(9,O149:O149)</f>
        <v>30457.360000000001</v>
      </c>
      <c r="AC150" s="21" t="str">
        <f>"1"&amp;LEFT(F150,6)&amp;"110"</f>
        <v>1813241110</v>
      </c>
    </row>
    <row r="151" spans="1:30" hidden="1" outlineLevel="2">
      <c r="A151" s="21">
        <v>467</v>
      </c>
      <c r="B151" s="21">
        <v>30117810</v>
      </c>
      <c r="C151" s="21">
        <v>301178109</v>
      </c>
      <c r="D151" s="21" t="s">
        <v>1153</v>
      </c>
      <c r="E151" s="21" t="s">
        <v>1390</v>
      </c>
      <c r="F151" s="21">
        <v>813250</v>
      </c>
      <c r="G151" s="21" t="s">
        <v>1151</v>
      </c>
      <c r="H151" s="21">
        <v>90541</v>
      </c>
      <c r="I151" s="21">
        <v>1</v>
      </c>
      <c r="J151" s="21">
        <v>0</v>
      </c>
      <c r="K151" s="21">
        <v>0</v>
      </c>
      <c r="L151" s="21">
        <v>0</v>
      </c>
      <c r="M151" s="21">
        <v>0</v>
      </c>
      <c r="N151" s="61">
        <f>+M151/1200</f>
        <v>0</v>
      </c>
      <c r="O151" s="60">
        <v>9193.48</v>
      </c>
      <c r="P151" s="21">
        <v>0</v>
      </c>
      <c r="Q151" s="21">
        <v>285.88</v>
      </c>
      <c r="R151" s="21">
        <v>8286.2000000000007</v>
      </c>
      <c r="S151" s="21">
        <v>0</v>
      </c>
      <c r="T151" s="21">
        <v>0</v>
      </c>
      <c r="U151" s="21">
        <v>0</v>
      </c>
      <c r="V151" s="21">
        <v>0</v>
      </c>
      <c r="W151" s="21">
        <v>0</v>
      </c>
      <c r="X151" s="21">
        <v>0</v>
      </c>
      <c r="Y151" s="21">
        <v>8286.2000000000007</v>
      </c>
      <c r="Z151" s="21">
        <v>621.4</v>
      </c>
      <c r="AA151" s="21">
        <v>0</v>
      </c>
      <c r="AB151" s="21">
        <v>0</v>
      </c>
      <c r="AC151" s="21">
        <v>1813250</v>
      </c>
    </row>
    <row r="152" spans="1:30" outlineLevel="1" collapsed="1">
      <c r="F152" s="62" t="s">
        <v>1389</v>
      </c>
      <c r="M152" s="21">
        <f>SUBTOTAL(9,M151:M151)</f>
        <v>0</v>
      </c>
      <c r="N152" s="61">
        <f>SUBTOTAL(9,N151:N151)</f>
        <v>0</v>
      </c>
      <c r="O152" s="60">
        <f>SUBTOTAL(9,O151:O151)</f>
        <v>9193.48</v>
      </c>
      <c r="AC152" s="21" t="str">
        <f>"1"&amp;LEFT(F152,6)&amp;"110"</f>
        <v>1813250110</v>
      </c>
      <c r="AD152" s="21" t="str">
        <f>VLOOKUP(AC152,'פירוט שכר'!A:K,5,0)</f>
        <v>משכורת -תוכנית יסודי</v>
      </c>
    </row>
    <row r="153" spans="1:30" hidden="1" outlineLevel="2">
      <c r="A153" s="21">
        <v>467</v>
      </c>
      <c r="B153" s="21">
        <v>2476577</v>
      </c>
      <c r="C153" s="21">
        <v>24765778</v>
      </c>
      <c r="D153" s="21" t="s">
        <v>1323</v>
      </c>
      <c r="E153" s="21" t="s">
        <v>1388</v>
      </c>
      <c r="F153" s="21">
        <v>813300</v>
      </c>
      <c r="G153" s="21" t="s">
        <v>1151</v>
      </c>
      <c r="H153" s="21">
        <v>90541</v>
      </c>
      <c r="I153" s="21">
        <v>0</v>
      </c>
      <c r="J153" s="21">
        <v>80</v>
      </c>
      <c r="K153" s="21">
        <v>1</v>
      </c>
      <c r="L153" s="21">
        <v>0</v>
      </c>
      <c r="M153" s="21">
        <v>1200</v>
      </c>
      <c r="N153" s="61">
        <f t="shared" ref="N153:N171" si="7">+M153/1200</f>
        <v>1</v>
      </c>
      <c r="O153" s="60">
        <v>144545.79999999999</v>
      </c>
      <c r="P153" s="21">
        <v>21044.6</v>
      </c>
      <c r="Q153" s="21">
        <v>5281.42</v>
      </c>
      <c r="R153" s="21">
        <v>109946.83</v>
      </c>
      <c r="S153" s="21">
        <v>6307.25</v>
      </c>
      <c r="T153" s="21">
        <v>5180.1499999999996</v>
      </c>
      <c r="U153" s="21">
        <v>0</v>
      </c>
      <c r="V153" s="21">
        <v>0</v>
      </c>
      <c r="W153" s="21">
        <v>702.6</v>
      </c>
      <c r="X153" s="21">
        <v>33.25</v>
      </c>
      <c r="Y153" s="21">
        <v>97723.58</v>
      </c>
      <c r="Z153" s="21">
        <v>8272.9500000000007</v>
      </c>
      <c r="AA153" s="21">
        <v>0</v>
      </c>
      <c r="AB153" s="21">
        <v>0</v>
      </c>
      <c r="AC153" s="21">
        <v>1813300</v>
      </c>
    </row>
    <row r="154" spans="1:30" hidden="1" outlineLevel="2">
      <c r="A154" s="21">
        <v>467</v>
      </c>
      <c r="B154" s="21">
        <v>2767373</v>
      </c>
      <c r="C154" s="21">
        <v>27673730</v>
      </c>
      <c r="D154" s="21" t="s">
        <v>1153</v>
      </c>
      <c r="E154" s="21" t="s">
        <v>1387</v>
      </c>
      <c r="F154" s="21">
        <v>813300</v>
      </c>
      <c r="G154" s="21" t="s">
        <v>1151</v>
      </c>
      <c r="H154" s="21">
        <v>90541</v>
      </c>
      <c r="I154" s="21">
        <v>1</v>
      </c>
      <c r="J154" s="21">
        <v>0</v>
      </c>
      <c r="K154" s="21">
        <v>0</v>
      </c>
      <c r="L154" s="21">
        <v>0</v>
      </c>
      <c r="M154" s="21">
        <v>0</v>
      </c>
      <c r="N154" s="61">
        <f t="shared" si="7"/>
        <v>0</v>
      </c>
      <c r="O154" s="60">
        <v>-15125.94</v>
      </c>
      <c r="P154" s="21">
        <v>-2195.88</v>
      </c>
      <c r="Q154" s="21">
        <v>-358.15</v>
      </c>
      <c r="R154" s="21">
        <v>-11719.95</v>
      </c>
      <c r="S154" s="21">
        <v>0</v>
      </c>
      <c r="T154" s="21">
        <v>379</v>
      </c>
      <c r="U154" s="21">
        <v>0</v>
      </c>
      <c r="V154" s="21">
        <v>0</v>
      </c>
      <c r="W154" s="21">
        <v>411</v>
      </c>
      <c r="X154" s="21">
        <v>0</v>
      </c>
      <c r="Y154" s="21">
        <v>-12509.95</v>
      </c>
      <c r="Z154" s="21">
        <v>-851.96</v>
      </c>
      <c r="AA154" s="21">
        <v>0</v>
      </c>
      <c r="AB154" s="21">
        <v>0</v>
      </c>
      <c r="AC154" s="21">
        <v>1813300</v>
      </c>
    </row>
    <row r="155" spans="1:30" hidden="1" outlineLevel="2">
      <c r="A155" s="21">
        <v>467</v>
      </c>
      <c r="B155" s="21">
        <v>2834638</v>
      </c>
      <c r="C155" s="21">
        <v>28346385</v>
      </c>
      <c r="D155" s="21" t="s">
        <v>1173</v>
      </c>
      <c r="E155" s="21" t="s">
        <v>1366</v>
      </c>
      <c r="F155" s="21">
        <v>813300</v>
      </c>
      <c r="G155" s="21" t="s">
        <v>1151</v>
      </c>
      <c r="H155" s="21">
        <v>90541</v>
      </c>
      <c r="I155" s="21">
        <v>0</v>
      </c>
      <c r="J155" s="21">
        <v>5</v>
      </c>
      <c r="K155" s="21">
        <v>7</v>
      </c>
      <c r="L155" s="21">
        <v>0</v>
      </c>
      <c r="M155" s="21">
        <v>1200</v>
      </c>
      <c r="N155" s="61">
        <f t="shared" si="7"/>
        <v>1</v>
      </c>
      <c r="O155" s="60">
        <v>103023.46</v>
      </c>
      <c r="P155" s="21">
        <v>15791.81</v>
      </c>
      <c r="Q155" s="21">
        <v>3112.68</v>
      </c>
      <c r="R155" s="21">
        <v>78233.09</v>
      </c>
      <c r="S155" s="21">
        <v>0</v>
      </c>
      <c r="T155" s="21">
        <v>6640</v>
      </c>
      <c r="U155" s="21">
        <v>0</v>
      </c>
      <c r="V155" s="21">
        <v>0</v>
      </c>
      <c r="W155" s="21">
        <v>583.20000000000005</v>
      </c>
      <c r="X155" s="21">
        <v>11.9</v>
      </c>
      <c r="Y155" s="21">
        <v>70997.990000000005</v>
      </c>
      <c r="Z155" s="21">
        <v>5885.88</v>
      </c>
      <c r="AA155" s="21">
        <v>0</v>
      </c>
      <c r="AB155" s="21">
        <v>0</v>
      </c>
      <c r="AC155" s="21">
        <v>1813300</v>
      </c>
    </row>
    <row r="156" spans="1:30" hidden="1" outlineLevel="2">
      <c r="A156" s="21">
        <v>467</v>
      </c>
      <c r="B156" s="21">
        <v>2981668</v>
      </c>
      <c r="C156" s="21">
        <v>29816683</v>
      </c>
      <c r="D156" s="21" t="s">
        <v>1361</v>
      </c>
      <c r="E156" s="21" t="s">
        <v>1386</v>
      </c>
      <c r="F156" s="21">
        <v>813300</v>
      </c>
      <c r="G156" s="21" t="s">
        <v>1151</v>
      </c>
      <c r="H156" s="21">
        <v>90541</v>
      </c>
      <c r="I156" s="21">
        <v>0</v>
      </c>
      <c r="J156" s="21">
        <v>5</v>
      </c>
      <c r="K156" s="21">
        <v>7</v>
      </c>
      <c r="L156" s="21">
        <v>0</v>
      </c>
      <c r="M156" s="21">
        <v>720</v>
      </c>
      <c r="N156" s="61">
        <f t="shared" si="7"/>
        <v>0.6</v>
      </c>
      <c r="O156" s="60">
        <v>55583.08</v>
      </c>
      <c r="P156" s="21">
        <v>8256.4</v>
      </c>
      <c r="Q156" s="21">
        <v>1490.37</v>
      </c>
      <c r="R156" s="21">
        <v>42596.26</v>
      </c>
      <c r="S156" s="21">
        <v>0</v>
      </c>
      <c r="T156" s="21">
        <v>3852.05</v>
      </c>
      <c r="U156" s="21">
        <v>0</v>
      </c>
      <c r="V156" s="21">
        <v>0</v>
      </c>
      <c r="W156" s="21">
        <v>760.8</v>
      </c>
      <c r="X156" s="21">
        <v>6.05</v>
      </c>
      <c r="Y156" s="21">
        <v>37977.360000000001</v>
      </c>
      <c r="Z156" s="21">
        <v>3240.05</v>
      </c>
      <c r="AA156" s="21">
        <v>0</v>
      </c>
      <c r="AB156" s="21">
        <v>0</v>
      </c>
      <c r="AC156" s="21">
        <v>1813300</v>
      </c>
    </row>
    <row r="157" spans="1:30" hidden="1" outlineLevel="2">
      <c r="A157" s="21">
        <v>467</v>
      </c>
      <c r="B157" s="21">
        <v>3154722</v>
      </c>
      <c r="C157" s="21">
        <v>31547227</v>
      </c>
      <c r="D157" s="21" t="s">
        <v>1385</v>
      </c>
      <c r="E157" s="21" t="s">
        <v>1384</v>
      </c>
      <c r="F157" s="21">
        <v>813300</v>
      </c>
      <c r="G157" s="21" t="s">
        <v>1151</v>
      </c>
      <c r="H157" s="21">
        <v>90541</v>
      </c>
      <c r="I157" s="21">
        <v>0</v>
      </c>
      <c r="J157" s="21">
        <v>5</v>
      </c>
      <c r="K157" s="21">
        <v>5</v>
      </c>
      <c r="L157" s="21">
        <v>0</v>
      </c>
      <c r="M157" s="21">
        <v>1200</v>
      </c>
      <c r="N157" s="61">
        <f t="shared" si="7"/>
        <v>1</v>
      </c>
      <c r="O157" s="60">
        <v>85887.17</v>
      </c>
      <c r="P157" s="21">
        <v>12683.8</v>
      </c>
      <c r="Q157" s="21">
        <v>2332.39</v>
      </c>
      <c r="R157" s="21">
        <v>65884.429999999993</v>
      </c>
      <c r="S157" s="21">
        <v>0</v>
      </c>
      <c r="T157" s="21">
        <v>5359</v>
      </c>
      <c r="U157" s="21">
        <v>0</v>
      </c>
      <c r="V157" s="21">
        <v>0</v>
      </c>
      <c r="W157" s="21">
        <v>866.7</v>
      </c>
      <c r="X157" s="21">
        <v>7.4</v>
      </c>
      <c r="Y157" s="21">
        <v>59651.33</v>
      </c>
      <c r="Z157" s="21">
        <v>4986.55</v>
      </c>
      <c r="AA157" s="21">
        <v>0</v>
      </c>
      <c r="AB157" s="21">
        <v>0</v>
      </c>
      <c r="AC157" s="21">
        <v>1813300</v>
      </c>
    </row>
    <row r="158" spans="1:30" hidden="1" outlineLevel="2">
      <c r="A158" s="21">
        <v>467</v>
      </c>
      <c r="B158" s="21">
        <v>3159035</v>
      </c>
      <c r="C158" s="21">
        <v>31590359</v>
      </c>
      <c r="D158" s="21" t="s">
        <v>1173</v>
      </c>
      <c r="E158" s="21" t="s">
        <v>1364</v>
      </c>
      <c r="F158" s="21">
        <v>813300</v>
      </c>
      <c r="G158" s="21" t="s">
        <v>1151</v>
      </c>
      <c r="H158" s="21">
        <v>90541</v>
      </c>
      <c r="I158" s="21">
        <v>0</v>
      </c>
      <c r="J158" s="21">
        <v>5</v>
      </c>
      <c r="K158" s="21">
        <v>5</v>
      </c>
      <c r="L158" s="21">
        <v>0</v>
      </c>
      <c r="M158" s="21">
        <v>833.3</v>
      </c>
      <c r="N158" s="61">
        <f t="shared" si="7"/>
        <v>0.69441666666666668</v>
      </c>
      <c r="O158" s="60">
        <v>64838.87</v>
      </c>
      <c r="P158" s="21">
        <v>9192.31</v>
      </c>
      <c r="Q158" s="21">
        <v>1767.95</v>
      </c>
      <c r="R158" s="21">
        <v>50102.6</v>
      </c>
      <c r="S158" s="21">
        <v>2790</v>
      </c>
      <c r="T158" s="21">
        <v>3843</v>
      </c>
      <c r="U158" s="21">
        <v>0</v>
      </c>
      <c r="V158" s="21">
        <v>0</v>
      </c>
      <c r="W158" s="21">
        <v>339.05</v>
      </c>
      <c r="X158" s="21">
        <v>47.15</v>
      </c>
      <c r="Y158" s="21">
        <v>43083.4</v>
      </c>
      <c r="Z158" s="21">
        <v>3776.01</v>
      </c>
      <c r="AA158" s="21">
        <v>0</v>
      </c>
      <c r="AB158" s="21">
        <v>0</v>
      </c>
      <c r="AC158" s="21">
        <v>1813300</v>
      </c>
    </row>
    <row r="159" spans="1:30" hidden="1" outlineLevel="2">
      <c r="A159" s="21">
        <v>467</v>
      </c>
      <c r="B159" s="21">
        <v>3169348</v>
      </c>
      <c r="C159" s="21">
        <v>31693484</v>
      </c>
      <c r="D159" s="21" t="s">
        <v>1153</v>
      </c>
      <c r="E159" s="21" t="s">
        <v>1370</v>
      </c>
      <c r="F159" s="21">
        <v>813300</v>
      </c>
      <c r="G159" s="21" t="s">
        <v>1151</v>
      </c>
      <c r="H159" s="21">
        <v>90541</v>
      </c>
      <c r="I159" s="21">
        <v>1</v>
      </c>
      <c r="J159" s="21">
        <v>0</v>
      </c>
      <c r="K159" s="21">
        <v>0</v>
      </c>
      <c r="L159" s="21">
        <v>0</v>
      </c>
      <c r="M159" s="21">
        <v>0</v>
      </c>
      <c r="N159" s="61">
        <f t="shared" si="7"/>
        <v>0</v>
      </c>
      <c r="O159" s="60">
        <v>0</v>
      </c>
      <c r="P159" s="21">
        <v>0</v>
      </c>
      <c r="Q159" s="21">
        <v>0</v>
      </c>
      <c r="R159" s="21">
        <v>0</v>
      </c>
      <c r="S159" s="21">
        <v>0</v>
      </c>
      <c r="T159" s="21">
        <v>0</v>
      </c>
      <c r="U159" s="21">
        <v>0</v>
      </c>
      <c r="V159" s="21">
        <v>0</v>
      </c>
      <c r="W159" s="21">
        <v>0</v>
      </c>
      <c r="X159" s="21">
        <v>0</v>
      </c>
      <c r="Y159" s="21">
        <v>0</v>
      </c>
      <c r="Z159" s="21">
        <v>0</v>
      </c>
      <c r="AA159" s="21">
        <v>0</v>
      </c>
      <c r="AB159" s="21">
        <v>0</v>
      </c>
      <c r="AC159" s="21">
        <v>1813300</v>
      </c>
    </row>
    <row r="160" spans="1:30" hidden="1" outlineLevel="2">
      <c r="A160" s="21">
        <v>467</v>
      </c>
      <c r="B160" s="21">
        <v>3361036</v>
      </c>
      <c r="C160" s="21">
        <v>33610361</v>
      </c>
      <c r="D160" s="21" t="s">
        <v>1383</v>
      </c>
      <c r="E160" s="21" t="s">
        <v>1382</v>
      </c>
      <c r="F160" s="21">
        <v>813300</v>
      </c>
      <c r="G160" s="21" t="s">
        <v>1151</v>
      </c>
      <c r="H160" s="21">
        <v>90541</v>
      </c>
      <c r="I160" s="21">
        <v>0</v>
      </c>
      <c r="J160" s="21">
        <v>5</v>
      </c>
      <c r="K160" s="21">
        <v>7</v>
      </c>
      <c r="L160" s="21">
        <v>0</v>
      </c>
      <c r="M160" s="21">
        <v>1200</v>
      </c>
      <c r="N160" s="61">
        <f t="shared" si="7"/>
        <v>1</v>
      </c>
      <c r="O160" s="60">
        <v>97812.02</v>
      </c>
      <c r="P160" s="21">
        <v>14410.45</v>
      </c>
      <c r="Q160" s="21">
        <v>2924.29</v>
      </c>
      <c r="R160" s="21">
        <v>74820.63</v>
      </c>
      <c r="S160" s="21">
        <v>0</v>
      </c>
      <c r="T160" s="21">
        <v>6213</v>
      </c>
      <c r="U160" s="21">
        <v>0</v>
      </c>
      <c r="V160" s="21">
        <v>0</v>
      </c>
      <c r="W160" s="21">
        <v>994.2</v>
      </c>
      <c r="X160" s="21">
        <v>0.75</v>
      </c>
      <c r="Y160" s="21">
        <v>67612.679999999993</v>
      </c>
      <c r="Z160" s="21">
        <v>5656.65</v>
      </c>
      <c r="AA160" s="21">
        <v>0</v>
      </c>
      <c r="AB160" s="21">
        <v>0</v>
      </c>
      <c r="AC160" s="21">
        <v>1813300</v>
      </c>
    </row>
    <row r="161" spans="1:30" hidden="1" outlineLevel="2">
      <c r="A161" s="21">
        <v>467</v>
      </c>
      <c r="B161" s="21">
        <v>3380481</v>
      </c>
      <c r="C161" s="21">
        <v>33804816</v>
      </c>
      <c r="D161" s="21" t="s">
        <v>1153</v>
      </c>
      <c r="E161" s="21" t="s">
        <v>1381</v>
      </c>
      <c r="F161" s="21">
        <v>813300</v>
      </c>
      <c r="G161" s="21" t="s">
        <v>1151</v>
      </c>
      <c r="H161" s="21">
        <v>90541</v>
      </c>
      <c r="I161" s="21">
        <v>0</v>
      </c>
      <c r="J161" s="21">
        <v>5</v>
      </c>
      <c r="K161" s="21">
        <v>7</v>
      </c>
      <c r="L161" s="21">
        <v>0</v>
      </c>
      <c r="M161" s="21">
        <v>720</v>
      </c>
      <c r="N161" s="61">
        <f t="shared" si="7"/>
        <v>0.6</v>
      </c>
      <c r="O161" s="60">
        <v>83328.97</v>
      </c>
      <c r="P161" s="21">
        <v>11166</v>
      </c>
      <c r="Q161" s="21">
        <v>2387.5100000000002</v>
      </c>
      <c r="R161" s="21">
        <v>64865.26</v>
      </c>
      <c r="S161" s="21">
        <v>0</v>
      </c>
      <c r="T161" s="21">
        <v>3727.8</v>
      </c>
      <c r="U161" s="21">
        <v>0</v>
      </c>
      <c r="V161" s="21">
        <v>0</v>
      </c>
      <c r="W161" s="21">
        <v>760.8</v>
      </c>
      <c r="X161" s="21">
        <v>22525.35</v>
      </c>
      <c r="Y161" s="21">
        <v>37851.31</v>
      </c>
      <c r="Z161" s="21">
        <v>4910.2</v>
      </c>
      <c r="AA161" s="21">
        <v>0</v>
      </c>
      <c r="AB161" s="21">
        <v>0</v>
      </c>
      <c r="AC161" s="21">
        <v>1813300</v>
      </c>
    </row>
    <row r="162" spans="1:30" hidden="1" outlineLevel="2">
      <c r="A162" s="21">
        <v>467</v>
      </c>
      <c r="B162" s="21">
        <v>3455578</v>
      </c>
      <c r="C162" s="21">
        <v>34555789</v>
      </c>
      <c r="D162" s="21" t="s">
        <v>1181</v>
      </c>
      <c r="E162" s="21" t="s">
        <v>1380</v>
      </c>
      <c r="F162" s="21">
        <v>813300</v>
      </c>
      <c r="G162" s="21" t="s">
        <v>1151</v>
      </c>
      <c r="H162" s="21">
        <v>90541</v>
      </c>
      <c r="I162" s="21">
        <v>1</v>
      </c>
      <c r="J162" s="21">
        <v>0</v>
      </c>
      <c r="K162" s="21">
        <v>0</v>
      </c>
      <c r="L162" s="21">
        <v>0</v>
      </c>
      <c r="M162" s="21">
        <v>0</v>
      </c>
      <c r="N162" s="61">
        <f t="shared" si="7"/>
        <v>0</v>
      </c>
      <c r="O162" s="60">
        <v>42344.24</v>
      </c>
      <c r="P162" s="21">
        <v>5398.6</v>
      </c>
      <c r="Q162" s="21">
        <v>1164.49</v>
      </c>
      <c r="R162" s="21">
        <v>33261.75</v>
      </c>
      <c r="S162" s="21">
        <v>0</v>
      </c>
      <c r="T162" s="21">
        <v>1823.3</v>
      </c>
      <c r="U162" s="21">
        <v>0</v>
      </c>
      <c r="V162" s="21">
        <v>0</v>
      </c>
      <c r="W162" s="21">
        <v>0</v>
      </c>
      <c r="X162" s="21">
        <v>0</v>
      </c>
      <c r="Y162" s="21">
        <v>31438.45</v>
      </c>
      <c r="Z162" s="21">
        <v>2519.4</v>
      </c>
      <c r="AA162" s="21">
        <v>0</v>
      </c>
      <c r="AB162" s="21">
        <v>0</v>
      </c>
      <c r="AC162" s="21">
        <v>1813300</v>
      </c>
    </row>
    <row r="163" spans="1:30" hidden="1" outlineLevel="2">
      <c r="A163" s="21">
        <v>467</v>
      </c>
      <c r="B163" s="21">
        <v>3457938</v>
      </c>
      <c r="C163" s="21">
        <v>34579383</v>
      </c>
      <c r="D163" s="21" t="s">
        <v>1153</v>
      </c>
      <c r="E163" s="21" t="s">
        <v>1379</v>
      </c>
      <c r="F163" s="21">
        <v>813300</v>
      </c>
      <c r="G163" s="21" t="s">
        <v>1151</v>
      </c>
      <c r="H163" s="21">
        <v>90541</v>
      </c>
      <c r="I163" s="21">
        <v>1</v>
      </c>
      <c r="J163" s="21">
        <v>0</v>
      </c>
      <c r="K163" s="21">
        <v>0</v>
      </c>
      <c r="L163" s="21">
        <v>0</v>
      </c>
      <c r="M163" s="21">
        <v>0</v>
      </c>
      <c r="N163" s="61">
        <f t="shared" si="7"/>
        <v>0</v>
      </c>
      <c r="O163" s="60">
        <v>6201.65</v>
      </c>
      <c r="P163" s="21">
        <v>0</v>
      </c>
      <c r="Q163" s="21">
        <v>0</v>
      </c>
      <c r="R163" s="21">
        <v>6032</v>
      </c>
      <c r="S163" s="21">
        <v>0</v>
      </c>
      <c r="T163" s="21">
        <v>0</v>
      </c>
      <c r="U163" s="21">
        <v>0</v>
      </c>
      <c r="V163" s="21">
        <v>0</v>
      </c>
      <c r="W163" s="21">
        <v>0</v>
      </c>
      <c r="X163" s="21">
        <v>0</v>
      </c>
      <c r="Y163" s="21">
        <v>6032</v>
      </c>
      <c r="Z163" s="21">
        <v>169.65</v>
      </c>
      <c r="AA163" s="21">
        <v>0</v>
      </c>
      <c r="AB163" s="21">
        <v>0</v>
      </c>
      <c r="AC163" s="21">
        <v>1813300</v>
      </c>
    </row>
    <row r="164" spans="1:30" hidden="1" outlineLevel="2">
      <c r="A164" s="21">
        <v>467</v>
      </c>
      <c r="B164" s="21">
        <v>3981717</v>
      </c>
      <c r="C164" s="21">
        <v>39817176</v>
      </c>
      <c r="D164" s="21" t="s">
        <v>1173</v>
      </c>
      <c r="E164" s="21" t="s">
        <v>1378</v>
      </c>
      <c r="F164" s="21">
        <v>813300</v>
      </c>
      <c r="G164" s="21" t="s">
        <v>1151</v>
      </c>
      <c r="H164" s="21">
        <v>90541</v>
      </c>
      <c r="I164" s="21">
        <v>0</v>
      </c>
      <c r="J164" s="21">
        <v>5</v>
      </c>
      <c r="K164" s="21">
        <v>6</v>
      </c>
      <c r="L164" s="21">
        <v>0</v>
      </c>
      <c r="M164" s="21">
        <v>600</v>
      </c>
      <c r="N164" s="61">
        <f t="shared" si="7"/>
        <v>0.5</v>
      </c>
      <c r="O164" s="60">
        <v>69770.23</v>
      </c>
      <c r="P164" s="21">
        <v>6541.05</v>
      </c>
      <c r="Q164" s="21">
        <v>2001.04</v>
      </c>
      <c r="R164" s="21">
        <v>56914.29</v>
      </c>
      <c r="S164" s="21">
        <v>1902</v>
      </c>
      <c r="T164" s="21">
        <v>2679.5</v>
      </c>
      <c r="U164" s="21">
        <v>0</v>
      </c>
      <c r="V164" s="21">
        <v>0</v>
      </c>
      <c r="W164" s="21">
        <v>639</v>
      </c>
      <c r="X164" s="21">
        <v>21469.25</v>
      </c>
      <c r="Y164" s="21">
        <v>30224.54</v>
      </c>
      <c r="Z164" s="21">
        <v>4313.8500000000004</v>
      </c>
      <c r="AA164" s="21">
        <v>0</v>
      </c>
      <c r="AB164" s="21">
        <v>0</v>
      </c>
      <c r="AC164" s="21">
        <v>1813300</v>
      </c>
    </row>
    <row r="165" spans="1:30" hidden="1" outlineLevel="2">
      <c r="A165" s="21">
        <v>467</v>
      </c>
      <c r="B165" s="21">
        <v>4170122</v>
      </c>
      <c r="C165" s="21">
        <v>41701228</v>
      </c>
      <c r="D165" s="21" t="s">
        <v>1181</v>
      </c>
      <c r="E165" s="21" t="s">
        <v>1377</v>
      </c>
      <c r="F165" s="21">
        <v>813300</v>
      </c>
      <c r="G165" s="21" t="s">
        <v>1151</v>
      </c>
      <c r="H165" s="21">
        <v>90541</v>
      </c>
      <c r="I165" s="21">
        <v>1</v>
      </c>
      <c r="J165" s="21">
        <v>0</v>
      </c>
      <c r="K165" s="21">
        <v>0</v>
      </c>
      <c r="L165" s="21">
        <v>0</v>
      </c>
      <c r="M165" s="21">
        <v>0</v>
      </c>
      <c r="N165" s="61">
        <f t="shared" si="7"/>
        <v>0</v>
      </c>
      <c r="O165" s="60">
        <v>38549.120000000003</v>
      </c>
      <c r="P165" s="21">
        <v>5055.95</v>
      </c>
      <c r="Q165" s="21">
        <v>1052.67</v>
      </c>
      <c r="R165" s="21">
        <v>30152.15</v>
      </c>
      <c r="S165" s="21">
        <v>0</v>
      </c>
      <c r="T165" s="21">
        <v>986.35</v>
      </c>
      <c r="U165" s="21">
        <v>0</v>
      </c>
      <c r="V165" s="21">
        <v>0</v>
      </c>
      <c r="W165" s="21">
        <v>0</v>
      </c>
      <c r="X165" s="21">
        <v>0</v>
      </c>
      <c r="Y165" s="21">
        <v>29165.8</v>
      </c>
      <c r="Z165" s="21">
        <v>2288.35</v>
      </c>
      <c r="AA165" s="21">
        <v>0</v>
      </c>
      <c r="AB165" s="21">
        <v>0</v>
      </c>
      <c r="AC165" s="21">
        <v>1813300</v>
      </c>
    </row>
    <row r="166" spans="1:30" hidden="1" outlineLevel="2">
      <c r="A166" s="21">
        <v>467</v>
      </c>
      <c r="B166" s="21">
        <v>4349091</v>
      </c>
      <c r="C166" s="21">
        <v>43490911</v>
      </c>
      <c r="D166" s="21" t="s">
        <v>1173</v>
      </c>
      <c r="E166" s="21" t="s">
        <v>1190</v>
      </c>
      <c r="F166" s="21">
        <v>813300</v>
      </c>
      <c r="G166" s="21" t="s">
        <v>1151</v>
      </c>
      <c r="H166" s="21">
        <v>90541</v>
      </c>
      <c r="I166" s="21">
        <v>1</v>
      </c>
      <c r="J166" s="21">
        <v>0</v>
      </c>
      <c r="K166" s="21">
        <v>0</v>
      </c>
      <c r="L166" s="21">
        <v>0</v>
      </c>
      <c r="M166" s="21">
        <v>0</v>
      </c>
      <c r="N166" s="61">
        <f t="shared" si="7"/>
        <v>0</v>
      </c>
      <c r="O166" s="60">
        <v>-3.71</v>
      </c>
      <c r="P166" s="21">
        <v>0.88</v>
      </c>
      <c r="Q166" s="21">
        <v>-0.14000000000000001</v>
      </c>
      <c r="R166" s="21">
        <v>-4.1500000000000004</v>
      </c>
      <c r="S166" s="21">
        <v>0</v>
      </c>
      <c r="T166" s="21">
        <v>0</v>
      </c>
      <c r="U166" s="21">
        <v>0</v>
      </c>
      <c r="V166" s="21">
        <v>0</v>
      </c>
      <c r="W166" s="21">
        <v>0</v>
      </c>
      <c r="X166" s="21">
        <v>-11.55</v>
      </c>
      <c r="Y166" s="21">
        <v>7.4</v>
      </c>
      <c r="Z166" s="21">
        <v>-0.3</v>
      </c>
      <c r="AA166" s="21">
        <v>0</v>
      </c>
      <c r="AB166" s="21">
        <v>0</v>
      </c>
      <c r="AC166" s="21">
        <v>1813300</v>
      </c>
    </row>
    <row r="167" spans="1:30" hidden="1" outlineLevel="2">
      <c r="A167" s="21">
        <v>467</v>
      </c>
      <c r="B167" s="21">
        <v>5631533</v>
      </c>
      <c r="C167" s="21">
        <v>56315336</v>
      </c>
      <c r="D167" s="21" t="s">
        <v>1160</v>
      </c>
      <c r="E167" s="21" t="s">
        <v>1159</v>
      </c>
      <c r="F167" s="21">
        <v>813300</v>
      </c>
      <c r="G167" s="21" t="s">
        <v>1151</v>
      </c>
      <c r="H167" s="21">
        <v>90541</v>
      </c>
      <c r="I167" s="21">
        <v>1</v>
      </c>
      <c r="J167" s="21">
        <v>0</v>
      </c>
      <c r="K167" s="21">
        <v>0</v>
      </c>
      <c r="L167" s="21">
        <v>0</v>
      </c>
      <c r="M167" s="21">
        <v>0</v>
      </c>
      <c r="N167" s="61">
        <f t="shared" si="7"/>
        <v>0</v>
      </c>
      <c r="O167" s="60">
        <v>138.35</v>
      </c>
      <c r="P167" s="21">
        <v>167.45</v>
      </c>
      <c r="Q167" s="21">
        <v>10.17</v>
      </c>
      <c r="R167" s="21">
        <v>-58.85</v>
      </c>
      <c r="S167" s="21">
        <v>0</v>
      </c>
      <c r="T167" s="21">
        <v>0</v>
      </c>
      <c r="U167" s="21">
        <v>0</v>
      </c>
      <c r="V167" s="21">
        <v>0</v>
      </c>
      <c r="W167" s="21">
        <v>411</v>
      </c>
      <c r="X167" s="21">
        <v>0</v>
      </c>
      <c r="Y167" s="21">
        <v>-469.85</v>
      </c>
      <c r="Z167" s="21">
        <v>19.579999999999998</v>
      </c>
      <c r="AA167" s="21">
        <v>0</v>
      </c>
      <c r="AB167" s="21">
        <v>0</v>
      </c>
      <c r="AC167" s="21">
        <v>1813300</v>
      </c>
    </row>
    <row r="168" spans="1:30" hidden="1" outlineLevel="2">
      <c r="A168" s="21">
        <v>467</v>
      </c>
      <c r="B168" s="21">
        <v>6014222</v>
      </c>
      <c r="C168" s="21">
        <v>60142221</v>
      </c>
      <c r="D168" s="21" t="s">
        <v>1173</v>
      </c>
      <c r="E168" s="21" t="s">
        <v>1376</v>
      </c>
      <c r="F168" s="21">
        <v>813300</v>
      </c>
      <c r="G168" s="21" t="s">
        <v>1151</v>
      </c>
      <c r="H168" s="21">
        <v>90541</v>
      </c>
      <c r="I168" s="21">
        <v>0</v>
      </c>
      <c r="J168" s="21">
        <v>5</v>
      </c>
      <c r="K168" s="21">
        <v>5</v>
      </c>
      <c r="L168" s="21">
        <v>0</v>
      </c>
      <c r="M168" s="21">
        <v>1200</v>
      </c>
      <c r="N168" s="61">
        <f t="shared" si="7"/>
        <v>1</v>
      </c>
      <c r="O168" s="60">
        <v>91042.25</v>
      </c>
      <c r="P168" s="21">
        <v>12803.25</v>
      </c>
      <c r="Q168" s="21">
        <v>2622.37</v>
      </c>
      <c r="R168" s="21">
        <v>70298.880000000005</v>
      </c>
      <c r="S168" s="21">
        <v>3804.6</v>
      </c>
      <c r="T168" s="21">
        <v>5359</v>
      </c>
      <c r="U168" s="21">
        <v>0</v>
      </c>
      <c r="V168" s="21">
        <v>0</v>
      </c>
      <c r="W168" s="21">
        <v>866.7</v>
      </c>
      <c r="X168" s="21">
        <v>11.55</v>
      </c>
      <c r="Y168" s="21">
        <v>60257.03</v>
      </c>
      <c r="Z168" s="21">
        <v>5317.75</v>
      </c>
      <c r="AA168" s="21">
        <v>0</v>
      </c>
      <c r="AB168" s="21">
        <v>0</v>
      </c>
      <c r="AC168" s="21">
        <v>1813300</v>
      </c>
    </row>
    <row r="169" spans="1:30" hidden="1" outlineLevel="2">
      <c r="A169" s="21">
        <v>467</v>
      </c>
      <c r="B169" s="21">
        <v>6126339</v>
      </c>
      <c r="C169" s="21">
        <v>61263398</v>
      </c>
      <c r="D169" s="21" t="s">
        <v>1173</v>
      </c>
      <c r="E169" s="21" t="s">
        <v>1375</v>
      </c>
      <c r="F169" s="21">
        <v>813300</v>
      </c>
      <c r="G169" s="21" t="s">
        <v>1151</v>
      </c>
      <c r="H169" s="21">
        <v>90541</v>
      </c>
      <c r="I169" s="21">
        <v>0</v>
      </c>
      <c r="J169" s="21">
        <v>5</v>
      </c>
      <c r="K169" s="21">
        <v>5</v>
      </c>
      <c r="L169" s="21">
        <v>0</v>
      </c>
      <c r="M169" s="21">
        <v>935.4</v>
      </c>
      <c r="N169" s="61">
        <f t="shared" si="7"/>
        <v>0.77949999999999997</v>
      </c>
      <c r="O169" s="60">
        <v>76026.25</v>
      </c>
      <c r="P169" s="21">
        <v>12243.5</v>
      </c>
      <c r="Q169" s="21">
        <v>2193.37</v>
      </c>
      <c r="R169" s="21">
        <v>57272.83</v>
      </c>
      <c r="S169" s="21">
        <v>4661.55</v>
      </c>
      <c r="T169" s="21">
        <v>5144.6499999999996</v>
      </c>
      <c r="U169" s="21">
        <v>0</v>
      </c>
      <c r="V169" s="21">
        <v>0</v>
      </c>
      <c r="W169" s="21">
        <v>391.75</v>
      </c>
      <c r="X169" s="21">
        <v>0.55000000000000004</v>
      </c>
      <c r="Y169" s="21">
        <v>47074.33</v>
      </c>
      <c r="Z169" s="21">
        <v>4316.55</v>
      </c>
      <c r="AA169" s="21">
        <v>0</v>
      </c>
      <c r="AB169" s="21">
        <v>0</v>
      </c>
      <c r="AC169" s="21">
        <v>1813300</v>
      </c>
    </row>
    <row r="170" spans="1:30" hidden="1" outlineLevel="2">
      <c r="A170" s="21">
        <v>467</v>
      </c>
      <c r="B170" s="21">
        <v>20106224</v>
      </c>
      <c r="C170" s="21">
        <v>201062247</v>
      </c>
      <c r="D170" s="21" t="s">
        <v>1153</v>
      </c>
      <c r="E170" s="21" t="s">
        <v>1374</v>
      </c>
      <c r="F170" s="21">
        <v>813300</v>
      </c>
      <c r="G170" s="21" t="s">
        <v>1151</v>
      </c>
      <c r="H170" s="21">
        <v>90541</v>
      </c>
      <c r="I170" s="21">
        <v>1</v>
      </c>
      <c r="J170" s="21">
        <v>0</v>
      </c>
      <c r="K170" s="21">
        <v>0</v>
      </c>
      <c r="L170" s="21">
        <v>0</v>
      </c>
      <c r="M170" s="21">
        <v>0</v>
      </c>
      <c r="N170" s="61">
        <f t="shared" si="7"/>
        <v>0</v>
      </c>
      <c r="O170" s="60">
        <v>12534.59</v>
      </c>
      <c r="P170" s="21">
        <v>401.25</v>
      </c>
      <c r="Q170" s="21">
        <v>377.29</v>
      </c>
      <c r="R170" s="21">
        <v>10935.8</v>
      </c>
      <c r="S170" s="21">
        <v>0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1">
        <v>10935.8</v>
      </c>
      <c r="Z170" s="21">
        <v>820.25</v>
      </c>
      <c r="AA170" s="21">
        <v>0</v>
      </c>
      <c r="AB170" s="21">
        <v>0</v>
      </c>
      <c r="AC170" s="21">
        <v>1813300</v>
      </c>
    </row>
    <row r="171" spans="1:30" hidden="1" outlineLevel="2">
      <c r="A171" s="21">
        <v>467</v>
      </c>
      <c r="B171" s="21">
        <v>34264804</v>
      </c>
      <c r="C171" s="21">
        <v>342648045</v>
      </c>
      <c r="D171" s="21" t="s">
        <v>1153</v>
      </c>
      <c r="E171" s="21" t="s">
        <v>1373</v>
      </c>
      <c r="F171" s="21">
        <v>813300</v>
      </c>
      <c r="G171" s="21" t="s">
        <v>1151</v>
      </c>
      <c r="H171" s="21">
        <v>90541</v>
      </c>
      <c r="I171" s="21">
        <v>0</v>
      </c>
      <c r="J171" s="21">
        <v>5</v>
      </c>
      <c r="K171" s="21">
        <v>7</v>
      </c>
      <c r="L171" s="21">
        <v>0</v>
      </c>
      <c r="M171" s="21">
        <v>1200</v>
      </c>
      <c r="N171" s="61">
        <f t="shared" si="7"/>
        <v>1</v>
      </c>
      <c r="O171" s="60">
        <v>96946.42</v>
      </c>
      <c r="P171" s="21">
        <v>16026.65</v>
      </c>
      <c r="Q171" s="21">
        <v>2780.08</v>
      </c>
      <c r="R171" s="21">
        <v>72646.039999999994</v>
      </c>
      <c r="S171" s="21">
        <v>2853.45</v>
      </c>
      <c r="T171" s="21">
        <v>5786</v>
      </c>
      <c r="U171" s="21">
        <v>0</v>
      </c>
      <c r="V171" s="21">
        <v>0</v>
      </c>
      <c r="W171" s="21">
        <v>994.2</v>
      </c>
      <c r="X171" s="21">
        <v>4.45</v>
      </c>
      <c r="Y171" s="21">
        <v>63007.94</v>
      </c>
      <c r="Z171" s="21">
        <v>5493.65</v>
      </c>
      <c r="AA171" s="21">
        <v>0</v>
      </c>
      <c r="AB171" s="21">
        <v>0</v>
      </c>
      <c r="AC171" s="21">
        <v>1813300</v>
      </c>
    </row>
    <row r="172" spans="1:30" outlineLevel="1" collapsed="1">
      <c r="F172" s="62" t="s">
        <v>1372</v>
      </c>
      <c r="M172" s="21">
        <f>SUBTOTAL(9,M153:M171)</f>
        <v>11008.699999999999</v>
      </c>
      <c r="N172" s="61">
        <f>SUBTOTAL(9,N153:N171)</f>
        <v>9.1739166666666669</v>
      </c>
      <c r="O172" s="60">
        <f>SUBTOTAL(9,O153:O171)</f>
        <v>1053442.8199999998</v>
      </c>
      <c r="AC172" s="21" t="str">
        <f>"1"&amp;LEFT(F172,6)&amp;"110"</f>
        <v>1813300110</v>
      </c>
      <c r="AD172" s="21" t="str">
        <f>VLOOKUP(AC172,'פירוט שכר'!A:K,5,0)</f>
        <v>משכורת ב"ס לחינוך מיוחד</v>
      </c>
    </row>
    <row r="173" spans="1:30" hidden="1" outlineLevel="2">
      <c r="A173" s="21">
        <v>467</v>
      </c>
      <c r="B173" s="21">
        <v>2318810</v>
      </c>
      <c r="C173" s="21">
        <v>23188105</v>
      </c>
      <c r="D173" s="21" t="s">
        <v>1249</v>
      </c>
      <c r="E173" s="21" t="s">
        <v>1371</v>
      </c>
      <c r="F173" s="21">
        <v>813310</v>
      </c>
      <c r="G173" s="21" t="s">
        <v>1151</v>
      </c>
      <c r="H173" s="21">
        <v>90541</v>
      </c>
      <c r="I173" s="21">
        <v>0</v>
      </c>
      <c r="J173" s="21">
        <v>5</v>
      </c>
      <c r="K173" s="21">
        <v>10</v>
      </c>
      <c r="L173" s="21">
        <v>0</v>
      </c>
      <c r="M173" s="21">
        <v>1200</v>
      </c>
      <c r="N173" s="61">
        <f>+M173/1200</f>
        <v>1</v>
      </c>
      <c r="O173" s="60">
        <v>144254.59</v>
      </c>
      <c r="P173" s="21">
        <v>21996.54</v>
      </c>
      <c r="Q173" s="21">
        <v>5351.73</v>
      </c>
      <c r="R173" s="21">
        <v>108732.95</v>
      </c>
      <c r="S173" s="21">
        <v>0</v>
      </c>
      <c r="T173" s="21">
        <v>7240</v>
      </c>
      <c r="U173" s="21">
        <v>0</v>
      </c>
      <c r="V173" s="21">
        <v>0</v>
      </c>
      <c r="W173" s="21">
        <v>583.20000000000005</v>
      </c>
      <c r="X173" s="21">
        <v>0.4</v>
      </c>
      <c r="Y173" s="21">
        <v>100909.35</v>
      </c>
      <c r="Z173" s="21">
        <v>8173.37</v>
      </c>
      <c r="AA173" s="21">
        <v>0</v>
      </c>
      <c r="AB173" s="21">
        <v>0</v>
      </c>
      <c r="AC173" s="21">
        <v>1813300</v>
      </c>
    </row>
    <row r="174" spans="1:30" hidden="1" outlineLevel="2">
      <c r="A174" s="21">
        <v>467</v>
      </c>
      <c r="B174" s="21">
        <v>3169348</v>
      </c>
      <c r="C174" s="21">
        <v>31693484</v>
      </c>
      <c r="D174" s="21" t="s">
        <v>1153</v>
      </c>
      <c r="E174" s="21" t="s">
        <v>1370</v>
      </c>
      <c r="F174" s="21">
        <v>813310</v>
      </c>
      <c r="G174" s="21" t="s">
        <v>1151</v>
      </c>
      <c r="H174" s="21">
        <v>90541</v>
      </c>
      <c r="I174" s="21">
        <v>1</v>
      </c>
      <c r="J174" s="21">
        <v>0</v>
      </c>
      <c r="K174" s="21">
        <v>0</v>
      </c>
      <c r="L174" s="21">
        <v>0</v>
      </c>
      <c r="M174" s="21">
        <v>0</v>
      </c>
      <c r="N174" s="61">
        <f>+M174/1200</f>
        <v>0</v>
      </c>
      <c r="O174" s="60">
        <v>1113.26</v>
      </c>
      <c r="P174" s="21">
        <v>221.15</v>
      </c>
      <c r="Q174" s="21">
        <v>47.52</v>
      </c>
      <c r="R174" s="21">
        <v>760.65</v>
      </c>
      <c r="S174" s="21">
        <v>444</v>
      </c>
      <c r="T174" s="21">
        <v>0</v>
      </c>
      <c r="U174" s="21">
        <v>0</v>
      </c>
      <c r="V174" s="21">
        <v>0</v>
      </c>
      <c r="W174" s="21">
        <v>411</v>
      </c>
      <c r="X174" s="21">
        <v>0</v>
      </c>
      <c r="Y174" s="21">
        <v>-94.35</v>
      </c>
      <c r="Z174" s="21">
        <v>83.94</v>
      </c>
      <c r="AA174" s="21">
        <v>0</v>
      </c>
      <c r="AB174" s="21">
        <v>0</v>
      </c>
      <c r="AC174" s="21">
        <v>1813300</v>
      </c>
    </row>
    <row r="175" spans="1:30" outlineLevel="1" collapsed="1">
      <c r="F175" s="62" t="s">
        <v>1369</v>
      </c>
      <c r="M175" s="21">
        <f>SUBTOTAL(9,M173:M174)</f>
        <v>1200</v>
      </c>
      <c r="N175" s="61">
        <f>SUBTOTAL(9,N173:N174)</f>
        <v>1</v>
      </c>
      <c r="O175" s="60">
        <f>SUBTOTAL(9,O173:O174)</f>
        <v>145367.85</v>
      </c>
      <c r="AC175" s="21" t="str">
        <f>"1"&amp;LEFT(F175,6)&amp;"110"</f>
        <v>1813310110</v>
      </c>
    </row>
    <row r="176" spans="1:30" hidden="1" outlineLevel="2">
      <c r="A176" s="21">
        <v>467</v>
      </c>
      <c r="B176" s="21">
        <v>2346682</v>
      </c>
      <c r="C176" s="21">
        <v>23466824</v>
      </c>
      <c r="D176" s="21" t="s">
        <v>1183</v>
      </c>
      <c r="E176" s="21" t="s">
        <v>1368</v>
      </c>
      <c r="F176" s="21">
        <v>814000</v>
      </c>
      <c r="G176" s="21" t="s">
        <v>1151</v>
      </c>
      <c r="H176" s="21">
        <v>90541</v>
      </c>
      <c r="I176" s="21">
        <v>0</v>
      </c>
      <c r="J176" s="21">
        <v>5</v>
      </c>
      <c r="K176" s="21">
        <v>10</v>
      </c>
      <c r="L176" s="21">
        <v>0</v>
      </c>
      <c r="M176" s="21">
        <v>1200</v>
      </c>
      <c r="N176" s="61">
        <f t="shared" ref="N176:N187" si="8">+M176/1200</f>
        <v>1</v>
      </c>
      <c r="O176" s="60">
        <v>189410.79</v>
      </c>
      <c r="P176" s="21">
        <v>28534.9</v>
      </c>
      <c r="Q176" s="21">
        <v>7490.94</v>
      </c>
      <c r="R176" s="21">
        <v>142641.54999999999</v>
      </c>
      <c r="S176" s="21">
        <v>1329.65</v>
      </c>
      <c r="T176" s="21">
        <v>7667</v>
      </c>
      <c r="U176" s="21">
        <v>0</v>
      </c>
      <c r="V176" s="21">
        <v>0</v>
      </c>
      <c r="W176" s="21">
        <v>994.2</v>
      </c>
      <c r="X176" s="21">
        <v>0.35</v>
      </c>
      <c r="Y176" s="21">
        <v>132650.35</v>
      </c>
      <c r="Z176" s="21">
        <v>10743.4</v>
      </c>
      <c r="AA176" s="21">
        <v>0</v>
      </c>
      <c r="AB176" s="21">
        <v>0</v>
      </c>
      <c r="AC176" s="21">
        <v>1814000</v>
      </c>
    </row>
    <row r="177" spans="1:30" hidden="1" outlineLevel="2">
      <c r="A177" s="21">
        <v>467</v>
      </c>
      <c r="B177" s="21">
        <v>2472056</v>
      </c>
      <c r="C177" s="21">
        <v>24720567</v>
      </c>
      <c r="D177" s="21" t="s">
        <v>1315</v>
      </c>
      <c r="E177" s="21" t="s">
        <v>1367</v>
      </c>
      <c r="F177" s="21">
        <v>814000</v>
      </c>
      <c r="G177" s="21" t="s">
        <v>1151</v>
      </c>
      <c r="H177" s="21">
        <v>90541</v>
      </c>
      <c r="I177" s="21">
        <v>0</v>
      </c>
      <c r="J177" s="21">
        <v>5</v>
      </c>
      <c r="K177" s="21">
        <v>7</v>
      </c>
      <c r="L177" s="21">
        <v>0</v>
      </c>
      <c r="M177" s="21">
        <v>1200</v>
      </c>
      <c r="N177" s="61">
        <f t="shared" si="8"/>
        <v>1</v>
      </c>
      <c r="O177" s="60">
        <v>94184.68</v>
      </c>
      <c r="P177" s="21">
        <v>16110.8</v>
      </c>
      <c r="Q177" s="21">
        <v>2615.83</v>
      </c>
      <c r="R177" s="21">
        <v>70151.600000000006</v>
      </c>
      <c r="S177" s="21">
        <v>0</v>
      </c>
      <c r="T177" s="21">
        <v>5786</v>
      </c>
      <c r="U177" s="21">
        <v>0</v>
      </c>
      <c r="V177" s="21">
        <v>0</v>
      </c>
      <c r="W177" s="21">
        <v>994.2</v>
      </c>
      <c r="X177" s="21">
        <v>0</v>
      </c>
      <c r="Y177" s="21">
        <v>63371.4</v>
      </c>
      <c r="Z177" s="21">
        <v>5306.45</v>
      </c>
      <c r="AA177" s="21">
        <v>0</v>
      </c>
      <c r="AB177" s="21">
        <v>0</v>
      </c>
      <c r="AC177" s="21">
        <v>1814000</v>
      </c>
    </row>
    <row r="178" spans="1:30" hidden="1" outlineLevel="2">
      <c r="A178" s="21">
        <v>467</v>
      </c>
      <c r="B178" s="21">
        <v>2834638</v>
      </c>
      <c r="C178" s="21">
        <v>28346385</v>
      </c>
      <c r="D178" s="21" t="s">
        <v>1173</v>
      </c>
      <c r="E178" s="21" t="s">
        <v>1366</v>
      </c>
      <c r="F178" s="21">
        <v>814000</v>
      </c>
      <c r="G178" s="21" t="s">
        <v>1151</v>
      </c>
      <c r="H178" s="21">
        <v>90541</v>
      </c>
      <c r="I178" s="21">
        <v>1</v>
      </c>
      <c r="J178" s="21">
        <v>0</v>
      </c>
      <c r="K178" s="21">
        <v>0</v>
      </c>
      <c r="L178" s="21">
        <v>0</v>
      </c>
      <c r="M178" s="21">
        <v>0</v>
      </c>
      <c r="N178" s="61">
        <f t="shared" si="8"/>
        <v>0</v>
      </c>
      <c r="O178" s="60">
        <v>-1021.62</v>
      </c>
      <c r="P178" s="21">
        <v>-14.36</v>
      </c>
      <c r="Q178" s="21">
        <v>-17.829999999999998</v>
      </c>
      <c r="R178" s="21">
        <v>-945.5</v>
      </c>
      <c r="S178" s="21">
        <v>0</v>
      </c>
      <c r="T178" s="21">
        <v>0</v>
      </c>
      <c r="U178" s="21">
        <v>0</v>
      </c>
      <c r="V178" s="21">
        <v>0</v>
      </c>
      <c r="W178" s="21">
        <v>411</v>
      </c>
      <c r="X178" s="21">
        <v>0</v>
      </c>
      <c r="Y178" s="21">
        <v>-1356.5</v>
      </c>
      <c r="Z178" s="21">
        <v>-43.93</v>
      </c>
      <c r="AA178" s="21">
        <v>0</v>
      </c>
      <c r="AB178" s="21">
        <v>0</v>
      </c>
      <c r="AC178" s="21">
        <v>1814000</v>
      </c>
    </row>
    <row r="179" spans="1:30" hidden="1" outlineLevel="2">
      <c r="A179" s="21">
        <v>467</v>
      </c>
      <c r="B179" s="21">
        <v>3145165</v>
      </c>
      <c r="C179" s="21">
        <v>31451651</v>
      </c>
      <c r="D179" s="21" t="s">
        <v>1153</v>
      </c>
      <c r="E179" s="21" t="s">
        <v>1365</v>
      </c>
      <c r="F179" s="21">
        <v>814000</v>
      </c>
      <c r="G179" s="21" t="s">
        <v>1151</v>
      </c>
      <c r="H179" s="21">
        <v>90541</v>
      </c>
      <c r="I179" s="21">
        <v>1</v>
      </c>
      <c r="J179" s="21">
        <v>0</v>
      </c>
      <c r="K179" s="21">
        <v>0</v>
      </c>
      <c r="L179" s="21">
        <v>0</v>
      </c>
      <c r="M179" s="21">
        <v>0</v>
      </c>
      <c r="N179" s="61">
        <f t="shared" si="8"/>
        <v>0</v>
      </c>
      <c r="O179" s="60">
        <v>11545.76</v>
      </c>
      <c r="P179" s="21">
        <v>0</v>
      </c>
      <c r="Q179" s="21">
        <v>359.01</v>
      </c>
      <c r="R179" s="21">
        <v>10406.25</v>
      </c>
      <c r="S179" s="21">
        <v>0</v>
      </c>
      <c r="T179" s="21">
        <v>0</v>
      </c>
      <c r="U179" s="21">
        <v>0</v>
      </c>
      <c r="V179" s="21">
        <v>0</v>
      </c>
      <c r="W179" s="21">
        <v>0</v>
      </c>
      <c r="X179" s="21">
        <v>0</v>
      </c>
      <c r="Y179" s="21">
        <v>10406.25</v>
      </c>
      <c r="Z179" s="21">
        <v>780.5</v>
      </c>
      <c r="AA179" s="21">
        <v>0</v>
      </c>
      <c r="AB179" s="21">
        <v>0</v>
      </c>
      <c r="AC179" s="21">
        <v>1814000</v>
      </c>
    </row>
    <row r="180" spans="1:30" hidden="1" outlineLevel="2">
      <c r="A180" s="21">
        <v>467</v>
      </c>
      <c r="B180" s="21">
        <v>3159035</v>
      </c>
      <c r="C180" s="21">
        <v>31590359</v>
      </c>
      <c r="D180" s="21" t="s">
        <v>1173</v>
      </c>
      <c r="E180" s="21" t="s">
        <v>1364</v>
      </c>
      <c r="F180" s="21">
        <v>814000</v>
      </c>
      <c r="G180" s="21" t="s">
        <v>1151</v>
      </c>
      <c r="H180" s="21">
        <v>90541</v>
      </c>
      <c r="I180" s="21">
        <v>1</v>
      </c>
      <c r="J180" s="21">
        <v>0</v>
      </c>
      <c r="K180" s="21">
        <v>0</v>
      </c>
      <c r="L180" s="21">
        <v>0</v>
      </c>
      <c r="M180" s="21">
        <v>0</v>
      </c>
      <c r="N180" s="61">
        <f t="shared" si="8"/>
        <v>0</v>
      </c>
      <c r="O180" s="60">
        <v>246.29</v>
      </c>
      <c r="P180" s="21">
        <v>243</v>
      </c>
      <c r="Q180" s="21">
        <v>1.05</v>
      </c>
      <c r="R180" s="21">
        <v>0</v>
      </c>
      <c r="S180" s="21">
        <v>0</v>
      </c>
      <c r="T180" s="21">
        <v>0</v>
      </c>
      <c r="U180" s="21">
        <v>0</v>
      </c>
      <c r="V180" s="21">
        <v>0</v>
      </c>
      <c r="W180" s="21">
        <v>0</v>
      </c>
      <c r="X180" s="21">
        <v>0</v>
      </c>
      <c r="Y180" s="21">
        <v>0</v>
      </c>
      <c r="Z180" s="21">
        <v>2.2400000000000002</v>
      </c>
      <c r="AA180" s="21">
        <v>0</v>
      </c>
      <c r="AB180" s="21">
        <v>0</v>
      </c>
      <c r="AC180" s="21">
        <v>1814000</v>
      </c>
    </row>
    <row r="181" spans="1:30" hidden="1" outlineLevel="2">
      <c r="A181" s="21">
        <v>467</v>
      </c>
      <c r="B181" s="21">
        <v>3169335</v>
      </c>
      <c r="C181" s="21">
        <v>31693351</v>
      </c>
      <c r="D181" s="21" t="s">
        <v>1363</v>
      </c>
      <c r="E181" s="21" t="s">
        <v>1362</v>
      </c>
      <c r="F181" s="21">
        <v>814000</v>
      </c>
      <c r="G181" s="21" t="s">
        <v>1151</v>
      </c>
      <c r="H181" s="21">
        <v>90541</v>
      </c>
      <c r="I181" s="21">
        <v>1</v>
      </c>
      <c r="J181" s="21">
        <v>0</v>
      </c>
      <c r="K181" s="21">
        <v>0</v>
      </c>
      <c r="L181" s="21">
        <v>0</v>
      </c>
      <c r="M181" s="21">
        <v>0</v>
      </c>
      <c r="N181" s="61">
        <f t="shared" si="8"/>
        <v>0</v>
      </c>
      <c r="O181" s="60">
        <v>-9176.34</v>
      </c>
      <c r="P181" s="21">
        <v>-1238.68</v>
      </c>
      <c r="Q181" s="21">
        <v>-235.7</v>
      </c>
      <c r="R181" s="21">
        <v>-7189.75</v>
      </c>
      <c r="S181" s="21">
        <v>0</v>
      </c>
      <c r="T181" s="21">
        <v>0</v>
      </c>
      <c r="U181" s="21">
        <v>0</v>
      </c>
      <c r="V181" s="21">
        <v>0</v>
      </c>
      <c r="W181" s="21">
        <v>411</v>
      </c>
      <c r="X181" s="21">
        <v>0</v>
      </c>
      <c r="Y181" s="21">
        <v>-7600.75</v>
      </c>
      <c r="Z181" s="21">
        <v>-512.21</v>
      </c>
      <c r="AA181" s="21">
        <v>0</v>
      </c>
      <c r="AB181" s="21">
        <v>0</v>
      </c>
      <c r="AC181" s="21">
        <v>1814000</v>
      </c>
    </row>
    <row r="182" spans="1:30" hidden="1" outlineLevel="2">
      <c r="A182" s="21">
        <v>467</v>
      </c>
      <c r="B182" s="21">
        <v>3264263</v>
      </c>
      <c r="C182" s="21">
        <v>32642639</v>
      </c>
      <c r="D182" s="21" t="s">
        <v>1361</v>
      </c>
      <c r="E182" s="21" t="s">
        <v>1169</v>
      </c>
      <c r="F182" s="21">
        <v>814000</v>
      </c>
      <c r="G182" s="21" t="s">
        <v>1151</v>
      </c>
      <c r="H182" s="21">
        <v>90541</v>
      </c>
      <c r="I182" s="21">
        <v>0</v>
      </c>
      <c r="J182" s="21">
        <v>5</v>
      </c>
      <c r="K182" s="21">
        <v>5</v>
      </c>
      <c r="L182" s="21">
        <v>0</v>
      </c>
      <c r="M182" s="21">
        <v>576</v>
      </c>
      <c r="N182" s="61">
        <f t="shared" si="8"/>
        <v>0.48</v>
      </c>
      <c r="O182" s="60">
        <v>30129.47</v>
      </c>
      <c r="P182" s="21">
        <v>3994.45</v>
      </c>
      <c r="Q182" s="21">
        <v>900.88</v>
      </c>
      <c r="R182" s="21">
        <v>23275.74</v>
      </c>
      <c r="S182" s="21">
        <v>0</v>
      </c>
      <c r="T182" s="21">
        <v>2572.35</v>
      </c>
      <c r="U182" s="21">
        <v>0</v>
      </c>
      <c r="V182" s="21">
        <v>0</v>
      </c>
      <c r="W182" s="21">
        <v>407.25</v>
      </c>
      <c r="X182" s="21">
        <v>139.1</v>
      </c>
      <c r="Y182" s="21">
        <v>20157.04</v>
      </c>
      <c r="Z182" s="21">
        <v>1958.4</v>
      </c>
      <c r="AA182" s="21">
        <v>0</v>
      </c>
      <c r="AB182" s="21">
        <v>0</v>
      </c>
      <c r="AC182" s="21">
        <v>1814000</v>
      </c>
    </row>
    <row r="183" spans="1:30" hidden="1" outlineLevel="2">
      <c r="A183" s="21">
        <v>467</v>
      </c>
      <c r="B183" s="21">
        <v>3381910</v>
      </c>
      <c r="C183" s="21">
        <v>33819103</v>
      </c>
      <c r="D183" s="21" t="s">
        <v>1173</v>
      </c>
      <c r="E183" s="21" t="s">
        <v>1171</v>
      </c>
      <c r="F183" s="21">
        <v>814000</v>
      </c>
      <c r="G183" s="21" t="s">
        <v>1151</v>
      </c>
      <c r="H183" s="21">
        <v>90541</v>
      </c>
      <c r="I183" s="21">
        <v>0</v>
      </c>
      <c r="J183" s="21">
        <v>72</v>
      </c>
      <c r="K183" s="21">
        <v>38</v>
      </c>
      <c r="L183" s="21">
        <v>0</v>
      </c>
      <c r="M183" s="21">
        <v>1200</v>
      </c>
      <c r="N183" s="61">
        <f t="shared" si="8"/>
        <v>1</v>
      </c>
      <c r="O183" s="60">
        <v>97510.94</v>
      </c>
      <c r="P183" s="21">
        <v>16461.5</v>
      </c>
      <c r="Q183" s="21">
        <v>2784.75</v>
      </c>
      <c r="R183" s="21">
        <v>72762.39</v>
      </c>
      <c r="S183" s="21">
        <v>795</v>
      </c>
      <c r="T183" s="21">
        <v>6898.85</v>
      </c>
      <c r="U183" s="21">
        <v>0</v>
      </c>
      <c r="V183" s="21">
        <v>0</v>
      </c>
      <c r="W183" s="21">
        <v>994.2</v>
      </c>
      <c r="X183" s="21">
        <v>7.65</v>
      </c>
      <c r="Y183" s="21">
        <v>64066.69</v>
      </c>
      <c r="Z183" s="21">
        <v>5502.3</v>
      </c>
      <c r="AA183" s="21">
        <v>0</v>
      </c>
      <c r="AB183" s="21">
        <v>0</v>
      </c>
      <c r="AC183" s="21">
        <v>1814000</v>
      </c>
    </row>
    <row r="184" spans="1:30" hidden="1" outlineLevel="2">
      <c r="A184" s="21">
        <v>467</v>
      </c>
      <c r="B184" s="21">
        <v>3531480</v>
      </c>
      <c r="C184" s="21">
        <v>35314806</v>
      </c>
      <c r="D184" s="21" t="s">
        <v>1183</v>
      </c>
      <c r="E184" s="21" t="s">
        <v>1201</v>
      </c>
      <c r="F184" s="21">
        <v>814000</v>
      </c>
      <c r="G184" s="21" t="s">
        <v>1151</v>
      </c>
      <c r="H184" s="21">
        <v>90541</v>
      </c>
      <c r="I184" s="21">
        <v>1</v>
      </c>
      <c r="J184" s="21">
        <v>0</v>
      </c>
      <c r="K184" s="21">
        <v>0</v>
      </c>
      <c r="L184" s="21">
        <v>0</v>
      </c>
      <c r="M184" s="21">
        <v>0</v>
      </c>
      <c r="N184" s="61">
        <f t="shared" si="8"/>
        <v>0</v>
      </c>
      <c r="O184" s="60">
        <v>-654.30999999999995</v>
      </c>
      <c r="P184" s="21">
        <v>-285.38</v>
      </c>
      <c r="Q184" s="21">
        <v>5.39</v>
      </c>
      <c r="R184" s="21">
        <v>-373.25</v>
      </c>
      <c r="S184" s="21">
        <v>0</v>
      </c>
      <c r="T184" s="21">
        <v>0</v>
      </c>
      <c r="U184" s="21">
        <v>0</v>
      </c>
      <c r="V184" s="21">
        <v>0</v>
      </c>
      <c r="W184" s="21">
        <v>411</v>
      </c>
      <c r="X184" s="21">
        <v>5191.2</v>
      </c>
      <c r="Y184" s="21">
        <v>-5975.45</v>
      </c>
      <c r="Z184" s="21">
        <v>-1.07</v>
      </c>
      <c r="AA184" s="21">
        <v>0</v>
      </c>
      <c r="AB184" s="21">
        <v>0</v>
      </c>
      <c r="AC184" s="21">
        <v>1814000</v>
      </c>
    </row>
    <row r="185" spans="1:30" hidden="1" outlineLevel="2">
      <c r="A185" s="21">
        <v>467</v>
      </c>
      <c r="B185" s="21">
        <v>5251754</v>
      </c>
      <c r="C185" s="21">
        <v>52517547</v>
      </c>
      <c r="D185" s="21" t="s">
        <v>1183</v>
      </c>
      <c r="E185" s="21" t="s">
        <v>1171</v>
      </c>
      <c r="F185" s="21">
        <v>814000</v>
      </c>
      <c r="G185" s="21" t="s">
        <v>1151</v>
      </c>
      <c r="H185" s="21">
        <v>90541</v>
      </c>
      <c r="I185" s="21">
        <v>1</v>
      </c>
      <c r="J185" s="21">
        <v>0</v>
      </c>
      <c r="K185" s="21">
        <v>0</v>
      </c>
      <c r="L185" s="21">
        <v>0</v>
      </c>
      <c r="M185" s="21">
        <v>0</v>
      </c>
      <c r="N185" s="61">
        <f t="shared" si="8"/>
        <v>0</v>
      </c>
      <c r="O185" s="60">
        <v>17216.57</v>
      </c>
      <c r="P185" s="21">
        <v>676.3</v>
      </c>
      <c r="Q185" s="21">
        <v>514.32000000000005</v>
      </c>
      <c r="R185" s="21">
        <v>14907.8</v>
      </c>
      <c r="S185" s="21">
        <v>0</v>
      </c>
      <c r="T185" s="21">
        <v>0</v>
      </c>
      <c r="U185" s="21">
        <v>0</v>
      </c>
      <c r="V185" s="21">
        <v>0</v>
      </c>
      <c r="W185" s="21">
        <v>0</v>
      </c>
      <c r="X185" s="21">
        <v>0</v>
      </c>
      <c r="Y185" s="21">
        <v>14907.8</v>
      </c>
      <c r="Z185" s="21">
        <v>1118.1500000000001</v>
      </c>
      <c r="AA185" s="21">
        <v>0</v>
      </c>
      <c r="AB185" s="21">
        <v>0</v>
      </c>
      <c r="AC185" s="21">
        <v>1814000</v>
      </c>
    </row>
    <row r="186" spans="1:30" hidden="1" outlineLevel="2">
      <c r="A186" s="21">
        <v>467</v>
      </c>
      <c r="B186" s="21">
        <v>30082142</v>
      </c>
      <c r="C186" s="21">
        <v>300821428</v>
      </c>
      <c r="D186" s="21" t="s">
        <v>1360</v>
      </c>
      <c r="E186" s="21" t="s">
        <v>1359</v>
      </c>
      <c r="F186" s="21">
        <v>814000</v>
      </c>
      <c r="G186" s="21" t="s">
        <v>1151</v>
      </c>
      <c r="H186" s="21">
        <v>90541</v>
      </c>
      <c r="I186" s="21">
        <v>1</v>
      </c>
      <c r="J186" s="21">
        <v>0</v>
      </c>
      <c r="K186" s="21">
        <v>0</v>
      </c>
      <c r="L186" s="21">
        <v>0</v>
      </c>
      <c r="M186" s="21">
        <v>0</v>
      </c>
      <c r="N186" s="61">
        <f t="shared" si="8"/>
        <v>0</v>
      </c>
      <c r="O186" s="60">
        <v>6527.13</v>
      </c>
      <c r="P186" s="21">
        <v>288.60000000000002</v>
      </c>
      <c r="Q186" s="21">
        <v>193.98</v>
      </c>
      <c r="R186" s="21">
        <v>5622.8</v>
      </c>
      <c r="S186" s="21">
        <v>0</v>
      </c>
      <c r="T186" s="21">
        <v>0</v>
      </c>
      <c r="U186" s="21">
        <v>0</v>
      </c>
      <c r="V186" s="21">
        <v>0</v>
      </c>
      <c r="W186" s="21">
        <v>0</v>
      </c>
      <c r="X186" s="21">
        <v>0</v>
      </c>
      <c r="Y186" s="21">
        <v>5622.8</v>
      </c>
      <c r="Z186" s="21">
        <v>421.75</v>
      </c>
      <c r="AA186" s="21">
        <v>0</v>
      </c>
      <c r="AB186" s="21">
        <v>0</v>
      </c>
      <c r="AC186" s="21">
        <v>1814000</v>
      </c>
    </row>
    <row r="187" spans="1:30" hidden="1" outlineLevel="2">
      <c r="A187" s="21">
        <v>467</v>
      </c>
      <c r="B187" s="21">
        <v>30145769</v>
      </c>
      <c r="C187" s="21">
        <v>301457693</v>
      </c>
      <c r="D187" s="21" t="s">
        <v>1358</v>
      </c>
      <c r="E187" s="21" t="s">
        <v>1357</v>
      </c>
      <c r="F187" s="21">
        <v>814000</v>
      </c>
      <c r="G187" s="21" t="s">
        <v>1151</v>
      </c>
      <c r="H187" s="21">
        <v>90541</v>
      </c>
      <c r="I187" s="21">
        <v>1</v>
      </c>
      <c r="J187" s="21">
        <v>0</v>
      </c>
      <c r="K187" s="21">
        <v>0</v>
      </c>
      <c r="L187" s="21">
        <v>0</v>
      </c>
      <c r="M187" s="21">
        <v>0</v>
      </c>
      <c r="N187" s="61">
        <f t="shared" si="8"/>
        <v>0</v>
      </c>
      <c r="O187" s="60">
        <v>5951.2</v>
      </c>
      <c r="P187" s="21">
        <v>0</v>
      </c>
      <c r="Q187" s="21">
        <v>185.05</v>
      </c>
      <c r="R187" s="21">
        <v>5363.85</v>
      </c>
      <c r="S187" s="21">
        <v>0</v>
      </c>
      <c r="T187" s="21">
        <v>0</v>
      </c>
      <c r="U187" s="21">
        <v>0</v>
      </c>
      <c r="V187" s="21">
        <v>0</v>
      </c>
      <c r="W187" s="21">
        <v>0</v>
      </c>
      <c r="X187" s="21">
        <v>0</v>
      </c>
      <c r="Y187" s="21">
        <v>5363.85</v>
      </c>
      <c r="Z187" s="21">
        <v>402.3</v>
      </c>
      <c r="AA187" s="21">
        <v>0</v>
      </c>
      <c r="AB187" s="21">
        <v>0</v>
      </c>
      <c r="AC187" s="21">
        <v>1814000</v>
      </c>
    </row>
    <row r="188" spans="1:30" outlineLevel="1" collapsed="1">
      <c r="F188" s="62" t="s">
        <v>1356</v>
      </c>
      <c r="M188" s="21">
        <f>SUBTOTAL(9,M176:M187)</f>
        <v>4176</v>
      </c>
      <c r="N188" s="61">
        <f>SUBTOTAL(9,N176:N187)</f>
        <v>3.48</v>
      </c>
      <c r="O188" s="60">
        <f>SUBTOTAL(9,O176:O187)</f>
        <v>441870.55999999994</v>
      </c>
      <c r="AC188" s="21" t="str">
        <f>"1"&amp;LEFT(F188,6)&amp;"110"</f>
        <v>1814000110</v>
      </c>
      <c r="AD188" s="21" t="str">
        <f>VLOOKUP(AC188,'פירוט שכר'!A:K,5,0)</f>
        <v>חט"ב-משכורת</v>
      </c>
    </row>
    <row r="189" spans="1:30" hidden="1" outlineLevel="2">
      <c r="A189" s="21">
        <v>467</v>
      </c>
      <c r="B189" s="21">
        <v>2325062</v>
      </c>
      <c r="C189" s="21">
        <v>23250624</v>
      </c>
      <c r="D189" s="21" t="s">
        <v>1355</v>
      </c>
      <c r="E189" s="21" t="s">
        <v>1354</v>
      </c>
      <c r="F189" s="21">
        <v>815200</v>
      </c>
      <c r="G189" s="21" t="s">
        <v>1151</v>
      </c>
      <c r="H189" s="21">
        <v>90541</v>
      </c>
      <c r="I189" s="21">
        <v>1</v>
      </c>
      <c r="J189" s="21">
        <v>0</v>
      </c>
      <c r="K189" s="21">
        <v>0</v>
      </c>
      <c r="L189" s="21">
        <v>0</v>
      </c>
      <c r="M189" s="21">
        <v>0</v>
      </c>
      <c r="N189" s="61">
        <f t="shared" ref="N189:N220" si="9">+M189/1200</f>
        <v>0</v>
      </c>
      <c r="O189" s="60">
        <v>47315.75</v>
      </c>
      <c r="P189" s="21">
        <v>0</v>
      </c>
      <c r="Q189" s="21">
        <v>2738.75</v>
      </c>
      <c r="R189" s="21">
        <v>44547</v>
      </c>
      <c r="S189" s="21">
        <v>44547</v>
      </c>
      <c r="T189" s="21">
        <v>0</v>
      </c>
      <c r="U189" s="21">
        <v>0</v>
      </c>
      <c r="V189" s="21">
        <v>0</v>
      </c>
      <c r="W189" s="21">
        <v>0</v>
      </c>
      <c r="X189" s="21">
        <v>0</v>
      </c>
      <c r="Y189" s="21">
        <v>0</v>
      </c>
      <c r="Z189" s="21">
        <v>0</v>
      </c>
      <c r="AA189" s="21">
        <v>0</v>
      </c>
      <c r="AB189" s="21">
        <v>30</v>
      </c>
      <c r="AC189" s="21">
        <v>1815200</v>
      </c>
    </row>
    <row r="190" spans="1:30" hidden="1" outlineLevel="2">
      <c r="A190" s="21">
        <v>467</v>
      </c>
      <c r="B190" s="21">
        <v>2578601</v>
      </c>
      <c r="C190" s="21">
        <v>25786013</v>
      </c>
      <c r="D190" s="21" t="s">
        <v>1353</v>
      </c>
      <c r="E190" s="21" t="s">
        <v>1352</v>
      </c>
      <c r="F190" s="21">
        <v>815200</v>
      </c>
      <c r="G190" s="21" t="s">
        <v>1151</v>
      </c>
      <c r="H190" s="21">
        <v>90541</v>
      </c>
      <c r="I190" s="21">
        <v>1</v>
      </c>
      <c r="J190" s="21">
        <v>0</v>
      </c>
      <c r="K190" s="21">
        <v>0</v>
      </c>
      <c r="L190" s="21">
        <v>0</v>
      </c>
      <c r="M190" s="21">
        <v>0</v>
      </c>
      <c r="N190" s="61">
        <f t="shared" si="9"/>
        <v>0</v>
      </c>
      <c r="O190" s="60">
        <v>1907.27</v>
      </c>
      <c r="P190" s="21">
        <v>0</v>
      </c>
      <c r="Q190" s="21">
        <v>58.37</v>
      </c>
      <c r="R190" s="21">
        <v>1692</v>
      </c>
      <c r="S190" s="21">
        <v>0</v>
      </c>
      <c r="T190" s="21">
        <v>1692</v>
      </c>
      <c r="U190" s="21">
        <v>0</v>
      </c>
      <c r="V190" s="21">
        <v>0</v>
      </c>
      <c r="W190" s="21">
        <v>0</v>
      </c>
      <c r="X190" s="21">
        <v>0</v>
      </c>
      <c r="Y190" s="21">
        <v>0</v>
      </c>
      <c r="Z190" s="21">
        <v>126.9</v>
      </c>
      <c r="AA190" s="21">
        <v>0</v>
      </c>
      <c r="AB190" s="21">
        <v>30</v>
      </c>
      <c r="AC190" s="21">
        <v>1815200</v>
      </c>
    </row>
    <row r="191" spans="1:30" hidden="1" outlineLevel="2">
      <c r="A191" s="21">
        <v>467</v>
      </c>
      <c r="B191" s="21">
        <v>2582447</v>
      </c>
      <c r="C191" s="21">
        <v>25824475</v>
      </c>
      <c r="D191" s="21" t="s">
        <v>1278</v>
      </c>
      <c r="E191" s="21" t="s">
        <v>1277</v>
      </c>
      <c r="F191" s="21">
        <v>815200</v>
      </c>
      <c r="G191" s="21" t="s">
        <v>1151</v>
      </c>
      <c r="H191" s="21">
        <v>90541</v>
      </c>
      <c r="I191" s="21">
        <v>0</v>
      </c>
      <c r="J191" s="21">
        <v>93</v>
      </c>
      <c r="K191" s="21">
        <v>2</v>
      </c>
      <c r="L191" s="21">
        <v>0</v>
      </c>
      <c r="M191" s="21">
        <v>1032.8</v>
      </c>
      <c r="N191" s="61">
        <f t="shared" si="9"/>
        <v>0.86066666666666658</v>
      </c>
      <c r="O191" s="60">
        <v>110221.96</v>
      </c>
      <c r="P191" s="21">
        <v>13651.32</v>
      </c>
      <c r="Q191" s="21">
        <v>3752.49</v>
      </c>
      <c r="R191" s="21">
        <v>86010.51</v>
      </c>
      <c r="S191" s="21">
        <v>3529.8</v>
      </c>
      <c r="T191" s="21">
        <v>2990.15</v>
      </c>
      <c r="U191" s="21">
        <v>0</v>
      </c>
      <c r="V191" s="21">
        <v>0</v>
      </c>
      <c r="W191" s="21">
        <v>11499.45</v>
      </c>
      <c r="X191" s="21">
        <v>3.05</v>
      </c>
      <c r="Y191" s="21">
        <v>67988.06</v>
      </c>
      <c r="Z191" s="21">
        <v>6450.86</v>
      </c>
      <c r="AA191" s="21">
        <v>0</v>
      </c>
      <c r="AB191" s="21">
        <v>356.78</v>
      </c>
      <c r="AC191" s="21">
        <v>1815200</v>
      </c>
    </row>
    <row r="192" spans="1:30" hidden="1" outlineLevel="2">
      <c r="A192" s="21">
        <v>467</v>
      </c>
      <c r="B192" s="21">
        <v>2590630</v>
      </c>
      <c r="C192" s="21">
        <v>25906306</v>
      </c>
      <c r="D192" s="21" t="s">
        <v>1351</v>
      </c>
      <c r="E192" s="21" t="s">
        <v>1176</v>
      </c>
      <c r="F192" s="21">
        <v>815200</v>
      </c>
      <c r="G192" s="21" t="s">
        <v>1151</v>
      </c>
      <c r="H192" s="21">
        <v>90541</v>
      </c>
      <c r="I192" s="21">
        <v>0</v>
      </c>
      <c r="J192" s="21">
        <v>73</v>
      </c>
      <c r="K192" s="21">
        <v>1</v>
      </c>
      <c r="L192" s="21">
        <v>0</v>
      </c>
      <c r="M192" s="21">
        <v>533.20000000000005</v>
      </c>
      <c r="N192" s="61">
        <f t="shared" si="9"/>
        <v>0.44433333333333336</v>
      </c>
      <c r="O192" s="60">
        <v>67899.16</v>
      </c>
      <c r="P192" s="21">
        <v>8879.35</v>
      </c>
      <c r="Q192" s="21">
        <v>2146.67</v>
      </c>
      <c r="R192" s="21">
        <v>52144.29</v>
      </c>
      <c r="S192" s="21">
        <v>0</v>
      </c>
      <c r="T192" s="21">
        <v>2979.5</v>
      </c>
      <c r="U192" s="21">
        <v>0</v>
      </c>
      <c r="V192" s="21">
        <v>0</v>
      </c>
      <c r="W192" s="21">
        <v>825.6</v>
      </c>
      <c r="X192" s="21">
        <v>0</v>
      </c>
      <c r="Y192" s="21">
        <v>48339.19</v>
      </c>
      <c r="Z192" s="21">
        <v>4368.8500000000004</v>
      </c>
      <c r="AA192" s="21">
        <v>0</v>
      </c>
      <c r="AB192" s="21">
        <v>360</v>
      </c>
      <c r="AC192" s="21">
        <v>1815200</v>
      </c>
    </row>
    <row r="193" spans="1:29" hidden="1" outlineLevel="2">
      <c r="A193" s="21">
        <v>467</v>
      </c>
      <c r="B193" s="21">
        <v>2597786</v>
      </c>
      <c r="C193" s="21">
        <v>25977869</v>
      </c>
      <c r="D193" s="21" t="s">
        <v>1350</v>
      </c>
      <c r="E193" s="21" t="s">
        <v>1176</v>
      </c>
      <c r="F193" s="21">
        <v>815200</v>
      </c>
      <c r="G193" s="21" t="s">
        <v>1151</v>
      </c>
      <c r="H193" s="21">
        <v>90541</v>
      </c>
      <c r="I193" s="21">
        <v>0</v>
      </c>
      <c r="J193" s="21">
        <v>73</v>
      </c>
      <c r="K193" s="21">
        <v>1</v>
      </c>
      <c r="L193" s="21">
        <v>0</v>
      </c>
      <c r="M193" s="21">
        <v>866.4</v>
      </c>
      <c r="N193" s="61">
        <f t="shared" si="9"/>
        <v>0.72199999999999998</v>
      </c>
      <c r="O193" s="60">
        <v>134101.89000000001</v>
      </c>
      <c r="P193" s="21">
        <v>18293.95</v>
      </c>
      <c r="Q193" s="21">
        <v>5468.32</v>
      </c>
      <c r="R193" s="21">
        <v>102418.17</v>
      </c>
      <c r="S193" s="21">
        <v>0</v>
      </c>
      <c r="T193" s="21">
        <v>4505</v>
      </c>
      <c r="U193" s="21">
        <v>0</v>
      </c>
      <c r="V193" s="21">
        <v>5285.45</v>
      </c>
      <c r="W193" s="21">
        <v>5428.8</v>
      </c>
      <c r="X193" s="21">
        <v>0</v>
      </c>
      <c r="Y193" s="21">
        <v>87198.92</v>
      </c>
      <c r="Z193" s="21">
        <v>7681.45</v>
      </c>
      <c r="AA193" s="21">
        <v>0</v>
      </c>
      <c r="AB193" s="21">
        <v>240</v>
      </c>
      <c r="AC193" s="21">
        <v>1815200</v>
      </c>
    </row>
    <row r="194" spans="1:29" hidden="1" outlineLevel="2">
      <c r="A194" s="21">
        <v>467</v>
      </c>
      <c r="B194" s="21">
        <v>2644539</v>
      </c>
      <c r="C194" s="21">
        <v>26445395</v>
      </c>
      <c r="D194" s="21" t="s">
        <v>1349</v>
      </c>
      <c r="E194" s="21" t="s">
        <v>1348</v>
      </c>
      <c r="F194" s="21">
        <v>815200</v>
      </c>
      <c r="G194" s="21" t="s">
        <v>1151</v>
      </c>
      <c r="H194" s="21">
        <v>90541</v>
      </c>
      <c r="I194" s="21">
        <v>0</v>
      </c>
      <c r="J194" s="21">
        <v>73</v>
      </c>
      <c r="K194" s="21">
        <v>13</v>
      </c>
      <c r="L194" s="21">
        <v>0</v>
      </c>
      <c r="M194" s="21">
        <v>1200</v>
      </c>
      <c r="N194" s="61">
        <f t="shared" si="9"/>
        <v>1</v>
      </c>
      <c r="O194" s="60">
        <v>171576.11</v>
      </c>
      <c r="P194" s="21">
        <v>23697.45</v>
      </c>
      <c r="Q194" s="21">
        <v>7640.08</v>
      </c>
      <c r="R194" s="21">
        <v>128982.48</v>
      </c>
      <c r="S194" s="21">
        <v>0</v>
      </c>
      <c r="T194" s="21">
        <v>6813</v>
      </c>
      <c r="U194" s="21">
        <v>0</v>
      </c>
      <c r="V194" s="21">
        <v>0</v>
      </c>
      <c r="W194" s="21">
        <v>3727.2</v>
      </c>
      <c r="X194" s="21">
        <v>7.25</v>
      </c>
      <c r="Y194" s="21">
        <v>118435.03</v>
      </c>
      <c r="Z194" s="21">
        <v>10896.1</v>
      </c>
      <c r="AA194" s="21">
        <v>0</v>
      </c>
      <c r="AB194" s="21">
        <v>360</v>
      </c>
      <c r="AC194" s="21">
        <v>1815200</v>
      </c>
    </row>
    <row r="195" spans="1:29" hidden="1" outlineLevel="2">
      <c r="A195" s="21">
        <v>467</v>
      </c>
      <c r="B195" s="21">
        <v>2766547</v>
      </c>
      <c r="C195" s="21">
        <v>27665470</v>
      </c>
      <c r="D195" s="21" t="s">
        <v>1153</v>
      </c>
      <c r="E195" s="21" t="s">
        <v>1347</v>
      </c>
      <c r="F195" s="21">
        <v>815200</v>
      </c>
      <c r="G195" s="21" t="s">
        <v>1151</v>
      </c>
      <c r="H195" s="21">
        <v>90541</v>
      </c>
      <c r="I195" s="21">
        <v>0</v>
      </c>
      <c r="J195" s="21">
        <v>73</v>
      </c>
      <c r="K195" s="21">
        <v>2</v>
      </c>
      <c r="L195" s="21">
        <v>0</v>
      </c>
      <c r="M195" s="21">
        <v>266.39999999999998</v>
      </c>
      <c r="N195" s="61">
        <f t="shared" si="9"/>
        <v>0.22199999999999998</v>
      </c>
      <c r="O195" s="60">
        <v>30145.49</v>
      </c>
      <c r="P195" s="21">
        <v>4131.8500000000004</v>
      </c>
      <c r="Q195" s="21">
        <v>899.36</v>
      </c>
      <c r="R195" s="21">
        <v>22919.13</v>
      </c>
      <c r="S195" s="21">
        <v>845.2</v>
      </c>
      <c r="T195" s="21">
        <v>2627.45</v>
      </c>
      <c r="U195" s="21">
        <v>0</v>
      </c>
      <c r="V195" s="21">
        <v>0</v>
      </c>
      <c r="W195" s="21">
        <v>1395.6</v>
      </c>
      <c r="X195" s="21">
        <v>0.65</v>
      </c>
      <c r="Y195" s="21">
        <v>18050.23</v>
      </c>
      <c r="Z195" s="21">
        <v>1955.15</v>
      </c>
      <c r="AA195" s="21">
        <v>0</v>
      </c>
      <c r="AB195" s="21">
        <v>240</v>
      </c>
      <c r="AC195" s="21">
        <v>1815200</v>
      </c>
    </row>
    <row r="196" spans="1:29" hidden="1" outlineLevel="2">
      <c r="A196" s="21">
        <v>467</v>
      </c>
      <c r="B196" s="21">
        <v>2817164</v>
      </c>
      <c r="C196" s="21">
        <v>28171643</v>
      </c>
      <c r="D196" s="21" t="s">
        <v>1346</v>
      </c>
      <c r="E196" s="21" t="s">
        <v>1345</v>
      </c>
      <c r="F196" s="21">
        <v>815200</v>
      </c>
      <c r="G196" s="21" t="s">
        <v>1151</v>
      </c>
      <c r="H196" s="21">
        <v>90541</v>
      </c>
      <c r="I196" s="21">
        <v>0</v>
      </c>
      <c r="J196" s="21">
        <v>73</v>
      </c>
      <c r="K196" s="21">
        <v>2</v>
      </c>
      <c r="L196" s="21">
        <v>0</v>
      </c>
      <c r="M196" s="21">
        <v>599.6</v>
      </c>
      <c r="N196" s="61">
        <f t="shared" si="9"/>
        <v>0.4996666666666667</v>
      </c>
      <c r="O196" s="60">
        <v>79942.06</v>
      </c>
      <c r="P196" s="21">
        <v>11680.3</v>
      </c>
      <c r="Q196" s="21">
        <v>2367.85</v>
      </c>
      <c r="R196" s="21">
        <v>60775.360000000001</v>
      </c>
      <c r="S196" s="21">
        <v>0</v>
      </c>
      <c r="T196" s="21">
        <v>4221.55</v>
      </c>
      <c r="U196" s="21">
        <v>0</v>
      </c>
      <c r="V196" s="21">
        <v>0</v>
      </c>
      <c r="W196" s="21">
        <v>2966.6</v>
      </c>
      <c r="X196" s="21">
        <v>3.6</v>
      </c>
      <c r="Y196" s="21">
        <v>53583.61</v>
      </c>
      <c r="Z196" s="21">
        <v>4758.55</v>
      </c>
      <c r="AA196" s="21">
        <v>0</v>
      </c>
      <c r="AB196" s="21">
        <v>360</v>
      </c>
      <c r="AC196" s="21">
        <v>1815200</v>
      </c>
    </row>
    <row r="197" spans="1:29" hidden="1" outlineLevel="2">
      <c r="A197" s="21">
        <v>467</v>
      </c>
      <c r="B197" s="21">
        <v>2913411</v>
      </c>
      <c r="C197" s="21">
        <v>29134111</v>
      </c>
      <c r="D197" s="21" t="s">
        <v>1153</v>
      </c>
      <c r="E197" s="21" t="s">
        <v>1212</v>
      </c>
      <c r="F197" s="21">
        <v>815200</v>
      </c>
      <c r="G197" s="21" t="s">
        <v>1151</v>
      </c>
      <c r="H197" s="21">
        <v>90541</v>
      </c>
      <c r="I197" s="21">
        <v>0</v>
      </c>
      <c r="J197" s="21">
        <v>15</v>
      </c>
      <c r="K197" s="21">
        <v>0</v>
      </c>
      <c r="L197" s="21">
        <v>0</v>
      </c>
      <c r="M197" s="21">
        <v>1152.8</v>
      </c>
      <c r="N197" s="61">
        <f t="shared" si="9"/>
        <v>0.96066666666666667</v>
      </c>
      <c r="O197" s="60">
        <v>132247.89000000001</v>
      </c>
      <c r="P197" s="21">
        <v>16530.7</v>
      </c>
      <c r="Q197" s="21">
        <v>5424.81</v>
      </c>
      <c r="R197" s="21">
        <v>102366.14</v>
      </c>
      <c r="S197" s="21">
        <v>0</v>
      </c>
      <c r="T197" s="21">
        <v>4978.5</v>
      </c>
      <c r="U197" s="21">
        <v>0</v>
      </c>
      <c r="V197" s="21">
        <v>3145.1</v>
      </c>
      <c r="W197" s="21">
        <v>431.55</v>
      </c>
      <c r="X197" s="21">
        <v>1.85</v>
      </c>
      <c r="Y197" s="21">
        <v>93809.14</v>
      </c>
      <c r="Z197" s="21">
        <v>7678.52</v>
      </c>
      <c r="AA197" s="21">
        <v>0</v>
      </c>
      <c r="AB197" s="21">
        <v>247.72</v>
      </c>
      <c r="AC197" s="21">
        <v>1815200</v>
      </c>
    </row>
    <row r="198" spans="1:29" hidden="1" outlineLevel="2">
      <c r="A198" s="21">
        <v>467</v>
      </c>
      <c r="B198" s="21">
        <v>2981541</v>
      </c>
      <c r="C198" s="21">
        <v>29815412</v>
      </c>
      <c r="D198" s="21" t="s">
        <v>1344</v>
      </c>
      <c r="E198" s="21" t="s">
        <v>1261</v>
      </c>
      <c r="F198" s="21">
        <v>815200</v>
      </c>
      <c r="G198" s="21" t="s">
        <v>1151</v>
      </c>
      <c r="H198" s="21">
        <v>90541</v>
      </c>
      <c r="I198" s="21">
        <v>0</v>
      </c>
      <c r="J198" s="21">
        <v>73</v>
      </c>
      <c r="K198" s="21">
        <v>2</v>
      </c>
      <c r="L198" s="21">
        <v>0</v>
      </c>
      <c r="M198" s="21">
        <v>1500</v>
      </c>
      <c r="N198" s="61">
        <f t="shared" si="9"/>
        <v>1.25</v>
      </c>
      <c r="O198" s="60">
        <v>193801.61</v>
      </c>
      <c r="P198" s="21">
        <v>25226.9</v>
      </c>
      <c r="Q198" s="21">
        <v>7910.68</v>
      </c>
      <c r="R198" s="21">
        <v>149094.93</v>
      </c>
      <c r="S198" s="21">
        <v>0</v>
      </c>
      <c r="T198" s="21">
        <v>6386</v>
      </c>
      <c r="U198" s="21">
        <v>0</v>
      </c>
      <c r="V198" s="21">
        <v>0</v>
      </c>
      <c r="W198" s="21">
        <v>994.2</v>
      </c>
      <c r="X198" s="21">
        <v>0</v>
      </c>
      <c r="Y198" s="21">
        <v>141714.73000000001</v>
      </c>
      <c r="Z198" s="21">
        <v>11209.1</v>
      </c>
      <c r="AA198" s="21">
        <v>0</v>
      </c>
      <c r="AB198" s="21">
        <v>360</v>
      </c>
      <c r="AC198" s="21">
        <v>1815200</v>
      </c>
    </row>
    <row r="199" spans="1:29" hidden="1" outlineLevel="2">
      <c r="A199" s="21">
        <v>467</v>
      </c>
      <c r="B199" s="21">
        <v>2981720</v>
      </c>
      <c r="C199" s="21">
        <v>29817202</v>
      </c>
      <c r="D199" s="21" t="s">
        <v>1153</v>
      </c>
      <c r="E199" s="21" t="s">
        <v>1343</v>
      </c>
      <c r="F199" s="21">
        <v>815200</v>
      </c>
      <c r="G199" s="21" t="s">
        <v>1151</v>
      </c>
      <c r="H199" s="21">
        <v>90541</v>
      </c>
      <c r="I199" s="21">
        <v>0</v>
      </c>
      <c r="J199" s="21">
        <v>93</v>
      </c>
      <c r="K199" s="21">
        <v>1</v>
      </c>
      <c r="L199" s="21">
        <v>0</v>
      </c>
      <c r="M199" s="21">
        <v>420</v>
      </c>
      <c r="N199" s="61">
        <f t="shared" si="9"/>
        <v>0.35</v>
      </c>
      <c r="O199" s="60">
        <v>70653.62</v>
      </c>
      <c r="P199" s="21">
        <v>0</v>
      </c>
      <c r="Q199" s="21">
        <v>3496.27</v>
      </c>
      <c r="R199" s="21">
        <v>62472</v>
      </c>
      <c r="S199" s="21">
        <v>0</v>
      </c>
      <c r="T199" s="21">
        <v>705.4</v>
      </c>
      <c r="U199" s="21">
        <v>0</v>
      </c>
      <c r="V199" s="21">
        <v>0</v>
      </c>
      <c r="W199" s="21">
        <v>605.4</v>
      </c>
      <c r="X199" s="21">
        <v>0</v>
      </c>
      <c r="Y199" s="21">
        <v>61161.2</v>
      </c>
      <c r="Z199" s="21">
        <v>4685.3500000000004</v>
      </c>
      <c r="AA199" s="21">
        <v>0</v>
      </c>
      <c r="AB199" s="21">
        <v>0</v>
      </c>
      <c r="AC199" s="21">
        <v>1815200</v>
      </c>
    </row>
    <row r="200" spans="1:29" hidden="1" outlineLevel="2">
      <c r="A200" s="21">
        <v>467</v>
      </c>
      <c r="B200" s="21">
        <v>2996929</v>
      </c>
      <c r="C200" s="21">
        <v>29969292</v>
      </c>
      <c r="D200" s="21" t="s">
        <v>1153</v>
      </c>
      <c r="E200" s="21" t="s">
        <v>1334</v>
      </c>
      <c r="F200" s="21">
        <v>815200</v>
      </c>
      <c r="G200" s="21" t="s">
        <v>1151</v>
      </c>
      <c r="H200" s="21">
        <v>90541</v>
      </c>
      <c r="I200" s="21">
        <v>1</v>
      </c>
      <c r="J200" s="21">
        <v>0</v>
      </c>
      <c r="K200" s="21">
        <v>0</v>
      </c>
      <c r="L200" s="21">
        <v>0</v>
      </c>
      <c r="M200" s="21">
        <v>0</v>
      </c>
      <c r="N200" s="61">
        <f t="shared" si="9"/>
        <v>0</v>
      </c>
      <c r="O200" s="60">
        <v>24049.29</v>
      </c>
      <c r="P200" s="21">
        <v>0</v>
      </c>
      <c r="Q200" s="21">
        <v>1.04</v>
      </c>
      <c r="R200" s="21">
        <v>24016</v>
      </c>
      <c r="S200" s="21">
        <v>0</v>
      </c>
      <c r="T200" s="21">
        <v>0</v>
      </c>
      <c r="U200" s="21">
        <v>0</v>
      </c>
      <c r="V200" s="21">
        <v>0</v>
      </c>
      <c r="W200" s="21">
        <v>0</v>
      </c>
      <c r="X200" s="21">
        <v>0</v>
      </c>
      <c r="Y200" s="21">
        <v>24016</v>
      </c>
      <c r="Z200" s="21">
        <v>2.25</v>
      </c>
      <c r="AA200" s="21">
        <v>0</v>
      </c>
      <c r="AB200" s="21">
        <v>30</v>
      </c>
      <c r="AC200" s="21">
        <v>1815200</v>
      </c>
    </row>
    <row r="201" spans="1:29" hidden="1" outlineLevel="2">
      <c r="A201" s="21">
        <v>467</v>
      </c>
      <c r="B201" s="21">
        <v>3154335</v>
      </c>
      <c r="C201" s="21">
        <v>31543358</v>
      </c>
      <c r="D201" s="21" t="s">
        <v>1153</v>
      </c>
      <c r="E201" s="21" t="s">
        <v>1342</v>
      </c>
      <c r="F201" s="21">
        <v>815200</v>
      </c>
      <c r="G201" s="21" t="s">
        <v>1151</v>
      </c>
      <c r="H201" s="21">
        <v>90541</v>
      </c>
      <c r="I201" s="21">
        <v>0</v>
      </c>
      <c r="J201" s="21">
        <v>93</v>
      </c>
      <c r="K201" s="21">
        <v>1</v>
      </c>
      <c r="L201" s="21">
        <v>0</v>
      </c>
      <c r="M201" s="21">
        <v>1500</v>
      </c>
      <c r="N201" s="61">
        <f t="shared" si="9"/>
        <v>1.25</v>
      </c>
      <c r="O201" s="60">
        <v>184196.55</v>
      </c>
      <c r="P201" s="21">
        <v>22095.5</v>
      </c>
      <c r="Q201" s="21">
        <v>7508.92</v>
      </c>
      <c r="R201" s="21">
        <v>143471.82999999999</v>
      </c>
      <c r="S201" s="21">
        <v>0</v>
      </c>
      <c r="T201" s="21">
        <v>5359</v>
      </c>
      <c r="U201" s="21">
        <v>0</v>
      </c>
      <c r="V201" s="21">
        <v>0</v>
      </c>
      <c r="W201" s="21">
        <v>994.2</v>
      </c>
      <c r="X201" s="21">
        <v>3.55</v>
      </c>
      <c r="Y201" s="21">
        <v>137115.07999999999</v>
      </c>
      <c r="Z201" s="21">
        <v>10760.3</v>
      </c>
      <c r="AA201" s="21">
        <v>0</v>
      </c>
      <c r="AB201" s="21">
        <v>360</v>
      </c>
      <c r="AC201" s="21">
        <v>1815200</v>
      </c>
    </row>
    <row r="202" spans="1:29" hidden="1" outlineLevel="2">
      <c r="A202" s="21">
        <v>467</v>
      </c>
      <c r="B202" s="21">
        <v>3297740</v>
      </c>
      <c r="C202" s="21">
        <v>32977407</v>
      </c>
      <c r="D202" s="21" t="s">
        <v>1341</v>
      </c>
      <c r="E202" s="21" t="s">
        <v>1340</v>
      </c>
      <c r="F202" s="21">
        <v>815200</v>
      </c>
      <c r="G202" s="21" t="s">
        <v>1151</v>
      </c>
      <c r="H202" s="21">
        <v>90541</v>
      </c>
      <c r="I202" s="21">
        <v>0</v>
      </c>
      <c r="J202" s="21">
        <v>93</v>
      </c>
      <c r="K202" s="21">
        <v>2</v>
      </c>
      <c r="L202" s="21">
        <v>0</v>
      </c>
      <c r="M202" s="21">
        <v>834.8</v>
      </c>
      <c r="N202" s="61">
        <f t="shared" si="9"/>
        <v>0.69566666666666666</v>
      </c>
      <c r="O202" s="60">
        <v>102414.77</v>
      </c>
      <c r="P202" s="21">
        <v>14340</v>
      </c>
      <c r="Q202" s="21">
        <v>3322.71</v>
      </c>
      <c r="R202" s="21">
        <v>78504.11</v>
      </c>
      <c r="S202" s="21">
        <v>2736</v>
      </c>
      <c r="T202" s="21">
        <v>318.35000000000002</v>
      </c>
      <c r="U202" s="21">
        <v>0</v>
      </c>
      <c r="V202" s="21">
        <v>0</v>
      </c>
      <c r="W202" s="21">
        <v>8051.6</v>
      </c>
      <c r="X202" s="21">
        <v>0.6</v>
      </c>
      <c r="Y202" s="21">
        <v>67397.56</v>
      </c>
      <c r="Z202" s="21">
        <v>5887.95</v>
      </c>
      <c r="AA202" s="21">
        <v>0</v>
      </c>
      <c r="AB202" s="21">
        <v>360</v>
      </c>
      <c r="AC202" s="21">
        <v>1815200</v>
      </c>
    </row>
    <row r="203" spans="1:29" hidden="1" outlineLevel="2">
      <c r="A203" s="21">
        <v>467</v>
      </c>
      <c r="B203" s="21">
        <v>3308823</v>
      </c>
      <c r="C203" s="21">
        <v>33088238</v>
      </c>
      <c r="D203" s="21" t="s">
        <v>1339</v>
      </c>
      <c r="E203" s="21" t="s">
        <v>1338</v>
      </c>
      <c r="F203" s="21">
        <v>815200</v>
      </c>
      <c r="G203" s="21" t="s">
        <v>1151</v>
      </c>
      <c r="H203" s="21">
        <v>90541</v>
      </c>
      <c r="I203" s="21">
        <v>0</v>
      </c>
      <c r="J203" s="21">
        <v>93</v>
      </c>
      <c r="K203" s="21">
        <v>5</v>
      </c>
      <c r="L203" s="21">
        <v>0</v>
      </c>
      <c r="M203" s="21">
        <v>898</v>
      </c>
      <c r="N203" s="61">
        <f t="shared" si="9"/>
        <v>0.74833333333333329</v>
      </c>
      <c r="O203" s="60">
        <v>75912.05</v>
      </c>
      <c r="P203" s="21">
        <v>5901.55</v>
      </c>
      <c r="Q203" s="21">
        <v>2358.13</v>
      </c>
      <c r="R203" s="21">
        <v>62597.52</v>
      </c>
      <c r="S203" s="21">
        <v>2942.35</v>
      </c>
      <c r="T203" s="21">
        <v>3006.35</v>
      </c>
      <c r="U203" s="21">
        <v>0</v>
      </c>
      <c r="V203" s="21">
        <v>0</v>
      </c>
      <c r="W203" s="21">
        <v>7435.05</v>
      </c>
      <c r="X203" s="21">
        <v>3.8</v>
      </c>
      <c r="Y203" s="21">
        <v>49209.97</v>
      </c>
      <c r="Z203" s="21">
        <v>4694.8500000000004</v>
      </c>
      <c r="AA203" s="21">
        <v>0</v>
      </c>
      <c r="AB203" s="21">
        <v>360</v>
      </c>
      <c r="AC203" s="21">
        <v>1815200</v>
      </c>
    </row>
    <row r="204" spans="1:29" hidden="1" outlineLevel="2">
      <c r="A204" s="21">
        <v>467</v>
      </c>
      <c r="B204" s="21">
        <v>3360749</v>
      </c>
      <c r="C204" s="21">
        <v>33607490</v>
      </c>
      <c r="D204" s="21" t="s">
        <v>1337</v>
      </c>
      <c r="E204" s="21" t="s">
        <v>1336</v>
      </c>
      <c r="F204" s="21">
        <v>815200</v>
      </c>
      <c r="G204" s="21" t="s">
        <v>1151</v>
      </c>
      <c r="H204" s="21">
        <v>90541</v>
      </c>
      <c r="I204" s="21">
        <v>0</v>
      </c>
      <c r="J204" s="21">
        <v>93</v>
      </c>
      <c r="K204" s="21">
        <v>2</v>
      </c>
      <c r="L204" s="21">
        <v>0</v>
      </c>
      <c r="M204" s="21">
        <v>772.7</v>
      </c>
      <c r="N204" s="61">
        <f t="shared" si="9"/>
        <v>0.64391666666666669</v>
      </c>
      <c r="O204" s="60">
        <v>97930.53</v>
      </c>
      <c r="P204" s="21">
        <v>12733.3</v>
      </c>
      <c r="Q204" s="21">
        <v>3507.47</v>
      </c>
      <c r="R204" s="21">
        <v>75711.360000000001</v>
      </c>
      <c r="S204" s="21">
        <v>2699.05</v>
      </c>
      <c r="T204" s="21">
        <v>4505</v>
      </c>
      <c r="U204" s="21">
        <v>0</v>
      </c>
      <c r="V204" s="21">
        <v>0</v>
      </c>
      <c r="W204" s="21">
        <v>5208.7</v>
      </c>
      <c r="X204" s="21">
        <v>0</v>
      </c>
      <c r="Y204" s="21">
        <v>63298.61</v>
      </c>
      <c r="Z204" s="21">
        <v>5678.4</v>
      </c>
      <c r="AA204" s="21">
        <v>0</v>
      </c>
      <c r="AB204" s="21">
        <v>300</v>
      </c>
      <c r="AC204" s="21">
        <v>1815200</v>
      </c>
    </row>
    <row r="205" spans="1:29" hidden="1" outlineLevel="2">
      <c r="A205" s="21">
        <v>467</v>
      </c>
      <c r="B205" s="21">
        <v>3360781</v>
      </c>
      <c r="C205" s="21">
        <v>33607813</v>
      </c>
      <c r="D205" s="21" t="s">
        <v>1335</v>
      </c>
      <c r="E205" s="21" t="s">
        <v>1334</v>
      </c>
      <c r="F205" s="21">
        <v>815200</v>
      </c>
      <c r="G205" s="21" t="s">
        <v>1151</v>
      </c>
      <c r="H205" s="21">
        <v>90541</v>
      </c>
      <c r="I205" s="21">
        <v>0</v>
      </c>
      <c r="J205" s="21">
        <v>73</v>
      </c>
      <c r="K205" s="21">
        <v>2</v>
      </c>
      <c r="L205" s="21">
        <v>0</v>
      </c>
      <c r="M205" s="21">
        <v>1116</v>
      </c>
      <c r="N205" s="61">
        <f t="shared" si="9"/>
        <v>0.93</v>
      </c>
      <c r="O205" s="60">
        <v>127847.85</v>
      </c>
      <c r="P205" s="21">
        <v>17698.650000000001</v>
      </c>
      <c r="Q205" s="21">
        <v>4453.3</v>
      </c>
      <c r="R205" s="21">
        <v>97961.75</v>
      </c>
      <c r="S205" s="21">
        <v>3804.6</v>
      </c>
      <c r="T205" s="21">
        <v>6386</v>
      </c>
      <c r="U205" s="21">
        <v>0</v>
      </c>
      <c r="V205" s="21">
        <v>0</v>
      </c>
      <c r="W205" s="21">
        <v>5444.8</v>
      </c>
      <c r="X205" s="21">
        <v>1.2</v>
      </c>
      <c r="Y205" s="21">
        <v>82325.149999999994</v>
      </c>
      <c r="Z205" s="21">
        <v>7374.15</v>
      </c>
      <c r="AA205" s="21">
        <v>0</v>
      </c>
      <c r="AB205" s="21">
        <v>360</v>
      </c>
      <c r="AC205" s="21">
        <v>1815200</v>
      </c>
    </row>
    <row r="206" spans="1:29" hidden="1" outlineLevel="2">
      <c r="A206" s="21">
        <v>467</v>
      </c>
      <c r="B206" s="21">
        <v>3381909</v>
      </c>
      <c r="C206" s="21">
        <v>33819095</v>
      </c>
      <c r="D206" s="21" t="s">
        <v>1153</v>
      </c>
      <c r="E206" s="21" t="s">
        <v>1333</v>
      </c>
      <c r="F206" s="21">
        <v>815200</v>
      </c>
      <c r="G206" s="21" t="s">
        <v>1151</v>
      </c>
      <c r="H206" s="21">
        <v>90541</v>
      </c>
      <c r="I206" s="21">
        <v>0</v>
      </c>
      <c r="J206" s="21">
        <v>73</v>
      </c>
      <c r="K206" s="21">
        <v>2</v>
      </c>
      <c r="L206" s="21">
        <v>0</v>
      </c>
      <c r="M206" s="21">
        <v>991.1</v>
      </c>
      <c r="N206" s="61">
        <f t="shared" si="9"/>
        <v>0.82591666666666663</v>
      </c>
      <c r="O206" s="60">
        <v>116433.5</v>
      </c>
      <c r="P206" s="21">
        <v>14718.9</v>
      </c>
      <c r="Q206" s="21">
        <v>4389.66</v>
      </c>
      <c r="R206" s="21">
        <v>90255.74</v>
      </c>
      <c r="S206" s="21">
        <v>0</v>
      </c>
      <c r="T206" s="21">
        <v>5959</v>
      </c>
      <c r="U206" s="21">
        <v>0</v>
      </c>
      <c r="V206" s="21">
        <v>0</v>
      </c>
      <c r="W206" s="21">
        <v>685</v>
      </c>
      <c r="X206" s="21">
        <v>7.35</v>
      </c>
      <c r="Y206" s="21">
        <v>83604.39</v>
      </c>
      <c r="Z206" s="21">
        <v>6769.2</v>
      </c>
      <c r="AA206" s="21">
        <v>0</v>
      </c>
      <c r="AB206" s="21">
        <v>300</v>
      </c>
      <c r="AC206" s="21">
        <v>1815200</v>
      </c>
    </row>
    <row r="207" spans="1:29" hidden="1" outlineLevel="2">
      <c r="A207" s="21">
        <v>467</v>
      </c>
      <c r="B207" s="21">
        <v>3398227</v>
      </c>
      <c r="C207" s="21">
        <v>33982273</v>
      </c>
      <c r="D207" s="21" t="s">
        <v>1332</v>
      </c>
      <c r="E207" s="21" t="s">
        <v>1331</v>
      </c>
      <c r="F207" s="21">
        <v>815200</v>
      </c>
      <c r="G207" s="21" t="s">
        <v>1151</v>
      </c>
      <c r="H207" s="21">
        <v>90541</v>
      </c>
      <c r="I207" s="21">
        <v>0</v>
      </c>
      <c r="J207" s="21">
        <v>93</v>
      </c>
      <c r="K207" s="21">
        <v>2</v>
      </c>
      <c r="L207" s="21">
        <v>0</v>
      </c>
      <c r="M207" s="21">
        <v>112.5</v>
      </c>
      <c r="N207" s="61">
        <f t="shared" si="9"/>
        <v>9.375E-2</v>
      </c>
      <c r="O207" s="60">
        <v>7299.74</v>
      </c>
      <c r="P207" s="21">
        <v>0</v>
      </c>
      <c r="Q207" s="21">
        <v>226.99</v>
      </c>
      <c r="R207" s="21">
        <v>6579.3</v>
      </c>
      <c r="S207" s="21">
        <v>595.15</v>
      </c>
      <c r="T207" s="21">
        <v>0</v>
      </c>
      <c r="U207" s="21">
        <v>0</v>
      </c>
      <c r="V207" s="21">
        <v>0</v>
      </c>
      <c r="W207" s="21">
        <v>54.7</v>
      </c>
      <c r="X207" s="21">
        <v>0</v>
      </c>
      <c r="Y207" s="21">
        <v>5929.45</v>
      </c>
      <c r="Z207" s="21">
        <v>493.45</v>
      </c>
      <c r="AA207" s="21">
        <v>0</v>
      </c>
      <c r="AB207" s="21">
        <v>0</v>
      </c>
      <c r="AC207" s="21">
        <v>1815200</v>
      </c>
    </row>
    <row r="208" spans="1:29" hidden="1" outlineLevel="2">
      <c r="A208" s="21">
        <v>467</v>
      </c>
      <c r="B208" s="21">
        <v>3400061</v>
      </c>
      <c r="C208" s="21">
        <v>34000612</v>
      </c>
      <c r="D208" s="21" t="s">
        <v>1330</v>
      </c>
      <c r="E208" s="21" t="s">
        <v>1329</v>
      </c>
      <c r="F208" s="21">
        <v>815200</v>
      </c>
      <c r="G208" s="21" t="s">
        <v>1151</v>
      </c>
      <c r="H208" s="21">
        <v>90541</v>
      </c>
      <c r="I208" s="21">
        <v>0</v>
      </c>
      <c r="J208" s="21">
        <v>73</v>
      </c>
      <c r="K208" s="21">
        <v>2</v>
      </c>
      <c r="L208" s="21">
        <v>0</v>
      </c>
      <c r="M208" s="21">
        <v>1032.8</v>
      </c>
      <c r="N208" s="61">
        <f t="shared" si="9"/>
        <v>0.86066666666666658</v>
      </c>
      <c r="O208" s="60">
        <v>102524.16</v>
      </c>
      <c r="P208" s="21">
        <v>14438.7</v>
      </c>
      <c r="Q208" s="21">
        <v>3771.26</v>
      </c>
      <c r="R208" s="21">
        <v>78180.600000000006</v>
      </c>
      <c r="S208" s="21">
        <v>0</v>
      </c>
      <c r="T208" s="21">
        <v>5359</v>
      </c>
      <c r="U208" s="21">
        <v>0</v>
      </c>
      <c r="V208" s="21">
        <v>0</v>
      </c>
      <c r="W208" s="21">
        <v>4201.8</v>
      </c>
      <c r="X208" s="21">
        <v>0</v>
      </c>
      <c r="Y208" s="21">
        <v>68619.8</v>
      </c>
      <c r="Z208" s="21">
        <v>5863.6</v>
      </c>
      <c r="AA208" s="21">
        <v>0</v>
      </c>
      <c r="AB208" s="21">
        <v>270</v>
      </c>
      <c r="AC208" s="21">
        <v>1815200</v>
      </c>
    </row>
    <row r="209" spans="1:29" hidden="1" outlineLevel="2">
      <c r="A209" s="21">
        <v>467</v>
      </c>
      <c r="B209" s="21">
        <v>3426349</v>
      </c>
      <c r="C209" s="21">
        <v>34263491</v>
      </c>
      <c r="D209" s="21" t="s">
        <v>1323</v>
      </c>
      <c r="E209" s="21" t="s">
        <v>1307</v>
      </c>
      <c r="F209" s="21">
        <v>815200</v>
      </c>
      <c r="G209" s="21" t="s">
        <v>1151</v>
      </c>
      <c r="H209" s="21">
        <v>90541</v>
      </c>
      <c r="I209" s="21">
        <v>0</v>
      </c>
      <c r="J209" s="21">
        <v>93</v>
      </c>
      <c r="K209" s="21">
        <v>2</v>
      </c>
      <c r="L209" s="21">
        <v>0</v>
      </c>
      <c r="M209" s="21">
        <v>1540</v>
      </c>
      <c r="N209" s="61">
        <f t="shared" si="9"/>
        <v>1.2833333333333334</v>
      </c>
      <c r="O209" s="60">
        <v>188498.24</v>
      </c>
      <c r="P209" s="21">
        <v>27119</v>
      </c>
      <c r="Q209" s="21">
        <v>7458.77</v>
      </c>
      <c r="R209" s="21">
        <v>142846.97</v>
      </c>
      <c r="S209" s="21">
        <v>0</v>
      </c>
      <c r="T209" s="21">
        <v>6386</v>
      </c>
      <c r="U209" s="21">
        <v>0</v>
      </c>
      <c r="V209" s="21">
        <v>0</v>
      </c>
      <c r="W209" s="21">
        <v>994.2</v>
      </c>
      <c r="X209" s="21">
        <v>2.95</v>
      </c>
      <c r="Y209" s="21">
        <v>135463.82</v>
      </c>
      <c r="Z209" s="21">
        <v>10713.5</v>
      </c>
      <c r="AA209" s="21">
        <v>0</v>
      </c>
      <c r="AB209" s="21">
        <v>360</v>
      </c>
      <c r="AC209" s="21">
        <v>1815200</v>
      </c>
    </row>
    <row r="210" spans="1:29" hidden="1" outlineLevel="2">
      <c r="A210" s="21">
        <v>467</v>
      </c>
      <c r="B210" s="21">
        <v>3426643</v>
      </c>
      <c r="C210" s="21">
        <v>34266437</v>
      </c>
      <c r="D210" s="21" t="s">
        <v>1192</v>
      </c>
      <c r="E210" s="21" t="s">
        <v>1328</v>
      </c>
      <c r="F210" s="21">
        <v>815200</v>
      </c>
      <c r="G210" s="21" t="s">
        <v>1151</v>
      </c>
      <c r="H210" s="21">
        <v>90541</v>
      </c>
      <c r="I210" s="21">
        <v>0</v>
      </c>
      <c r="J210" s="21">
        <v>73</v>
      </c>
      <c r="K210" s="21">
        <v>2</v>
      </c>
      <c r="L210" s="21">
        <v>0</v>
      </c>
      <c r="M210" s="21">
        <v>932.8</v>
      </c>
      <c r="N210" s="61">
        <f t="shared" si="9"/>
        <v>0.77733333333333332</v>
      </c>
      <c r="O210" s="60">
        <v>108286.25</v>
      </c>
      <c r="P210" s="21">
        <v>14657.65</v>
      </c>
      <c r="Q210" s="21">
        <v>4170.05</v>
      </c>
      <c r="R210" s="21">
        <v>82977.25</v>
      </c>
      <c r="S210" s="21">
        <v>2536.4</v>
      </c>
      <c r="T210" s="21">
        <v>6386</v>
      </c>
      <c r="U210" s="21">
        <v>0</v>
      </c>
      <c r="V210" s="21">
        <v>0</v>
      </c>
      <c r="W210" s="21">
        <v>4055.2</v>
      </c>
      <c r="X210" s="21">
        <v>19.899999999999999</v>
      </c>
      <c r="Y210" s="21">
        <v>69979.75</v>
      </c>
      <c r="Z210" s="21">
        <v>6241.3</v>
      </c>
      <c r="AA210" s="21">
        <v>0</v>
      </c>
      <c r="AB210" s="21">
        <v>240</v>
      </c>
      <c r="AC210" s="21">
        <v>1815200</v>
      </c>
    </row>
    <row r="211" spans="1:29" hidden="1" outlineLevel="2">
      <c r="A211" s="21">
        <v>467</v>
      </c>
      <c r="B211" s="21">
        <v>3483421</v>
      </c>
      <c r="C211" s="21">
        <v>34834218</v>
      </c>
      <c r="D211" s="21" t="s">
        <v>1153</v>
      </c>
      <c r="E211" s="21" t="s">
        <v>1212</v>
      </c>
      <c r="F211" s="21">
        <v>815200</v>
      </c>
      <c r="G211" s="21" t="s">
        <v>1151</v>
      </c>
      <c r="H211" s="21">
        <v>90541</v>
      </c>
      <c r="I211" s="21">
        <v>0</v>
      </c>
      <c r="J211" s="21">
        <v>93</v>
      </c>
      <c r="K211" s="21">
        <v>2</v>
      </c>
      <c r="L211" s="21">
        <v>0</v>
      </c>
      <c r="M211" s="21">
        <v>280</v>
      </c>
      <c r="N211" s="61">
        <f t="shared" si="9"/>
        <v>0.23333333333333334</v>
      </c>
      <c r="O211" s="60">
        <v>20337.96</v>
      </c>
      <c r="P211" s="21">
        <v>0</v>
      </c>
      <c r="Q211" s="21">
        <v>632.41</v>
      </c>
      <c r="R211" s="21">
        <v>18330.75</v>
      </c>
      <c r="S211" s="21">
        <v>0</v>
      </c>
      <c r="T211" s="21">
        <v>0</v>
      </c>
      <c r="U211" s="21">
        <v>0</v>
      </c>
      <c r="V211" s="21">
        <v>0</v>
      </c>
      <c r="W211" s="21">
        <v>547</v>
      </c>
      <c r="X211" s="21">
        <v>1.35</v>
      </c>
      <c r="Y211" s="21">
        <v>17782.400000000001</v>
      </c>
      <c r="Z211" s="21">
        <v>1374.8</v>
      </c>
      <c r="AA211" s="21">
        <v>0</v>
      </c>
      <c r="AB211" s="21">
        <v>0</v>
      </c>
      <c r="AC211" s="21">
        <v>1815200</v>
      </c>
    </row>
    <row r="212" spans="1:29" hidden="1" outlineLevel="2">
      <c r="A212" s="21">
        <v>467</v>
      </c>
      <c r="B212" s="21">
        <v>3599930</v>
      </c>
      <c r="C212" s="21">
        <v>35999309</v>
      </c>
      <c r="D212" s="21" t="s">
        <v>1327</v>
      </c>
      <c r="E212" s="21" t="s">
        <v>1326</v>
      </c>
      <c r="F212" s="21">
        <v>815200</v>
      </c>
      <c r="G212" s="21" t="s">
        <v>1151</v>
      </c>
      <c r="H212" s="21">
        <v>90541</v>
      </c>
      <c r="I212" s="21">
        <v>0</v>
      </c>
      <c r="J212" s="21">
        <v>93</v>
      </c>
      <c r="K212" s="21">
        <v>2</v>
      </c>
      <c r="L212" s="21">
        <v>0</v>
      </c>
      <c r="M212" s="21">
        <v>350</v>
      </c>
      <c r="N212" s="61">
        <f t="shared" si="9"/>
        <v>0.29166666666666669</v>
      </c>
      <c r="O212" s="60">
        <v>33926.28</v>
      </c>
      <c r="P212" s="21">
        <v>0</v>
      </c>
      <c r="Q212" s="21">
        <v>1327.13</v>
      </c>
      <c r="R212" s="21">
        <v>30324.85</v>
      </c>
      <c r="S212" s="21">
        <v>0</v>
      </c>
      <c r="T212" s="21">
        <v>0</v>
      </c>
      <c r="U212" s="21">
        <v>0</v>
      </c>
      <c r="V212" s="21">
        <v>0</v>
      </c>
      <c r="W212" s="21">
        <v>170.2</v>
      </c>
      <c r="X212" s="21">
        <v>14.45</v>
      </c>
      <c r="Y212" s="21">
        <v>30140.2</v>
      </c>
      <c r="Z212" s="21">
        <v>2274.3000000000002</v>
      </c>
      <c r="AA212" s="21">
        <v>0</v>
      </c>
      <c r="AB212" s="21">
        <v>0</v>
      </c>
      <c r="AC212" s="21">
        <v>1815200</v>
      </c>
    </row>
    <row r="213" spans="1:29" hidden="1" outlineLevel="2">
      <c r="A213" s="21">
        <v>467</v>
      </c>
      <c r="B213" s="21">
        <v>3610566</v>
      </c>
      <c r="C213" s="21">
        <v>36105666</v>
      </c>
      <c r="D213" s="21" t="s">
        <v>1325</v>
      </c>
      <c r="E213" s="21" t="s">
        <v>1324</v>
      </c>
      <c r="F213" s="21">
        <v>815200</v>
      </c>
      <c r="G213" s="21" t="s">
        <v>1151</v>
      </c>
      <c r="H213" s="21">
        <v>90541</v>
      </c>
      <c r="I213" s="21">
        <v>0</v>
      </c>
      <c r="J213" s="21">
        <v>93</v>
      </c>
      <c r="K213" s="21">
        <v>1</v>
      </c>
      <c r="L213" s="21">
        <v>0</v>
      </c>
      <c r="M213" s="21">
        <v>400</v>
      </c>
      <c r="N213" s="61">
        <f t="shared" si="9"/>
        <v>0.33333333333333331</v>
      </c>
      <c r="O213" s="60">
        <v>44587.99</v>
      </c>
      <c r="P213" s="21">
        <v>0</v>
      </c>
      <c r="Q213" s="21">
        <v>1957.04</v>
      </c>
      <c r="R213" s="21">
        <v>39656.699999999997</v>
      </c>
      <c r="S213" s="21">
        <v>0</v>
      </c>
      <c r="T213" s="21">
        <v>0</v>
      </c>
      <c r="U213" s="21">
        <v>0</v>
      </c>
      <c r="V213" s="21">
        <v>0</v>
      </c>
      <c r="W213" s="21">
        <v>4946.3999999999996</v>
      </c>
      <c r="X213" s="21">
        <v>0</v>
      </c>
      <c r="Y213" s="21">
        <v>34710.300000000003</v>
      </c>
      <c r="Z213" s="21">
        <v>2974.25</v>
      </c>
      <c r="AA213" s="21">
        <v>0</v>
      </c>
      <c r="AB213" s="21">
        <v>0</v>
      </c>
      <c r="AC213" s="21">
        <v>1815200</v>
      </c>
    </row>
    <row r="214" spans="1:29" hidden="1" outlineLevel="2">
      <c r="A214" s="21">
        <v>467</v>
      </c>
      <c r="B214" s="21">
        <v>3623325</v>
      </c>
      <c r="C214" s="21">
        <v>36233252</v>
      </c>
      <c r="D214" s="21" t="s">
        <v>1323</v>
      </c>
      <c r="E214" s="21" t="s">
        <v>1322</v>
      </c>
      <c r="F214" s="21">
        <v>815200</v>
      </c>
      <c r="G214" s="21" t="s">
        <v>1151</v>
      </c>
      <c r="H214" s="21">
        <v>90541</v>
      </c>
      <c r="I214" s="21">
        <v>0</v>
      </c>
      <c r="J214" s="21">
        <v>73</v>
      </c>
      <c r="K214" s="21">
        <v>2</v>
      </c>
      <c r="L214" s="21">
        <v>0</v>
      </c>
      <c r="M214" s="21">
        <v>1041.5</v>
      </c>
      <c r="N214" s="61">
        <f t="shared" si="9"/>
        <v>0.86791666666666667</v>
      </c>
      <c r="O214" s="60">
        <v>106311.46</v>
      </c>
      <c r="P214" s="21">
        <v>14053.25</v>
      </c>
      <c r="Q214" s="21">
        <v>3635.83</v>
      </c>
      <c r="R214" s="21">
        <v>82110.63</v>
      </c>
      <c r="S214" s="21">
        <v>4463</v>
      </c>
      <c r="T214" s="21">
        <v>5606.65</v>
      </c>
      <c r="U214" s="21">
        <v>0</v>
      </c>
      <c r="V214" s="21">
        <v>0</v>
      </c>
      <c r="W214" s="21">
        <v>917.95</v>
      </c>
      <c r="X214" s="21">
        <v>0</v>
      </c>
      <c r="Y214" s="21">
        <v>71123.03</v>
      </c>
      <c r="Z214" s="21">
        <v>6181.75</v>
      </c>
      <c r="AA214" s="21">
        <v>0</v>
      </c>
      <c r="AB214" s="21">
        <v>330</v>
      </c>
      <c r="AC214" s="21">
        <v>1815200</v>
      </c>
    </row>
    <row r="215" spans="1:29" hidden="1" outlineLevel="2">
      <c r="A215" s="21">
        <v>467</v>
      </c>
      <c r="B215" s="21">
        <v>3623589</v>
      </c>
      <c r="C215" s="21">
        <v>36235893</v>
      </c>
      <c r="D215" s="21" t="s">
        <v>1321</v>
      </c>
      <c r="E215" s="21" t="s">
        <v>1320</v>
      </c>
      <c r="F215" s="21">
        <v>815200</v>
      </c>
      <c r="G215" s="21" t="s">
        <v>1151</v>
      </c>
      <c r="H215" s="21">
        <v>90541</v>
      </c>
      <c r="I215" s="21">
        <v>0</v>
      </c>
      <c r="J215" s="21">
        <v>73</v>
      </c>
      <c r="K215" s="21">
        <v>8</v>
      </c>
      <c r="L215" s="21">
        <v>0</v>
      </c>
      <c r="M215" s="21">
        <v>583.1</v>
      </c>
      <c r="N215" s="61">
        <f t="shared" si="9"/>
        <v>0.48591666666666666</v>
      </c>
      <c r="O215" s="60">
        <v>50125.94</v>
      </c>
      <c r="P215" s="21">
        <v>5308.2</v>
      </c>
      <c r="Q215" s="21">
        <v>1666.85</v>
      </c>
      <c r="R215" s="21">
        <v>39885.589999999997</v>
      </c>
      <c r="S215" s="21">
        <v>0</v>
      </c>
      <c r="T215" s="21">
        <v>1243.4000000000001</v>
      </c>
      <c r="U215" s="21">
        <v>0</v>
      </c>
      <c r="V215" s="21">
        <v>0</v>
      </c>
      <c r="W215" s="21">
        <v>2760</v>
      </c>
      <c r="X215" s="21">
        <v>7.85</v>
      </c>
      <c r="Y215" s="21">
        <v>35874.339999999997</v>
      </c>
      <c r="Z215" s="21">
        <v>3265.3</v>
      </c>
      <c r="AA215" s="21">
        <v>0</v>
      </c>
      <c r="AB215" s="21">
        <v>0</v>
      </c>
      <c r="AC215" s="21">
        <v>1815200</v>
      </c>
    </row>
    <row r="216" spans="1:29" hidden="1" outlineLevel="2">
      <c r="A216" s="21">
        <v>467</v>
      </c>
      <c r="B216" s="21">
        <v>3671099</v>
      </c>
      <c r="C216" s="21">
        <v>36710994</v>
      </c>
      <c r="D216" s="21" t="s">
        <v>1298</v>
      </c>
      <c r="E216" s="21" t="s">
        <v>1319</v>
      </c>
      <c r="F216" s="21">
        <v>815200</v>
      </c>
      <c r="G216" s="21" t="s">
        <v>1151</v>
      </c>
      <c r="H216" s="21">
        <v>90541</v>
      </c>
      <c r="I216" s="21">
        <v>0</v>
      </c>
      <c r="J216" s="21">
        <v>93</v>
      </c>
      <c r="K216" s="21">
        <v>2</v>
      </c>
      <c r="L216" s="21">
        <v>0</v>
      </c>
      <c r="M216" s="21">
        <v>1500</v>
      </c>
      <c r="N216" s="61">
        <f t="shared" si="9"/>
        <v>1.25</v>
      </c>
      <c r="O216" s="60">
        <v>171723.19</v>
      </c>
      <c r="P216" s="21">
        <v>19818.2</v>
      </c>
      <c r="Q216" s="21">
        <v>6908.1</v>
      </c>
      <c r="R216" s="21">
        <v>134545.99</v>
      </c>
      <c r="S216" s="21">
        <v>0</v>
      </c>
      <c r="T216" s="21">
        <v>5359</v>
      </c>
      <c r="U216" s="21">
        <v>0</v>
      </c>
      <c r="V216" s="21">
        <v>0</v>
      </c>
      <c r="W216" s="21">
        <v>11764.4</v>
      </c>
      <c r="X216" s="21">
        <v>2.4</v>
      </c>
      <c r="Y216" s="21">
        <v>117420.19</v>
      </c>
      <c r="Z216" s="21">
        <v>10090.9</v>
      </c>
      <c r="AA216" s="21">
        <v>0</v>
      </c>
      <c r="AB216" s="21">
        <v>360</v>
      </c>
      <c r="AC216" s="21">
        <v>1815200</v>
      </c>
    </row>
    <row r="217" spans="1:29" hidden="1" outlineLevel="2">
      <c r="A217" s="21">
        <v>467</v>
      </c>
      <c r="B217" s="21">
        <v>3738773</v>
      </c>
      <c r="C217" s="21">
        <v>37387735</v>
      </c>
      <c r="D217" s="21" t="s">
        <v>1249</v>
      </c>
      <c r="E217" s="21" t="s">
        <v>1318</v>
      </c>
      <c r="F217" s="21">
        <v>815200</v>
      </c>
      <c r="G217" s="21" t="s">
        <v>1151</v>
      </c>
      <c r="H217" s="21">
        <v>90541</v>
      </c>
      <c r="I217" s="21">
        <v>0</v>
      </c>
      <c r="J217" s="21">
        <v>93</v>
      </c>
      <c r="K217" s="21">
        <v>2</v>
      </c>
      <c r="L217" s="21">
        <v>0</v>
      </c>
      <c r="M217" s="21">
        <v>1386.4</v>
      </c>
      <c r="N217" s="61">
        <f t="shared" si="9"/>
        <v>1.1553333333333333</v>
      </c>
      <c r="O217" s="60">
        <v>143568.24</v>
      </c>
      <c r="P217" s="21">
        <v>21731.7</v>
      </c>
      <c r="Q217" s="21">
        <v>5185.8900000000003</v>
      </c>
      <c r="R217" s="21">
        <v>108400.7</v>
      </c>
      <c r="S217" s="21">
        <v>0</v>
      </c>
      <c r="T217" s="21">
        <v>5359</v>
      </c>
      <c r="U217" s="21">
        <v>0</v>
      </c>
      <c r="V217" s="21">
        <v>0</v>
      </c>
      <c r="W217" s="21">
        <v>11407.2</v>
      </c>
      <c r="X217" s="21">
        <v>0.5</v>
      </c>
      <c r="Y217" s="21">
        <v>91634</v>
      </c>
      <c r="Z217" s="21">
        <v>8129.95</v>
      </c>
      <c r="AA217" s="21">
        <v>0</v>
      </c>
      <c r="AB217" s="21">
        <v>120</v>
      </c>
      <c r="AC217" s="21">
        <v>1815200</v>
      </c>
    </row>
    <row r="218" spans="1:29" hidden="1" outlineLevel="2">
      <c r="A218" s="21">
        <v>467</v>
      </c>
      <c r="B218" s="21">
        <v>3740909</v>
      </c>
      <c r="C218" s="21">
        <v>37409091</v>
      </c>
      <c r="D218" s="21" t="s">
        <v>1153</v>
      </c>
      <c r="E218" s="21" t="s">
        <v>1257</v>
      </c>
      <c r="F218" s="21">
        <v>815200</v>
      </c>
      <c r="G218" s="21" t="s">
        <v>1151</v>
      </c>
      <c r="H218" s="21">
        <v>90541</v>
      </c>
      <c r="I218" s="21">
        <v>0</v>
      </c>
      <c r="J218" s="21">
        <v>93</v>
      </c>
      <c r="K218" s="21">
        <v>2</v>
      </c>
      <c r="L218" s="21">
        <v>0</v>
      </c>
      <c r="M218" s="21">
        <v>1510</v>
      </c>
      <c r="N218" s="61">
        <f t="shared" si="9"/>
        <v>1.2583333333333333</v>
      </c>
      <c r="O218" s="60">
        <v>191434.7</v>
      </c>
      <c r="P218" s="21">
        <v>22494.35</v>
      </c>
      <c r="Q218" s="21">
        <v>7914.49</v>
      </c>
      <c r="R218" s="21">
        <v>149456.63</v>
      </c>
      <c r="S218" s="21">
        <v>0</v>
      </c>
      <c r="T218" s="21">
        <v>6386</v>
      </c>
      <c r="U218" s="21">
        <v>0</v>
      </c>
      <c r="V218" s="21">
        <v>0</v>
      </c>
      <c r="W218" s="21">
        <v>419.25</v>
      </c>
      <c r="X218" s="21">
        <v>14.5</v>
      </c>
      <c r="Y218" s="21">
        <v>142636.88</v>
      </c>
      <c r="Z218" s="21">
        <v>11209.23</v>
      </c>
      <c r="AA218" s="21">
        <v>0</v>
      </c>
      <c r="AB218" s="21">
        <v>360</v>
      </c>
      <c r="AC218" s="21">
        <v>1815200</v>
      </c>
    </row>
    <row r="219" spans="1:29" hidden="1" outlineLevel="2">
      <c r="A219" s="21">
        <v>467</v>
      </c>
      <c r="B219" s="21">
        <v>3902265</v>
      </c>
      <c r="C219" s="21">
        <v>39022652</v>
      </c>
      <c r="D219" s="21" t="s">
        <v>1317</v>
      </c>
      <c r="E219" s="21" t="s">
        <v>1316</v>
      </c>
      <c r="F219" s="21">
        <v>815200</v>
      </c>
      <c r="G219" s="21" t="s">
        <v>1151</v>
      </c>
      <c r="H219" s="21">
        <v>90541</v>
      </c>
      <c r="I219" s="21">
        <v>0</v>
      </c>
      <c r="J219" s="21">
        <v>73</v>
      </c>
      <c r="K219" s="21">
        <v>2</v>
      </c>
      <c r="L219" s="21">
        <v>0</v>
      </c>
      <c r="M219" s="21">
        <v>1400</v>
      </c>
      <c r="N219" s="61">
        <f t="shared" si="9"/>
        <v>1.1666666666666667</v>
      </c>
      <c r="O219" s="60">
        <v>153864.67000000001</v>
      </c>
      <c r="P219" s="21">
        <v>16357.55</v>
      </c>
      <c r="Q219" s="21">
        <v>6009.53</v>
      </c>
      <c r="R219" s="21">
        <v>121988.34</v>
      </c>
      <c r="S219" s="21">
        <v>6104.2</v>
      </c>
      <c r="T219" s="21">
        <v>4505</v>
      </c>
      <c r="U219" s="21">
        <v>0</v>
      </c>
      <c r="V219" s="21">
        <v>0</v>
      </c>
      <c r="W219" s="21">
        <v>12127.2</v>
      </c>
      <c r="X219" s="21">
        <v>5.95</v>
      </c>
      <c r="Y219" s="21">
        <v>99245.99</v>
      </c>
      <c r="Z219" s="21">
        <v>9149.25</v>
      </c>
      <c r="AA219" s="21">
        <v>0</v>
      </c>
      <c r="AB219" s="21">
        <v>360</v>
      </c>
      <c r="AC219" s="21">
        <v>1815200</v>
      </c>
    </row>
    <row r="220" spans="1:29" hidden="1" outlineLevel="2">
      <c r="A220" s="21">
        <v>467</v>
      </c>
      <c r="B220" s="21">
        <v>4046144</v>
      </c>
      <c r="C220" s="21">
        <v>40461444</v>
      </c>
      <c r="D220" s="21" t="s">
        <v>1315</v>
      </c>
      <c r="E220" s="21" t="s">
        <v>1314</v>
      </c>
      <c r="F220" s="21">
        <v>815200</v>
      </c>
      <c r="G220" s="21" t="s">
        <v>1151</v>
      </c>
      <c r="H220" s="21">
        <v>90541</v>
      </c>
      <c r="I220" s="21">
        <v>0</v>
      </c>
      <c r="J220" s="21">
        <v>93</v>
      </c>
      <c r="K220" s="21">
        <v>2</v>
      </c>
      <c r="L220" s="21">
        <v>0</v>
      </c>
      <c r="M220" s="21">
        <v>1032.8</v>
      </c>
      <c r="N220" s="61">
        <f t="shared" si="9"/>
        <v>0.86066666666666658</v>
      </c>
      <c r="O220" s="60">
        <v>124614.78</v>
      </c>
      <c r="P220" s="21">
        <v>16129.4</v>
      </c>
      <c r="Q220" s="21">
        <v>4321.9799999999996</v>
      </c>
      <c r="R220" s="21">
        <v>96561.25</v>
      </c>
      <c r="S220" s="21">
        <v>6732.1</v>
      </c>
      <c r="T220" s="21">
        <v>3728.7</v>
      </c>
      <c r="U220" s="21">
        <v>0</v>
      </c>
      <c r="V220" s="21">
        <v>0</v>
      </c>
      <c r="W220" s="21">
        <v>411</v>
      </c>
      <c r="X220" s="21">
        <v>0</v>
      </c>
      <c r="Y220" s="21">
        <v>85689.45</v>
      </c>
      <c r="Z220" s="21">
        <v>7242.15</v>
      </c>
      <c r="AA220" s="21">
        <v>0</v>
      </c>
      <c r="AB220" s="21">
        <v>360</v>
      </c>
      <c r="AC220" s="21">
        <v>1815200</v>
      </c>
    </row>
    <row r="221" spans="1:29" hidden="1" outlineLevel="2">
      <c r="A221" s="21">
        <v>467</v>
      </c>
      <c r="B221" s="21">
        <v>4051041</v>
      </c>
      <c r="C221" s="21">
        <v>40510414</v>
      </c>
      <c r="D221" s="21" t="s">
        <v>1260</v>
      </c>
      <c r="E221" s="21" t="s">
        <v>1176</v>
      </c>
      <c r="F221" s="21">
        <v>815200</v>
      </c>
      <c r="G221" s="21" t="s">
        <v>1151</v>
      </c>
      <c r="H221" s="21">
        <v>90541</v>
      </c>
      <c r="I221" s="21">
        <v>0</v>
      </c>
      <c r="J221" s="21">
        <v>93</v>
      </c>
      <c r="K221" s="21">
        <v>2</v>
      </c>
      <c r="L221" s="21">
        <v>0</v>
      </c>
      <c r="M221" s="21">
        <v>1200</v>
      </c>
      <c r="N221" s="61">
        <f t="shared" ref="N221:N246" si="10">+M221/1200</f>
        <v>1</v>
      </c>
      <c r="O221" s="60">
        <v>82632.600000000006</v>
      </c>
      <c r="P221" s="21">
        <v>12353.9</v>
      </c>
      <c r="Q221" s="21">
        <v>2705.44</v>
      </c>
      <c r="R221" s="21">
        <v>62579.25</v>
      </c>
      <c r="S221" s="21">
        <v>0</v>
      </c>
      <c r="T221" s="21">
        <v>2989</v>
      </c>
      <c r="U221" s="21">
        <v>0</v>
      </c>
      <c r="V221" s="21">
        <v>0</v>
      </c>
      <c r="W221" s="21">
        <v>583.20000000000005</v>
      </c>
      <c r="X221" s="21">
        <v>4.9000000000000004</v>
      </c>
      <c r="Y221" s="21">
        <v>59002.15</v>
      </c>
      <c r="Z221" s="21">
        <v>4692.83</v>
      </c>
      <c r="AA221" s="21">
        <v>0</v>
      </c>
      <c r="AB221" s="21">
        <v>301.18</v>
      </c>
      <c r="AC221" s="21">
        <v>1815200</v>
      </c>
    </row>
    <row r="222" spans="1:29" hidden="1" outlineLevel="2">
      <c r="A222" s="21">
        <v>467</v>
      </c>
      <c r="B222" s="21">
        <v>4306376</v>
      </c>
      <c r="C222" s="21">
        <v>43063767</v>
      </c>
      <c r="D222" s="21" t="s">
        <v>1205</v>
      </c>
      <c r="E222" s="21" t="s">
        <v>1313</v>
      </c>
      <c r="F222" s="21">
        <v>815200</v>
      </c>
      <c r="G222" s="21" t="s">
        <v>1151</v>
      </c>
      <c r="H222" s="21">
        <v>90541</v>
      </c>
      <c r="I222" s="21">
        <v>0</v>
      </c>
      <c r="J222" s="21">
        <v>73</v>
      </c>
      <c r="K222" s="21">
        <v>2</v>
      </c>
      <c r="L222" s="21">
        <v>0</v>
      </c>
      <c r="M222" s="21">
        <v>566.4</v>
      </c>
      <c r="N222" s="61">
        <f t="shared" si="10"/>
        <v>0.47199999999999998</v>
      </c>
      <c r="O222" s="60">
        <v>46140.31</v>
      </c>
      <c r="P222" s="21">
        <v>5968.85</v>
      </c>
      <c r="Q222" s="21">
        <v>1268.6500000000001</v>
      </c>
      <c r="R222" s="21">
        <v>35965.360000000001</v>
      </c>
      <c r="S222" s="21">
        <v>0</v>
      </c>
      <c r="T222" s="21">
        <v>379</v>
      </c>
      <c r="U222" s="21">
        <v>0</v>
      </c>
      <c r="V222" s="21">
        <v>0</v>
      </c>
      <c r="W222" s="21">
        <v>6635.2</v>
      </c>
      <c r="X222" s="21">
        <v>19.850000000000001</v>
      </c>
      <c r="Y222" s="21">
        <v>28931.31</v>
      </c>
      <c r="Z222" s="21">
        <v>2697.45</v>
      </c>
      <c r="AA222" s="21">
        <v>0</v>
      </c>
      <c r="AB222" s="21">
        <v>240</v>
      </c>
      <c r="AC222" s="21">
        <v>1815200</v>
      </c>
    </row>
    <row r="223" spans="1:29" hidden="1" outlineLevel="2">
      <c r="A223" s="21">
        <v>467</v>
      </c>
      <c r="B223" s="21">
        <v>4322131</v>
      </c>
      <c r="C223" s="21">
        <v>43221316</v>
      </c>
      <c r="D223" s="21" t="s">
        <v>1312</v>
      </c>
      <c r="E223" s="21" t="s">
        <v>1176</v>
      </c>
      <c r="F223" s="21">
        <v>815200</v>
      </c>
      <c r="G223" s="21" t="s">
        <v>1151</v>
      </c>
      <c r="H223" s="21">
        <v>90541</v>
      </c>
      <c r="I223" s="21">
        <v>0</v>
      </c>
      <c r="J223" s="21">
        <v>93</v>
      </c>
      <c r="K223" s="21">
        <v>2</v>
      </c>
      <c r="L223" s="21">
        <v>0</v>
      </c>
      <c r="M223" s="21">
        <v>1064.8</v>
      </c>
      <c r="N223" s="61">
        <f t="shared" si="10"/>
        <v>0.88733333333333331</v>
      </c>
      <c r="O223" s="60">
        <v>122687.06</v>
      </c>
      <c r="P223" s="21">
        <v>17464.400000000001</v>
      </c>
      <c r="Q223" s="21">
        <v>4206.26</v>
      </c>
      <c r="R223" s="21">
        <v>93633.75</v>
      </c>
      <c r="S223" s="21">
        <v>0</v>
      </c>
      <c r="T223" s="21">
        <v>3949.5</v>
      </c>
      <c r="U223" s="21">
        <v>0</v>
      </c>
      <c r="V223" s="21">
        <v>0</v>
      </c>
      <c r="W223" s="21">
        <v>10141.799999999999</v>
      </c>
      <c r="X223" s="21">
        <v>0.55000000000000004</v>
      </c>
      <c r="Y223" s="21">
        <v>79541.899999999994</v>
      </c>
      <c r="Z223" s="21">
        <v>7022.65</v>
      </c>
      <c r="AA223" s="21">
        <v>0</v>
      </c>
      <c r="AB223" s="21">
        <v>360</v>
      </c>
      <c r="AC223" s="21">
        <v>1815200</v>
      </c>
    </row>
    <row r="224" spans="1:29" hidden="1" outlineLevel="2">
      <c r="A224" s="21">
        <v>467</v>
      </c>
      <c r="B224" s="21">
        <v>4982716</v>
      </c>
      <c r="C224" s="21">
        <v>49827165</v>
      </c>
      <c r="D224" s="21" t="s">
        <v>1311</v>
      </c>
      <c r="E224" s="21" t="s">
        <v>1310</v>
      </c>
      <c r="F224" s="21">
        <v>815200</v>
      </c>
      <c r="G224" s="21" t="s">
        <v>1151</v>
      </c>
      <c r="H224" s="21">
        <v>90541</v>
      </c>
      <c r="I224" s="21">
        <v>0</v>
      </c>
      <c r="J224" s="21">
        <v>73</v>
      </c>
      <c r="K224" s="21">
        <v>2</v>
      </c>
      <c r="L224" s="21">
        <v>0</v>
      </c>
      <c r="M224" s="21">
        <v>300</v>
      </c>
      <c r="N224" s="61">
        <f t="shared" si="10"/>
        <v>0.25</v>
      </c>
      <c r="O224" s="60">
        <v>38316.720000000001</v>
      </c>
      <c r="P224" s="21">
        <v>5059.3999999999996</v>
      </c>
      <c r="Q224" s="21">
        <v>1233.5999999999999</v>
      </c>
      <c r="R224" s="21">
        <v>29321.27</v>
      </c>
      <c r="S224" s="21">
        <v>0</v>
      </c>
      <c r="T224" s="21">
        <v>1318</v>
      </c>
      <c r="U224" s="21">
        <v>0</v>
      </c>
      <c r="V224" s="21">
        <v>0</v>
      </c>
      <c r="W224" s="21">
        <v>3794</v>
      </c>
      <c r="X224" s="21">
        <v>0</v>
      </c>
      <c r="Y224" s="21">
        <v>24209.27</v>
      </c>
      <c r="Z224" s="21">
        <v>2462.4499999999998</v>
      </c>
      <c r="AA224" s="21">
        <v>0</v>
      </c>
      <c r="AB224" s="21">
        <v>240</v>
      </c>
      <c r="AC224" s="21">
        <v>1815200</v>
      </c>
    </row>
    <row r="225" spans="1:29" hidden="1" outlineLevel="2">
      <c r="A225" s="21">
        <v>467</v>
      </c>
      <c r="B225" s="21">
        <v>5373373</v>
      </c>
      <c r="C225" s="21">
        <v>53733739</v>
      </c>
      <c r="D225" s="21" t="s">
        <v>1309</v>
      </c>
      <c r="E225" s="21" t="s">
        <v>1293</v>
      </c>
      <c r="F225" s="21">
        <v>815200</v>
      </c>
      <c r="G225" s="21" t="s">
        <v>1151</v>
      </c>
      <c r="H225" s="21">
        <v>90541</v>
      </c>
      <c r="I225" s="21">
        <v>0</v>
      </c>
      <c r="J225" s="21">
        <v>73</v>
      </c>
      <c r="K225" s="21">
        <v>2</v>
      </c>
      <c r="L225" s="21">
        <v>0</v>
      </c>
      <c r="M225" s="21">
        <v>1532.8</v>
      </c>
      <c r="N225" s="61">
        <f t="shared" si="10"/>
        <v>1.2773333333333332</v>
      </c>
      <c r="O225" s="60">
        <v>189915.11</v>
      </c>
      <c r="P225" s="21">
        <v>26513.9</v>
      </c>
      <c r="Q225" s="21">
        <v>7608.43</v>
      </c>
      <c r="R225" s="21">
        <v>144563.48000000001</v>
      </c>
      <c r="S225" s="21">
        <v>-40.25</v>
      </c>
      <c r="T225" s="21">
        <v>7667</v>
      </c>
      <c r="U225" s="21">
        <v>0</v>
      </c>
      <c r="V225" s="21">
        <v>0</v>
      </c>
      <c r="W225" s="21">
        <v>10430</v>
      </c>
      <c r="X225" s="21">
        <v>1.55</v>
      </c>
      <c r="Y225" s="21">
        <v>126505.18</v>
      </c>
      <c r="Z225" s="21">
        <v>10869.3</v>
      </c>
      <c r="AA225" s="21">
        <v>0</v>
      </c>
      <c r="AB225" s="21">
        <v>360</v>
      </c>
      <c r="AC225" s="21">
        <v>1815200</v>
      </c>
    </row>
    <row r="226" spans="1:29" hidden="1" outlineLevel="2">
      <c r="A226" s="21">
        <v>467</v>
      </c>
      <c r="B226" s="21">
        <v>5518344</v>
      </c>
      <c r="C226" s="21">
        <v>55183446</v>
      </c>
      <c r="D226" s="21" t="s">
        <v>1308</v>
      </c>
      <c r="E226" s="21" t="s">
        <v>1307</v>
      </c>
      <c r="F226" s="21">
        <v>815200</v>
      </c>
      <c r="G226" s="21" t="s">
        <v>1151</v>
      </c>
      <c r="H226" s="21">
        <v>90541</v>
      </c>
      <c r="I226" s="21">
        <v>0</v>
      </c>
      <c r="J226" s="21">
        <v>37</v>
      </c>
      <c r="K226" s="21">
        <v>0</v>
      </c>
      <c r="L226" s="21">
        <v>0</v>
      </c>
      <c r="M226" s="21">
        <v>1531.7</v>
      </c>
      <c r="N226" s="61">
        <f t="shared" si="10"/>
        <v>1.2764166666666668</v>
      </c>
      <c r="O226" s="60">
        <v>184922.7</v>
      </c>
      <c r="P226" s="21">
        <v>28095.200000000001</v>
      </c>
      <c r="Q226" s="21">
        <v>7225.62</v>
      </c>
      <c r="R226" s="21">
        <v>138804.48000000001</v>
      </c>
      <c r="S226" s="21">
        <v>0</v>
      </c>
      <c r="T226" s="21">
        <v>7240</v>
      </c>
      <c r="U226" s="21">
        <v>0</v>
      </c>
      <c r="V226" s="21">
        <v>0</v>
      </c>
      <c r="W226" s="21">
        <v>11258.45</v>
      </c>
      <c r="X226" s="21">
        <v>0</v>
      </c>
      <c r="Y226" s="21">
        <v>120306.03</v>
      </c>
      <c r="Z226" s="21">
        <v>10437.4</v>
      </c>
      <c r="AA226" s="21">
        <v>0</v>
      </c>
      <c r="AB226" s="21">
        <v>360</v>
      </c>
      <c r="AC226" s="21">
        <v>1815200</v>
      </c>
    </row>
    <row r="227" spans="1:29" hidden="1" outlineLevel="2">
      <c r="A227" s="21">
        <v>467</v>
      </c>
      <c r="B227" s="21">
        <v>5691699</v>
      </c>
      <c r="C227" s="21">
        <v>56916992</v>
      </c>
      <c r="D227" s="21" t="s">
        <v>1306</v>
      </c>
      <c r="E227" s="21" t="s">
        <v>1260</v>
      </c>
      <c r="F227" s="21">
        <v>815200</v>
      </c>
      <c r="G227" s="21" t="s">
        <v>1151</v>
      </c>
      <c r="H227" s="21">
        <v>90541</v>
      </c>
      <c r="I227" s="21">
        <v>0</v>
      </c>
      <c r="J227" s="21">
        <v>73</v>
      </c>
      <c r="K227" s="21">
        <v>2</v>
      </c>
      <c r="L227" s="21">
        <v>0</v>
      </c>
      <c r="M227" s="21">
        <v>1376.8</v>
      </c>
      <c r="N227" s="61">
        <f t="shared" si="10"/>
        <v>1.1473333333333333</v>
      </c>
      <c r="O227" s="60">
        <v>219012.2</v>
      </c>
      <c r="P227" s="21">
        <v>34644.400000000001</v>
      </c>
      <c r="Q227" s="21">
        <v>8846.2199999999993</v>
      </c>
      <c r="R227" s="21">
        <v>162915.82999999999</v>
      </c>
      <c r="S227" s="21">
        <v>-47.75</v>
      </c>
      <c r="T227" s="21">
        <v>7667</v>
      </c>
      <c r="U227" s="21">
        <v>0</v>
      </c>
      <c r="V227" s="21">
        <v>0</v>
      </c>
      <c r="W227" s="21">
        <v>7879.2</v>
      </c>
      <c r="X227" s="21">
        <v>0</v>
      </c>
      <c r="Y227" s="21">
        <v>147417.38</v>
      </c>
      <c r="Z227" s="21">
        <v>12245.75</v>
      </c>
      <c r="AA227" s="21">
        <v>0</v>
      </c>
      <c r="AB227" s="21">
        <v>360</v>
      </c>
      <c r="AC227" s="21">
        <v>1815200</v>
      </c>
    </row>
    <row r="228" spans="1:29" hidden="1" outlineLevel="2">
      <c r="A228" s="21">
        <v>467</v>
      </c>
      <c r="B228" s="21">
        <v>5762452</v>
      </c>
      <c r="C228" s="21">
        <v>57624520</v>
      </c>
      <c r="D228" s="21" t="s">
        <v>1305</v>
      </c>
      <c r="E228" s="21" t="s">
        <v>1304</v>
      </c>
      <c r="F228" s="21">
        <v>815200</v>
      </c>
      <c r="G228" s="21" t="s">
        <v>1151</v>
      </c>
      <c r="H228" s="21">
        <v>90541</v>
      </c>
      <c r="I228" s="21">
        <v>0</v>
      </c>
      <c r="J228" s="21">
        <v>73</v>
      </c>
      <c r="K228" s="21">
        <v>2</v>
      </c>
      <c r="L228" s="21">
        <v>0</v>
      </c>
      <c r="M228" s="21">
        <v>1387.2</v>
      </c>
      <c r="N228" s="61">
        <f t="shared" si="10"/>
        <v>1.1560000000000001</v>
      </c>
      <c r="O228" s="60">
        <v>252900.09</v>
      </c>
      <c r="P228" s="21">
        <v>40673.25</v>
      </c>
      <c r="Q228" s="21">
        <v>10490.73</v>
      </c>
      <c r="R228" s="21">
        <v>187301.56</v>
      </c>
      <c r="S228" s="21">
        <v>-58.9</v>
      </c>
      <c r="T228" s="21">
        <v>7666.75</v>
      </c>
      <c r="U228" s="21">
        <v>0</v>
      </c>
      <c r="V228" s="21">
        <v>2860.5</v>
      </c>
      <c r="W228" s="21">
        <v>11232</v>
      </c>
      <c r="X228" s="21">
        <v>0</v>
      </c>
      <c r="Y228" s="21">
        <v>165601.21</v>
      </c>
      <c r="Z228" s="21">
        <v>14074.55</v>
      </c>
      <c r="AA228" s="21">
        <v>0</v>
      </c>
      <c r="AB228" s="21">
        <v>360</v>
      </c>
      <c r="AC228" s="21">
        <v>1815200</v>
      </c>
    </row>
    <row r="229" spans="1:29" hidden="1" outlineLevel="2">
      <c r="A229" s="21">
        <v>467</v>
      </c>
      <c r="B229" s="21">
        <v>5818621</v>
      </c>
      <c r="C229" s="21">
        <v>58186214</v>
      </c>
      <c r="D229" s="21" t="s">
        <v>1243</v>
      </c>
      <c r="E229" s="21" t="s">
        <v>1242</v>
      </c>
      <c r="F229" s="21">
        <v>815200</v>
      </c>
      <c r="G229" s="21" t="s">
        <v>1151</v>
      </c>
      <c r="H229" s="21">
        <v>90541</v>
      </c>
      <c r="I229" s="21">
        <v>0</v>
      </c>
      <c r="J229" s="21">
        <v>93</v>
      </c>
      <c r="K229" s="21">
        <v>2</v>
      </c>
      <c r="L229" s="21">
        <v>0</v>
      </c>
      <c r="M229" s="21">
        <v>264.8</v>
      </c>
      <c r="N229" s="61">
        <f t="shared" si="10"/>
        <v>0.22066666666666668</v>
      </c>
      <c r="O229" s="60">
        <v>25136.93</v>
      </c>
      <c r="P229" s="21">
        <v>0</v>
      </c>
      <c r="Q229" s="21">
        <v>819.79</v>
      </c>
      <c r="R229" s="21">
        <v>22620.6</v>
      </c>
      <c r="S229" s="21">
        <v>0</v>
      </c>
      <c r="T229" s="21">
        <v>0</v>
      </c>
      <c r="U229" s="21">
        <v>0</v>
      </c>
      <c r="V229" s="21">
        <v>0</v>
      </c>
      <c r="W229" s="21">
        <v>128.80000000000001</v>
      </c>
      <c r="X229" s="21">
        <v>0</v>
      </c>
      <c r="Y229" s="21">
        <v>22491.8</v>
      </c>
      <c r="Z229" s="21">
        <v>1696.54</v>
      </c>
      <c r="AA229" s="21">
        <v>0</v>
      </c>
      <c r="AB229" s="21">
        <v>0</v>
      </c>
      <c r="AC229" s="21">
        <v>1815200</v>
      </c>
    </row>
    <row r="230" spans="1:29" hidden="1" outlineLevel="2">
      <c r="A230" s="21">
        <v>467</v>
      </c>
      <c r="B230" s="21">
        <v>5855874</v>
      </c>
      <c r="C230" s="21">
        <v>58558743</v>
      </c>
      <c r="D230" s="21" t="s">
        <v>1260</v>
      </c>
      <c r="E230" s="21" t="s">
        <v>1303</v>
      </c>
      <c r="F230" s="21">
        <v>815200</v>
      </c>
      <c r="G230" s="21" t="s">
        <v>1151</v>
      </c>
      <c r="H230" s="21">
        <v>90541</v>
      </c>
      <c r="I230" s="21">
        <v>0</v>
      </c>
      <c r="J230" s="21">
        <v>73</v>
      </c>
      <c r="K230" s="21">
        <v>1</v>
      </c>
      <c r="L230" s="21">
        <v>0</v>
      </c>
      <c r="M230" s="21">
        <v>436</v>
      </c>
      <c r="N230" s="61">
        <f t="shared" si="10"/>
        <v>0.36333333333333334</v>
      </c>
      <c r="O230" s="60">
        <v>58482.99</v>
      </c>
      <c r="P230" s="21">
        <v>9895.9</v>
      </c>
      <c r="Q230" s="21">
        <v>1945.2</v>
      </c>
      <c r="R230" s="21">
        <v>42710.239999999998</v>
      </c>
      <c r="S230" s="21">
        <v>0</v>
      </c>
      <c r="T230" s="21">
        <v>3946.65</v>
      </c>
      <c r="U230" s="21">
        <v>0</v>
      </c>
      <c r="V230" s="21">
        <v>0</v>
      </c>
      <c r="W230" s="21">
        <v>-742</v>
      </c>
      <c r="X230" s="21">
        <v>0</v>
      </c>
      <c r="Y230" s="21">
        <v>39505.589999999997</v>
      </c>
      <c r="Z230" s="21">
        <v>3691.65</v>
      </c>
      <c r="AA230" s="21">
        <v>0</v>
      </c>
      <c r="AB230" s="21">
        <v>240</v>
      </c>
      <c r="AC230" s="21">
        <v>1815200</v>
      </c>
    </row>
    <row r="231" spans="1:29" hidden="1" outlineLevel="2">
      <c r="A231" s="21">
        <v>467</v>
      </c>
      <c r="B231" s="21">
        <v>5941804</v>
      </c>
      <c r="C231" s="21">
        <v>59418046</v>
      </c>
      <c r="D231" s="21" t="s">
        <v>1294</v>
      </c>
      <c r="E231" s="21" t="s">
        <v>1302</v>
      </c>
      <c r="F231" s="21">
        <v>815200</v>
      </c>
      <c r="G231" s="21" t="s">
        <v>1151</v>
      </c>
      <c r="H231" s="21">
        <v>90541</v>
      </c>
      <c r="I231" s="21">
        <v>1</v>
      </c>
      <c r="J231" s="21">
        <v>0</v>
      </c>
      <c r="K231" s="21">
        <v>0</v>
      </c>
      <c r="L231" s="21">
        <v>0</v>
      </c>
      <c r="M231" s="21">
        <v>0</v>
      </c>
      <c r="N231" s="61">
        <f t="shared" si="10"/>
        <v>0</v>
      </c>
      <c r="O231" s="60">
        <v>9685</v>
      </c>
      <c r="P231" s="21">
        <v>0</v>
      </c>
      <c r="Q231" s="21">
        <v>0</v>
      </c>
      <c r="R231" s="21">
        <v>9655</v>
      </c>
      <c r="S231" s="21">
        <v>0</v>
      </c>
      <c r="T231" s="21">
        <v>0</v>
      </c>
      <c r="U231" s="21">
        <v>0</v>
      </c>
      <c r="V231" s="21">
        <v>0</v>
      </c>
      <c r="W231" s="21">
        <v>0</v>
      </c>
      <c r="X231" s="21">
        <v>0</v>
      </c>
      <c r="Y231" s="21">
        <v>9655</v>
      </c>
      <c r="Z231" s="21">
        <v>0</v>
      </c>
      <c r="AA231" s="21">
        <v>0</v>
      </c>
      <c r="AB231" s="21">
        <v>30</v>
      </c>
      <c r="AC231" s="21">
        <v>1815200</v>
      </c>
    </row>
    <row r="232" spans="1:29" hidden="1" outlineLevel="2">
      <c r="A232" s="21">
        <v>467</v>
      </c>
      <c r="B232" s="21">
        <v>5943633</v>
      </c>
      <c r="C232" s="21">
        <v>59436337</v>
      </c>
      <c r="D232" s="21" t="s">
        <v>1301</v>
      </c>
      <c r="E232" s="21" t="s">
        <v>1300</v>
      </c>
      <c r="F232" s="21">
        <v>815200</v>
      </c>
      <c r="G232" s="21" t="s">
        <v>1151</v>
      </c>
      <c r="H232" s="21">
        <v>90541</v>
      </c>
      <c r="I232" s="21">
        <v>0</v>
      </c>
      <c r="J232" s="21">
        <v>73</v>
      </c>
      <c r="K232" s="21">
        <v>2</v>
      </c>
      <c r="L232" s="21">
        <v>0</v>
      </c>
      <c r="M232" s="21">
        <v>782.8</v>
      </c>
      <c r="N232" s="61">
        <f t="shared" si="10"/>
        <v>0.65233333333333332</v>
      </c>
      <c r="O232" s="60">
        <v>115109.44</v>
      </c>
      <c r="P232" s="21">
        <v>16406</v>
      </c>
      <c r="Q232" s="21">
        <v>4017.44</v>
      </c>
      <c r="R232" s="21">
        <v>87452.35</v>
      </c>
      <c r="S232" s="21">
        <v>-33.1</v>
      </c>
      <c r="T232" s="21">
        <v>4254.55</v>
      </c>
      <c r="U232" s="21">
        <v>0</v>
      </c>
      <c r="V232" s="21">
        <v>0</v>
      </c>
      <c r="W232" s="21">
        <v>5097.8</v>
      </c>
      <c r="X232" s="21">
        <v>8</v>
      </c>
      <c r="Y232" s="21">
        <v>78125.100000000006</v>
      </c>
      <c r="Z232" s="21">
        <v>6873.65</v>
      </c>
      <c r="AA232" s="21">
        <v>0</v>
      </c>
      <c r="AB232" s="21">
        <v>360</v>
      </c>
      <c r="AC232" s="21">
        <v>1815200</v>
      </c>
    </row>
    <row r="233" spans="1:29" hidden="1" outlineLevel="2">
      <c r="A233" s="21">
        <v>467</v>
      </c>
      <c r="B233" s="21">
        <v>5947352</v>
      </c>
      <c r="C233" s="21">
        <v>59473520</v>
      </c>
      <c r="D233" s="21" t="s">
        <v>1274</v>
      </c>
      <c r="E233" s="21" t="s">
        <v>1273</v>
      </c>
      <c r="F233" s="21">
        <v>815200</v>
      </c>
      <c r="G233" s="21" t="s">
        <v>1151</v>
      </c>
      <c r="H233" s="21">
        <v>90541</v>
      </c>
      <c r="I233" s="21">
        <v>0</v>
      </c>
      <c r="J233" s="21">
        <v>73</v>
      </c>
      <c r="K233" s="21">
        <v>12</v>
      </c>
      <c r="L233" s="21">
        <v>0</v>
      </c>
      <c r="M233" s="21">
        <v>1582.8</v>
      </c>
      <c r="N233" s="61">
        <f t="shared" si="10"/>
        <v>1.319</v>
      </c>
      <c r="O233" s="60">
        <v>141746.5</v>
      </c>
      <c r="P233" s="21">
        <v>23738.58</v>
      </c>
      <c r="Q233" s="21">
        <v>5319.17</v>
      </c>
      <c r="R233" s="21">
        <v>104540.38</v>
      </c>
      <c r="S233" s="21">
        <v>0</v>
      </c>
      <c r="T233" s="21">
        <v>7240</v>
      </c>
      <c r="U233" s="21">
        <v>0</v>
      </c>
      <c r="V233" s="21">
        <v>0</v>
      </c>
      <c r="W233" s="21">
        <v>583.20000000000005</v>
      </c>
      <c r="X233" s="21">
        <v>0</v>
      </c>
      <c r="Y233" s="21">
        <v>96717.18</v>
      </c>
      <c r="Z233" s="21">
        <v>7840.76</v>
      </c>
      <c r="AA233" s="21">
        <v>0</v>
      </c>
      <c r="AB233" s="21">
        <v>307.61</v>
      </c>
      <c r="AC233" s="21">
        <v>1815200</v>
      </c>
    </row>
    <row r="234" spans="1:29" hidden="1" outlineLevel="2">
      <c r="A234" s="21">
        <v>467</v>
      </c>
      <c r="B234" s="21">
        <v>5947382</v>
      </c>
      <c r="C234" s="21">
        <v>59473827</v>
      </c>
      <c r="D234" s="21" t="s">
        <v>1252</v>
      </c>
      <c r="E234" s="21" t="s">
        <v>1299</v>
      </c>
      <c r="F234" s="21">
        <v>815200</v>
      </c>
      <c r="G234" s="21" t="s">
        <v>1151</v>
      </c>
      <c r="H234" s="21">
        <v>90541</v>
      </c>
      <c r="I234" s="21">
        <v>0</v>
      </c>
      <c r="J234" s="21">
        <v>73</v>
      </c>
      <c r="K234" s="21">
        <v>2</v>
      </c>
      <c r="L234" s="21">
        <v>0</v>
      </c>
      <c r="M234" s="21">
        <v>1433.2</v>
      </c>
      <c r="N234" s="61">
        <f t="shared" si="10"/>
        <v>1.1943333333333335</v>
      </c>
      <c r="O234" s="60">
        <v>182069.74</v>
      </c>
      <c r="P234" s="21">
        <v>25710.15</v>
      </c>
      <c r="Q234" s="21">
        <v>7198.49</v>
      </c>
      <c r="R234" s="21">
        <v>138394.6</v>
      </c>
      <c r="S234" s="21">
        <v>0</v>
      </c>
      <c r="T234" s="21">
        <v>6813</v>
      </c>
      <c r="U234" s="21">
        <v>0</v>
      </c>
      <c r="V234" s="21">
        <v>0</v>
      </c>
      <c r="W234" s="21">
        <v>10943.6</v>
      </c>
      <c r="X234" s="21">
        <v>0</v>
      </c>
      <c r="Y234" s="21">
        <v>120638</v>
      </c>
      <c r="Z234" s="21">
        <v>10406.5</v>
      </c>
      <c r="AA234" s="21">
        <v>0</v>
      </c>
      <c r="AB234" s="21">
        <v>360</v>
      </c>
      <c r="AC234" s="21">
        <v>1815200</v>
      </c>
    </row>
    <row r="235" spans="1:29" hidden="1" outlineLevel="2">
      <c r="A235" s="21">
        <v>467</v>
      </c>
      <c r="B235" s="21">
        <v>5952024</v>
      </c>
      <c r="C235" s="21">
        <v>59520247</v>
      </c>
      <c r="D235" s="21" t="s">
        <v>1298</v>
      </c>
      <c r="E235" s="21" t="s">
        <v>1297</v>
      </c>
      <c r="F235" s="21">
        <v>815200</v>
      </c>
      <c r="G235" s="21" t="s">
        <v>1151</v>
      </c>
      <c r="H235" s="21">
        <v>90541</v>
      </c>
      <c r="I235" s="21">
        <v>0</v>
      </c>
      <c r="J235" s="21">
        <v>73</v>
      </c>
      <c r="K235" s="21">
        <v>2</v>
      </c>
      <c r="L235" s="21">
        <v>0</v>
      </c>
      <c r="M235" s="21">
        <v>1481.4</v>
      </c>
      <c r="N235" s="61">
        <f t="shared" si="10"/>
        <v>1.2345000000000002</v>
      </c>
      <c r="O235" s="60">
        <v>241247.45</v>
      </c>
      <c r="P235" s="21">
        <v>35072.050000000003</v>
      </c>
      <c r="Q235" s="21">
        <v>10154.42</v>
      </c>
      <c r="R235" s="21">
        <v>181984.98</v>
      </c>
      <c r="S235" s="21">
        <v>0</v>
      </c>
      <c r="T235" s="21">
        <v>7240</v>
      </c>
      <c r="U235" s="21">
        <v>0</v>
      </c>
      <c r="V235" s="21">
        <v>0</v>
      </c>
      <c r="W235" s="21">
        <v>5803.2</v>
      </c>
      <c r="X235" s="21">
        <v>0</v>
      </c>
      <c r="Y235" s="21">
        <v>168941.78</v>
      </c>
      <c r="Z235" s="21">
        <v>13676</v>
      </c>
      <c r="AA235" s="21">
        <v>0</v>
      </c>
      <c r="AB235" s="21">
        <v>360</v>
      </c>
      <c r="AC235" s="21">
        <v>1815200</v>
      </c>
    </row>
    <row r="236" spans="1:29" hidden="1" outlineLevel="2">
      <c r="A236" s="21">
        <v>467</v>
      </c>
      <c r="B236" s="21">
        <v>20093137</v>
      </c>
      <c r="C236" s="21">
        <v>200931376</v>
      </c>
      <c r="D236" s="21" t="s">
        <v>1183</v>
      </c>
      <c r="E236" s="21" t="s">
        <v>1296</v>
      </c>
      <c r="F236" s="21">
        <v>815200</v>
      </c>
      <c r="G236" s="21" t="s">
        <v>1151</v>
      </c>
      <c r="H236" s="21">
        <v>90541</v>
      </c>
      <c r="I236" s="21">
        <v>0</v>
      </c>
      <c r="J236" s="21">
        <v>93</v>
      </c>
      <c r="K236" s="21">
        <v>5</v>
      </c>
      <c r="L236" s="21">
        <v>0</v>
      </c>
      <c r="M236" s="21">
        <v>234.8</v>
      </c>
      <c r="N236" s="61">
        <f t="shared" si="10"/>
        <v>0.19566666666666668</v>
      </c>
      <c r="O236" s="60">
        <v>12985.53</v>
      </c>
      <c r="P236" s="21">
        <v>0</v>
      </c>
      <c r="Q236" s="21">
        <v>403.78</v>
      </c>
      <c r="R236" s="21">
        <v>11703.95</v>
      </c>
      <c r="S236" s="21">
        <v>0</v>
      </c>
      <c r="T236" s="21">
        <v>0</v>
      </c>
      <c r="U236" s="21">
        <v>0</v>
      </c>
      <c r="V236" s="21">
        <v>0</v>
      </c>
      <c r="W236" s="21">
        <v>352.55</v>
      </c>
      <c r="X236" s="21">
        <v>0</v>
      </c>
      <c r="Y236" s="21">
        <v>11351.4</v>
      </c>
      <c r="Z236" s="21">
        <v>877.8</v>
      </c>
      <c r="AA236" s="21">
        <v>0</v>
      </c>
      <c r="AB236" s="21">
        <v>0</v>
      </c>
      <c r="AC236" s="21">
        <v>1815200</v>
      </c>
    </row>
    <row r="237" spans="1:29" hidden="1" outlineLevel="2">
      <c r="A237" s="21">
        <v>467</v>
      </c>
      <c r="B237" s="21">
        <v>20124966</v>
      </c>
      <c r="C237" s="21">
        <v>201249661</v>
      </c>
      <c r="D237" s="21" t="s">
        <v>1272</v>
      </c>
      <c r="E237" s="21" t="s">
        <v>1295</v>
      </c>
      <c r="F237" s="21">
        <v>815200</v>
      </c>
      <c r="G237" s="21" t="s">
        <v>1151</v>
      </c>
      <c r="H237" s="21">
        <v>90541</v>
      </c>
      <c r="I237" s="21">
        <v>0</v>
      </c>
      <c r="J237" s="21">
        <v>93</v>
      </c>
      <c r="K237" s="21">
        <v>5</v>
      </c>
      <c r="L237" s="21">
        <v>0</v>
      </c>
      <c r="M237" s="21">
        <v>205.4</v>
      </c>
      <c r="N237" s="61">
        <f t="shared" si="10"/>
        <v>0.17116666666666666</v>
      </c>
      <c r="O237" s="60">
        <v>11394.71</v>
      </c>
      <c r="P237" s="21">
        <v>0</v>
      </c>
      <c r="Q237" s="21">
        <v>354.31</v>
      </c>
      <c r="R237" s="21">
        <v>10270.15</v>
      </c>
      <c r="S237" s="21">
        <v>0</v>
      </c>
      <c r="T237" s="21">
        <v>0</v>
      </c>
      <c r="U237" s="21">
        <v>0</v>
      </c>
      <c r="V237" s="21">
        <v>0</v>
      </c>
      <c r="W237" s="21">
        <v>338.3</v>
      </c>
      <c r="X237" s="21">
        <v>0</v>
      </c>
      <c r="Y237" s="21">
        <v>9931.85</v>
      </c>
      <c r="Z237" s="21">
        <v>770.25</v>
      </c>
      <c r="AA237" s="21">
        <v>0</v>
      </c>
      <c r="AB237" s="21">
        <v>0</v>
      </c>
      <c r="AC237" s="21">
        <v>1815200</v>
      </c>
    </row>
    <row r="238" spans="1:29" hidden="1" outlineLevel="2">
      <c r="A238" s="21">
        <v>467</v>
      </c>
      <c r="B238" s="21">
        <v>20389624</v>
      </c>
      <c r="C238" s="21">
        <v>203896246</v>
      </c>
      <c r="D238" s="21" t="s">
        <v>1294</v>
      </c>
      <c r="E238" s="21" t="s">
        <v>1293</v>
      </c>
      <c r="F238" s="21">
        <v>815200</v>
      </c>
      <c r="G238" s="21" t="s">
        <v>1151</v>
      </c>
      <c r="H238" s="21">
        <v>90541</v>
      </c>
      <c r="I238" s="21">
        <v>0</v>
      </c>
      <c r="J238" s="21">
        <v>93</v>
      </c>
      <c r="K238" s="21">
        <v>2</v>
      </c>
      <c r="L238" s="21">
        <v>0</v>
      </c>
      <c r="M238" s="21">
        <v>200</v>
      </c>
      <c r="N238" s="61">
        <f t="shared" si="10"/>
        <v>0.16666666666666666</v>
      </c>
      <c r="O238" s="60">
        <v>14717.74</v>
      </c>
      <c r="P238" s="21">
        <v>0</v>
      </c>
      <c r="Q238" s="21">
        <v>457.64</v>
      </c>
      <c r="R238" s="21">
        <v>13265.2</v>
      </c>
      <c r="S238" s="21">
        <v>0</v>
      </c>
      <c r="T238" s="21">
        <v>0</v>
      </c>
      <c r="U238" s="21">
        <v>0</v>
      </c>
      <c r="V238" s="21">
        <v>0</v>
      </c>
      <c r="W238" s="21">
        <v>97.2</v>
      </c>
      <c r="X238" s="21">
        <v>0</v>
      </c>
      <c r="Y238" s="21">
        <v>13168</v>
      </c>
      <c r="Z238" s="21">
        <v>994.9</v>
      </c>
      <c r="AA238" s="21">
        <v>0</v>
      </c>
      <c r="AB238" s="21">
        <v>0</v>
      </c>
      <c r="AC238" s="21">
        <v>1815200</v>
      </c>
    </row>
    <row r="239" spans="1:29" hidden="1" outlineLevel="2">
      <c r="A239" s="21">
        <v>467</v>
      </c>
      <c r="B239" s="21">
        <v>30117827</v>
      </c>
      <c r="C239" s="21">
        <v>301178273</v>
      </c>
      <c r="D239" s="21" t="s">
        <v>1292</v>
      </c>
      <c r="E239" s="21" t="s">
        <v>1291</v>
      </c>
      <c r="F239" s="21">
        <v>815200</v>
      </c>
      <c r="G239" s="21" t="s">
        <v>1151</v>
      </c>
      <c r="H239" s="21">
        <v>90541</v>
      </c>
      <c r="I239" s="21">
        <v>0</v>
      </c>
      <c r="J239" s="21">
        <v>73</v>
      </c>
      <c r="K239" s="21">
        <v>2</v>
      </c>
      <c r="L239" s="21">
        <v>0</v>
      </c>
      <c r="M239" s="21">
        <v>1232.8</v>
      </c>
      <c r="N239" s="61">
        <f t="shared" si="10"/>
        <v>1.0273333333333332</v>
      </c>
      <c r="O239" s="60">
        <v>156443.93</v>
      </c>
      <c r="P239" s="21">
        <v>17253.55</v>
      </c>
      <c r="Q239" s="21">
        <v>6163</v>
      </c>
      <c r="R239" s="21">
        <v>123411.68</v>
      </c>
      <c r="S239" s="21">
        <v>6777</v>
      </c>
      <c r="T239" s="21">
        <v>4505</v>
      </c>
      <c r="U239" s="21">
        <v>0</v>
      </c>
      <c r="V239" s="21">
        <v>0</v>
      </c>
      <c r="W239" s="21">
        <v>13183.2</v>
      </c>
      <c r="X239" s="21">
        <v>0</v>
      </c>
      <c r="Y239" s="21">
        <v>98946.48</v>
      </c>
      <c r="Z239" s="21">
        <v>9255.7000000000007</v>
      </c>
      <c r="AA239" s="21">
        <v>0</v>
      </c>
      <c r="AB239" s="21">
        <v>360</v>
      </c>
      <c r="AC239" s="21">
        <v>1815200</v>
      </c>
    </row>
    <row r="240" spans="1:29" hidden="1" outlineLevel="2">
      <c r="A240" s="21">
        <v>467</v>
      </c>
      <c r="B240" s="21">
        <v>30158179</v>
      </c>
      <c r="C240" s="21">
        <v>301581799</v>
      </c>
      <c r="D240" s="21" t="s">
        <v>1290</v>
      </c>
      <c r="E240" s="21" t="s">
        <v>1176</v>
      </c>
      <c r="F240" s="21">
        <v>815200</v>
      </c>
      <c r="G240" s="21" t="s">
        <v>1151</v>
      </c>
      <c r="H240" s="21">
        <v>90541</v>
      </c>
      <c r="I240" s="21">
        <v>0</v>
      </c>
      <c r="J240" s="21">
        <v>73</v>
      </c>
      <c r="K240" s="21">
        <v>2</v>
      </c>
      <c r="L240" s="21">
        <v>0</v>
      </c>
      <c r="M240" s="21">
        <v>266.39999999999998</v>
      </c>
      <c r="N240" s="61">
        <f t="shared" si="10"/>
        <v>0.22199999999999998</v>
      </c>
      <c r="O240" s="60">
        <v>24344.37</v>
      </c>
      <c r="P240" s="21">
        <v>3912.8</v>
      </c>
      <c r="Q240" s="21">
        <v>627.89</v>
      </c>
      <c r="R240" s="21">
        <v>18198.88</v>
      </c>
      <c r="S240" s="21">
        <v>0</v>
      </c>
      <c r="T240" s="21">
        <v>1162.0999999999999</v>
      </c>
      <c r="U240" s="21">
        <v>0</v>
      </c>
      <c r="V240" s="21">
        <v>0</v>
      </c>
      <c r="W240" s="21">
        <v>1569.6</v>
      </c>
      <c r="X240" s="21">
        <v>0</v>
      </c>
      <c r="Y240" s="21">
        <v>15467.18</v>
      </c>
      <c r="Z240" s="21">
        <v>1364.8</v>
      </c>
      <c r="AA240" s="21">
        <v>0</v>
      </c>
      <c r="AB240" s="21">
        <v>240</v>
      </c>
      <c r="AC240" s="21">
        <v>1815200</v>
      </c>
    </row>
    <row r="241" spans="1:30" hidden="1" outlineLevel="2">
      <c r="A241" s="21">
        <v>467</v>
      </c>
      <c r="B241" s="21">
        <v>30203238</v>
      </c>
      <c r="C241" s="21">
        <v>302032388</v>
      </c>
      <c r="D241" s="21" t="s">
        <v>1289</v>
      </c>
      <c r="E241" s="21" t="s">
        <v>1288</v>
      </c>
      <c r="F241" s="21">
        <v>815200</v>
      </c>
      <c r="G241" s="21" t="s">
        <v>1151</v>
      </c>
      <c r="H241" s="21">
        <v>90541</v>
      </c>
      <c r="I241" s="21">
        <v>0</v>
      </c>
      <c r="J241" s="21">
        <v>73</v>
      </c>
      <c r="K241" s="21">
        <v>1</v>
      </c>
      <c r="L241" s="21">
        <v>0</v>
      </c>
      <c r="M241" s="21">
        <v>1510.4</v>
      </c>
      <c r="N241" s="61">
        <f t="shared" si="10"/>
        <v>1.2586666666666668</v>
      </c>
      <c r="O241" s="60">
        <v>241736.06</v>
      </c>
      <c r="P241" s="21">
        <v>36739.1</v>
      </c>
      <c r="Q241" s="21">
        <v>10071.530000000001</v>
      </c>
      <c r="R241" s="21">
        <v>180966.03</v>
      </c>
      <c r="S241" s="21">
        <v>0</v>
      </c>
      <c r="T241" s="21">
        <v>7240</v>
      </c>
      <c r="U241" s="21">
        <v>0</v>
      </c>
      <c r="V241" s="21">
        <v>0</v>
      </c>
      <c r="W241" s="21">
        <v>10282.799999999999</v>
      </c>
      <c r="X241" s="21">
        <v>0</v>
      </c>
      <c r="Y241" s="21">
        <v>163443.23000000001</v>
      </c>
      <c r="Z241" s="21">
        <v>13599.4</v>
      </c>
      <c r="AA241" s="21">
        <v>0</v>
      </c>
      <c r="AB241" s="21">
        <v>360</v>
      </c>
      <c r="AC241" s="21">
        <v>1815200</v>
      </c>
    </row>
    <row r="242" spans="1:30" hidden="1" outlineLevel="2">
      <c r="A242" s="21">
        <v>467</v>
      </c>
      <c r="B242" s="21">
        <v>30264991</v>
      </c>
      <c r="C242" s="21">
        <v>302649918</v>
      </c>
      <c r="D242" s="21" t="s">
        <v>1173</v>
      </c>
      <c r="E242" s="21" t="s">
        <v>1287</v>
      </c>
      <c r="F242" s="21">
        <v>815200</v>
      </c>
      <c r="G242" s="21" t="s">
        <v>1151</v>
      </c>
      <c r="H242" s="21">
        <v>90541</v>
      </c>
      <c r="I242" s="21">
        <v>0</v>
      </c>
      <c r="J242" s="21">
        <v>73</v>
      </c>
      <c r="K242" s="21">
        <v>2</v>
      </c>
      <c r="L242" s="21">
        <v>0</v>
      </c>
      <c r="M242" s="21">
        <v>760</v>
      </c>
      <c r="N242" s="61">
        <f t="shared" si="10"/>
        <v>0.6333333333333333</v>
      </c>
      <c r="O242" s="60">
        <v>67859.06</v>
      </c>
      <c r="P242" s="21">
        <v>6898.4</v>
      </c>
      <c r="Q242" s="21">
        <v>2126.86</v>
      </c>
      <c r="R242" s="21">
        <v>54394.25</v>
      </c>
      <c r="S242" s="21">
        <v>0</v>
      </c>
      <c r="T242" s="21">
        <v>1572.45</v>
      </c>
      <c r="U242" s="21">
        <v>0</v>
      </c>
      <c r="V242" s="21">
        <v>0</v>
      </c>
      <c r="W242" s="21">
        <v>780.2</v>
      </c>
      <c r="X242" s="21">
        <v>0</v>
      </c>
      <c r="Y242" s="21">
        <v>52041.599999999999</v>
      </c>
      <c r="Z242" s="21">
        <v>4079.55</v>
      </c>
      <c r="AA242" s="21">
        <v>0</v>
      </c>
      <c r="AB242" s="21">
        <v>360</v>
      </c>
      <c r="AC242" s="21">
        <v>1815200</v>
      </c>
    </row>
    <row r="243" spans="1:30" hidden="1" outlineLevel="2">
      <c r="A243" s="21">
        <v>467</v>
      </c>
      <c r="B243" s="21">
        <v>30310473</v>
      </c>
      <c r="C243" s="21">
        <v>303104731</v>
      </c>
      <c r="D243" s="21" t="s">
        <v>1286</v>
      </c>
      <c r="E243" s="21" t="s">
        <v>1169</v>
      </c>
      <c r="F243" s="21">
        <v>815200</v>
      </c>
      <c r="G243" s="21" t="s">
        <v>1151</v>
      </c>
      <c r="H243" s="21">
        <v>90541</v>
      </c>
      <c r="I243" s="21">
        <v>0</v>
      </c>
      <c r="J243" s="21">
        <v>93</v>
      </c>
      <c r="K243" s="21">
        <v>2</v>
      </c>
      <c r="L243" s="21">
        <v>0</v>
      </c>
      <c r="M243" s="21">
        <v>300</v>
      </c>
      <c r="N243" s="61">
        <f t="shared" si="10"/>
        <v>0.25</v>
      </c>
      <c r="O243" s="60">
        <v>21684.06</v>
      </c>
      <c r="P243" s="21">
        <v>0</v>
      </c>
      <c r="Q243" s="21">
        <v>688.56</v>
      </c>
      <c r="R243" s="21">
        <v>19530.75</v>
      </c>
      <c r="S243" s="21">
        <v>0</v>
      </c>
      <c r="T243" s="21">
        <v>0</v>
      </c>
      <c r="U243" s="21">
        <v>0</v>
      </c>
      <c r="V243" s="21">
        <v>0</v>
      </c>
      <c r="W243" s="21">
        <v>1105.8</v>
      </c>
      <c r="X243" s="21">
        <v>0</v>
      </c>
      <c r="Y243" s="21">
        <v>18424.95</v>
      </c>
      <c r="Z243" s="21">
        <v>1464.75</v>
      </c>
      <c r="AA243" s="21">
        <v>0</v>
      </c>
      <c r="AB243" s="21">
        <v>0</v>
      </c>
      <c r="AC243" s="21">
        <v>1815200</v>
      </c>
    </row>
    <row r="244" spans="1:30" hidden="1" outlineLevel="2">
      <c r="A244" s="21">
        <v>467</v>
      </c>
      <c r="B244" s="21">
        <v>30444877</v>
      </c>
      <c r="C244" s="21">
        <v>304448772</v>
      </c>
      <c r="D244" s="21" t="s">
        <v>1285</v>
      </c>
      <c r="E244" s="21" t="s">
        <v>1284</v>
      </c>
      <c r="F244" s="21">
        <v>815200</v>
      </c>
      <c r="G244" s="21" t="s">
        <v>1151</v>
      </c>
      <c r="H244" s="21">
        <v>90541</v>
      </c>
      <c r="I244" s="21">
        <v>0</v>
      </c>
      <c r="J244" s="21">
        <v>73</v>
      </c>
      <c r="K244" s="21">
        <v>1</v>
      </c>
      <c r="L244" s="21">
        <v>0</v>
      </c>
      <c r="M244" s="21">
        <v>1245.7</v>
      </c>
      <c r="N244" s="61">
        <f t="shared" si="10"/>
        <v>1.0380833333333335</v>
      </c>
      <c r="O244" s="60">
        <v>248955.27</v>
      </c>
      <c r="P244" s="21">
        <v>36128.199999999997</v>
      </c>
      <c r="Q244" s="21">
        <v>9703.06</v>
      </c>
      <c r="R244" s="21">
        <v>188592.51</v>
      </c>
      <c r="S244" s="21">
        <v>-56.9</v>
      </c>
      <c r="T244" s="21">
        <v>9014</v>
      </c>
      <c r="U244" s="21">
        <v>0</v>
      </c>
      <c r="V244" s="21">
        <v>0</v>
      </c>
      <c r="W244" s="21">
        <v>7710.9</v>
      </c>
      <c r="X244" s="21">
        <v>1</v>
      </c>
      <c r="Y244" s="21">
        <v>171923.51</v>
      </c>
      <c r="Z244" s="21">
        <v>14171.5</v>
      </c>
      <c r="AA244" s="21">
        <v>0</v>
      </c>
      <c r="AB244" s="21">
        <v>360</v>
      </c>
      <c r="AC244" s="21">
        <v>1815200</v>
      </c>
    </row>
    <row r="245" spans="1:30" hidden="1" outlineLevel="2">
      <c r="A245" s="21">
        <v>467</v>
      </c>
      <c r="B245" s="21">
        <v>30509646</v>
      </c>
      <c r="C245" s="21">
        <v>305096463</v>
      </c>
      <c r="D245" s="21" t="s">
        <v>1283</v>
      </c>
      <c r="E245" s="21" t="s">
        <v>1282</v>
      </c>
      <c r="F245" s="21">
        <v>815200</v>
      </c>
      <c r="G245" s="21" t="s">
        <v>1151</v>
      </c>
      <c r="H245" s="21">
        <v>90541</v>
      </c>
      <c r="I245" s="21">
        <v>0</v>
      </c>
      <c r="J245" s="21">
        <v>93</v>
      </c>
      <c r="K245" s="21">
        <v>5</v>
      </c>
      <c r="L245" s="21">
        <v>0</v>
      </c>
      <c r="M245" s="21">
        <v>360</v>
      </c>
      <c r="N245" s="61">
        <f t="shared" si="10"/>
        <v>0.3</v>
      </c>
      <c r="O245" s="60">
        <v>19479.52</v>
      </c>
      <c r="P245" s="21">
        <v>0</v>
      </c>
      <c r="Q245" s="21">
        <v>605.72</v>
      </c>
      <c r="R245" s="21">
        <v>17557</v>
      </c>
      <c r="S245" s="21">
        <v>0</v>
      </c>
      <c r="T245" s="21">
        <v>0</v>
      </c>
      <c r="U245" s="21">
        <v>0</v>
      </c>
      <c r="V245" s="21">
        <v>0</v>
      </c>
      <c r="W245" s="21">
        <v>175</v>
      </c>
      <c r="X245" s="21">
        <v>0</v>
      </c>
      <c r="Y245" s="21">
        <v>17382</v>
      </c>
      <c r="Z245" s="21">
        <v>1316.8</v>
      </c>
      <c r="AA245" s="21">
        <v>0</v>
      </c>
      <c r="AB245" s="21">
        <v>0</v>
      </c>
      <c r="AC245" s="21">
        <v>1815200</v>
      </c>
    </row>
    <row r="246" spans="1:30" hidden="1" outlineLevel="2">
      <c r="A246" s="21">
        <v>467</v>
      </c>
      <c r="B246" s="21">
        <v>31809201</v>
      </c>
      <c r="C246" s="21">
        <v>318092012</v>
      </c>
      <c r="D246" s="21" t="s">
        <v>1281</v>
      </c>
      <c r="E246" s="21" t="s">
        <v>1280</v>
      </c>
      <c r="F246" s="21">
        <v>815200</v>
      </c>
      <c r="G246" s="21" t="s">
        <v>1151</v>
      </c>
      <c r="H246" s="21">
        <v>90541</v>
      </c>
      <c r="I246" s="21">
        <v>0</v>
      </c>
      <c r="J246" s="21">
        <v>73</v>
      </c>
      <c r="K246" s="21">
        <v>1</v>
      </c>
      <c r="L246" s="21">
        <v>0</v>
      </c>
      <c r="M246" s="21">
        <v>300</v>
      </c>
      <c r="N246" s="61">
        <f t="shared" si="10"/>
        <v>0.25</v>
      </c>
      <c r="O246" s="60">
        <v>34260.410000000003</v>
      </c>
      <c r="P246" s="21">
        <v>5381.2</v>
      </c>
      <c r="Q246" s="21">
        <v>898</v>
      </c>
      <c r="R246" s="21">
        <v>25789.01</v>
      </c>
      <c r="S246" s="21">
        <v>0</v>
      </c>
      <c r="T246" s="21">
        <v>2394.75</v>
      </c>
      <c r="U246" s="21">
        <v>0</v>
      </c>
      <c r="V246" s="21">
        <v>0</v>
      </c>
      <c r="W246" s="21">
        <v>-885.65</v>
      </c>
      <c r="X246" s="21">
        <v>-2.95</v>
      </c>
      <c r="Y246" s="21">
        <v>24282.86</v>
      </c>
      <c r="Z246" s="21">
        <v>1952.2</v>
      </c>
      <c r="AA246" s="21">
        <v>0</v>
      </c>
      <c r="AB246" s="21">
        <v>240</v>
      </c>
      <c r="AC246" s="21">
        <v>1815200</v>
      </c>
    </row>
    <row r="247" spans="1:30" outlineLevel="1" collapsed="1">
      <c r="F247" s="62" t="s">
        <v>1279</v>
      </c>
      <c r="M247" s="21">
        <f>SUBTOTAL(9,M189:M246)</f>
        <v>48341.900000000016</v>
      </c>
      <c r="N247" s="61">
        <f>SUBTOTAL(9,N189:N246)</f>
        <v>40.28491666666666</v>
      </c>
      <c r="O247" s="60">
        <f>SUBTOTAL(9,O189:O246)</f>
        <v>5979566.4499999993</v>
      </c>
      <c r="AC247" s="21" t="str">
        <f>"1"&amp;LEFT(F247,6)&amp;"110"</f>
        <v>1815200110</v>
      </c>
      <c r="AD247" s="21" t="str">
        <f>VLOOKUP(AC247,'פירוט שכר'!A:K,5,0)</f>
        <v>ב"ס תיכון-משכורת</v>
      </c>
    </row>
    <row r="248" spans="1:30" hidden="1" outlineLevel="2">
      <c r="A248" s="21">
        <v>467</v>
      </c>
      <c r="B248" s="21">
        <v>2582447</v>
      </c>
      <c r="C248" s="21">
        <v>25824475</v>
      </c>
      <c r="D248" s="21" t="s">
        <v>1278</v>
      </c>
      <c r="E248" s="21" t="s">
        <v>1277</v>
      </c>
      <c r="F248" s="21">
        <v>815210</v>
      </c>
      <c r="G248" s="21" t="s">
        <v>1151</v>
      </c>
      <c r="H248" s="21">
        <v>90541</v>
      </c>
      <c r="I248" s="21">
        <v>1</v>
      </c>
      <c r="J248" s="21">
        <v>0</v>
      </c>
      <c r="K248" s="21">
        <v>0</v>
      </c>
      <c r="L248" s="21">
        <v>0</v>
      </c>
      <c r="M248" s="21">
        <v>0</v>
      </c>
      <c r="N248" s="61">
        <f t="shared" ref="N248:N254" si="11">+M248/1200</f>
        <v>0</v>
      </c>
      <c r="O248" s="60">
        <v>1499.23</v>
      </c>
      <c r="P248" s="21">
        <v>38.68</v>
      </c>
      <c r="Q248" s="21">
        <v>45.29</v>
      </c>
      <c r="R248" s="21">
        <v>1313.55</v>
      </c>
      <c r="S248" s="21">
        <v>0</v>
      </c>
      <c r="T248" s="21">
        <v>0</v>
      </c>
      <c r="U248" s="21">
        <v>0</v>
      </c>
      <c r="V248" s="21">
        <v>0</v>
      </c>
      <c r="W248" s="21">
        <v>906.75</v>
      </c>
      <c r="X248" s="21">
        <v>0</v>
      </c>
      <c r="Y248" s="21">
        <v>406.8</v>
      </c>
      <c r="Z248" s="21">
        <v>98.49</v>
      </c>
      <c r="AA248" s="21">
        <v>0</v>
      </c>
      <c r="AB248" s="21">
        <v>3.22</v>
      </c>
      <c r="AC248" s="21">
        <v>1815200</v>
      </c>
    </row>
    <row r="249" spans="1:30" hidden="1" outlineLevel="2">
      <c r="A249" s="21">
        <v>467</v>
      </c>
      <c r="B249" s="21">
        <v>2766834</v>
      </c>
      <c r="C249" s="21">
        <v>27668342</v>
      </c>
      <c r="D249" s="21" t="s">
        <v>1153</v>
      </c>
      <c r="E249" s="21" t="s">
        <v>1276</v>
      </c>
      <c r="F249" s="21">
        <v>815210</v>
      </c>
      <c r="G249" s="21" t="s">
        <v>1151</v>
      </c>
      <c r="H249" s="21">
        <v>90541</v>
      </c>
      <c r="I249" s="21">
        <v>0</v>
      </c>
      <c r="J249" s="21">
        <v>72</v>
      </c>
      <c r="K249" s="21">
        <v>40</v>
      </c>
      <c r="L249" s="21">
        <v>0</v>
      </c>
      <c r="M249" s="21">
        <v>1200</v>
      </c>
      <c r="N249" s="61">
        <f t="shared" si="11"/>
        <v>1</v>
      </c>
      <c r="O249" s="60">
        <v>104795.41</v>
      </c>
      <c r="P249" s="21">
        <v>16115.31</v>
      </c>
      <c r="Q249" s="21">
        <v>3269.71</v>
      </c>
      <c r="R249" s="21">
        <v>79434.47</v>
      </c>
      <c r="S249" s="21">
        <v>0</v>
      </c>
      <c r="T249" s="21">
        <v>7240</v>
      </c>
      <c r="U249" s="21">
        <v>0</v>
      </c>
      <c r="V249" s="21">
        <v>0</v>
      </c>
      <c r="W249" s="21">
        <v>583.20000000000005</v>
      </c>
      <c r="X249" s="21">
        <v>0</v>
      </c>
      <c r="Y249" s="21">
        <v>71611.27</v>
      </c>
      <c r="Z249" s="21">
        <v>5975.92</v>
      </c>
      <c r="AA249" s="21">
        <v>0</v>
      </c>
      <c r="AB249" s="21">
        <v>0</v>
      </c>
      <c r="AC249" s="21">
        <v>1815200</v>
      </c>
    </row>
    <row r="250" spans="1:30" hidden="1" outlineLevel="2">
      <c r="A250" s="21">
        <v>467</v>
      </c>
      <c r="B250" s="21">
        <v>4051041</v>
      </c>
      <c r="C250" s="21">
        <v>40510414</v>
      </c>
      <c r="D250" s="21" t="s">
        <v>1260</v>
      </c>
      <c r="E250" s="21" t="s">
        <v>1176</v>
      </c>
      <c r="F250" s="21">
        <v>815210</v>
      </c>
      <c r="G250" s="21" t="s">
        <v>1151</v>
      </c>
      <c r="H250" s="21">
        <v>90541</v>
      </c>
      <c r="I250" s="21">
        <v>1</v>
      </c>
      <c r="J250" s="21">
        <v>0</v>
      </c>
      <c r="K250" s="21">
        <v>0</v>
      </c>
      <c r="L250" s="21">
        <v>0</v>
      </c>
      <c r="M250" s="21">
        <v>0</v>
      </c>
      <c r="N250" s="61">
        <f t="shared" si="11"/>
        <v>0</v>
      </c>
      <c r="O250" s="60">
        <v>35588.910000000003</v>
      </c>
      <c r="P250" s="21">
        <v>4286.8999999999996</v>
      </c>
      <c r="Q250" s="21">
        <v>1289.17</v>
      </c>
      <c r="R250" s="21">
        <v>27863.7</v>
      </c>
      <c r="S250" s="21">
        <v>0</v>
      </c>
      <c r="T250" s="21">
        <v>1516</v>
      </c>
      <c r="U250" s="21">
        <v>0</v>
      </c>
      <c r="V250" s="21">
        <v>0</v>
      </c>
      <c r="W250" s="21">
        <v>11538.8</v>
      </c>
      <c r="X250" s="21">
        <v>0</v>
      </c>
      <c r="Y250" s="21">
        <v>14808.9</v>
      </c>
      <c r="Z250" s="21">
        <v>2090.3200000000002</v>
      </c>
      <c r="AA250" s="21">
        <v>0</v>
      </c>
      <c r="AB250" s="21">
        <v>58.82</v>
      </c>
      <c r="AC250" s="21">
        <v>1815200</v>
      </c>
    </row>
    <row r="251" spans="1:30" hidden="1" outlineLevel="2">
      <c r="A251" s="21">
        <v>467</v>
      </c>
      <c r="B251" s="21">
        <v>4081671</v>
      </c>
      <c r="C251" s="21">
        <v>40816712</v>
      </c>
      <c r="D251" s="21" t="s">
        <v>1153</v>
      </c>
      <c r="E251" s="21" t="s">
        <v>1161</v>
      </c>
      <c r="F251" s="21">
        <v>815210</v>
      </c>
      <c r="G251" s="21" t="s">
        <v>1151</v>
      </c>
      <c r="H251" s="21">
        <v>90541</v>
      </c>
      <c r="I251" s="21">
        <v>1</v>
      </c>
      <c r="J251" s="21">
        <v>0</v>
      </c>
      <c r="K251" s="21">
        <v>0</v>
      </c>
      <c r="L251" s="21">
        <v>0</v>
      </c>
      <c r="M251" s="21">
        <v>0</v>
      </c>
      <c r="N251" s="61">
        <f t="shared" si="11"/>
        <v>0</v>
      </c>
      <c r="O251" s="60">
        <v>2137.75</v>
      </c>
      <c r="P251" s="21">
        <v>243</v>
      </c>
      <c r="Q251" s="21">
        <v>77.66</v>
      </c>
      <c r="R251" s="21">
        <v>1665.3</v>
      </c>
      <c r="S251" s="21">
        <v>0</v>
      </c>
      <c r="T251" s="21">
        <v>0</v>
      </c>
      <c r="U251" s="21">
        <v>0</v>
      </c>
      <c r="V251" s="21">
        <v>0</v>
      </c>
      <c r="W251" s="21">
        <v>411</v>
      </c>
      <c r="X251" s="21">
        <v>1254.3</v>
      </c>
      <c r="Y251" s="21">
        <v>0</v>
      </c>
      <c r="Z251" s="21">
        <v>151.79</v>
      </c>
      <c r="AA251" s="21">
        <v>0</v>
      </c>
      <c r="AB251" s="21">
        <v>0</v>
      </c>
      <c r="AC251" s="21">
        <v>1815200</v>
      </c>
    </row>
    <row r="252" spans="1:30" hidden="1" outlineLevel="2">
      <c r="A252" s="21">
        <v>467</v>
      </c>
      <c r="B252" s="21">
        <v>5894017</v>
      </c>
      <c r="C252" s="21">
        <v>58940172</v>
      </c>
      <c r="D252" s="21" t="s">
        <v>1153</v>
      </c>
      <c r="E252" s="21" t="s">
        <v>1275</v>
      </c>
      <c r="F252" s="21">
        <v>815210</v>
      </c>
      <c r="G252" s="21" t="s">
        <v>1151</v>
      </c>
      <c r="H252" s="21">
        <v>90541</v>
      </c>
      <c r="I252" s="21">
        <v>0</v>
      </c>
      <c r="J252" s="21">
        <v>5</v>
      </c>
      <c r="K252" s="21">
        <v>40</v>
      </c>
      <c r="L252" s="21">
        <v>0</v>
      </c>
      <c r="M252" s="21">
        <v>1200</v>
      </c>
      <c r="N252" s="61">
        <f t="shared" si="11"/>
        <v>1</v>
      </c>
      <c r="O252" s="60">
        <v>192865.4</v>
      </c>
      <c r="P252" s="21">
        <v>28105.15</v>
      </c>
      <c r="Q252" s="21">
        <v>7678.02</v>
      </c>
      <c r="R252" s="21">
        <v>146080.93</v>
      </c>
      <c r="S252" s="21">
        <v>2156</v>
      </c>
      <c r="T252" s="21">
        <v>7667</v>
      </c>
      <c r="U252" s="21">
        <v>0</v>
      </c>
      <c r="V252" s="21">
        <v>5973.15</v>
      </c>
      <c r="W252" s="21">
        <v>994.2</v>
      </c>
      <c r="X252" s="21">
        <v>0</v>
      </c>
      <c r="Y252" s="21">
        <v>129290.58</v>
      </c>
      <c r="Z252" s="21">
        <v>11001.3</v>
      </c>
      <c r="AA252" s="21">
        <v>0</v>
      </c>
      <c r="AB252" s="21">
        <v>0</v>
      </c>
      <c r="AC252" s="21">
        <v>1815200</v>
      </c>
    </row>
    <row r="253" spans="1:30" hidden="1" outlineLevel="2">
      <c r="A253" s="21">
        <v>467</v>
      </c>
      <c r="B253" s="21">
        <v>5947352</v>
      </c>
      <c r="C253" s="21">
        <v>59473520</v>
      </c>
      <c r="D253" s="21" t="s">
        <v>1274</v>
      </c>
      <c r="E253" s="21" t="s">
        <v>1273</v>
      </c>
      <c r="F253" s="21">
        <v>815210</v>
      </c>
      <c r="G253" s="21" t="s">
        <v>1151</v>
      </c>
      <c r="H253" s="21">
        <v>90541</v>
      </c>
      <c r="I253" s="21">
        <v>1</v>
      </c>
      <c r="J253" s="21">
        <v>0</v>
      </c>
      <c r="K253" s="21">
        <v>0</v>
      </c>
      <c r="L253" s="21">
        <v>0</v>
      </c>
      <c r="M253" s="21">
        <v>0</v>
      </c>
      <c r="N253" s="61">
        <f t="shared" si="11"/>
        <v>0</v>
      </c>
      <c r="O253" s="60">
        <v>34620.26</v>
      </c>
      <c r="P253" s="21">
        <v>2812.12</v>
      </c>
      <c r="Q253" s="21">
        <v>1470.96</v>
      </c>
      <c r="R253" s="21">
        <v>28172.15</v>
      </c>
      <c r="S253" s="21">
        <v>0</v>
      </c>
      <c r="T253" s="21">
        <v>0</v>
      </c>
      <c r="U253" s="21">
        <v>0</v>
      </c>
      <c r="V253" s="21">
        <v>0</v>
      </c>
      <c r="W253" s="21">
        <v>10250.950000000001</v>
      </c>
      <c r="X253" s="21">
        <v>0</v>
      </c>
      <c r="Y253" s="21">
        <v>17921.2</v>
      </c>
      <c r="Z253" s="21">
        <v>2112.64</v>
      </c>
      <c r="AA253" s="21">
        <v>0</v>
      </c>
      <c r="AB253" s="21">
        <v>52.39</v>
      </c>
      <c r="AC253" s="21">
        <v>1815200</v>
      </c>
    </row>
    <row r="254" spans="1:30" hidden="1" outlineLevel="2">
      <c r="A254" s="21">
        <v>467</v>
      </c>
      <c r="B254" s="21">
        <v>20106085</v>
      </c>
      <c r="C254" s="21">
        <v>201060852</v>
      </c>
      <c r="D254" s="21" t="s">
        <v>1272</v>
      </c>
      <c r="E254" s="21" t="s">
        <v>1271</v>
      </c>
      <c r="F254" s="21">
        <v>815210</v>
      </c>
      <c r="G254" s="21" t="s">
        <v>1151</v>
      </c>
      <c r="H254" s="21">
        <v>90541</v>
      </c>
      <c r="I254" s="21">
        <v>1</v>
      </c>
      <c r="J254" s="21">
        <v>0</v>
      </c>
      <c r="K254" s="21">
        <v>0</v>
      </c>
      <c r="L254" s="21">
        <v>0</v>
      </c>
      <c r="M254" s="21">
        <v>0</v>
      </c>
      <c r="N254" s="61">
        <f t="shared" si="11"/>
        <v>0</v>
      </c>
      <c r="O254" s="60">
        <v>6361.61</v>
      </c>
      <c r="P254" s="21">
        <v>0</v>
      </c>
      <c r="Q254" s="21">
        <v>197.81</v>
      </c>
      <c r="R254" s="21">
        <v>5733.75</v>
      </c>
      <c r="S254" s="21">
        <v>0</v>
      </c>
      <c r="T254" s="21">
        <v>0</v>
      </c>
      <c r="U254" s="21">
        <v>0</v>
      </c>
      <c r="V254" s="21">
        <v>0</v>
      </c>
      <c r="W254" s="21">
        <v>0</v>
      </c>
      <c r="X254" s="21">
        <v>0</v>
      </c>
      <c r="Y254" s="21">
        <v>5733.75</v>
      </c>
      <c r="Z254" s="21">
        <v>430.05</v>
      </c>
      <c r="AA254" s="21">
        <v>0</v>
      </c>
      <c r="AB254" s="21">
        <v>0</v>
      </c>
      <c r="AC254" s="21">
        <v>1815200</v>
      </c>
    </row>
    <row r="255" spans="1:30" outlineLevel="1" collapsed="1">
      <c r="F255" s="62" t="s">
        <v>1270</v>
      </c>
      <c r="M255" s="21">
        <f>SUBTOTAL(9,M248:M254)</f>
        <v>2400</v>
      </c>
      <c r="N255" s="61">
        <f>SUBTOTAL(9,N248:N254)</f>
        <v>2</v>
      </c>
      <c r="O255" s="60">
        <f>SUBTOTAL(9,O248:O254)</f>
        <v>377868.56999999995</v>
      </c>
      <c r="AC255" s="21" t="str">
        <f>"1"&amp;LEFT(F255,6)&amp;"110"</f>
        <v>1815210110</v>
      </c>
    </row>
    <row r="256" spans="1:30" hidden="1" outlineLevel="2">
      <c r="A256" s="21">
        <v>467</v>
      </c>
      <c r="B256" s="21">
        <v>2156406</v>
      </c>
      <c r="C256" s="21">
        <v>21564067</v>
      </c>
      <c r="D256" s="21" t="s">
        <v>1173</v>
      </c>
      <c r="E256" s="21" t="s">
        <v>1269</v>
      </c>
      <c r="F256" s="21">
        <v>817300</v>
      </c>
      <c r="G256" s="21" t="s">
        <v>1151</v>
      </c>
      <c r="H256" s="21">
        <v>90541</v>
      </c>
      <c r="I256" s="21">
        <v>0</v>
      </c>
      <c r="J256" s="21">
        <v>81</v>
      </c>
      <c r="K256" s="21">
        <v>37</v>
      </c>
      <c r="L256" s="21">
        <v>0</v>
      </c>
      <c r="M256" s="21">
        <v>1200</v>
      </c>
      <c r="N256" s="61">
        <f t="shared" ref="N256:N262" si="12">+M256/1200</f>
        <v>1</v>
      </c>
      <c r="O256" s="60">
        <v>107679.4</v>
      </c>
      <c r="P256" s="21">
        <v>17849.5</v>
      </c>
      <c r="Q256" s="21">
        <v>3323.57</v>
      </c>
      <c r="R256" s="21">
        <v>80445.88</v>
      </c>
      <c r="S256" s="21">
        <v>795</v>
      </c>
      <c r="T256" s="21">
        <v>5638</v>
      </c>
      <c r="U256" s="21">
        <v>0</v>
      </c>
      <c r="V256" s="21">
        <v>0</v>
      </c>
      <c r="W256" s="21">
        <v>994.2</v>
      </c>
      <c r="X256" s="21">
        <v>11.4</v>
      </c>
      <c r="Y256" s="21">
        <v>73007.28</v>
      </c>
      <c r="Z256" s="21">
        <v>6060.45</v>
      </c>
      <c r="AA256" s="21">
        <v>0</v>
      </c>
      <c r="AB256" s="21">
        <v>0</v>
      </c>
      <c r="AC256" s="21">
        <v>1817300</v>
      </c>
    </row>
    <row r="257" spans="1:30" hidden="1" outlineLevel="2">
      <c r="A257" s="21">
        <v>467</v>
      </c>
      <c r="B257" s="21">
        <v>3595736</v>
      </c>
      <c r="C257" s="21">
        <v>35957364</v>
      </c>
      <c r="D257" s="21" t="s">
        <v>1268</v>
      </c>
      <c r="E257" s="21" t="s">
        <v>1267</v>
      </c>
      <c r="F257" s="21">
        <v>817300</v>
      </c>
      <c r="G257" s="21" t="s">
        <v>1151</v>
      </c>
      <c r="H257" s="21">
        <v>90541</v>
      </c>
      <c r="I257" s="21">
        <v>0</v>
      </c>
      <c r="J257" s="21">
        <v>81</v>
      </c>
      <c r="K257" s="21">
        <v>37</v>
      </c>
      <c r="L257" s="21">
        <v>0</v>
      </c>
      <c r="M257" s="21">
        <v>900</v>
      </c>
      <c r="N257" s="61">
        <f t="shared" si="12"/>
        <v>0.75</v>
      </c>
      <c r="O257" s="60">
        <v>93836.94</v>
      </c>
      <c r="P257" s="21">
        <v>12374.85</v>
      </c>
      <c r="Q257" s="21">
        <v>399.24</v>
      </c>
      <c r="R257" s="21">
        <v>75407.25</v>
      </c>
      <c r="S257" s="21">
        <v>596.25</v>
      </c>
      <c r="T257" s="21">
        <v>4035.35</v>
      </c>
      <c r="U257" s="21">
        <v>0</v>
      </c>
      <c r="V257" s="21">
        <v>0</v>
      </c>
      <c r="W257" s="21">
        <v>10057.4</v>
      </c>
      <c r="X257" s="21">
        <v>-3.55</v>
      </c>
      <c r="Y257" s="21">
        <v>60721.8</v>
      </c>
      <c r="Z257" s="21">
        <v>5655.6</v>
      </c>
      <c r="AA257" s="21">
        <v>0</v>
      </c>
      <c r="AB257" s="21">
        <v>0</v>
      </c>
      <c r="AC257" s="21">
        <v>1817300</v>
      </c>
    </row>
    <row r="258" spans="1:30" hidden="1" outlineLevel="2">
      <c r="A258" s="21">
        <v>467</v>
      </c>
      <c r="B258" s="21">
        <v>3671125</v>
      </c>
      <c r="C258" s="21">
        <v>36711257</v>
      </c>
      <c r="D258" s="21" t="s">
        <v>1173</v>
      </c>
      <c r="E258" s="21" t="s">
        <v>1266</v>
      </c>
      <c r="F258" s="21">
        <v>817300</v>
      </c>
      <c r="G258" s="21" t="s">
        <v>1151</v>
      </c>
      <c r="H258" s="21">
        <v>90541</v>
      </c>
      <c r="I258" s="21">
        <v>0</v>
      </c>
      <c r="J258" s="21">
        <v>81</v>
      </c>
      <c r="K258" s="21">
        <v>37</v>
      </c>
      <c r="L258" s="21">
        <v>0</v>
      </c>
      <c r="M258" s="21">
        <v>900</v>
      </c>
      <c r="N258" s="61">
        <f t="shared" si="12"/>
        <v>0.75</v>
      </c>
      <c r="O258" s="60">
        <v>78148.34</v>
      </c>
      <c r="P258" s="21">
        <v>10675.85</v>
      </c>
      <c r="Q258" s="21">
        <v>2161.9499999999998</v>
      </c>
      <c r="R258" s="21">
        <v>60753.94</v>
      </c>
      <c r="S258" s="21">
        <v>596.25</v>
      </c>
      <c r="T258" s="21">
        <v>3771.7</v>
      </c>
      <c r="U258" s="21">
        <v>0</v>
      </c>
      <c r="V258" s="21">
        <v>0</v>
      </c>
      <c r="W258" s="21">
        <v>745.65</v>
      </c>
      <c r="X258" s="21">
        <v>-0.05</v>
      </c>
      <c r="Y258" s="21">
        <v>55640.39</v>
      </c>
      <c r="Z258" s="21">
        <v>4556.6000000000004</v>
      </c>
      <c r="AA258" s="21">
        <v>0</v>
      </c>
      <c r="AB258" s="21">
        <v>0</v>
      </c>
      <c r="AC258" s="21">
        <v>1817300</v>
      </c>
    </row>
    <row r="259" spans="1:30" hidden="1" outlineLevel="2">
      <c r="A259" s="21">
        <v>467</v>
      </c>
      <c r="B259" s="21">
        <v>3731313</v>
      </c>
      <c r="C259" s="21">
        <v>37313137</v>
      </c>
      <c r="D259" s="21" t="s">
        <v>1265</v>
      </c>
      <c r="E259" s="21" t="s">
        <v>1264</v>
      </c>
      <c r="F259" s="21">
        <v>817300</v>
      </c>
      <c r="G259" s="21" t="s">
        <v>1151</v>
      </c>
      <c r="H259" s="21">
        <v>90541</v>
      </c>
      <c r="I259" s="21">
        <v>0</v>
      </c>
      <c r="J259" s="21">
        <v>81</v>
      </c>
      <c r="K259" s="21">
        <v>37</v>
      </c>
      <c r="L259" s="21">
        <v>0</v>
      </c>
      <c r="M259" s="21">
        <v>600</v>
      </c>
      <c r="N259" s="61">
        <f t="shared" si="12"/>
        <v>0.5</v>
      </c>
      <c r="O259" s="60">
        <v>51529.82</v>
      </c>
      <c r="P259" s="21">
        <v>6092.5</v>
      </c>
      <c r="Q259" s="21">
        <v>1540.63</v>
      </c>
      <c r="R259" s="21">
        <v>40547.49</v>
      </c>
      <c r="S259" s="21">
        <v>397.5</v>
      </c>
      <c r="T259" s="21">
        <v>2292.6999999999998</v>
      </c>
      <c r="U259" s="21">
        <v>0</v>
      </c>
      <c r="V259" s="21">
        <v>0</v>
      </c>
      <c r="W259" s="21">
        <v>8931.6</v>
      </c>
      <c r="X259" s="21">
        <v>62.1</v>
      </c>
      <c r="Y259" s="21">
        <v>28863.59</v>
      </c>
      <c r="Z259" s="21">
        <v>3349.2</v>
      </c>
      <c r="AA259" s="21">
        <v>0</v>
      </c>
      <c r="AB259" s="21">
        <v>0</v>
      </c>
      <c r="AC259" s="21">
        <v>1817300</v>
      </c>
    </row>
    <row r="260" spans="1:30" hidden="1" outlineLevel="2">
      <c r="A260" s="21">
        <v>467</v>
      </c>
      <c r="B260" s="21">
        <v>4008104</v>
      </c>
      <c r="C260" s="21">
        <v>40081044</v>
      </c>
      <c r="D260" s="21" t="s">
        <v>1263</v>
      </c>
      <c r="E260" s="21" t="s">
        <v>1262</v>
      </c>
      <c r="F260" s="21">
        <v>817300</v>
      </c>
      <c r="G260" s="21" t="s">
        <v>1151</v>
      </c>
      <c r="H260" s="21">
        <v>90541</v>
      </c>
      <c r="I260" s="21">
        <v>0</v>
      </c>
      <c r="J260" s="21">
        <v>81</v>
      </c>
      <c r="K260" s="21">
        <v>37</v>
      </c>
      <c r="L260" s="21">
        <v>0</v>
      </c>
      <c r="M260" s="21">
        <v>1020</v>
      </c>
      <c r="N260" s="61">
        <f t="shared" si="12"/>
        <v>0.85</v>
      </c>
      <c r="O260" s="60">
        <v>91987.05</v>
      </c>
      <c r="P260" s="21">
        <v>12514.85</v>
      </c>
      <c r="Q260" s="21">
        <v>2661.69</v>
      </c>
      <c r="R260" s="21">
        <v>71451.66</v>
      </c>
      <c r="S260" s="21">
        <v>675.75</v>
      </c>
      <c r="T260" s="21">
        <v>4620</v>
      </c>
      <c r="U260" s="21">
        <v>0</v>
      </c>
      <c r="V260" s="21">
        <v>0</v>
      </c>
      <c r="W260" s="21">
        <v>7023.6</v>
      </c>
      <c r="X260" s="21">
        <v>11.85</v>
      </c>
      <c r="Y260" s="21">
        <v>59120.46</v>
      </c>
      <c r="Z260" s="21">
        <v>5358.85</v>
      </c>
      <c r="AA260" s="21">
        <v>0</v>
      </c>
      <c r="AB260" s="21">
        <v>0</v>
      </c>
      <c r="AC260" s="21">
        <v>1817300</v>
      </c>
    </row>
    <row r="261" spans="1:30" hidden="1" outlineLevel="2">
      <c r="A261" s="21">
        <v>467</v>
      </c>
      <c r="B261" s="21">
        <v>5987698</v>
      </c>
      <c r="C261" s="21">
        <v>59876987</v>
      </c>
      <c r="D261" s="21" t="s">
        <v>1177</v>
      </c>
      <c r="E261" s="21" t="s">
        <v>1261</v>
      </c>
      <c r="F261" s="21">
        <v>817300</v>
      </c>
      <c r="G261" s="21" t="s">
        <v>1151</v>
      </c>
      <c r="H261" s="21">
        <v>90541</v>
      </c>
      <c r="I261" s="21">
        <v>0</v>
      </c>
      <c r="J261" s="21">
        <v>81</v>
      </c>
      <c r="K261" s="21">
        <v>41</v>
      </c>
      <c r="L261" s="21">
        <v>0</v>
      </c>
      <c r="M261" s="21">
        <v>960</v>
      </c>
      <c r="N261" s="61">
        <f t="shared" si="12"/>
        <v>0.8</v>
      </c>
      <c r="O261" s="60">
        <v>126564.25</v>
      </c>
      <c r="P261" s="21">
        <v>16657.900000000001</v>
      </c>
      <c r="Q261" s="21">
        <v>4456.78</v>
      </c>
      <c r="R261" s="21">
        <v>98092.62</v>
      </c>
      <c r="S261" s="21">
        <v>636</v>
      </c>
      <c r="T261" s="21">
        <v>4373.05</v>
      </c>
      <c r="U261" s="21">
        <v>0</v>
      </c>
      <c r="V261" s="21">
        <v>1390.35</v>
      </c>
      <c r="W261" s="21">
        <v>10354.799999999999</v>
      </c>
      <c r="X261" s="21">
        <v>15.95</v>
      </c>
      <c r="Y261" s="21">
        <v>81322.47</v>
      </c>
      <c r="Z261" s="21">
        <v>7356.95</v>
      </c>
      <c r="AA261" s="21">
        <v>0</v>
      </c>
      <c r="AB261" s="21">
        <v>0</v>
      </c>
      <c r="AC261" s="21">
        <v>1817300</v>
      </c>
    </row>
    <row r="262" spans="1:30" hidden="1" outlineLevel="2">
      <c r="A262" s="21">
        <v>467</v>
      </c>
      <c r="B262" s="21">
        <v>6126593</v>
      </c>
      <c r="C262" s="21">
        <v>61265930</v>
      </c>
      <c r="D262" s="21" t="s">
        <v>1260</v>
      </c>
      <c r="E262" s="21" t="s">
        <v>1259</v>
      </c>
      <c r="F262" s="21">
        <v>817300</v>
      </c>
      <c r="G262" s="21" t="s">
        <v>1151</v>
      </c>
      <c r="H262" s="21">
        <v>90541</v>
      </c>
      <c r="I262" s="21">
        <v>0</v>
      </c>
      <c r="J262" s="21">
        <v>81</v>
      </c>
      <c r="K262" s="21">
        <v>37</v>
      </c>
      <c r="L262" s="21">
        <v>0</v>
      </c>
      <c r="M262" s="21">
        <v>93.3</v>
      </c>
      <c r="N262" s="61">
        <f t="shared" si="12"/>
        <v>7.775E-2</v>
      </c>
      <c r="O262" s="60">
        <v>6642.45</v>
      </c>
      <c r="P262" s="21">
        <v>27.35</v>
      </c>
      <c r="Q262" s="21">
        <v>205.7</v>
      </c>
      <c r="R262" s="21">
        <v>5962.2</v>
      </c>
      <c r="S262" s="21">
        <v>0</v>
      </c>
      <c r="T262" s="21">
        <v>0</v>
      </c>
      <c r="U262" s="21">
        <v>0</v>
      </c>
      <c r="V262" s="21">
        <v>0</v>
      </c>
      <c r="W262" s="21">
        <v>525.35</v>
      </c>
      <c r="X262" s="21">
        <v>0</v>
      </c>
      <c r="Y262" s="21">
        <v>5436.85</v>
      </c>
      <c r="Z262" s="21">
        <v>447.2</v>
      </c>
      <c r="AA262" s="21">
        <v>0</v>
      </c>
      <c r="AB262" s="21">
        <v>0</v>
      </c>
      <c r="AC262" s="21">
        <v>1817300</v>
      </c>
    </row>
    <row r="263" spans="1:30" outlineLevel="1" collapsed="1">
      <c r="F263" s="62" t="s">
        <v>1258</v>
      </c>
      <c r="M263" s="21">
        <f>SUBTOTAL(9,M256:M262)</f>
        <v>5673.3</v>
      </c>
      <c r="N263" s="61">
        <f>SUBTOTAL(9,N256:N262)</f>
        <v>4.7277500000000003</v>
      </c>
      <c r="O263" s="60">
        <f>SUBTOTAL(9,O256:O262)</f>
        <v>556388.25</v>
      </c>
      <c r="AC263" s="21" t="str">
        <f>"1"&amp;LEFT(F263,6)&amp;"110"</f>
        <v>1817300110</v>
      </c>
      <c r="AD263" s="21" t="str">
        <f>VLOOKUP(AC263,'פירוט שכר'!A:K,5,0)</f>
        <v>שפ"י - משכורת</v>
      </c>
    </row>
    <row r="264" spans="1:30" hidden="1" outlineLevel="2">
      <c r="A264" s="21">
        <v>467</v>
      </c>
      <c r="B264" s="21">
        <v>3607469</v>
      </c>
      <c r="C264" s="21">
        <v>36074698</v>
      </c>
      <c r="D264" s="21" t="s">
        <v>1173</v>
      </c>
      <c r="E264" s="21" t="s">
        <v>1240</v>
      </c>
      <c r="F264" s="21">
        <v>817700</v>
      </c>
      <c r="G264" s="21" t="s">
        <v>1151</v>
      </c>
      <c r="H264" s="21">
        <v>90541</v>
      </c>
      <c r="I264" s="21">
        <v>0</v>
      </c>
      <c r="J264" s="21">
        <v>5</v>
      </c>
      <c r="K264" s="21">
        <v>7</v>
      </c>
      <c r="L264" s="21">
        <v>0</v>
      </c>
      <c r="M264" s="21">
        <v>988.8</v>
      </c>
      <c r="N264" s="61">
        <f>+M264/1200</f>
        <v>0.82399999999999995</v>
      </c>
      <c r="O264" s="60">
        <v>65619.11</v>
      </c>
      <c r="P264" s="21">
        <v>9877.5499999999993</v>
      </c>
      <c r="Q264" s="21">
        <v>1842.94</v>
      </c>
      <c r="R264" s="21">
        <v>50096.17</v>
      </c>
      <c r="S264" s="21">
        <v>0</v>
      </c>
      <c r="T264" s="21">
        <v>4767.7</v>
      </c>
      <c r="U264" s="21">
        <v>0</v>
      </c>
      <c r="V264" s="21">
        <v>0</v>
      </c>
      <c r="W264" s="21">
        <v>891.6</v>
      </c>
      <c r="X264" s="21">
        <v>117.25</v>
      </c>
      <c r="Y264" s="21">
        <v>44319.62</v>
      </c>
      <c r="Z264" s="21">
        <v>3802.45</v>
      </c>
      <c r="AA264" s="21">
        <v>0</v>
      </c>
      <c r="AB264" s="21">
        <v>0</v>
      </c>
      <c r="AC264" s="21">
        <v>1817700</v>
      </c>
    </row>
    <row r="265" spans="1:30" hidden="1" outlineLevel="2">
      <c r="A265" s="21">
        <v>467</v>
      </c>
      <c r="B265" s="21">
        <v>3740909</v>
      </c>
      <c r="C265" s="21">
        <v>37409091</v>
      </c>
      <c r="D265" s="21" t="s">
        <v>1153</v>
      </c>
      <c r="E265" s="21" t="s">
        <v>1257</v>
      </c>
      <c r="F265" s="21">
        <v>817700</v>
      </c>
      <c r="G265" s="21" t="s">
        <v>1151</v>
      </c>
      <c r="H265" s="21">
        <v>90541</v>
      </c>
      <c r="I265" s="21">
        <v>1</v>
      </c>
      <c r="J265" s="21">
        <v>13</v>
      </c>
      <c r="K265" s="21">
        <v>0</v>
      </c>
      <c r="L265" s="21">
        <v>0</v>
      </c>
      <c r="M265" s="21">
        <v>0</v>
      </c>
      <c r="N265" s="61">
        <f>+M265/1200</f>
        <v>0</v>
      </c>
      <c r="O265" s="60">
        <v>30.86</v>
      </c>
      <c r="P265" s="21">
        <v>0</v>
      </c>
      <c r="Q265" s="21">
        <v>12.64</v>
      </c>
      <c r="R265" s="21">
        <v>0</v>
      </c>
      <c r="S265" s="21">
        <v>0</v>
      </c>
      <c r="T265" s="21">
        <v>0</v>
      </c>
      <c r="U265" s="21">
        <v>0</v>
      </c>
      <c r="V265" s="21">
        <v>0</v>
      </c>
      <c r="W265" s="21">
        <v>0</v>
      </c>
      <c r="X265" s="21">
        <v>0</v>
      </c>
      <c r="Y265" s="21">
        <v>0</v>
      </c>
      <c r="Z265" s="21">
        <v>18.22</v>
      </c>
      <c r="AA265" s="21">
        <v>0</v>
      </c>
      <c r="AB265" s="21">
        <v>0</v>
      </c>
      <c r="AC265" s="21">
        <v>1817700</v>
      </c>
    </row>
    <row r="266" spans="1:30" hidden="1" outlineLevel="2">
      <c r="A266" s="21">
        <v>467</v>
      </c>
      <c r="B266" s="21">
        <v>4045503</v>
      </c>
      <c r="C266" s="21">
        <v>40455032</v>
      </c>
      <c r="D266" s="21" t="s">
        <v>1173</v>
      </c>
      <c r="E266" s="21" t="s">
        <v>1219</v>
      </c>
      <c r="F266" s="21">
        <v>817700</v>
      </c>
      <c r="G266" s="21" t="s">
        <v>1151</v>
      </c>
      <c r="H266" s="21">
        <v>90541</v>
      </c>
      <c r="I266" s="21">
        <v>1</v>
      </c>
      <c r="J266" s="21">
        <v>0</v>
      </c>
      <c r="K266" s="21">
        <v>0</v>
      </c>
      <c r="L266" s="21">
        <v>0</v>
      </c>
      <c r="M266" s="21">
        <v>0</v>
      </c>
      <c r="N266" s="61">
        <f>+M266/1200</f>
        <v>0</v>
      </c>
      <c r="O266" s="60">
        <v>-6054.88</v>
      </c>
      <c r="P266" s="21">
        <v>-293.20999999999998</v>
      </c>
      <c r="Q266" s="21">
        <v>-18.260000000000002</v>
      </c>
      <c r="R266" s="21">
        <v>-5342.8</v>
      </c>
      <c r="S266" s="21">
        <v>0</v>
      </c>
      <c r="T266" s="21">
        <v>1516</v>
      </c>
      <c r="U266" s="21">
        <v>0</v>
      </c>
      <c r="V266" s="21">
        <v>0</v>
      </c>
      <c r="W266" s="21">
        <v>411</v>
      </c>
      <c r="X266" s="21">
        <v>0</v>
      </c>
      <c r="Y266" s="21">
        <v>-7269.8</v>
      </c>
      <c r="Z266" s="21">
        <v>-400.61</v>
      </c>
      <c r="AA266" s="21">
        <v>0</v>
      </c>
      <c r="AB266" s="21">
        <v>0</v>
      </c>
      <c r="AC266" s="21">
        <v>1817700</v>
      </c>
    </row>
    <row r="267" spans="1:30" hidden="1" outlineLevel="2">
      <c r="A267" s="21">
        <v>467</v>
      </c>
      <c r="B267" s="21">
        <v>5996998</v>
      </c>
      <c r="C267" s="21">
        <v>59969980</v>
      </c>
      <c r="D267" s="21" t="s">
        <v>1256</v>
      </c>
      <c r="E267" s="21" t="s">
        <v>1255</v>
      </c>
      <c r="F267" s="21">
        <v>817700</v>
      </c>
      <c r="G267" s="21" t="s">
        <v>1151</v>
      </c>
      <c r="H267" s="21">
        <v>90541</v>
      </c>
      <c r="I267" s="21">
        <v>0</v>
      </c>
      <c r="J267" s="21">
        <v>73</v>
      </c>
      <c r="K267" s="21">
        <v>12</v>
      </c>
      <c r="L267" s="21">
        <v>0</v>
      </c>
      <c r="M267" s="21">
        <v>1200</v>
      </c>
      <c r="N267" s="61">
        <f>+M267/1200</f>
        <v>1</v>
      </c>
      <c r="O267" s="60">
        <v>118822.65</v>
      </c>
      <c r="P267" s="21">
        <v>17192.25</v>
      </c>
      <c r="Q267" s="21">
        <v>3986.29</v>
      </c>
      <c r="R267" s="21">
        <v>90806.61</v>
      </c>
      <c r="S267" s="21">
        <v>0</v>
      </c>
      <c r="T267" s="21">
        <v>6813</v>
      </c>
      <c r="U267" s="21">
        <v>0</v>
      </c>
      <c r="V267" s="21">
        <v>0</v>
      </c>
      <c r="W267" s="21">
        <v>994.2</v>
      </c>
      <c r="X267" s="21">
        <v>3</v>
      </c>
      <c r="Y267" s="21">
        <v>82996.41</v>
      </c>
      <c r="Z267" s="21">
        <v>6837.5</v>
      </c>
      <c r="AA267" s="21">
        <v>0</v>
      </c>
      <c r="AB267" s="21">
        <v>0</v>
      </c>
      <c r="AC267" s="21">
        <v>1817700</v>
      </c>
    </row>
    <row r="268" spans="1:30" outlineLevel="1" collapsed="1">
      <c r="F268" s="62" t="s">
        <v>1254</v>
      </c>
      <c r="M268" s="21">
        <f>SUBTOTAL(9,M264:M267)</f>
        <v>2188.8000000000002</v>
      </c>
      <c r="N268" s="61">
        <f>SUBTOTAL(9,N264:N267)</f>
        <v>1.8239999999999998</v>
      </c>
      <c r="O268" s="60">
        <f>SUBTOTAL(9,O264:O267)</f>
        <v>178417.74</v>
      </c>
      <c r="AC268" s="21" t="str">
        <f>"1"&amp;LEFT(F268,6)&amp;"110"</f>
        <v>1817700110</v>
      </c>
      <c r="AD268" s="21" t="str">
        <f>VLOOKUP(AC268,'פירוט שכר'!A:K,5,0)</f>
        <v>קב"סים-משכורת</v>
      </c>
    </row>
    <row r="269" spans="1:30" hidden="1" outlineLevel="2">
      <c r="A269" s="21">
        <v>467</v>
      </c>
      <c r="B269" s="21">
        <v>2582724</v>
      </c>
      <c r="C269" s="21">
        <v>25827247</v>
      </c>
      <c r="D269" s="21" t="s">
        <v>1253</v>
      </c>
      <c r="E269" s="21" t="s">
        <v>1172</v>
      </c>
      <c r="F269" s="21">
        <v>817800</v>
      </c>
      <c r="G269" s="21" t="s">
        <v>1151</v>
      </c>
      <c r="H269" s="21">
        <v>90541</v>
      </c>
      <c r="I269" s="21">
        <v>1</v>
      </c>
      <c r="J269" s="21">
        <v>0</v>
      </c>
      <c r="K269" s="21">
        <v>0</v>
      </c>
      <c r="L269" s="21">
        <v>0</v>
      </c>
      <c r="M269" s="21">
        <v>0</v>
      </c>
      <c r="N269" s="61">
        <f t="shared" ref="N269:N287" si="13">+M269/1200</f>
        <v>0</v>
      </c>
      <c r="O269" s="60">
        <v>2551.85</v>
      </c>
      <c r="P269" s="21">
        <v>0</v>
      </c>
      <c r="Q269" s="21">
        <v>79.349999999999994</v>
      </c>
      <c r="R269" s="21">
        <v>2300</v>
      </c>
      <c r="S269" s="21">
        <v>0</v>
      </c>
      <c r="T269" s="21">
        <v>0</v>
      </c>
      <c r="U269" s="21">
        <v>0</v>
      </c>
      <c r="V269" s="21">
        <v>0</v>
      </c>
      <c r="W269" s="21">
        <v>0</v>
      </c>
      <c r="X269" s="21">
        <v>0</v>
      </c>
      <c r="Y269" s="21">
        <v>2300</v>
      </c>
      <c r="Z269" s="21">
        <v>172.5</v>
      </c>
      <c r="AA269" s="21">
        <v>0</v>
      </c>
      <c r="AB269" s="21">
        <v>0</v>
      </c>
      <c r="AC269" s="21">
        <v>1817800</v>
      </c>
    </row>
    <row r="270" spans="1:30" hidden="1" outlineLevel="2">
      <c r="A270" s="21">
        <v>467</v>
      </c>
      <c r="B270" s="21">
        <v>2627397</v>
      </c>
      <c r="C270" s="21">
        <v>26273979</v>
      </c>
      <c r="D270" s="21" t="s">
        <v>1252</v>
      </c>
      <c r="E270" s="21" t="s">
        <v>1251</v>
      </c>
      <c r="F270" s="21">
        <v>817800</v>
      </c>
      <c r="G270" s="21" t="s">
        <v>1151</v>
      </c>
      <c r="H270" s="21">
        <v>90541</v>
      </c>
      <c r="I270" s="21">
        <v>1</v>
      </c>
      <c r="J270" s="21">
        <v>0</v>
      </c>
      <c r="K270" s="21">
        <v>0</v>
      </c>
      <c r="L270" s="21">
        <v>0</v>
      </c>
      <c r="M270" s="21">
        <v>0</v>
      </c>
      <c r="N270" s="61">
        <f t="shared" si="13"/>
        <v>0</v>
      </c>
      <c r="O270" s="60">
        <v>927.42</v>
      </c>
      <c r="P270" s="21">
        <v>138.63</v>
      </c>
      <c r="Q270" s="21">
        <v>24.52</v>
      </c>
      <c r="R270" s="21">
        <v>710.95</v>
      </c>
      <c r="S270" s="21">
        <v>0</v>
      </c>
      <c r="T270" s="21">
        <v>710.95</v>
      </c>
      <c r="U270" s="21">
        <v>0</v>
      </c>
      <c r="V270" s="21">
        <v>0</v>
      </c>
      <c r="W270" s="21">
        <v>0</v>
      </c>
      <c r="X270" s="21">
        <v>0</v>
      </c>
      <c r="Y270" s="21">
        <v>0</v>
      </c>
      <c r="Z270" s="21">
        <v>53.32</v>
      </c>
      <c r="AA270" s="21">
        <v>0</v>
      </c>
      <c r="AB270" s="21">
        <v>0</v>
      </c>
      <c r="AC270" s="21">
        <v>1817800</v>
      </c>
    </row>
    <row r="271" spans="1:30" hidden="1" outlineLevel="2">
      <c r="A271" s="21">
        <v>467</v>
      </c>
      <c r="B271" s="21">
        <v>2834299</v>
      </c>
      <c r="C271" s="21">
        <v>28342996</v>
      </c>
      <c r="D271" s="21" t="s">
        <v>1153</v>
      </c>
      <c r="E271" s="21" t="s">
        <v>1250</v>
      </c>
      <c r="F271" s="21">
        <v>817800</v>
      </c>
      <c r="G271" s="21" t="s">
        <v>1151</v>
      </c>
      <c r="H271" s="21">
        <v>90541</v>
      </c>
      <c r="I271" s="21">
        <v>1</v>
      </c>
      <c r="J271" s="21">
        <v>0</v>
      </c>
      <c r="K271" s="21">
        <v>0</v>
      </c>
      <c r="L271" s="21">
        <v>0</v>
      </c>
      <c r="M271" s="21">
        <v>0</v>
      </c>
      <c r="N271" s="61">
        <f t="shared" si="13"/>
        <v>0</v>
      </c>
      <c r="O271" s="60">
        <v>4337.63</v>
      </c>
      <c r="P271" s="21">
        <v>0</v>
      </c>
      <c r="Q271" s="21">
        <v>134.88</v>
      </c>
      <c r="R271" s="21">
        <v>3909.55</v>
      </c>
      <c r="S271" s="21">
        <v>0</v>
      </c>
      <c r="T271" s="21">
        <v>0</v>
      </c>
      <c r="U271" s="21">
        <v>0</v>
      </c>
      <c r="V271" s="21">
        <v>0</v>
      </c>
      <c r="W271" s="21">
        <v>0</v>
      </c>
      <c r="X271" s="21">
        <v>0</v>
      </c>
      <c r="Y271" s="21">
        <v>3909.55</v>
      </c>
      <c r="Z271" s="21">
        <v>293.2</v>
      </c>
      <c r="AA271" s="21">
        <v>0</v>
      </c>
      <c r="AB271" s="21">
        <v>0</v>
      </c>
      <c r="AC271" s="21">
        <v>1817800</v>
      </c>
    </row>
    <row r="272" spans="1:30" hidden="1" outlineLevel="2">
      <c r="A272" s="21">
        <v>467</v>
      </c>
      <c r="B272" s="21">
        <v>3570858</v>
      </c>
      <c r="C272" s="21">
        <v>35708585</v>
      </c>
      <c r="D272" s="21" t="s">
        <v>1249</v>
      </c>
      <c r="E272" s="21" t="s">
        <v>1248</v>
      </c>
      <c r="F272" s="21">
        <v>817800</v>
      </c>
      <c r="G272" s="21" t="s">
        <v>1151</v>
      </c>
      <c r="H272" s="21">
        <v>90541</v>
      </c>
      <c r="I272" s="21">
        <v>1</v>
      </c>
      <c r="J272" s="21">
        <v>0</v>
      </c>
      <c r="K272" s="21">
        <v>0</v>
      </c>
      <c r="L272" s="21">
        <v>0</v>
      </c>
      <c r="M272" s="21">
        <v>0</v>
      </c>
      <c r="N272" s="61">
        <f t="shared" si="13"/>
        <v>0</v>
      </c>
      <c r="O272" s="60">
        <v>14069.96</v>
      </c>
      <c r="P272" s="21">
        <v>0</v>
      </c>
      <c r="Q272" s="21">
        <v>437.51</v>
      </c>
      <c r="R272" s="21">
        <v>12681.35</v>
      </c>
      <c r="S272" s="21">
        <v>0</v>
      </c>
      <c r="T272" s="21">
        <v>0</v>
      </c>
      <c r="U272" s="21">
        <v>0</v>
      </c>
      <c r="V272" s="21">
        <v>0</v>
      </c>
      <c r="W272" s="21">
        <v>0</v>
      </c>
      <c r="X272" s="21">
        <v>0</v>
      </c>
      <c r="Y272" s="21">
        <v>12681.35</v>
      </c>
      <c r="Z272" s="21">
        <v>951.1</v>
      </c>
      <c r="AA272" s="21">
        <v>0</v>
      </c>
      <c r="AB272" s="21">
        <v>0</v>
      </c>
      <c r="AC272" s="21">
        <v>1817800</v>
      </c>
    </row>
    <row r="273" spans="1:30" hidden="1" outlineLevel="2">
      <c r="A273" s="21">
        <v>467</v>
      </c>
      <c r="B273" s="21">
        <v>3648233</v>
      </c>
      <c r="C273" s="21">
        <v>36482339</v>
      </c>
      <c r="D273" s="21" t="s">
        <v>1173</v>
      </c>
      <c r="E273" s="21" t="s">
        <v>1247</v>
      </c>
      <c r="F273" s="21">
        <v>817800</v>
      </c>
      <c r="G273" s="21" t="s">
        <v>1151</v>
      </c>
      <c r="H273" s="21">
        <v>90541</v>
      </c>
      <c r="I273" s="21">
        <v>1</v>
      </c>
      <c r="J273" s="21">
        <v>0</v>
      </c>
      <c r="K273" s="21">
        <v>0</v>
      </c>
      <c r="L273" s="21">
        <v>0</v>
      </c>
      <c r="M273" s="21">
        <v>0</v>
      </c>
      <c r="N273" s="61">
        <f t="shared" si="13"/>
        <v>0</v>
      </c>
      <c r="O273" s="60">
        <v>15688.16</v>
      </c>
      <c r="P273" s="21">
        <v>897.15</v>
      </c>
      <c r="Q273" s="21">
        <v>463.66</v>
      </c>
      <c r="R273" s="21">
        <v>13319.45</v>
      </c>
      <c r="S273" s="21">
        <v>0</v>
      </c>
      <c r="T273" s="21">
        <v>0</v>
      </c>
      <c r="U273" s="21">
        <v>0</v>
      </c>
      <c r="V273" s="21">
        <v>0</v>
      </c>
      <c r="W273" s="21">
        <v>0</v>
      </c>
      <c r="X273" s="21">
        <v>0</v>
      </c>
      <c r="Y273" s="21">
        <v>13319.45</v>
      </c>
      <c r="Z273" s="21">
        <v>1007.9</v>
      </c>
      <c r="AA273" s="21">
        <v>0</v>
      </c>
      <c r="AB273" s="21">
        <v>0</v>
      </c>
      <c r="AC273" s="21">
        <v>1817800</v>
      </c>
    </row>
    <row r="274" spans="1:30" hidden="1" outlineLevel="2">
      <c r="A274" s="21">
        <v>467</v>
      </c>
      <c r="B274" s="21">
        <v>3726320</v>
      </c>
      <c r="C274" s="21">
        <v>37263209</v>
      </c>
      <c r="D274" s="21" t="s">
        <v>1153</v>
      </c>
      <c r="E274" s="21" t="s">
        <v>1166</v>
      </c>
      <c r="F274" s="21">
        <v>817800</v>
      </c>
      <c r="G274" s="21" t="s">
        <v>1151</v>
      </c>
      <c r="H274" s="21">
        <v>90541</v>
      </c>
      <c r="I274" s="21">
        <v>1</v>
      </c>
      <c r="J274" s="21">
        <v>0</v>
      </c>
      <c r="K274" s="21">
        <v>0</v>
      </c>
      <c r="L274" s="21">
        <v>0</v>
      </c>
      <c r="M274" s="21">
        <v>0</v>
      </c>
      <c r="N274" s="61">
        <f t="shared" si="13"/>
        <v>0</v>
      </c>
      <c r="O274" s="60">
        <v>15130.19</v>
      </c>
      <c r="P274" s="21">
        <v>1734.3</v>
      </c>
      <c r="Q274" s="21">
        <v>424.94</v>
      </c>
      <c r="R274" s="21">
        <v>12047.15</v>
      </c>
      <c r="S274" s="21">
        <v>0</v>
      </c>
      <c r="T274" s="21">
        <v>956.5</v>
      </c>
      <c r="U274" s="21">
        <v>0</v>
      </c>
      <c r="V274" s="21">
        <v>0</v>
      </c>
      <c r="W274" s="21">
        <v>0</v>
      </c>
      <c r="X274" s="21">
        <v>0</v>
      </c>
      <c r="Y274" s="21">
        <v>11090.65</v>
      </c>
      <c r="Z274" s="21">
        <v>923.8</v>
      </c>
      <c r="AA274" s="21">
        <v>0</v>
      </c>
      <c r="AB274" s="21">
        <v>0</v>
      </c>
      <c r="AC274" s="21">
        <v>1817800</v>
      </c>
    </row>
    <row r="275" spans="1:30" hidden="1" outlineLevel="2">
      <c r="A275" s="21">
        <v>467</v>
      </c>
      <c r="B275" s="21">
        <v>3912939</v>
      </c>
      <c r="C275" s="21">
        <v>39129390</v>
      </c>
      <c r="D275" s="21" t="s">
        <v>1246</v>
      </c>
      <c r="E275" s="21" t="s">
        <v>1169</v>
      </c>
      <c r="F275" s="21">
        <v>817800</v>
      </c>
      <c r="G275" s="21" t="s">
        <v>1151</v>
      </c>
      <c r="H275" s="21">
        <v>90541</v>
      </c>
      <c r="I275" s="21">
        <v>1</v>
      </c>
      <c r="J275" s="21">
        <v>0</v>
      </c>
      <c r="K275" s="21">
        <v>0</v>
      </c>
      <c r="L275" s="21">
        <v>0</v>
      </c>
      <c r="M275" s="21">
        <v>0</v>
      </c>
      <c r="N275" s="61">
        <f t="shared" si="13"/>
        <v>0</v>
      </c>
      <c r="O275" s="60">
        <v>50329.440000000002</v>
      </c>
      <c r="P275" s="21">
        <v>6766.5</v>
      </c>
      <c r="Q275" s="21">
        <v>1372.74</v>
      </c>
      <c r="R275" s="21">
        <v>39221.599999999999</v>
      </c>
      <c r="S275" s="21">
        <v>0</v>
      </c>
      <c r="T275" s="21">
        <v>2361.3000000000002</v>
      </c>
      <c r="U275" s="21">
        <v>0</v>
      </c>
      <c r="V275" s="21">
        <v>0</v>
      </c>
      <c r="W275" s="21">
        <v>0</v>
      </c>
      <c r="X275" s="21">
        <v>0</v>
      </c>
      <c r="Y275" s="21">
        <v>36860.300000000003</v>
      </c>
      <c r="Z275" s="21">
        <v>2968.6</v>
      </c>
      <c r="AA275" s="21">
        <v>0</v>
      </c>
      <c r="AB275" s="21">
        <v>0</v>
      </c>
      <c r="AC275" s="21">
        <v>1817800</v>
      </c>
    </row>
    <row r="276" spans="1:30" hidden="1" outlineLevel="2">
      <c r="A276" s="21">
        <v>467</v>
      </c>
      <c r="B276" s="21">
        <v>4046102</v>
      </c>
      <c r="C276" s="21">
        <v>40461022</v>
      </c>
      <c r="D276" s="21" t="s">
        <v>1173</v>
      </c>
      <c r="E276" s="21" t="s">
        <v>1245</v>
      </c>
      <c r="F276" s="21">
        <v>817800</v>
      </c>
      <c r="G276" s="21" t="s">
        <v>1151</v>
      </c>
      <c r="H276" s="21">
        <v>90541</v>
      </c>
      <c r="I276" s="21">
        <v>1</v>
      </c>
      <c r="J276" s="21">
        <v>0</v>
      </c>
      <c r="K276" s="21">
        <v>0</v>
      </c>
      <c r="L276" s="21">
        <v>0</v>
      </c>
      <c r="M276" s="21">
        <v>0</v>
      </c>
      <c r="N276" s="61">
        <f t="shared" si="13"/>
        <v>0</v>
      </c>
      <c r="O276" s="60">
        <v>21958.82</v>
      </c>
      <c r="P276" s="21">
        <v>306.60000000000002</v>
      </c>
      <c r="Q276" s="21">
        <v>681.37</v>
      </c>
      <c r="R276" s="21">
        <v>19489.650000000001</v>
      </c>
      <c r="S276" s="21">
        <v>0</v>
      </c>
      <c r="T276" s="21">
        <v>926.6</v>
      </c>
      <c r="U276" s="21">
        <v>0</v>
      </c>
      <c r="V276" s="21">
        <v>0</v>
      </c>
      <c r="W276" s="21">
        <v>0</v>
      </c>
      <c r="X276" s="21">
        <v>0</v>
      </c>
      <c r="Y276" s="21">
        <v>18563.05</v>
      </c>
      <c r="Z276" s="21">
        <v>1481.2</v>
      </c>
      <c r="AA276" s="21">
        <v>0</v>
      </c>
      <c r="AB276" s="21">
        <v>0</v>
      </c>
      <c r="AC276" s="21">
        <v>1817800</v>
      </c>
    </row>
    <row r="277" spans="1:30" hidden="1" outlineLevel="2">
      <c r="A277" s="21">
        <v>467</v>
      </c>
      <c r="B277" s="21">
        <v>4346996</v>
      </c>
      <c r="C277" s="21">
        <v>43469964</v>
      </c>
      <c r="D277" s="21" t="s">
        <v>1183</v>
      </c>
      <c r="E277" s="21" t="s">
        <v>1244</v>
      </c>
      <c r="F277" s="21">
        <v>817800</v>
      </c>
      <c r="G277" s="21" t="s">
        <v>1151</v>
      </c>
      <c r="H277" s="21">
        <v>90541</v>
      </c>
      <c r="I277" s="21">
        <v>1</v>
      </c>
      <c r="J277" s="21">
        <v>0</v>
      </c>
      <c r="K277" s="21">
        <v>0</v>
      </c>
      <c r="L277" s="21">
        <v>0</v>
      </c>
      <c r="M277" s="21">
        <v>0</v>
      </c>
      <c r="N277" s="61">
        <f t="shared" si="13"/>
        <v>0</v>
      </c>
      <c r="O277" s="60">
        <v>23020.48</v>
      </c>
      <c r="P277" s="21">
        <v>347.1</v>
      </c>
      <c r="Q277" s="21">
        <v>705.03</v>
      </c>
      <c r="R277" s="21">
        <v>20435.75</v>
      </c>
      <c r="S277" s="21">
        <v>0</v>
      </c>
      <c r="T277" s="21">
        <v>0</v>
      </c>
      <c r="U277" s="21">
        <v>0</v>
      </c>
      <c r="V277" s="21">
        <v>0</v>
      </c>
      <c r="W277" s="21">
        <v>0</v>
      </c>
      <c r="X277" s="21">
        <v>0</v>
      </c>
      <c r="Y277" s="21">
        <v>20435.75</v>
      </c>
      <c r="Z277" s="21">
        <v>1532.6</v>
      </c>
      <c r="AA277" s="21">
        <v>0</v>
      </c>
      <c r="AB277" s="21">
        <v>0</v>
      </c>
      <c r="AC277" s="21">
        <v>1817800</v>
      </c>
    </row>
    <row r="278" spans="1:30" hidden="1" outlineLevel="2">
      <c r="A278" s="21">
        <v>467</v>
      </c>
      <c r="B278" s="21">
        <v>5818621</v>
      </c>
      <c r="C278" s="21">
        <v>58186214</v>
      </c>
      <c r="D278" s="21" t="s">
        <v>1243</v>
      </c>
      <c r="E278" s="21" t="s">
        <v>1242</v>
      </c>
      <c r="F278" s="21">
        <v>817800</v>
      </c>
      <c r="G278" s="21" t="s">
        <v>1151</v>
      </c>
      <c r="H278" s="21">
        <v>90541</v>
      </c>
      <c r="I278" s="21">
        <v>1</v>
      </c>
      <c r="J278" s="21">
        <v>0</v>
      </c>
      <c r="K278" s="21">
        <v>0</v>
      </c>
      <c r="L278" s="21">
        <v>0</v>
      </c>
      <c r="M278" s="21">
        <v>0</v>
      </c>
      <c r="N278" s="61">
        <f t="shared" si="13"/>
        <v>0</v>
      </c>
      <c r="O278" s="60">
        <v>456.86</v>
      </c>
      <c r="P278" s="21">
        <v>0</v>
      </c>
      <c r="Q278" s="21">
        <v>15.05</v>
      </c>
      <c r="R278" s="21">
        <v>411</v>
      </c>
      <c r="S278" s="21">
        <v>0</v>
      </c>
      <c r="T278" s="21">
        <v>0</v>
      </c>
      <c r="U278" s="21">
        <v>0</v>
      </c>
      <c r="V278" s="21">
        <v>0</v>
      </c>
      <c r="W278" s="21">
        <v>411</v>
      </c>
      <c r="X278" s="21">
        <v>0</v>
      </c>
      <c r="Y278" s="21">
        <v>0</v>
      </c>
      <c r="Z278" s="21">
        <v>30.81</v>
      </c>
      <c r="AA278" s="21">
        <v>0</v>
      </c>
      <c r="AB278" s="21">
        <v>0</v>
      </c>
      <c r="AC278" s="21">
        <v>1817800</v>
      </c>
    </row>
    <row r="279" spans="1:30" hidden="1" outlineLevel="2">
      <c r="A279" s="21">
        <v>467</v>
      </c>
      <c r="B279" s="21">
        <v>5897578</v>
      </c>
      <c r="C279" s="21">
        <v>58975780</v>
      </c>
      <c r="D279" s="21" t="s">
        <v>1181</v>
      </c>
      <c r="E279" s="21" t="s">
        <v>1241</v>
      </c>
      <c r="F279" s="21">
        <v>817800</v>
      </c>
      <c r="G279" s="21" t="s">
        <v>1151</v>
      </c>
      <c r="H279" s="21">
        <v>90541</v>
      </c>
      <c r="I279" s="21">
        <v>1</v>
      </c>
      <c r="J279" s="21">
        <v>0</v>
      </c>
      <c r="K279" s="21">
        <v>0</v>
      </c>
      <c r="L279" s="21">
        <v>0</v>
      </c>
      <c r="M279" s="21">
        <v>0</v>
      </c>
      <c r="N279" s="61">
        <f t="shared" si="13"/>
        <v>0</v>
      </c>
      <c r="O279" s="60">
        <v>36264.07</v>
      </c>
      <c r="P279" s="21">
        <v>958.1</v>
      </c>
      <c r="Q279" s="21">
        <v>1278.32</v>
      </c>
      <c r="R279" s="21">
        <v>31653.599999999999</v>
      </c>
      <c r="S279" s="21">
        <v>0</v>
      </c>
      <c r="T279" s="21">
        <v>0</v>
      </c>
      <c r="U279" s="21">
        <v>0</v>
      </c>
      <c r="V279" s="21">
        <v>0</v>
      </c>
      <c r="W279" s="21">
        <v>0</v>
      </c>
      <c r="X279" s="21">
        <v>0</v>
      </c>
      <c r="Y279" s="21">
        <v>31653.599999999999</v>
      </c>
      <c r="Z279" s="21">
        <v>2374.0500000000002</v>
      </c>
      <c r="AA279" s="21">
        <v>0</v>
      </c>
      <c r="AB279" s="21">
        <v>0</v>
      </c>
      <c r="AC279" s="21">
        <v>1817800</v>
      </c>
    </row>
    <row r="280" spans="1:30" hidden="1" outlineLevel="2">
      <c r="A280" s="21">
        <v>467</v>
      </c>
      <c r="B280" s="21">
        <v>6014109</v>
      </c>
      <c r="C280" s="21">
        <v>60141090</v>
      </c>
      <c r="D280" s="21" t="s">
        <v>1153</v>
      </c>
      <c r="E280" s="21" t="s">
        <v>1240</v>
      </c>
      <c r="F280" s="21">
        <v>817800</v>
      </c>
      <c r="G280" s="21" t="s">
        <v>1151</v>
      </c>
      <c r="H280" s="21">
        <v>90541</v>
      </c>
      <c r="I280" s="21">
        <v>1</v>
      </c>
      <c r="J280" s="21">
        <v>0</v>
      </c>
      <c r="K280" s="21">
        <v>0</v>
      </c>
      <c r="L280" s="21">
        <v>0</v>
      </c>
      <c r="M280" s="21">
        <v>0</v>
      </c>
      <c r="N280" s="61">
        <f t="shared" si="13"/>
        <v>0</v>
      </c>
      <c r="O280" s="60">
        <v>-1048.03</v>
      </c>
      <c r="P280" s="21">
        <v>-27.81</v>
      </c>
      <c r="Q280" s="21">
        <v>-20.73</v>
      </c>
      <c r="R280" s="21">
        <v>-954.85</v>
      </c>
      <c r="S280" s="21">
        <v>0</v>
      </c>
      <c r="T280" s="21">
        <v>0</v>
      </c>
      <c r="U280" s="21">
        <v>0</v>
      </c>
      <c r="V280" s="21">
        <v>0</v>
      </c>
      <c r="W280" s="21">
        <v>411</v>
      </c>
      <c r="X280" s="21">
        <v>76.2</v>
      </c>
      <c r="Y280" s="21">
        <v>-1442.05</v>
      </c>
      <c r="Z280" s="21">
        <v>-44.64</v>
      </c>
      <c r="AA280" s="21">
        <v>0</v>
      </c>
      <c r="AB280" s="21">
        <v>0</v>
      </c>
      <c r="AC280" s="21">
        <v>1817800</v>
      </c>
    </row>
    <row r="281" spans="1:30" hidden="1" outlineLevel="2">
      <c r="A281" s="21">
        <v>467</v>
      </c>
      <c r="B281" s="21">
        <v>20431765</v>
      </c>
      <c r="C281" s="21">
        <v>204317655</v>
      </c>
      <c r="D281" s="21" t="s">
        <v>1173</v>
      </c>
      <c r="E281" s="21" t="s">
        <v>1239</v>
      </c>
      <c r="F281" s="21">
        <v>817800</v>
      </c>
      <c r="G281" s="21" t="s">
        <v>1151</v>
      </c>
      <c r="H281" s="21">
        <v>90541</v>
      </c>
      <c r="I281" s="21">
        <v>1</v>
      </c>
      <c r="J281" s="21">
        <v>0</v>
      </c>
      <c r="K281" s="21">
        <v>0</v>
      </c>
      <c r="L281" s="21">
        <v>0</v>
      </c>
      <c r="M281" s="21">
        <v>0</v>
      </c>
      <c r="N281" s="61">
        <f t="shared" si="13"/>
        <v>0</v>
      </c>
      <c r="O281" s="60">
        <v>8867.69</v>
      </c>
      <c r="P281" s="21">
        <v>0</v>
      </c>
      <c r="Q281" s="21">
        <v>275.74</v>
      </c>
      <c r="R281" s="21">
        <v>7992.55</v>
      </c>
      <c r="S281" s="21">
        <v>0</v>
      </c>
      <c r="T281" s="21">
        <v>0</v>
      </c>
      <c r="U281" s="21">
        <v>0</v>
      </c>
      <c r="V281" s="21">
        <v>0</v>
      </c>
      <c r="W281" s="21">
        <v>0</v>
      </c>
      <c r="X281" s="21">
        <v>0</v>
      </c>
      <c r="Y281" s="21">
        <v>7992.55</v>
      </c>
      <c r="Z281" s="21">
        <v>599.4</v>
      </c>
      <c r="AA281" s="21">
        <v>0</v>
      </c>
      <c r="AB281" s="21">
        <v>0</v>
      </c>
      <c r="AC281" s="21">
        <v>1817800</v>
      </c>
    </row>
    <row r="282" spans="1:30" hidden="1" outlineLevel="2">
      <c r="A282" s="21">
        <v>467</v>
      </c>
      <c r="B282" s="21">
        <v>20576010</v>
      </c>
      <c r="C282" s="21">
        <v>205760101</v>
      </c>
      <c r="D282" s="21" t="s">
        <v>1153</v>
      </c>
      <c r="E282" s="21" t="s">
        <v>1238</v>
      </c>
      <c r="F282" s="21">
        <v>817800</v>
      </c>
      <c r="G282" s="21" t="s">
        <v>1151</v>
      </c>
      <c r="H282" s="21">
        <v>90541</v>
      </c>
      <c r="I282" s="21">
        <v>1</v>
      </c>
      <c r="J282" s="21">
        <v>0</v>
      </c>
      <c r="K282" s="21">
        <v>0</v>
      </c>
      <c r="L282" s="21">
        <v>0</v>
      </c>
      <c r="M282" s="21">
        <v>0</v>
      </c>
      <c r="N282" s="61">
        <f t="shared" si="13"/>
        <v>0</v>
      </c>
      <c r="O282" s="60">
        <v>25685.360000000001</v>
      </c>
      <c r="P282" s="21">
        <v>0</v>
      </c>
      <c r="Q282" s="21">
        <v>811.41</v>
      </c>
      <c r="R282" s="21">
        <v>23138.55</v>
      </c>
      <c r="S282" s="21">
        <v>0</v>
      </c>
      <c r="T282" s="21">
        <v>0</v>
      </c>
      <c r="U282" s="21">
        <v>0</v>
      </c>
      <c r="V282" s="21">
        <v>0</v>
      </c>
      <c r="W282" s="21">
        <v>0</v>
      </c>
      <c r="X282" s="21">
        <v>0</v>
      </c>
      <c r="Y282" s="21">
        <v>23138.55</v>
      </c>
      <c r="Z282" s="21">
        <v>1735.4</v>
      </c>
      <c r="AA282" s="21">
        <v>0</v>
      </c>
      <c r="AB282" s="21">
        <v>0</v>
      </c>
      <c r="AC282" s="21">
        <v>1817800</v>
      </c>
    </row>
    <row r="283" spans="1:30" hidden="1" outlineLevel="2">
      <c r="A283" s="21">
        <v>467</v>
      </c>
      <c r="B283" s="21">
        <v>30147384</v>
      </c>
      <c r="C283" s="21">
        <v>301473849</v>
      </c>
      <c r="D283" s="21" t="s">
        <v>1153</v>
      </c>
      <c r="E283" s="21" t="s">
        <v>1237</v>
      </c>
      <c r="F283" s="21">
        <v>817800</v>
      </c>
      <c r="G283" s="21" t="s">
        <v>1151</v>
      </c>
      <c r="H283" s="21">
        <v>90541</v>
      </c>
      <c r="I283" s="21">
        <v>1</v>
      </c>
      <c r="J283" s="21">
        <v>0</v>
      </c>
      <c r="K283" s="21">
        <v>0</v>
      </c>
      <c r="L283" s="21">
        <v>0</v>
      </c>
      <c r="M283" s="21">
        <v>0</v>
      </c>
      <c r="N283" s="61">
        <f t="shared" si="13"/>
        <v>0</v>
      </c>
      <c r="O283" s="60">
        <v>14539.12</v>
      </c>
      <c r="P283" s="21">
        <v>559</v>
      </c>
      <c r="Q283" s="21">
        <v>434.72</v>
      </c>
      <c r="R283" s="21">
        <v>12600.4</v>
      </c>
      <c r="S283" s="21">
        <v>0</v>
      </c>
      <c r="T283" s="21">
        <v>0</v>
      </c>
      <c r="U283" s="21">
        <v>0</v>
      </c>
      <c r="V283" s="21">
        <v>0</v>
      </c>
      <c r="W283" s="21">
        <v>0</v>
      </c>
      <c r="X283" s="21">
        <v>0</v>
      </c>
      <c r="Y283" s="21">
        <v>12600.4</v>
      </c>
      <c r="Z283" s="21">
        <v>945</v>
      </c>
      <c r="AA283" s="21">
        <v>0</v>
      </c>
      <c r="AB283" s="21">
        <v>0</v>
      </c>
      <c r="AC283" s="21">
        <v>1817800</v>
      </c>
    </row>
    <row r="284" spans="1:30" hidden="1" outlineLevel="2">
      <c r="A284" s="21">
        <v>467</v>
      </c>
      <c r="B284" s="21">
        <v>30149044</v>
      </c>
      <c r="C284" s="21">
        <v>301490447</v>
      </c>
      <c r="D284" s="21" t="s">
        <v>1173</v>
      </c>
      <c r="E284" s="21" t="s">
        <v>1236</v>
      </c>
      <c r="F284" s="21">
        <v>817800</v>
      </c>
      <c r="G284" s="21" t="s">
        <v>1151</v>
      </c>
      <c r="H284" s="21">
        <v>90541</v>
      </c>
      <c r="I284" s="21">
        <v>1</v>
      </c>
      <c r="J284" s="21">
        <v>0</v>
      </c>
      <c r="K284" s="21">
        <v>0</v>
      </c>
      <c r="L284" s="21">
        <v>0</v>
      </c>
      <c r="M284" s="21">
        <v>0</v>
      </c>
      <c r="N284" s="61">
        <f t="shared" si="13"/>
        <v>0</v>
      </c>
      <c r="O284" s="60">
        <v>13552.87</v>
      </c>
      <c r="P284" s="21">
        <v>0</v>
      </c>
      <c r="Q284" s="21">
        <v>474.62</v>
      </c>
      <c r="R284" s="21">
        <v>12165.75</v>
      </c>
      <c r="S284" s="21">
        <v>0</v>
      </c>
      <c r="T284" s="21">
        <v>0</v>
      </c>
      <c r="U284" s="21">
        <v>0</v>
      </c>
      <c r="V284" s="21">
        <v>0</v>
      </c>
      <c r="W284" s="21">
        <v>0</v>
      </c>
      <c r="X284" s="21">
        <v>0</v>
      </c>
      <c r="Y284" s="21">
        <v>12165.75</v>
      </c>
      <c r="Z284" s="21">
        <v>912.5</v>
      </c>
      <c r="AA284" s="21">
        <v>0</v>
      </c>
      <c r="AB284" s="21">
        <v>0</v>
      </c>
      <c r="AC284" s="21">
        <v>1817800</v>
      </c>
    </row>
    <row r="285" spans="1:30" hidden="1" outlineLevel="2">
      <c r="A285" s="21">
        <v>467</v>
      </c>
      <c r="B285" s="21">
        <v>30314633</v>
      </c>
      <c r="C285" s="21">
        <v>303146336</v>
      </c>
      <c r="D285" s="21" t="s">
        <v>1173</v>
      </c>
      <c r="E285" s="21" t="s">
        <v>1190</v>
      </c>
      <c r="F285" s="21">
        <v>817800</v>
      </c>
      <c r="G285" s="21" t="s">
        <v>1151</v>
      </c>
      <c r="H285" s="21">
        <v>90541</v>
      </c>
      <c r="I285" s="21">
        <v>1</v>
      </c>
      <c r="J285" s="21">
        <v>0</v>
      </c>
      <c r="K285" s="21">
        <v>0</v>
      </c>
      <c r="L285" s="21">
        <v>0</v>
      </c>
      <c r="M285" s="21">
        <v>0</v>
      </c>
      <c r="N285" s="61">
        <f t="shared" si="13"/>
        <v>0</v>
      </c>
      <c r="O285" s="60">
        <v>42435.43</v>
      </c>
      <c r="P285" s="21">
        <v>631.15</v>
      </c>
      <c r="Q285" s="21">
        <v>1382.93</v>
      </c>
      <c r="R285" s="21">
        <v>37601.300000000003</v>
      </c>
      <c r="S285" s="21">
        <v>0</v>
      </c>
      <c r="T285" s="21">
        <v>2690.1</v>
      </c>
      <c r="U285" s="21">
        <v>0</v>
      </c>
      <c r="V285" s="21">
        <v>0</v>
      </c>
      <c r="W285" s="21">
        <v>0</v>
      </c>
      <c r="X285" s="21">
        <v>0</v>
      </c>
      <c r="Y285" s="21">
        <v>34911.199999999997</v>
      </c>
      <c r="Z285" s="21">
        <v>2820.05</v>
      </c>
      <c r="AA285" s="21">
        <v>0</v>
      </c>
      <c r="AB285" s="21">
        <v>0</v>
      </c>
      <c r="AC285" s="21">
        <v>1817800</v>
      </c>
    </row>
    <row r="286" spans="1:30" hidden="1" outlineLevel="2">
      <c r="A286" s="21">
        <v>467</v>
      </c>
      <c r="B286" s="21">
        <v>30314993</v>
      </c>
      <c r="C286" s="21">
        <v>303149934</v>
      </c>
      <c r="D286" s="21" t="s">
        <v>1153</v>
      </c>
      <c r="E286" s="21" t="s">
        <v>1235</v>
      </c>
      <c r="F286" s="21">
        <v>817800</v>
      </c>
      <c r="G286" s="21" t="s">
        <v>1151</v>
      </c>
      <c r="H286" s="21">
        <v>90541</v>
      </c>
      <c r="I286" s="21">
        <v>1</v>
      </c>
      <c r="J286" s="21">
        <v>0</v>
      </c>
      <c r="K286" s="21">
        <v>0</v>
      </c>
      <c r="L286" s="21">
        <v>0</v>
      </c>
      <c r="M286" s="21">
        <v>0</v>
      </c>
      <c r="N286" s="61">
        <f t="shared" si="13"/>
        <v>0</v>
      </c>
      <c r="O286" s="60">
        <v>54275.24</v>
      </c>
      <c r="P286" s="21">
        <v>6967.2</v>
      </c>
      <c r="Q286" s="21">
        <v>1477.14</v>
      </c>
      <c r="R286" s="21">
        <v>42633.35</v>
      </c>
      <c r="S286" s="21">
        <v>0</v>
      </c>
      <c r="T286" s="21">
        <v>2062.4</v>
      </c>
      <c r="U286" s="21">
        <v>0</v>
      </c>
      <c r="V286" s="21">
        <v>0</v>
      </c>
      <c r="W286" s="21">
        <v>0</v>
      </c>
      <c r="X286" s="21">
        <v>0</v>
      </c>
      <c r="Y286" s="21">
        <v>40570.949999999997</v>
      </c>
      <c r="Z286" s="21">
        <v>3197.55</v>
      </c>
      <c r="AA286" s="21">
        <v>0</v>
      </c>
      <c r="AB286" s="21">
        <v>0</v>
      </c>
      <c r="AC286" s="21">
        <v>1817800</v>
      </c>
    </row>
    <row r="287" spans="1:30" hidden="1" outlineLevel="2">
      <c r="A287" s="21">
        <v>467</v>
      </c>
      <c r="B287" s="21">
        <v>30530261</v>
      </c>
      <c r="C287" s="21">
        <v>305302614</v>
      </c>
      <c r="D287" s="21" t="s">
        <v>1153</v>
      </c>
      <c r="E287" s="21" t="s">
        <v>1234</v>
      </c>
      <c r="F287" s="21">
        <v>817800</v>
      </c>
      <c r="G287" s="21" t="s">
        <v>1151</v>
      </c>
      <c r="H287" s="21">
        <v>90541</v>
      </c>
      <c r="I287" s="21">
        <v>1</v>
      </c>
      <c r="J287" s="21">
        <v>0</v>
      </c>
      <c r="K287" s="21">
        <v>0</v>
      </c>
      <c r="L287" s="21">
        <v>0</v>
      </c>
      <c r="M287" s="21">
        <v>0</v>
      </c>
      <c r="N287" s="61">
        <f t="shared" si="13"/>
        <v>0</v>
      </c>
      <c r="O287" s="60">
        <v>682.37</v>
      </c>
      <c r="P287" s="21">
        <v>0</v>
      </c>
      <c r="Q287" s="21">
        <v>21.22</v>
      </c>
      <c r="R287" s="21">
        <v>615</v>
      </c>
      <c r="S287" s="21">
        <v>0</v>
      </c>
      <c r="T287" s="21">
        <v>0</v>
      </c>
      <c r="U287" s="21">
        <v>0</v>
      </c>
      <c r="V287" s="21">
        <v>0</v>
      </c>
      <c r="W287" s="21">
        <v>0</v>
      </c>
      <c r="X287" s="21">
        <v>0</v>
      </c>
      <c r="Y287" s="21">
        <v>615</v>
      </c>
      <c r="Z287" s="21">
        <v>46.15</v>
      </c>
      <c r="AA287" s="21">
        <v>0</v>
      </c>
      <c r="AB287" s="21">
        <v>0</v>
      </c>
      <c r="AC287" s="21">
        <v>1817800</v>
      </c>
    </row>
    <row r="288" spans="1:30" outlineLevel="1" collapsed="1">
      <c r="F288" s="62" t="s">
        <v>1233</v>
      </c>
      <c r="M288" s="21">
        <f>SUBTOTAL(9,M269:M287)</f>
        <v>0</v>
      </c>
      <c r="N288" s="61">
        <f>SUBTOTAL(9,N269:N287)</f>
        <v>0</v>
      </c>
      <c r="O288" s="60">
        <f>SUBTOTAL(9,O269:O287)</f>
        <v>343724.93</v>
      </c>
      <c r="AC288" s="21" t="str">
        <f>"1"&amp;LEFT(F288,6)&amp;"110"</f>
        <v>1817800110</v>
      </c>
      <c r="AD288" s="21" t="str">
        <f>VLOOKUP(AC288,'פירוט שכר'!A:K,5,0)</f>
        <v>מלווים -משכורת</v>
      </c>
    </row>
    <row r="289" spans="1:30" hidden="1" outlineLevel="2">
      <c r="A289" s="21">
        <v>467</v>
      </c>
      <c r="B289" s="21">
        <v>4081265</v>
      </c>
      <c r="C289" s="21">
        <v>40812653</v>
      </c>
      <c r="D289" s="21" t="s">
        <v>1173</v>
      </c>
      <c r="E289" s="21" t="s">
        <v>1232</v>
      </c>
      <c r="F289" s="21">
        <v>817900</v>
      </c>
      <c r="G289" s="21" t="s">
        <v>1151</v>
      </c>
      <c r="H289" s="21">
        <v>90541</v>
      </c>
      <c r="I289" s="21">
        <v>1</v>
      </c>
      <c r="J289" s="21">
        <v>0</v>
      </c>
      <c r="K289" s="21">
        <v>0</v>
      </c>
      <c r="L289" s="21">
        <v>0</v>
      </c>
      <c r="M289" s="21">
        <v>0</v>
      </c>
      <c r="N289" s="61">
        <f>+M289/1200</f>
        <v>0</v>
      </c>
      <c r="O289" s="60">
        <v>1077.4000000000001</v>
      </c>
      <c r="P289" s="21">
        <v>0</v>
      </c>
      <c r="Q289" s="21">
        <v>33.5</v>
      </c>
      <c r="R289" s="21">
        <v>971.05</v>
      </c>
      <c r="S289" s="21">
        <v>0</v>
      </c>
      <c r="T289" s="21">
        <v>0</v>
      </c>
      <c r="U289" s="21">
        <v>0</v>
      </c>
      <c r="V289" s="21">
        <v>0</v>
      </c>
      <c r="W289" s="21">
        <v>0</v>
      </c>
      <c r="X289" s="21">
        <v>0</v>
      </c>
      <c r="Y289" s="21">
        <v>971.05</v>
      </c>
      <c r="Z289" s="21">
        <v>72.849999999999994</v>
      </c>
      <c r="AA289" s="21">
        <v>0</v>
      </c>
      <c r="AB289" s="21">
        <v>0</v>
      </c>
      <c r="AC289" s="21">
        <v>1817900</v>
      </c>
    </row>
    <row r="290" spans="1:30" outlineLevel="1" collapsed="1">
      <c r="F290" s="62" t="s">
        <v>1231</v>
      </c>
      <c r="M290" s="21">
        <f>SUBTOTAL(9,M289:M289)</f>
        <v>0</v>
      </c>
      <c r="N290" s="61">
        <f>SUBTOTAL(9,N289:N289)</f>
        <v>0</v>
      </c>
      <c r="O290" s="60">
        <f>SUBTOTAL(9,O289:O289)</f>
        <v>1077.4000000000001</v>
      </c>
      <c r="AC290" s="21" t="str">
        <f>"1"&amp;LEFT(F290,6)&amp;"110"</f>
        <v>1817900110</v>
      </c>
      <c r="AD290" s="21" t="str">
        <f>VLOOKUP(AC290,'פירוט שכר'!A:K,5,0)</f>
        <v>שכר קב"ס</v>
      </c>
    </row>
    <row r="291" spans="1:30" hidden="1" outlineLevel="2">
      <c r="A291" s="21">
        <v>467</v>
      </c>
      <c r="B291" s="21">
        <v>3665639</v>
      </c>
      <c r="C291" s="21">
        <v>36656395</v>
      </c>
      <c r="D291" s="21" t="s">
        <v>1181</v>
      </c>
      <c r="E291" s="21" t="s">
        <v>1230</v>
      </c>
      <c r="F291" s="21">
        <v>817910</v>
      </c>
      <c r="G291" s="21" t="s">
        <v>1151</v>
      </c>
      <c r="H291" s="21">
        <v>90541</v>
      </c>
      <c r="I291" s="21">
        <v>1</v>
      </c>
      <c r="J291" s="21">
        <v>0</v>
      </c>
      <c r="K291" s="21">
        <v>0</v>
      </c>
      <c r="L291" s="21">
        <v>0</v>
      </c>
      <c r="M291" s="21">
        <v>0</v>
      </c>
      <c r="N291" s="61">
        <f t="shared" ref="N291:N298" si="14">+M291/1200</f>
        <v>0</v>
      </c>
      <c r="O291" s="60">
        <v>9234.61</v>
      </c>
      <c r="P291" s="21">
        <v>0</v>
      </c>
      <c r="Q291" s="21">
        <v>287.16000000000003</v>
      </c>
      <c r="R291" s="21">
        <v>8323.2000000000007</v>
      </c>
      <c r="S291" s="21">
        <v>0</v>
      </c>
      <c r="T291" s="21">
        <v>0</v>
      </c>
      <c r="U291" s="21">
        <v>0</v>
      </c>
      <c r="V291" s="21">
        <v>0</v>
      </c>
      <c r="W291" s="21">
        <v>0</v>
      </c>
      <c r="X291" s="21">
        <v>0</v>
      </c>
      <c r="Y291" s="21">
        <v>8323.2000000000007</v>
      </c>
      <c r="Z291" s="21">
        <v>624.25</v>
      </c>
      <c r="AA291" s="21">
        <v>0</v>
      </c>
      <c r="AB291" s="21">
        <v>0</v>
      </c>
      <c r="AC291" s="21">
        <v>1817910</v>
      </c>
    </row>
    <row r="292" spans="1:30" hidden="1" outlineLevel="2">
      <c r="A292" s="21">
        <v>467</v>
      </c>
      <c r="B292" s="21">
        <v>3671562</v>
      </c>
      <c r="C292" s="21">
        <v>36715621</v>
      </c>
      <c r="D292" s="21" t="s">
        <v>1229</v>
      </c>
      <c r="E292" s="21" t="s">
        <v>1228</v>
      </c>
      <c r="F292" s="21">
        <v>817910</v>
      </c>
      <c r="G292" s="21" t="s">
        <v>1151</v>
      </c>
      <c r="H292" s="21">
        <v>90541</v>
      </c>
      <c r="I292" s="21">
        <v>1</v>
      </c>
      <c r="J292" s="21">
        <v>0</v>
      </c>
      <c r="K292" s="21">
        <v>0</v>
      </c>
      <c r="L292" s="21">
        <v>0</v>
      </c>
      <c r="M292" s="21">
        <v>0</v>
      </c>
      <c r="N292" s="61">
        <f t="shared" si="14"/>
        <v>0</v>
      </c>
      <c r="O292" s="60">
        <v>2995.65</v>
      </c>
      <c r="P292" s="21">
        <v>0</v>
      </c>
      <c r="Q292" s="21">
        <v>93.15</v>
      </c>
      <c r="R292" s="21">
        <v>2700</v>
      </c>
      <c r="S292" s="21">
        <v>0</v>
      </c>
      <c r="T292" s="21">
        <v>0</v>
      </c>
      <c r="U292" s="21">
        <v>0</v>
      </c>
      <c r="V292" s="21">
        <v>0</v>
      </c>
      <c r="W292" s="21">
        <v>0</v>
      </c>
      <c r="X292" s="21">
        <v>0</v>
      </c>
      <c r="Y292" s="21">
        <v>2700</v>
      </c>
      <c r="Z292" s="21">
        <v>202.5</v>
      </c>
      <c r="AA292" s="21">
        <v>0</v>
      </c>
      <c r="AB292" s="21">
        <v>0</v>
      </c>
      <c r="AC292" s="21">
        <v>1817910</v>
      </c>
    </row>
    <row r="293" spans="1:30" hidden="1" outlineLevel="2">
      <c r="A293" s="21">
        <v>467</v>
      </c>
      <c r="B293" s="21">
        <v>20419663</v>
      </c>
      <c r="C293" s="21">
        <v>204196638</v>
      </c>
      <c r="D293" s="21" t="s">
        <v>1173</v>
      </c>
      <c r="E293" s="21" t="s">
        <v>1227</v>
      </c>
      <c r="F293" s="21">
        <v>817910</v>
      </c>
      <c r="G293" s="21" t="s">
        <v>1151</v>
      </c>
      <c r="H293" s="21">
        <v>90541</v>
      </c>
      <c r="I293" s="21">
        <v>1</v>
      </c>
      <c r="J293" s="21">
        <v>0</v>
      </c>
      <c r="K293" s="21">
        <v>0</v>
      </c>
      <c r="L293" s="21">
        <v>0</v>
      </c>
      <c r="M293" s="21">
        <v>0</v>
      </c>
      <c r="N293" s="61">
        <f t="shared" si="14"/>
        <v>0</v>
      </c>
      <c r="O293" s="60">
        <v>25304.19</v>
      </c>
      <c r="P293" s="21">
        <v>509.45</v>
      </c>
      <c r="Q293" s="21">
        <v>770.99</v>
      </c>
      <c r="R293" s="21">
        <v>22347.7</v>
      </c>
      <c r="S293" s="21">
        <v>0</v>
      </c>
      <c r="T293" s="21">
        <v>0</v>
      </c>
      <c r="U293" s="21">
        <v>0</v>
      </c>
      <c r="V293" s="21">
        <v>0</v>
      </c>
      <c r="W293" s="21">
        <v>0</v>
      </c>
      <c r="X293" s="21">
        <v>0</v>
      </c>
      <c r="Y293" s="21">
        <v>22347.7</v>
      </c>
      <c r="Z293" s="21">
        <v>1676.05</v>
      </c>
      <c r="AA293" s="21">
        <v>0</v>
      </c>
      <c r="AB293" s="21">
        <v>0</v>
      </c>
      <c r="AC293" s="21">
        <v>1817910</v>
      </c>
    </row>
    <row r="294" spans="1:30" hidden="1" outlineLevel="2">
      <c r="A294" s="21">
        <v>467</v>
      </c>
      <c r="B294" s="21">
        <v>20629745</v>
      </c>
      <c r="C294" s="21">
        <v>206297459</v>
      </c>
      <c r="D294" s="21" t="s">
        <v>1153</v>
      </c>
      <c r="E294" s="21" t="s">
        <v>1226</v>
      </c>
      <c r="F294" s="21">
        <v>817910</v>
      </c>
      <c r="G294" s="21" t="s">
        <v>1151</v>
      </c>
      <c r="H294" s="21">
        <v>90541</v>
      </c>
      <c r="I294" s="21">
        <v>1</v>
      </c>
      <c r="J294" s="21">
        <v>0</v>
      </c>
      <c r="K294" s="21">
        <v>0</v>
      </c>
      <c r="L294" s="21">
        <v>0</v>
      </c>
      <c r="M294" s="21">
        <v>0</v>
      </c>
      <c r="N294" s="61">
        <f t="shared" si="14"/>
        <v>0</v>
      </c>
      <c r="O294" s="60">
        <v>10953.24</v>
      </c>
      <c r="P294" s="21">
        <v>0</v>
      </c>
      <c r="Q294" s="21">
        <v>340.59</v>
      </c>
      <c r="R294" s="21">
        <v>9872.25</v>
      </c>
      <c r="S294" s="21">
        <v>0</v>
      </c>
      <c r="T294" s="21">
        <v>0</v>
      </c>
      <c r="U294" s="21">
        <v>0</v>
      </c>
      <c r="V294" s="21">
        <v>0</v>
      </c>
      <c r="W294" s="21">
        <v>0</v>
      </c>
      <c r="X294" s="21">
        <v>0</v>
      </c>
      <c r="Y294" s="21">
        <v>9872.25</v>
      </c>
      <c r="Z294" s="21">
        <v>740.4</v>
      </c>
      <c r="AA294" s="21">
        <v>0</v>
      </c>
      <c r="AB294" s="21">
        <v>0</v>
      </c>
      <c r="AC294" s="21">
        <v>1817910</v>
      </c>
    </row>
    <row r="295" spans="1:30" hidden="1" outlineLevel="2">
      <c r="A295" s="21">
        <v>467</v>
      </c>
      <c r="B295" s="21">
        <v>30021575</v>
      </c>
      <c r="C295" s="21">
        <v>300215753</v>
      </c>
      <c r="D295" s="21" t="s">
        <v>1173</v>
      </c>
      <c r="E295" s="21" t="s">
        <v>1225</v>
      </c>
      <c r="F295" s="21">
        <v>817910</v>
      </c>
      <c r="G295" s="21" t="s">
        <v>1151</v>
      </c>
      <c r="H295" s="21">
        <v>90541</v>
      </c>
      <c r="I295" s="21">
        <v>1</v>
      </c>
      <c r="J295" s="21">
        <v>0</v>
      </c>
      <c r="K295" s="21">
        <v>0</v>
      </c>
      <c r="L295" s="21">
        <v>0</v>
      </c>
      <c r="M295" s="21">
        <v>0</v>
      </c>
      <c r="N295" s="61">
        <f t="shared" si="14"/>
        <v>0</v>
      </c>
      <c r="O295" s="60">
        <v>11671.52</v>
      </c>
      <c r="P295" s="21">
        <v>0</v>
      </c>
      <c r="Q295" s="21">
        <v>362.92</v>
      </c>
      <c r="R295" s="21">
        <v>10519.6</v>
      </c>
      <c r="S295" s="21">
        <v>0</v>
      </c>
      <c r="T295" s="21">
        <v>0</v>
      </c>
      <c r="U295" s="21">
        <v>0</v>
      </c>
      <c r="V295" s="21">
        <v>0</v>
      </c>
      <c r="W295" s="21">
        <v>0</v>
      </c>
      <c r="X295" s="21">
        <v>0</v>
      </c>
      <c r="Y295" s="21">
        <v>10519.6</v>
      </c>
      <c r="Z295" s="21">
        <v>789</v>
      </c>
      <c r="AA295" s="21">
        <v>0</v>
      </c>
      <c r="AB295" s="21">
        <v>0</v>
      </c>
      <c r="AC295" s="21">
        <v>1817910</v>
      </c>
    </row>
    <row r="296" spans="1:30" hidden="1" outlineLevel="2">
      <c r="A296" s="21">
        <v>467</v>
      </c>
      <c r="B296" s="21">
        <v>30266103</v>
      </c>
      <c r="C296" s="21">
        <v>302661038</v>
      </c>
      <c r="D296" s="21" t="s">
        <v>1224</v>
      </c>
      <c r="E296" s="21" t="s">
        <v>1223</v>
      </c>
      <c r="F296" s="21">
        <v>817910</v>
      </c>
      <c r="G296" s="21" t="s">
        <v>1151</v>
      </c>
      <c r="H296" s="21">
        <v>90541</v>
      </c>
      <c r="I296" s="21">
        <v>1</v>
      </c>
      <c r="J296" s="21">
        <v>0</v>
      </c>
      <c r="K296" s="21">
        <v>0</v>
      </c>
      <c r="L296" s="21">
        <v>0</v>
      </c>
      <c r="M296" s="21">
        <v>0</v>
      </c>
      <c r="N296" s="61">
        <f t="shared" si="14"/>
        <v>0</v>
      </c>
      <c r="O296" s="60">
        <v>2995.65</v>
      </c>
      <c r="P296" s="21">
        <v>0</v>
      </c>
      <c r="Q296" s="21">
        <v>93.15</v>
      </c>
      <c r="R296" s="21">
        <v>2700</v>
      </c>
      <c r="S296" s="21">
        <v>0</v>
      </c>
      <c r="T296" s="21">
        <v>0</v>
      </c>
      <c r="U296" s="21">
        <v>0</v>
      </c>
      <c r="V296" s="21">
        <v>0</v>
      </c>
      <c r="W296" s="21">
        <v>0</v>
      </c>
      <c r="X296" s="21">
        <v>0</v>
      </c>
      <c r="Y296" s="21">
        <v>2700</v>
      </c>
      <c r="Z296" s="21">
        <v>202.5</v>
      </c>
      <c r="AA296" s="21">
        <v>0</v>
      </c>
      <c r="AB296" s="21">
        <v>0</v>
      </c>
      <c r="AC296" s="21">
        <v>1817910</v>
      </c>
    </row>
    <row r="297" spans="1:30" hidden="1" outlineLevel="2">
      <c r="A297" s="21">
        <v>467</v>
      </c>
      <c r="B297" s="21">
        <v>30823828</v>
      </c>
      <c r="C297" s="21">
        <v>308238286</v>
      </c>
      <c r="D297" s="21" t="s">
        <v>1173</v>
      </c>
      <c r="E297" s="21" t="s">
        <v>1222</v>
      </c>
      <c r="F297" s="21">
        <v>817910</v>
      </c>
      <c r="G297" s="21" t="s">
        <v>1151</v>
      </c>
      <c r="H297" s="21">
        <v>90541</v>
      </c>
      <c r="I297" s="21">
        <v>1</v>
      </c>
      <c r="J297" s="21">
        <v>0</v>
      </c>
      <c r="K297" s="21">
        <v>0</v>
      </c>
      <c r="L297" s="21">
        <v>0</v>
      </c>
      <c r="M297" s="21">
        <v>0</v>
      </c>
      <c r="N297" s="61">
        <f t="shared" si="14"/>
        <v>0</v>
      </c>
      <c r="O297" s="60">
        <v>14275.03</v>
      </c>
      <c r="P297" s="21">
        <v>0</v>
      </c>
      <c r="Q297" s="21">
        <v>443.88</v>
      </c>
      <c r="R297" s="21">
        <v>12866.25</v>
      </c>
      <c r="S297" s="21">
        <v>0</v>
      </c>
      <c r="T297" s="21">
        <v>0</v>
      </c>
      <c r="U297" s="21">
        <v>0</v>
      </c>
      <c r="V297" s="21">
        <v>0</v>
      </c>
      <c r="W297" s="21">
        <v>0</v>
      </c>
      <c r="X297" s="21">
        <v>0</v>
      </c>
      <c r="Y297" s="21">
        <v>12866.25</v>
      </c>
      <c r="Z297" s="21">
        <v>964.9</v>
      </c>
      <c r="AA297" s="21">
        <v>0</v>
      </c>
      <c r="AB297" s="21">
        <v>0</v>
      </c>
      <c r="AC297" s="21">
        <v>1817910</v>
      </c>
    </row>
    <row r="298" spans="1:30" hidden="1" outlineLevel="2">
      <c r="A298" s="21">
        <v>467</v>
      </c>
      <c r="B298" s="21">
        <v>30853595</v>
      </c>
      <c r="C298" s="21">
        <v>308535954</v>
      </c>
      <c r="D298" s="21" t="s">
        <v>1153</v>
      </c>
      <c r="E298" s="21" t="s">
        <v>1221</v>
      </c>
      <c r="F298" s="21">
        <v>817910</v>
      </c>
      <c r="G298" s="21" t="s">
        <v>1151</v>
      </c>
      <c r="H298" s="21">
        <v>90541</v>
      </c>
      <c r="I298" s="21">
        <v>1</v>
      </c>
      <c r="J298" s="21">
        <v>0</v>
      </c>
      <c r="K298" s="21">
        <v>0</v>
      </c>
      <c r="L298" s="21">
        <v>0</v>
      </c>
      <c r="M298" s="21">
        <v>0</v>
      </c>
      <c r="N298" s="61">
        <f t="shared" si="14"/>
        <v>0</v>
      </c>
      <c r="O298" s="60">
        <v>3796.4</v>
      </c>
      <c r="P298" s="21">
        <v>0</v>
      </c>
      <c r="Q298" s="21">
        <v>118.05</v>
      </c>
      <c r="R298" s="21">
        <v>3421.75</v>
      </c>
      <c r="S298" s="21">
        <v>0</v>
      </c>
      <c r="T298" s="21">
        <v>0</v>
      </c>
      <c r="U298" s="21">
        <v>0</v>
      </c>
      <c r="V298" s="21">
        <v>0</v>
      </c>
      <c r="W298" s="21">
        <v>0</v>
      </c>
      <c r="X298" s="21">
        <v>0</v>
      </c>
      <c r="Y298" s="21">
        <v>3421.75</v>
      </c>
      <c r="Z298" s="21">
        <v>256.60000000000002</v>
      </c>
      <c r="AA298" s="21">
        <v>0</v>
      </c>
      <c r="AB298" s="21">
        <v>0</v>
      </c>
      <c r="AC298" s="21">
        <v>1817910</v>
      </c>
    </row>
    <row r="299" spans="1:30" outlineLevel="1" collapsed="1">
      <c r="F299" s="62" t="s">
        <v>1220</v>
      </c>
      <c r="M299" s="21">
        <f>SUBTOTAL(9,M291:M298)</f>
        <v>0</v>
      </c>
      <c r="N299" s="61">
        <f>SUBTOTAL(9,N291:N298)</f>
        <v>0</v>
      </c>
      <c r="O299" s="60">
        <f>SUBTOTAL(9,O291:O298)</f>
        <v>81226.289999999994</v>
      </c>
      <c r="AC299" s="21" t="str">
        <f>"1"&amp;LEFT(F299,6)&amp;"110"</f>
        <v>1817910110</v>
      </c>
      <c r="AD299" s="21" t="str">
        <f>VLOOKUP(AC299,'פירוט שכר'!A:K,5,0)</f>
        <v>משכורת- חינוך בלתי מפורמלי</v>
      </c>
    </row>
    <row r="300" spans="1:30" hidden="1" outlineLevel="2">
      <c r="A300" s="21">
        <v>467</v>
      </c>
      <c r="B300" s="21">
        <v>4045503</v>
      </c>
      <c r="C300" s="21">
        <v>40455032</v>
      </c>
      <c r="D300" s="21" t="s">
        <v>1173</v>
      </c>
      <c r="E300" s="21" t="s">
        <v>1219</v>
      </c>
      <c r="F300" s="21">
        <v>824030</v>
      </c>
      <c r="G300" s="21" t="s">
        <v>1151</v>
      </c>
      <c r="H300" s="21">
        <v>90541</v>
      </c>
      <c r="I300" s="21">
        <v>0</v>
      </c>
      <c r="J300" s="21">
        <v>3</v>
      </c>
      <c r="K300" s="21">
        <v>2</v>
      </c>
      <c r="L300" s="21">
        <v>0</v>
      </c>
      <c r="M300" s="21">
        <v>1200</v>
      </c>
      <c r="N300" s="61">
        <f>+M300/1200</f>
        <v>1</v>
      </c>
      <c r="O300" s="60">
        <v>94766.52</v>
      </c>
      <c r="P300" s="21">
        <v>13799.61</v>
      </c>
      <c r="Q300" s="21">
        <v>340.01</v>
      </c>
      <c r="R300" s="21">
        <v>74984.89</v>
      </c>
      <c r="S300" s="21">
        <v>0</v>
      </c>
      <c r="T300" s="21">
        <v>3843</v>
      </c>
      <c r="U300" s="21">
        <v>0</v>
      </c>
      <c r="V300" s="21">
        <v>0</v>
      </c>
      <c r="W300" s="21">
        <v>0</v>
      </c>
      <c r="X300" s="21">
        <v>64.45</v>
      </c>
      <c r="Y300" s="21">
        <v>71077.440000000002</v>
      </c>
      <c r="Z300" s="21">
        <v>5642.01</v>
      </c>
      <c r="AA300" s="21">
        <v>0</v>
      </c>
      <c r="AB300" s="21">
        <v>0</v>
      </c>
      <c r="AC300" s="21">
        <v>1824030</v>
      </c>
    </row>
    <row r="301" spans="1:30" outlineLevel="1" collapsed="1">
      <c r="F301" s="62" t="s">
        <v>1218</v>
      </c>
      <c r="M301" s="21">
        <f>SUBTOTAL(9,M300:M300)</f>
        <v>1200</v>
      </c>
      <c r="N301" s="61">
        <f>SUBTOTAL(9,N300:N300)</f>
        <v>1</v>
      </c>
      <c r="O301" s="60">
        <f>SUBTOTAL(9,O300:O300)</f>
        <v>94766.52</v>
      </c>
      <c r="AC301" s="21" t="str">
        <f>"1"&amp;LEFT(F301,6)&amp;"110"</f>
        <v>1824030110</v>
      </c>
      <c r="AD301" s="21" t="str">
        <f>VLOOKUP(AC301,'פירוט שכר'!A:K,5,0)</f>
        <v>תרבות וספריה</v>
      </c>
    </row>
    <row r="302" spans="1:30" hidden="1" outlineLevel="2">
      <c r="A302" s="21">
        <v>467</v>
      </c>
      <c r="B302" s="21">
        <v>2911553</v>
      </c>
      <c r="C302" s="21">
        <v>29115532</v>
      </c>
      <c r="D302" s="21" t="s">
        <v>1217</v>
      </c>
      <c r="E302" s="21" t="s">
        <v>1176</v>
      </c>
      <c r="F302" s="21">
        <v>828100</v>
      </c>
      <c r="G302" s="21" t="s">
        <v>1151</v>
      </c>
      <c r="H302" s="21">
        <v>90541</v>
      </c>
      <c r="I302" s="21">
        <v>0</v>
      </c>
      <c r="J302" s="21">
        <v>3</v>
      </c>
      <c r="K302" s="21">
        <v>2</v>
      </c>
      <c r="L302" s="21">
        <v>0</v>
      </c>
      <c r="M302" s="21">
        <v>1200</v>
      </c>
      <c r="N302" s="61">
        <f>+M302/1200</f>
        <v>1</v>
      </c>
      <c r="O302" s="60">
        <v>189895.34</v>
      </c>
      <c r="P302" s="21">
        <v>18543.400000000001</v>
      </c>
      <c r="Q302" s="21">
        <v>7141.04</v>
      </c>
      <c r="R302" s="21">
        <v>152635.35</v>
      </c>
      <c r="S302" s="21">
        <v>138</v>
      </c>
      <c r="T302" s="21">
        <v>7021.6</v>
      </c>
      <c r="U302" s="21">
        <v>16591.78</v>
      </c>
      <c r="V302" s="21">
        <v>6426.65</v>
      </c>
      <c r="W302" s="21">
        <v>4102.6000000000004</v>
      </c>
      <c r="X302" s="21">
        <v>462</v>
      </c>
      <c r="Y302" s="21">
        <v>117892.72</v>
      </c>
      <c r="Z302" s="21">
        <v>11575.55</v>
      </c>
      <c r="AA302" s="21">
        <v>0</v>
      </c>
      <c r="AB302" s="21">
        <v>0</v>
      </c>
      <c r="AC302" s="21">
        <v>1828100</v>
      </c>
    </row>
    <row r="303" spans="1:30" outlineLevel="1" collapsed="1">
      <c r="F303" s="62" t="s">
        <v>1216</v>
      </c>
      <c r="M303" s="21">
        <f>SUBTOTAL(9,M302:M302)</f>
        <v>1200</v>
      </c>
      <c r="N303" s="61">
        <f>SUBTOTAL(9,N302:N302)</f>
        <v>1</v>
      </c>
      <c r="O303" s="60">
        <f>SUBTOTAL(9,O302:O302)</f>
        <v>189895.34</v>
      </c>
      <c r="AC303" s="21" t="str">
        <f>"1"&amp;LEFT(F303,6)&amp;"110"</f>
        <v>1828100110</v>
      </c>
    </row>
    <row r="304" spans="1:30" hidden="1" outlineLevel="2">
      <c r="A304" s="21">
        <v>467</v>
      </c>
      <c r="B304" s="21">
        <v>2643787</v>
      </c>
      <c r="C304" s="21">
        <v>26437871</v>
      </c>
      <c r="D304" s="21" t="s">
        <v>1173</v>
      </c>
      <c r="E304" s="21" t="s">
        <v>1215</v>
      </c>
      <c r="F304" s="21">
        <v>828300</v>
      </c>
      <c r="G304" s="21" t="s">
        <v>1151</v>
      </c>
      <c r="H304" s="21">
        <v>90541</v>
      </c>
      <c r="I304" s="21">
        <v>1</v>
      </c>
      <c r="J304" s="21">
        <v>0</v>
      </c>
      <c r="K304" s="21">
        <v>0</v>
      </c>
      <c r="L304" s="21">
        <v>0</v>
      </c>
      <c r="M304" s="21">
        <v>0</v>
      </c>
      <c r="N304" s="61">
        <f>+M304/1200</f>
        <v>0</v>
      </c>
      <c r="O304" s="60">
        <v>43655.75</v>
      </c>
      <c r="P304" s="21">
        <v>5291</v>
      </c>
      <c r="Q304" s="21">
        <v>1592.4</v>
      </c>
      <c r="R304" s="21">
        <v>33951.300000000003</v>
      </c>
      <c r="S304" s="21">
        <v>0</v>
      </c>
      <c r="T304" s="21">
        <v>1733.6</v>
      </c>
      <c r="U304" s="21">
        <v>0</v>
      </c>
      <c r="V304" s="21">
        <v>0</v>
      </c>
      <c r="W304" s="21">
        <v>0</v>
      </c>
      <c r="X304" s="21">
        <v>0</v>
      </c>
      <c r="Y304" s="21">
        <v>32217.7</v>
      </c>
      <c r="Z304" s="21">
        <v>2821.05</v>
      </c>
      <c r="AA304" s="21">
        <v>0</v>
      </c>
      <c r="AB304" s="21">
        <v>0</v>
      </c>
      <c r="AC304" s="21">
        <v>1828300</v>
      </c>
    </row>
    <row r="305" spans="1:30" hidden="1" outlineLevel="2">
      <c r="A305" s="21">
        <v>467</v>
      </c>
      <c r="B305" s="21">
        <v>2913411</v>
      </c>
      <c r="C305" s="21">
        <v>29134111</v>
      </c>
      <c r="D305" s="21" t="s">
        <v>1153</v>
      </c>
      <c r="E305" s="21" t="s">
        <v>1212</v>
      </c>
      <c r="F305" s="21">
        <v>828300</v>
      </c>
      <c r="G305" s="21" t="s">
        <v>1151</v>
      </c>
      <c r="H305" s="21">
        <v>90541</v>
      </c>
      <c r="I305" s="21">
        <v>0</v>
      </c>
      <c r="J305" s="21">
        <v>3</v>
      </c>
      <c r="K305" s="21">
        <v>2</v>
      </c>
      <c r="L305" s="21">
        <v>0</v>
      </c>
      <c r="M305" s="21">
        <v>280</v>
      </c>
      <c r="N305" s="61">
        <f>+M305/1200</f>
        <v>0.23333333333333334</v>
      </c>
      <c r="O305" s="60">
        <v>41589.620000000003</v>
      </c>
      <c r="P305" s="21">
        <v>4808.3900000000003</v>
      </c>
      <c r="Q305" s="21">
        <v>1728.81</v>
      </c>
      <c r="R305" s="21">
        <v>32522.35</v>
      </c>
      <c r="S305" s="21">
        <v>0</v>
      </c>
      <c r="T305" s="21">
        <v>1687.93</v>
      </c>
      <c r="U305" s="21">
        <v>0</v>
      </c>
      <c r="V305" s="21">
        <v>0</v>
      </c>
      <c r="W305" s="21">
        <v>48.16</v>
      </c>
      <c r="X305" s="21">
        <v>0.74</v>
      </c>
      <c r="Y305" s="21">
        <v>30785.52</v>
      </c>
      <c r="Z305" s="21">
        <v>2451.29</v>
      </c>
      <c r="AA305" s="21">
        <v>0</v>
      </c>
      <c r="AB305" s="21">
        <v>78.78</v>
      </c>
      <c r="AC305" s="21">
        <v>1828300</v>
      </c>
    </row>
    <row r="306" spans="1:30" hidden="1" outlineLevel="2">
      <c r="A306" s="21">
        <v>467</v>
      </c>
      <c r="B306" s="21">
        <v>6674978</v>
      </c>
      <c r="C306" s="21">
        <v>66749789</v>
      </c>
      <c r="D306" s="21" t="s">
        <v>1153</v>
      </c>
      <c r="E306" s="21" t="s">
        <v>1214</v>
      </c>
      <c r="F306" s="21">
        <v>828300</v>
      </c>
      <c r="G306" s="21" t="s">
        <v>1151</v>
      </c>
      <c r="H306" s="21">
        <v>90541</v>
      </c>
      <c r="I306" s="21">
        <v>1</v>
      </c>
      <c r="J306" s="21">
        <v>0</v>
      </c>
      <c r="K306" s="21">
        <v>0</v>
      </c>
      <c r="L306" s="21">
        <v>0</v>
      </c>
      <c r="M306" s="21">
        <v>0</v>
      </c>
      <c r="N306" s="61">
        <f>+M306/1200</f>
        <v>0</v>
      </c>
      <c r="O306" s="60">
        <v>45809.63</v>
      </c>
      <c r="P306" s="21">
        <v>5551.35</v>
      </c>
      <c r="Q306" s="21">
        <v>1251.83</v>
      </c>
      <c r="R306" s="21">
        <v>36285</v>
      </c>
      <c r="S306" s="21">
        <v>0</v>
      </c>
      <c r="T306" s="21">
        <v>0</v>
      </c>
      <c r="U306" s="21">
        <v>0</v>
      </c>
      <c r="V306" s="21">
        <v>0</v>
      </c>
      <c r="W306" s="21">
        <v>2800</v>
      </c>
      <c r="X306" s="21">
        <v>0</v>
      </c>
      <c r="Y306" s="21">
        <v>33485</v>
      </c>
      <c r="Z306" s="21">
        <v>2721.45</v>
      </c>
      <c r="AA306" s="21">
        <v>0</v>
      </c>
      <c r="AB306" s="21">
        <v>0</v>
      </c>
      <c r="AC306" s="21">
        <v>1828300</v>
      </c>
    </row>
    <row r="307" spans="1:30" outlineLevel="1" collapsed="1">
      <c r="F307" s="62" t="s">
        <v>1213</v>
      </c>
      <c r="M307" s="21">
        <f>SUBTOTAL(9,M304:M306)</f>
        <v>280</v>
      </c>
      <c r="N307" s="61">
        <f>SUBTOTAL(9,N304:N306)</f>
        <v>0.23333333333333334</v>
      </c>
      <c r="O307" s="60">
        <f>SUBTOTAL(9,O304:O306)</f>
        <v>131055</v>
      </c>
      <c r="AC307" s="21" t="str">
        <f>"1"&amp;LEFT(F307,6)&amp;"110"</f>
        <v>1828300110</v>
      </c>
      <c r="AD307" s="21" t="str">
        <f>VLOOKUP(AC307,'פירוט שכר'!A:K,5,0)</f>
        <v>חוגי נוער-שכר</v>
      </c>
    </row>
    <row r="308" spans="1:30" hidden="1" outlineLevel="2">
      <c r="A308" s="21">
        <v>467</v>
      </c>
      <c r="B308" s="21">
        <v>2913411</v>
      </c>
      <c r="C308" s="21">
        <v>29134111</v>
      </c>
      <c r="D308" s="21" t="s">
        <v>1153</v>
      </c>
      <c r="E308" s="21" t="s">
        <v>1212</v>
      </c>
      <c r="F308" s="21">
        <v>829200</v>
      </c>
      <c r="G308" s="21" t="s">
        <v>1151</v>
      </c>
      <c r="H308" s="21">
        <v>90541</v>
      </c>
      <c r="I308" s="21">
        <v>0</v>
      </c>
      <c r="J308" s="21">
        <v>3</v>
      </c>
      <c r="K308" s="21">
        <v>2</v>
      </c>
      <c r="L308" s="21">
        <v>0</v>
      </c>
      <c r="M308" s="21">
        <v>120</v>
      </c>
      <c r="N308" s="61">
        <f>+M308/1200</f>
        <v>0.1</v>
      </c>
      <c r="O308" s="60">
        <v>17823.080000000002</v>
      </c>
      <c r="P308" s="21">
        <v>2060.2600000000002</v>
      </c>
      <c r="Q308" s="21">
        <v>740.55</v>
      </c>
      <c r="R308" s="21">
        <v>13938.38</v>
      </c>
      <c r="S308" s="21">
        <v>0</v>
      </c>
      <c r="T308" s="21">
        <v>723.42</v>
      </c>
      <c r="U308" s="21">
        <v>0</v>
      </c>
      <c r="V308" s="21">
        <v>0</v>
      </c>
      <c r="W308" s="21">
        <v>20.64</v>
      </c>
      <c r="X308" s="21">
        <v>0.31</v>
      </c>
      <c r="Y308" s="21">
        <v>13194.01</v>
      </c>
      <c r="Z308" s="21">
        <v>1050.3900000000001</v>
      </c>
      <c r="AA308" s="21">
        <v>0</v>
      </c>
      <c r="AB308" s="21">
        <v>33.5</v>
      </c>
      <c r="AC308" s="21">
        <v>1829210</v>
      </c>
    </row>
    <row r="309" spans="1:30" hidden="1" outlineLevel="2">
      <c r="A309" s="21">
        <v>467</v>
      </c>
      <c r="B309" s="21">
        <v>2979044</v>
      </c>
      <c r="C309" s="21">
        <v>29790441</v>
      </c>
      <c r="D309" s="21" t="s">
        <v>1153</v>
      </c>
      <c r="E309" s="21" t="s">
        <v>1211</v>
      </c>
      <c r="F309" s="21">
        <v>829200</v>
      </c>
      <c r="G309" s="21" t="s">
        <v>1151</v>
      </c>
      <c r="H309" s="21">
        <v>90541</v>
      </c>
      <c r="I309" s="21">
        <v>1</v>
      </c>
      <c r="J309" s="21">
        <v>0</v>
      </c>
      <c r="K309" s="21">
        <v>0</v>
      </c>
      <c r="L309" s="21">
        <v>0</v>
      </c>
      <c r="M309" s="21">
        <v>0</v>
      </c>
      <c r="N309" s="61">
        <f>+M309/1200</f>
        <v>0</v>
      </c>
      <c r="O309" s="60">
        <v>2232.88</v>
      </c>
      <c r="P309" s="21">
        <v>0</v>
      </c>
      <c r="Q309" s="21">
        <v>69.430000000000007</v>
      </c>
      <c r="R309" s="21">
        <v>2012.5</v>
      </c>
      <c r="S309" s="21">
        <v>0</v>
      </c>
      <c r="T309" s="21">
        <v>0</v>
      </c>
      <c r="U309" s="21">
        <v>0</v>
      </c>
      <c r="V309" s="21">
        <v>0</v>
      </c>
      <c r="W309" s="21">
        <v>0</v>
      </c>
      <c r="X309" s="21">
        <v>0</v>
      </c>
      <c r="Y309" s="21">
        <v>2012.5</v>
      </c>
      <c r="Z309" s="21">
        <v>150.94999999999999</v>
      </c>
      <c r="AA309" s="21">
        <v>0</v>
      </c>
      <c r="AB309" s="21">
        <v>0</v>
      </c>
      <c r="AC309" s="21">
        <v>1829210</v>
      </c>
    </row>
    <row r="310" spans="1:30" outlineLevel="1" collapsed="1">
      <c r="F310" s="62" t="s">
        <v>1210</v>
      </c>
      <c r="M310" s="21">
        <f>SUBTOTAL(9,M308:M309)</f>
        <v>120</v>
      </c>
      <c r="N310" s="61">
        <f>SUBTOTAL(9,N308:N309)</f>
        <v>0.1</v>
      </c>
      <c r="O310" s="60">
        <f>SUBTOTAL(9,O308:O309)</f>
        <v>20055.960000000003</v>
      </c>
      <c r="AC310" s="21" t="str">
        <f>"1"&amp;LEFT(F310,6)&amp;"110"</f>
        <v>1829200110</v>
      </c>
      <c r="AD310" s="21" t="str">
        <f>VLOOKUP(AC310,'פירוט שכר'!A:K,5,0)</f>
        <v>מדריכי ספורט-שכר</v>
      </c>
    </row>
    <row r="311" spans="1:30" hidden="1" outlineLevel="2">
      <c r="A311" s="21">
        <v>467</v>
      </c>
      <c r="B311" s="21">
        <v>3531480</v>
      </c>
      <c r="C311" s="21">
        <v>35314806</v>
      </c>
      <c r="D311" s="21" t="s">
        <v>1183</v>
      </c>
      <c r="E311" s="21" t="s">
        <v>1201</v>
      </c>
      <c r="F311" s="21">
        <v>829210</v>
      </c>
      <c r="G311" s="21" t="s">
        <v>1151</v>
      </c>
      <c r="H311" s="21">
        <v>90541</v>
      </c>
      <c r="I311" s="21">
        <v>0</v>
      </c>
      <c r="J311" s="21">
        <v>5</v>
      </c>
      <c r="K311" s="21">
        <v>7</v>
      </c>
      <c r="L311" s="21">
        <v>0</v>
      </c>
      <c r="M311" s="21">
        <v>600</v>
      </c>
      <c r="N311" s="61">
        <f>+M311/1200</f>
        <v>0.5</v>
      </c>
      <c r="O311" s="60">
        <v>48905.98</v>
      </c>
      <c r="P311" s="21">
        <v>7496.26</v>
      </c>
      <c r="Q311" s="21">
        <v>1436.73</v>
      </c>
      <c r="R311" s="21">
        <v>37175.14</v>
      </c>
      <c r="S311" s="21">
        <v>0</v>
      </c>
      <c r="T311" s="21">
        <v>3320</v>
      </c>
      <c r="U311" s="21">
        <v>0</v>
      </c>
      <c r="V311" s="21">
        <v>0</v>
      </c>
      <c r="W311" s="21">
        <v>291.60000000000002</v>
      </c>
      <c r="X311" s="21">
        <v>1.93</v>
      </c>
      <c r="Y311" s="21">
        <v>33561.61</v>
      </c>
      <c r="Z311" s="21">
        <v>2797.85</v>
      </c>
      <c r="AA311" s="21">
        <v>0</v>
      </c>
      <c r="AB311" s="21">
        <v>0</v>
      </c>
      <c r="AC311" s="21">
        <v>1829100</v>
      </c>
    </row>
    <row r="312" spans="1:30" hidden="1" outlineLevel="2">
      <c r="A312" s="21">
        <v>467</v>
      </c>
      <c r="B312" s="21">
        <v>5992351</v>
      </c>
      <c r="C312" s="21">
        <v>59923516</v>
      </c>
      <c r="D312" s="21" t="s">
        <v>1209</v>
      </c>
      <c r="E312" s="21" t="s">
        <v>1208</v>
      </c>
      <c r="F312" s="21">
        <v>829210</v>
      </c>
      <c r="G312" s="21" t="s">
        <v>1151</v>
      </c>
      <c r="H312" s="21">
        <v>90541</v>
      </c>
      <c r="I312" s="21">
        <v>0</v>
      </c>
      <c r="J312" s="21">
        <v>73</v>
      </c>
      <c r="K312" s="21">
        <v>10</v>
      </c>
      <c r="L312" s="21">
        <v>0</v>
      </c>
      <c r="M312" s="21">
        <v>1200</v>
      </c>
      <c r="N312" s="61">
        <f>+M312/1200</f>
        <v>1</v>
      </c>
      <c r="O312" s="60">
        <v>177513.32</v>
      </c>
      <c r="P312" s="21">
        <v>20982.45</v>
      </c>
      <c r="Q312" s="21">
        <v>7271.56</v>
      </c>
      <c r="R312" s="21">
        <v>138738.41</v>
      </c>
      <c r="S312" s="21">
        <v>-44.85</v>
      </c>
      <c r="T312" s="21">
        <v>12230</v>
      </c>
      <c r="U312" s="21">
        <v>0</v>
      </c>
      <c r="V312" s="21">
        <v>16336.65</v>
      </c>
      <c r="W312" s="21">
        <v>1690.2</v>
      </c>
      <c r="X312" s="21">
        <v>37.299999999999997</v>
      </c>
      <c r="Y312" s="21">
        <v>108489.11</v>
      </c>
      <c r="Z312" s="21">
        <v>10520.9</v>
      </c>
      <c r="AA312" s="21">
        <v>0</v>
      </c>
      <c r="AB312" s="21">
        <v>0</v>
      </c>
      <c r="AC312" s="21">
        <v>1829100</v>
      </c>
    </row>
    <row r="313" spans="1:30" outlineLevel="1" collapsed="1">
      <c r="F313" s="62" t="s">
        <v>1207</v>
      </c>
      <c r="M313" s="21">
        <f>SUBTOTAL(9,M311:M312)</f>
        <v>1800</v>
      </c>
      <c r="N313" s="61">
        <f>SUBTOTAL(9,N311:N312)</f>
        <v>1.5</v>
      </c>
      <c r="O313" s="60">
        <f>SUBTOTAL(9,O311:O312)</f>
        <v>226419.30000000002</v>
      </c>
      <c r="AC313" s="21" t="str">
        <f>"1"&amp;LEFT(F313,6)&amp;"110"</f>
        <v>1829210110</v>
      </c>
      <c r="AD313" s="21" t="str">
        <f>VLOOKUP(AC313,'פירוט שכר'!A:K,5,0)</f>
        <v>שכר מדריכי ספורט</v>
      </c>
    </row>
    <row r="314" spans="1:30" hidden="1" outlineLevel="2">
      <c r="A314" s="21">
        <v>467</v>
      </c>
      <c r="B314" s="21">
        <v>2598000</v>
      </c>
      <c r="C314" s="21">
        <v>25980004</v>
      </c>
      <c r="D314" s="21" t="s">
        <v>1153</v>
      </c>
      <c r="E314" s="21" t="s">
        <v>1206</v>
      </c>
      <c r="F314" s="21">
        <v>832300</v>
      </c>
      <c r="G314" s="21" t="s">
        <v>1151</v>
      </c>
      <c r="H314" s="21">
        <v>90541</v>
      </c>
      <c r="I314" s="21">
        <v>0</v>
      </c>
      <c r="J314" s="21">
        <v>5</v>
      </c>
      <c r="K314" s="21">
        <v>7</v>
      </c>
      <c r="L314" s="21">
        <v>0</v>
      </c>
      <c r="M314" s="21">
        <v>720</v>
      </c>
      <c r="N314" s="61">
        <f>+M314/1200</f>
        <v>0.6</v>
      </c>
      <c r="O314" s="60">
        <v>53575.519999999997</v>
      </c>
      <c r="P314" s="21">
        <v>9243.2999999999993</v>
      </c>
      <c r="Q314" s="21">
        <v>1397.26</v>
      </c>
      <c r="R314" s="21">
        <v>39897.410000000003</v>
      </c>
      <c r="S314" s="21">
        <v>0</v>
      </c>
      <c r="T314" s="21">
        <v>3727.8</v>
      </c>
      <c r="U314" s="21">
        <v>0</v>
      </c>
      <c r="V314" s="21">
        <v>0</v>
      </c>
      <c r="W314" s="21">
        <v>596.4</v>
      </c>
      <c r="X314" s="21">
        <v>39.6</v>
      </c>
      <c r="Y314" s="21">
        <v>35533.61</v>
      </c>
      <c r="Z314" s="21">
        <v>3037.55</v>
      </c>
      <c r="AA314" s="21">
        <v>0</v>
      </c>
      <c r="AB314" s="21">
        <v>0</v>
      </c>
      <c r="AC314" s="21">
        <v>1832300</v>
      </c>
    </row>
    <row r="315" spans="1:30" hidden="1" outlineLevel="2">
      <c r="A315" s="21">
        <v>467</v>
      </c>
      <c r="B315" s="21">
        <v>5952103</v>
      </c>
      <c r="C315" s="21">
        <v>59521039</v>
      </c>
      <c r="D315" s="21" t="s">
        <v>1205</v>
      </c>
      <c r="E315" s="21" t="s">
        <v>1204</v>
      </c>
      <c r="F315" s="21">
        <v>832300</v>
      </c>
      <c r="G315" s="21" t="s">
        <v>1151</v>
      </c>
      <c r="H315" s="21">
        <v>90541</v>
      </c>
      <c r="I315" s="21">
        <v>0</v>
      </c>
      <c r="J315" s="21">
        <v>68</v>
      </c>
      <c r="K315" s="21">
        <v>6</v>
      </c>
      <c r="L315" s="21">
        <v>0</v>
      </c>
      <c r="M315" s="21">
        <v>600</v>
      </c>
      <c r="N315" s="61">
        <f>+M315/1200</f>
        <v>0.5</v>
      </c>
      <c r="O315" s="60">
        <v>80793.8</v>
      </c>
      <c r="P315" s="21">
        <v>9362.9500000000007</v>
      </c>
      <c r="Q315" s="21">
        <v>2299.63</v>
      </c>
      <c r="R315" s="21">
        <v>64283.02</v>
      </c>
      <c r="S315" s="21">
        <v>0</v>
      </c>
      <c r="T315" s="21">
        <v>2893</v>
      </c>
      <c r="U315" s="21">
        <v>0</v>
      </c>
      <c r="V315" s="21">
        <v>0</v>
      </c>
      <c r="W315" s="21">
        <v>7010.8</v>
      </c>
      <c r="X315" s="21">
        <v>0</v>
      </c>
      <c r="Y315" s="21">
        <v>54379.22</v>
      </c>
      <c r="Z315" s="21">
        <v>4848.2</v>
      </c>
      <c r="AA315" s="21">
        <v>0</v>
      </c>
      <c r="AB315" s="21">
        <v>0</v>
      </c>
      <c r="AC315" s="21">
        <v>1832300</v>
      </c>
    </row>
    <row r="316" spans="1:30" outlineLevel="1" collapsed="1">
      <c r="F316" s="62" t="s">
        <v>1203</v>
      </c>
      <c r="M316" s="21">
        <f>SUBTOTAL(9,M314:M315)</f>
        <v>1320</v>
      </c>
      <c r="N316" s="61">
        <f>SUBTOTAL(9,N314:N315)</f>
        <v>1.1000000000000001</v>
      </c>
      <c r="O316" s="60">
        <f>SUBTOTAL(9,O314:O315)</f>
        <v>134369.32</v>
      </c>
      <c r="AC316" s="21" t="str">
        <f>"1"&amp;LEFT(F316,6)&amp;"110"</f>
        <v>1832300110</v>
      </c>
      <c r="AD316" s="21" t="e">
        <f>VLOOKUP(AC316,'פירוט שכר'!A:K,5,0)</f>
        <v>#N/A</v>
      </c>
    </row>
    <row r="317" spans="1:30" hidden="1" outlineLevel="2">
      <c r="A317" s="21">
        <v>467</v>
      </c>
      <c r="B317" s="21">
        <v>2766588</v>
      </c>
      <c r="C317" s="21">
        <v>27665884</v>
      </c>
      <c r="D317" s="21" t="s">
        <v>1173</v>
      </c>
      <c r="E317" s="21" t="s">
        <v>1202</v>
      </c>
      <c r="F317" s="21">
        <v>832400</v>
      </c>
      <c r="G317" s="21" t="s">
        <v>1151</v>
      </c>
      <c r="H317" s="21">
        <v>90541</v>
      </c>
      <c r="I317" s="21">
        <v>0</v>
      </c>
      <c r="J317" s="21">
        <v>5</v>
      </c>
      <c r="K317" s="21">
        <v>36</v>
      </c>
      <c r="L317" s="21">
        <v>0</v>
      </c>
      <c r="M317" s="21">
        <v>720</v>
      </c>
      <c r="N317" s="61">
        <f>+M317/1200</f>
        <v>0.6</v>
      </c>
      <c r="O317" s="60">
        <v>58107.64</v>
      </c>
      <c r="P317" s="21">
        <v>9091.4</v>
      </c>
      <c r="Q317" s="21">
        <v>1542.92</v>
      </c>
      <c r="R317" s="21">
        <v>44119.12</v>
      </c>
      <c r="S317" s="21">
        <v>0</v>
      </c>
      <c r="T317" s="21">
        <v>3984</v>
      </c>
      <c r="U317" s="21">
        <v>0</v>
      </c>
      <c r="V317" s="21">
        <v>0</v>
      </c>
      <c r="W317" s="21">
        <v>552.6</v>
      </c>
      <c r="X317" s="21">
        <v>185.9</v>
      </c>
      <c r="Y317" s="21">
        <v>39396.620000000003</v>
      </c>
      <c r="Z317" s="21">
        <v>3354.2</v>
      </c>
      <c r="AA317" s="21">
        <v>0</v>
      </c>
      <c r="AB317" s="21">
        <v>0</v>
      </c>
      <c r="AC317" s="21">
        <v>1832400</v>
      </c>
    </row>
    <row r="318" spans="1:30" hidden="1" outlineLevel="2">
      <c r="A318" s="21">
        <v>467</v>
      </c>
      <c r="B318" s="21">
        <v>3531480</v>
      </c>
      <c r="C318" s="21">
        <v>35314806</v>
      </c>
      <c r="D318" s="21" t="s">
        <v>1183</v>
      </c>
      <c r="E318" s="21" t="s">
        <v>1201</v>
      </c>
      <c r="F318" s="21">
        <v>832400</v>
      </c>
      <c r="G318" s="21" t="s">
        <v>1151</v>
      </c>
      <c r="H318" s="21">
        <v>90541</v>
      </c>
      <c r="I318" s="21">
        <v>0</v>
      </c>
      <c r="J318" s="21">
        <v>5</v>
      </c>
      <c r="K318" s="21">
        <v>7</v>
      </c>
      <c r="L318" s="21">
        <v>0</v>
      </c>
      <c r="M318" s="21">
        <v>600</v>
      </c>
      <c r="N318" s="61">
        <f>+M318/1200</f>
        <v>0.5</v>
      </c>
      <c r="O318" s="60">
        <v>48903.16</v>
      </c>
      <c r="P318" s="21">
        <v>7495.17</v>
      </c>
      <c r="Q318" s="21">
        <v>1435.44</v>
      </c>
      <c r="R318" s="21">
        <v>37175.78</v>
      </c>
      <c r="S318" s="21">
        <v>0</v>
      </c>
      <c r="T318" s="21">
        <v>3320</v>
      </c>
      <c r="U318" s="21">
        <v>0</v>
      </c>
      <c r="V318" s="21">
        <v>0</v>
      </c>
      <c r="W318" s="21">
        <v>291.60000000000002</v>
      </c>
      <c r="X318" s="21">
        <v>1.97</v>
      </c>
      <c r="Y318" s="21">
        <v>33562.21</v>
      </c>
      <c r="Z318" s="21">
        <v>2796.77</v>
      </c>
      <c r="AA318" s="21">
        <v>0</v>
      </c>
      <c r="AB318" s="21">
        <v>0</v>
      </c>
      <c r="AC318" s="21">
        <v>1832400</v>
      </c>
    </row>
    <row r="319" spans="1:30" hidden="1" outlineLevel="2">
      <c r="A319" s="21">
        <v>467</v>
      </c>
      <c r="B319" s="21">
        <v>31784907</v>
      </c>
      <c r="C319" s="21">
        <v>317849073</v>
      </c>
      <c r="D319" s="21" t="s">
        <v>1153</v>
      </c>
      <c r="E319" s="21" t="s">
        <v>1200</v>
      </c>
      <c r="F319" s="21">
        <v>832400</v>
      </c>
      <c r="G319" s="21" t="s">
        <v>1151</v>
      </c>
      <c r="H319" s="21">
        <v>90541</v>
      </c>
      <c r="I319" s="21">
        <v>0</v>
      </c>
      <c r="J319" s="21">
        <v>5</v>
      </c>
      <c r="K319" s="21">
        <v>7</v>
      </c>
      <c r="L319" s="21">
        <v>0</v>
      </c>
      <c r="M319" s="21">
        <v>720</v>
      </c>
      <c r="N319" s="61">
        <f>+M319/1200</f>
        <v>0.6</v>
      </c>
      <c r="O319" s="60">
        <v>63132.09</v>
      </c>
      <c r="P319" s="21">
        <v>9679.4</v>
      </c>
      <c r="Q319" s="21">
        <v>1856.35</v>
      </c>
      <c r="R319" s="21">
        <v>47574.84</v>
      </c>
      <c r="S319" s="21">
        <v>720</v>
      </c>
      <c r="T319" s="21">
        <v>3471.6</v>
      </c>
      <c r="U319" s="21">
        <v>0</v>
      </c>
      <c r="V319" s="21">
        <v>0</v>
      </c>
      <c r="W319" s="21">
        <v>6925.8</v>
      </c>
      <c r="X319" s="21">
        <v>27.35</v>
      </c>
      <c r="Y319" s="21">
        <v>36430.089999999997</v>
      </c>
      <c r="Z319" s="21">
        <v>4021.5</v>
      </c>
      <c r="AA319" s="21">
        <v>0</v>
      </c>
      <c r="AB319" s="21">
        <v>0</v>
      </c>
      <c r="AC319" s="21">
        <v>1832400</v>
      </c>
    </row>
    <row r="320" spans="1:30" outlineLevel="1" collapsed="1">
      <c r="F320" s="62" t="s">
        <v>1199</v>
      </c>
      <c r="M320" s="21">
        <f>SUBTOTAL(9,M317:M319)</f>
        <v>2040</v>
      </c>
      <c r="N320" s="61">
        <f>SUBTOTAL(9,N317:N319)</f>
        <v>1.7000000000000002</v>
      </c>
      <c r="O320" s="60">
        <f>SUBTOTAL(9,O317:O319)</f>
        <v>170142.89</v>
      </c>
      <c r="AC320" s="21" t="str">
        <f>"1"&amp;LEFT(F320,6)&amp;"110"</f>
        <v>1832400110</v>
      </c>
      <c r="AD320" s="21" t="str">
        <f>VLOOKUP(AC320,'פירוט שכר'!A:K,5,0)</f>
        <v>בריאות המשפחה-משכורת</v>
      </c>
    </row>
    <row r="321" spans="1:29" hidden="1" outlineLevel="2">
      <c r="A321" s="21">
        <v>467</v>
      </c>
      <c r="B321" s="21">
        <v>2337765</v>
      </c>
      <c r="C321" s="21">
        <v>23377658</v>
      </c>
      <c r="D321" s="21" t="s">
        <v>1183</v>
      </c>
      <c r="E321" s="21" t="s">
        <v>1198</v>
      </c>
      <c r="F321" s="21">
        <v>841000</v>
      </c>
      <c r="G321" s="21" t="s">
        <v>1151</v>
      </c>
      <c r="H321" s="21">
        <v>90541</v>
      </c>
      <c r="I321" s="21">
        <v>1</v>
      </c>
      <c r="J321" s="21">
        <v>0</v>
      </c>
      <c r="K321" s="21">
        <v>0</v>
      </c>
      <c r="L321" s="21">
        <v>0</v>
      </c>
      <c r="M321" s="21">
        <v>0</v>
      </c>
      <c r="N321" s="61">
        <f t="shared" ref="N321:N340" si="15">+M321/1200</f>
        <v>0</v>
      </c>
      <c r="O321" s="60">
        <v>5.97</v>
      </c>
      <c r="P321" s="21">
        <v>147.59</v>
      </c>
      <c r="Q321" s="21">
        <v>8.44</v>
      </c>
      <c r="R321" s="21">
        <v>-164.7</v>
      </c>
      <c r="S321" s="21">
        <v>0</v>
      </c>
      <c r="T321" s="21">
        <v>0</v>
      </c>
      <c r="U321" s="21">
        <v>0</v>
      </c>
      <c r="V321" s="21">
        <v>0</v>
      </c>
      <c r="W321" s="21">
        <v>411</v>
      </c>
      <c r="X321" s="21">
        <v>0</v>
      </c>
      <c r="Y321" s="21">
        <v>-575.70000000000005</v>
      </c>
      <c r="Z321" s="21">
        <v>14.64</v>
      </c>
      <c r="AA321" s="21">
        <v>0</v>
      </c>
      <c r="AB321" s="21">
        <v>0</v>
      </c>
      <c r="AC321" s="21">
        <v>1841001</v>
      </c>
    </row>
    <row r="322" spans="1:29" hidden="1" outlineLevel="2">
      <c r="A322" s="21">
        <v>467</v>
      </c>
      <c r="B322" s="21">
        <v>2342365</v>
      </c>
      <c r="C322" s="21">
        <v>23423650</v>
      </c>
      <c r="D322" s="21" t="s">
        <v>1197</v>
      </c>
      <c r="E322" s="21" t="s">
        <v>1196</v>
      </c>
      <c r="F322" s="21">
        <v>841000</v>
      </c>
      <c r="G322" s="21" t="s">
        <v>1151</v>
      </c>
      <c r="H322" s="21">
        <v>90541</v>
      </c>
      <c r="I322" s="21">
        <v>0</v>
      </c>
      <c r="J322" s="21">
        <v>86</v>
      </c>
      <c r="K322" s="21">
        <v>2</v>
      </c>
      <c r="L322" s="21">
        <v>6</v>
      </c>
      <c r="M322" s="21">
        <v>1110</v>
      </c>
      <c r="N322" s="61">
        <f t="shared" si="15"/>
        <v>0.92500000000000004</v>
      </c>
      <c r="O322" s="60">
        <v>187972.06</v>
      </c>
      <c r="P322" s="21">
        <v>27774.1</v>
      </c>
      <c r="Q322" s="21">
        <v>7400.85</v>
      </c>
      <c r="R322" s="21">
        <v>142166.85999999999</v>
      </c>
      <c r="S322" s="21">
        <v>1221.0999999999999</v>
      </c>
      <c r="T322" s="21">
        <v>5959</v>
      </c>
      <c r="U322" s="21">
        <v>0</v>
      </c>
      <c r="V322" s="21">
        <v>2488.35</v>
      </c>
      <c r="W322" s="21">
        <v>12515.55</v>
      </c>
      <c r="X322" s="21">
        <v>21354.25</v>
      </c>
      <c r="Y322" s="21">
        <v>98628.61</v>
      </c>
      <c r="Z322" s="21">
        <v>10630.25</v>
      </c>
      <c r="AA322" s="21">
        <v>0</v>
      </c>
      <c r="AB322" s="21">
        <v>0</v>
      </c>
      <c r="AC322" s="21">
        <v>1841001</v>
      </c>
    </row>
    <row r="323" spans="1:29" hidden="1" outlineLevel="2">
      <c r="A323" s="21">
        <v>467</v>
      </c>
      <c r="B323" s="21">
        <v>2627713</v>
      </c>
      <c r="C323" s="21">
        <v>26277137</v>
      </c>
      <c r="D323" s="21" t="s">
        <v>1167</v>
      </c>
      <c r="E323" s="21" t="s">
        <v>1166</v>
      </c>
      <c r="F323" s="21">
        <v>841000</v>
      </c>
      <c r="G323" s="21" t="s">
        <v>1151</v>
      </c>
      <c r="H323" s="21">
        <v>90541</v>
      </c>
      <c r="I323" s="21">
        <v>1</v>
      </c>
      <c r="J323" s="21">
        <v>0</v>
      </c>
      <c r="K323" s="21">
        <v>0</v>
      </c>
      <c r="L323" s="21">
        <v>0</v>
      </c>
      <c r="M323" s="21">
        <v>0</v>
      </c>
      <c r="N323" s="61">
        <f t="shared" si="15"/>
        <v>0</v>
      </c>
      <c r="O323" s="60">
        <v>28201.62</v>
      </c>
      <c r="P323" s="21">
        <v>1616.12</v>
      </c>
      <c r="Q323" s="21">
        <v>1110.98</v>
      </c>
      <c r="R323" s="21">
        <v>23697.5</v>
      </c>
      <c r="S323" s="21">
        <v>370</v>
      </c>
      <c r="T323" s="21">
        <v>0</v>
      </c>
      <c r="U323" s="21">
        <v>0</v>
      </c>
      <c r="V323" s="21">
        <v>1529.5</v>
      </c>
      <c r="W323" s="21">
        <v>12676.8</v>
      </c>
      <c r="X323" s="21">
        <v>9600</v>
      </c>
      <c r="Y323" s="21">
        <v>-478.8</v>
      </c>
      <c r="Z323" s="21">
        <v>1777.02</v>
      </c>
      <c r="AA323" s="21">
        <v>0</v>
      </c>
      <c r="AB323" s="21">
        <v>0</v>
      </c>
      <c r="AC323" s="21">
        <v>1841001</v>
      </c>
    </row>
    <row r="324" spans="1:29" hidden="1" outlineLevel="2">
      <c r="A324" s="21">
        <v>467</v>
      </c>
      <c r="B324" s="21">
        <v>2824625</v>
      </c>
      <c r="C324" s="21">
        <v>28246254</v>
      </c>
      <c r="D324" s="21" t="s">
        <v>1181</v>
      </c>
      <c r="E324" s="21" t="s">
        <v>1195</v>
      </c>
      <c r="F324" s="21">
        <v>841000</v>
      </c>
      <c r="G324" s="21" t="s">
        <v>1151</v>
      </c>
      <c r="H324" s="21">
        <v>90541</v>
      </c>
      <c r="I324" s="21">
        <v>0</v>
      </c>
      <c r="J324" s="21">
        <v>5</v>
      </c>
      <c r="K324" s="21">
        <v>39</v>
      </c>
      <c r="L324" s="21">
        <v>0</v>
      </c>
      <c r="M324" s="21">
        <v>976</v>
      </c>
      <c r="N324" s="61">
        <f t="shared" si="15"/>
        <v>0.81333333333333335</v>
      </c>
      <c r="O324" s="60">
        <v>95110.61</v>
      </c>
      <c r="P324" s="21">
        <v>14018.45</v>
      </c>
      <c r="Q324" s="21">
        <v>2822.19</v>
      </c>
      <c r="R324" s="21">
        <v>72775.47</v>
      </c>
      <c r="S324" s="21">
        <v>5283</v>
      </c>
      <c r="T324" s="21">
        <v>5430</v>
      </c>
      <c r="U324" s="21">
        <v>0</v>
      </c>
      <c r="V324" s="21">
        <v>0</v>
      </c>
      <c r="W324" s="21">
        <v>885.4</v>
      </c>
      <c r="X324" s="21">
        <v>19.95</v>
      </c>
      <c r="Y324" s="21">
        <v>61157.120000000003</v>
      </c>
      <c r="Z324" s="21">
        <v>5494.5</v>
      </c>
      <c r="AA324" s="21">
        <v>0</v>
      </c>
      <c r="AB324" s="21">
        <v>0</v>
      </c>
      <c r="AC324" s="21">
        <v>1841001</v>
      </c>
    </row>
    <row r="325" spans="1:29" hidden="1" outlineLevel="2">
      <c r="A325" s="21">
        <v>467</v>
      </c>
      <c r="B325" s="21">
        <v>2830266</v>
      </c>
      <c r="C325" s="21">
        <v>28302669</v>
      </c>
      <c r="D325" s="21" t="s">
        <v>1194</v>
      </c>
      <c r="E325" s="21" t="s">
        <v>1193</v>
      </c>
      <c r="F325" s="21">
        <v>841000</v>
      </c>
      <c r="G325" s="21" t="s">
        <v>1151</v>
      </c>
      <c r="H325" s="21">
        <v>90541</v>
      </c>
      <c r="I325" s="21">
        <v>0</v>
      </c>
      <c r="J325" s="21">
        <v>86</v>
      </c>
      <c r="K325" s="21">
        <v>2</v>
      </c>
      <c r="L325" s="21">
        <v>1</v>
      </c>
      <c r="M325" s="21">
        <v>1020</v>
      </c>
      <c r="N325" s="61">
        <f t="shared" si="15"/>
        <v>0.85</v>
      </c>
      <c r="O325" s="60">
        <v>101716.24</v>
      </c>
      <c r="P325" s="21">
        <v>14214.25</v>
      </c>
      <c r="Q325" s="21">
        <v>3134.26</v>
      </c>
      <c r="R325" s="21">
        <v>78481.73</v>
      </c>
      <c r="S325" s="21">
        <v>0</v>
      </c>
      <c r="T325" s="21">
        <v>4168.3999999999996</v>
      </c>
      <c r="U325" s="21">
        <v>0</v>
      </c>
      <c r="V325" s="21">
        <v>0</v>
      </c>
      <c r="W325" s="21">
        <v>6131.8</v>
      </c>
      <c r="X325" s="21">
        <v>1.2</v>
      </c>
      <c r="Y325" s="21">
        <v>68180.33</v>
      </c>
      <c r="Z325" s="21">
        <v>5886</v>
      </c>
      <c r="AA325" s="21">
        <v>0</v>
      </c>
      <c r="AB325" s="21">
        <v>0</v>
      </c>
      <c r="AC325" s="21">
        <v>1841001</v>
      </c>
    </row>
    <row r="326" spans="1:29" hidden="1" outlineLevel="2">
      <c r="A326" s="21">
        <v>467</v>
      </c>
      <c r="B326" s="21">
        <v>3251989</v>
      </c>
      <c r="C326" s="21">
        <v>32519894</v>
      </c>
      <c r="D326" s="21" t="s">
        <v>1192</v>
      </c>
      <c r="E326" s="21" t="s">
        <v>1191</v>
      </c>
      <c r="F326" s="21">
        <v>841000</v>
      </c>
      <c r="G326" s="21" t="s">
        <v>1151</v>
      </c>
      <c r="H326" s="21">
        <v>90541</v>
      </c>
      <c r="I326" s="21">
        <v>0</v>
      </c>
      <c r="J326" s="21">
        <v>86</v>
      </c>
      <c r="K326" s="21">
        <v>2</v>
      </c>
      <c r="L326" s="21">
        <v>1</v>
      </c>
      <c r="M326" s="21">
        <v>600</v>
      </c>
      <c r="N326" s="61">
        <f t="shared" si="15"/>
        <v>0.5</v>
      </c>
      <c r="O326" s="60">
        <v>57077.46</v>
      </c>
      <c r="P326" s="21">
        <v>7607.3</v>
      </c>
      <c r="Q326" s="21">
        <v>1538.27</v>
      </c>
      <c r="R326" s="21">
        <v>44587.839999999997</v>
      </c>
      <c r="S326" s="21">
        <v>0</v>
      </c>
      <c r="T326" s="21">
        <v>3524.95</v>
      </c>
      <c r="U326" s="21">
        <v>0</v>
      </c>
      <c r="V326" s="21">
        <v>0</v>
      </c>
      <c r="W326" s="21">
        <v>6140.8</v>
      </c>
      <c r="X326" s="21">
        <v>10.75</v>
      </c>
      <c r="Y326" s="21">
        <v>34911.339999999997</v>
      </c>
      <c r="Z326" s="21">
        <v>3344.05</v>
      </c>
      <c r="AA326" s="21">
        <v>0</v>
      </c>
      <c r="AB326" s="21">
        <v>0</v>
      </c>
      <c r="AC326" s="21">
        <v>1841001</v>
      </c>
    </row>
    <row r="327" spans="1:29" hidden="1" outlineLevel="2">
      <c r="A327" s="21">
        <v>467</v>
      </c>
      <c r="B327" s="21">
        <v>4349091</v>
      </c>
      <c r="C327" s="21">
        <v>43490911</v>
      </c>
      <c r="D327" s="21" t="s">
        <v>1173</v>
      </c>
      <c r="E327" s="21" t="s">
        <v>1190</v>
      </c>
      <c r="F327" s="21">
        <v>841000</v>
      </c>
      <c r="G327" s="21" t="s">
        <v>1151</v>
      </c>
      <c r="H327" s="21">
        <v>90541</v>
      </c>
      <c r="I327" s="21">
        <v>0</v>
      </c>
      <c r="J327" s="21">
        <v>5</v>
      </c>
      <c r="K327" s="21">
        <v>6</v>
      </c>
      <c r="L327" s="21">
        <v>0</v>
      </c>
      <c r="M327" s="21">
        <v>200</v>
      </c>
      <c r="N327" s="61">
        <f t="shared" si="15"/>
        <v>0.16666666666666666</v>
      </c>
      <c r="O327" s="60">
        <v>12919.13</v>
      </c>
      <c r="P327" s="21">
        <v>1446.43</v>
      </c>
      <c r="Q327" s="21">
        <v>366.18</v>
      </c>
      <c r="R327" s="21">
        <v>10310.5</v>
      </c>
      <c r="S327" s="21">
        <v>0</v>
      </c>
      <c r="T327" s="21">
        <v>0</v>
      </c>
      <c r="U327" s="21">
        <v>0</v>
      </c>
      <c r="V327" s="21">
        <v>0</v>
      </c>
      <c r="W327" s="21">
        <v>222</v>
      </c>
      <c r="X327" s="21">
        <v>142.1</v>
      </c>
      <c r="Y327" s="21">
        <v>9946.4</v>
      </c>
      <c r="Z327" s="21">
        <v>796.02</v>
      </c>
      <c r="AA327" s="21">
        <v>0</v>
      </c>
      <c r="AB327" s="21">
        <v>0</v>
      </c>
      <c r="AC327" s="21">
        <v>1841001</v>
      </c>
    </row>
    <row r="328" spans="1:29" hidden="1" outlineLevel="2">
      <c r="A328" s="21">
        <v>467</v>
      </c>
      <c r="B328" s="21">
        <v>5440493</v>
      </c>
      <c r="C328" s="21">
        <v>54404934</v>
      </c>
      <c r="D328" s="21" t="s">
        <v>1189</v>
      </c>
      <c r="E328" s="21" t="s">
        <v>1188</v>
      </c>
      <c r="F328" s="21">
        <v>841000</v>
      </c>
      <c r="G328" s="21" t="s">
        <v>1151</v>
      </c>
      <c r="H328" s="21">
        <v>90541</v>
      </c>
      <c r="I328" s="21">
        <v>0</v>
      </c>
      <c r="J328" s="21">
        <v>86</v>
      </c>
      <c r="K328" s="21">
        <v>2</v>
      </c>
      <c r="L328" s="21">
        <v>2</v>
      </c>
      <c r="M328" s="21">
        <v>100</v>
      </c>
      <c r="N328" s="61">
        <f t="shared" si="15"/>
        <v>8.3333333333333329E-2</v>
      </c>
      <c r="O328" s="60">
        <v>7533.35</v>
      </c>
      <c r="P328" s="21">
        <v>0</v>
      </c>
      <c r="Q328" s="21">
        <v>234.25</v>
      </c>
      <c r="R328" s="21">
        <v>6789.85</v>
      </c>
      <c r="S328" s="21">
        <v>0</v>
      </c>
      <c r="T328" s="21">
        <v>0</v>
      </c>
      <c r="U328" s="21">
        <v>0</v>
      </c>
      <c r="V328" s="21">
        <v>0</v>
      </c>
      <c r="W328" s="21">
        <v>554.25</v>
      </c>
      <c r="X328" s="21">
        <v>0</v>
      </c>
      <c r="Y328" s="21">
        <v>6235.6</v>
      </c>
      <c r="Z328" s="21">
        <v>509.25</v>
      </c>
      <c r="AA328" s="21">
        <v>0</v>
      </c>
      <c r="AB328" s="21">
        <v>0</v>
      </c>
      <c r="AC328" s="21">
        <v>1841001</v>
      </c>
    </row>
    <row r="329" spans="1:29" hidden="1" outlineLevel="2">
      <c r="A329" s="21">
        <v>467</v>
      </c>
      <c r="B329" s="21">
        <v>5480164</v>
      </c>
      <c r="C329" s="21">
        <v>54801642</v>
      </c>
      <c r="D329" s="21" t="s">
        <v>1187</v>
      </c>
      <c r="E329" s="21" t="s">
        <v>1186</v>
      </c>
      <c r="F329" s="21">
        <v>841000</v>
      </c>
      <c r="G329" s="21" t="s">
        <v>1151</v>
      </c>
      <c r="H329" s="21">
        <v>90541</v>
      </c>
      <c r="I329" s="21">
        <v>0</v>
      </c>
      <c r="J329" s="21">
        <v>86</v>
      </c>
      <c r="K329" s="21">
        <v>2</v>
      </c>
      <c r="L329" s="21">
        <v>6</v>
      </c>
      <c r="M329" s="21">
        <v>700</v>
      </c>
      <c r="N329" s="61">
        <f t="shared" si="15"/>
        <v>0.58333333333333337</v>
      </c>
      <c r="O329" s="60">
        <v>100491.01</v>
      </c>
      <c r="P329" s="21">
        <v>13610.05</v>
      </c>
      <c r="Q329" s="21">
        <v>3177.69</v>
      </c>
      <c r="R329" s="21">
        <v>77838.37</v>
      </c>
      <c r="S329" s="21">
        <v>0</v>
      </c>
      <c r="T329" s="21">
        <v>4932</v>
      </c>
      <c r="U329" s="21">
        <v>0</v>
      </c>
      <c r="V329" s="21">
        <v>1425.45</v>
      </c>
      <c r="W329" s="21">
        <v>8448</v>
      </c>
      <c r="X329" s="21">
        <v>2.4</v>
      </c>
      <c r="Y329" s="21">
        <v>63030.52</v>
      </c>
      <c r="Z329" s="21">
        <v>5864.9</v>
      </c>
      <c r="AA329" s="21">
        <v>0</v>
      </c>
      <c r="AB329" s="21">
        <v>0</v>
      </c>
      <c r="AC329" s="21">
        <v>1841001</v>
      </c>
    </row>
    <row r="330" spans="1:29" hidden="1" outlineLevel="2">
      <c r="A330" s="21">
        <v>467</v>
      </c>
      <c r="B330" s="21">
        <v>5577200</v>
      </c>
      <c r="C330" s="21">
        <v>55772008</v>
      </c>
      <c r="D330" s="21" t="s">
        <v>1173</v>
      </c>
      <c r="E330" s="21" t="s">
        <v>1185</v>
      </c>
      <c r="F330" s="21">
        <v>841000</v>
      </c>
      <c r="G330" s="21" t="s">
        <v>1151</v>
      </c>
      <c r="H330" s="21">
        <v>90541</v>
      </c>
      <c r="I330" s="21">
        <v>0</v>
      </c>
      <c r="J330" s="21">
        <v>86</v>
      </c>
      <c r="K330" s="21">
        <v>3</v>
      </c>
      <c r="L330" s="21">
        <v>8</v>
      </c>
      <c r="M330" s="21">
        <v>1200</v>
      </c>
      <c r="N330" s="61">
        <f t="shared" si="15"/>
        <v>1</v>
      </c>
      <c r="O330" s="60">
        <v>306663.28999999998</v>
      </c>
      <c r="P330" s="21">
        <v>33795.1</v>
      </c>
      <c r="Q330" s="21">
        <v>14170.6</v>
      </c>
      <c r="R330" s="21">
        <v>240537.24</v>
      </c>
      <c r="S330" s="21">
        <v>-56.6</v>
      </c>
      <c r="T330" s="21">
        <v>11431.3</v>
      </c>
      <c r="U330" s="21">
        <v>0</v>
      </c>
      <c r="V330" s="21">
        <v>16438.849999999999</v>
      </c>
      <c r="W330" s="21">
        <v>5934.2</v>
      </c>
      <c r="X330" s="21">
        <v>29797.85</v>
      </c>
      <c r="Y330" s="21">
        <v>176991.64</v>
      </c>
      <c r="Z330" s="21">
        <v>18160.349999999999</v>
      </c>
      <c r="AA330" s="21">
        <v>0</v>
      </c>
      <c r="AB330" s="21">
        <v>0</v>
      </c>
      <c r="AC330" s="21">
        <v>1841001</v>
      </c>
    </row>
    <row r="331" spans="1:29" hidden="1" outlineLevel="2">
      <c r="A331" s="21">
        <v>467</v>
      </c>
      <c r="B331" s="21">
        <v>5699144</v>
      </c>
      <c r="C331" s="21">
        <v>56991441</v>
      </c>
      <c r="D331" s="21" t="s">
        <v>1153</v>
      </c>
      <c r="E331" s="21" t="s">
        <v>1184</v>
      </c>
      <c r="F331" s="21">
        <v>841000</v>
      </c>
      <c r="G331" s="21" t="s">
        <v>1151</v>
      </c>
      <c r="H331" s="21">
        <v>90541</v>
      </c>
      <c r="I331" s="21">
        <v>0</v>
      </c>
      <c r="J331" s="21">
        <v>5</v>
      </c>
      <c r="K331" s="21">
        <v>7</v>
      </c>
      <c r="L331" s="21">
        <v>0</v>
      </c>
      <c r="M331" s="21">
        <v>600</v>
      </c>
      <c r="N331" s="61">
        <f t="shared" si="15"/>
        <v>0.5</v>
      </c>
      <c r="O331" s="60">
        <v>44555.31</v>
      </c>
      <c r="P331" s="21">
        <v>6764.65</v>
      </c>
      <c r="Q331" s="21">
        <v>1193.8499999999999</v>
      </c>
      <c r="R331" s="21">
        <v>34001.31</v>
      </c>
      <c r="S331" s="21">
        <v>0</v>
      </c>
      <c r="T331" s="21">
        <v>2893</v>
      </c>
      <c r="U331" s="21">
        <v>0</v>
      </c>
      <c r="V331" s="21">
        <v>0</v>
      </c>
      <c r="W331" s="21">
        <v>702.6</v>
      </c>
      <c r="X331" s="21">
        <v>10.85</v>
      </c>
      <c r="Y331" s="21">
        <v>30394.86</v>
      </c>
      <c r="Z331" s="21">
        <v>2595.5</v>
      </c>
      <c r="AA331" s="21">
        <v>0</v>
      </c>
      <c r="AB331" s="21">
        <v>0</v>
      </c>
      <c r="AC331" s="21">
        <v>1841001</v>
      </c>
    </row>
    <row r="332" spans="1:29" hidden="1" outlineLevel="2">
      <c r="A332" s="21">
        <v>467</v>
      </c>
      <c r="B332" s="21">
        <v>5897713</v>
      </c>
      <c r="C332" s="21">
        <v>58977133</v>
      </c>
      <c r="D332" s="21" t="s">
        <v>1183</v>
      </c>
      <c r="E332" s="21" t="s">
        <v>1182</v>
      </c>
      <c r="F332" s="21">
        <v>841000</v>
      </c>
      <c r="G332" s="21" t="s">
        <v>1151</v>
      </c>
      <c r="H332" s="21">
        <v>90541</v>
      </c>
      <c r="I332" s="21">
        <v>1</v>
      </c>
      <c r="J332" s="21">
        <v>0</v>
      </c>
      <c r="K332" s="21">
        <v>0</v>
      </c>
      <c r="L332" s="21">
        <v>0</v>
      </c>
      <c r="M332" s="21">
        <v>0</v>
      </c>
      <c r="N332" s="61">
        <f t="shared" si="15"/>
        <v>0</v>
      </c>
      <c r="O332" s="60">
        <v>30257.4</v>
      </c>
      <c r="P332" s="21">
        <v>4084.15</v>
      </c>
      <c r="Q332" s="21">
        <v>825.05</v>
      </c>
      <c r="R332" s="21">
        <v>23554.6</v>
      </c>
      <c r="S332" s="21">
        <v>0</v>
      </c>
      <c r="T332" s="21">
        <v>1186.05</v>
      </c>
      <c r="U332" s="21">
        <v>0</v>
      </c>
      <c r="V332" s="21">
        <v>0</v>
      </c>
      <c r="W332" s="21">
        <v>0</v>
      </c>
      <c r="X332" s="21">
        <v>0</v>
      </c>
      <c r="Y332" s="21">
        <v>22368.55</v>
      </c>
      <c r="Z332" s="21">
        <v>1793.6</v>
      </c>
      <c r="AA332" s="21">
        <v>0</v>
      </c>
      <c r="AB332" s="21">
        <v>0</v>
      </c>
      <c r="AC332" s="21">
        <v>1841001</v>
      </c>
    </row>
    <row r="333" spans="1:29" hidden="1" outlineLevel="2">
      <c r="A333" s="21">
        <v>467</v>
      </c>
      <c r="B333" s="21">
        <v>5947614</v>
      </c>
      <c r="C333" s="21">
        <v>59476143</v>
      </c>
      <c r="D333" s="21" t="s">
        <v>1173</v>
      </c>
      <c r="E333" s="21" t="s">
        <v>1176</v>
      </c>
      <c r="F333" s="21">
        <v>841000</v>
      </c>
      <c r="G333" s="21" t="s">
        <v>1151</v>
      </c>
      <c r="H333" s="21">
        <v>90541</v>
      </c>
      <c r="I333" s="21">
        <v>0</v>
      </c>
      <c r="J333" s="21">
        <v>5</v>
      </c>
      <c r="K333" s="21">
        <v>8</v>
      </c>
      <c r="L333" s="21">
        <v>0</v>
      </c>
      <c r="M333" s="21">
        <v>950</v>
      </c>
      <c r="N333" s="61">
        <f t="shared" si="15"/>
        <v>0.79166666666666663</v>
      </c>
      <c r="O333" s="60">
        <v>69218.73</v>
      </c>
      <c r="P333" s="21">
        <v>10300.459999999999</v>
      </c>
      <c r="Q333" s="21">
        <v>1970.03</v>
      </c>
      <c r="R333" s="21">
        <v>52958.39</v>
      </c>
      <c r="S333" s="21">
        <v>0</v>
      </c>
      <c r="T333" s="21">
        <v>2604.6999999999998</v>
      </c>
      <c r="U333" s="21">
        <v>0</v>
      </c>
      <c r="V333" s="21">
        <v>0</v>
      </c>
      <c r="W333" s="21">
        <v>461.7</v>
      </c>
      <c r="X333" s="21">
        <v>-50.3</v>
      </c>
      <c r="Y333" s="21">
        <v>49942.29</v>
      </c>
      <c r="Z333" s="21">
        <v>3989.85</v>
      </c>
      <c r="AA333" s="21">
        <v>0</v>
      </c>
      <c r="AB333" s="21">
        <v>0</v>
      </c>
      <c r="AC333" s="21">
        <v>1841001</v>
      </c>
    </row>
    <row r="334" spans="1:29" hidden="1" outlineLevel="2">
      <c r="A334" s="21">
        <v>467</v>
      </c>
      <c r="B334" s="21">
        <v>5992469</v>
      </c>
      <c r="C334" s="21">
        <v>59924696</v>
      </c>
      <c r="D334" s="21" t="s">
        <v>1181</v>
      </c>
      <c r="E334" s="21" t="s">
        <v>1180</v>
      </c>
      <c r="F334" s="21">
        <v>841000</v>
      </c>
      <c r="G334" s="21" t="s">
        <v>1151</v>
      </c>
      <c r="H334" s="21">
        <v>90541</v>
      </c>
      <c r="I334" s="21">
        <v>1</v>
      </c>
      <c r="J334" s="21">
        <v>0</v>
      </c>
      <c r="K334" s="21">
        <v>0</v>
      </c>
      <c r="L334" s="21">
        <v>0</v>
      </c>
      <c r="M334" s="21">
        <v>0</v>
      </c>
      <c r="N334" s="61">
        <f t="shared" si="15"/>
        <v>0</v>
      </c>
      <c r="O334" s="60">
        <v>7811.28</v>
      </c>
      <c r="P334" s="21">
        <v>959.9</v>
      </c>
      <c r="Q334" s="21">
        <v>223.33</v>
      </c>
      <c r="R334" s="21">
        <v>6142.55</v>
      </c>
      <c r="S334" s="21">
        <v>0</v>
      </c>
      <c r="T334" s="21">
        <v>298.89999999999998</v>
      </c>
      <c r="U334" s="21">
        <v>0</v>
      </c>
      <c r="V334" s="21">
        <v>0</v>
      </c>
      <c r="W334" s="21">
        <v>0</v>
      </c>
      <c r="X334" s="21">
        <v>0</v>
      </c>
      <c r="Y334" s="21">
        <v>5843.65</v>
      </c>
      <c r="Z334" s="21">
        <v>485.5</v>
      </c>
      <c r="AA334" s="21">
        <v>0</v>
      </c>
      <c r="AB334" s="21">
        <v>0</v>
      </c>
      <c r="AC334" s="21">
        <v>1841001</v>
      </c>
    </row>
    <row r="335" spans="1:29" hidden="1" outlineLevel="2">
      <c r="A335" s="21">
        <v>467</v>
      </c>
      <c r="B335" s="21">
        <v>6129995</v>
      </c>
      <c r="C335" s="21">
        <v>61299954</v>
      </c>
      <c r="D335" s="21" t="s">
        <v>1179</v>
      </c>
      <c r="E335" s="21" t="s">
        <v>1178</v>
      </c>
      <c r="F335" s="21">
        <v>841000</v>
      </c>
      <c r="G335" s="21" t="s">
        <v>1151</v>
      </c>
      <c r="H335" s="21">
        <v>90541</v>
      </c>
      <c r="I335" s="21">
        <v>0</v>
      </c>
      <c r="J335" s="21">
        <v>86</v>
      </c>
      <c r="K335" s="21">
        <v>2</v>
      </c>
      <c r="L335" s="21">
        <v>3</v>
      </c>
      <c r="M335" s="21">
        <v>1200</v>
      </c>
      <c r="N335" s="61">
        <f t="shared" si="15"/>
        <v>1</v>
      </c>
      <c r="O335" s="60">
        <v>154754.09</v>
      </c>
      <c r="P335" s="21">
        <v>17962.349999999999</v>
      </c>
      <c r="Q335" s="21">
        <v>6022.47</v>
      </c>
      <c r="R335" s="21">
        <v>121666.77</v>
      </c>
      <c r="S335" s="21">
        <v>5164.3500000000004</v>
      </c>
      <c r="T335" s="21">
        <v>5818.1</v>
      </c>
      <c r="U335" s="21">
        <v>0</v>
      </c>
      <c r="V335" s="21">
        <v>1397.75</v>
      </c>
      <c r="W335" s="21">
        <v>12584.2</v>
      </c>
      <c r="X335" s="21">
        <v>15297.55</v>
      </c>
      <c r="Y335" s="21">
        <v>81404.820000000007</v>
      </c>
      <c r="Z335" s="21">
        <v>9102.5</v>
      </c>
      <c r="AA335" s="21">
        <v>0</v>
      </c>
      <c r="AB335" s="21">
        <v>0</v>
      </c>
      <c r="AC335" s="21">
        <v>1841001</v>
      </c>
    </row>
    <row r="336" spans="1:29" hidden="1" outlineLevel="2">
      <c r="A336" s="21">
        <v>467</v>
      </c>
      <c r="B336" s="21">
        <v>6639586</v>
      </c>
      <c r="C336" s="21">
        <v>66395864</v>
      </c>
      <c r="D336" s="21" t="s">
        <v>1177</v>
      </c>
      <c r="E336" s="21" t="s">
        <v>1176</v>
      </c>
      <c r="F336" s="21">
        <v>841000</v>
      </c>
      <c r="G336" s="21" t="s">
        <v>1151</v>
      </c>
      <c r="H336" s="21">
        <v>90541</v>
      </c>
      <c r="I336" s="21">
        <v>0</v>
      </c>
      <c r="J336" s="21">
        <v>86</v>
      </c>
      <c r="K336" s="21">
        <v>2</v>
      </c>
      <c r="L336" s="21">
        <v>1</v>
      </c>
      <c r="M336" s="21">
        <v>675</v>
      </c>
      <c r="N336" s="61">
        <f t="shared" si="15"/>
        <v>0.5625</v>
      </c>
      <c r="O336" s="60">
        <v>61707.65</v>
      </c>
      <c r="P336" s="21">
        <v>0</v>
      </c>
      <c r="Q336" s="21">
        <v>1674.02</v>
      </c>
      <c r="R336" s="21">
        <v>56453.53</v>
      </c>
      <c r="S336" s="21">
        <v>0</v>
      </c>
      <c r="T336" s="21">
        <v>379</v>
      </c>
      <c r="U336" s="21">
        <v>0</v>
      </c>
      <c r="V336" s="21">
        <v>0</v>
      </c>
      <c r="W336" s="21">
        <v>6369.25</v>
      </c>
      <c r="X336" s="21">
        <v>0.1</v>
      </c>
      <c r="Y336" s="21">
        <v>49705.18</v>
      </c>
      <c r="Z336" s="21">
        <v>3580.1</v>
      </c>
      <c r="AA336" s="21">
        <v>0</v>
      </c>
      <c r="AB336" s="21">
        <v>0</v>
      </c>
      <c r="AC336" s="21">
        <v>1841001</v>
      </c>
    </row>
    <row r="337" spans="1:30" hidden="1" outlineLevel="2">
      <c r="A337" s="21">
        <v>467</v>
      </c>
      <c r="B337" s="21">
        <v>6674633</v>
      </c>
      <c r="C337" s="21">
        <v>66746330</v>
      </c>
      <c r="D337" s="21" t="s">
        <v>1175</v>
      </c>
      <c r="E337" s="21" t="s">
        <v>1174</v>
      </c>
      <c r="F337" s="21">
        <v>841000</v>
      </c>
      <c r="G337" s="21" t="s">
        <v>1151</v>
      </c>
      <c r="H337" s="21">
        <v>90541</v>
      </c>
      <c r="I337" s="21">
        <v>0</v>
      </c>
      <c r="J337" s="21">
        <v>86</v>
      </c>
      <c r="K337" s="21">
        <v>2</v>
      </c>
      <c r="L337" s="21">
        <v>1</v>
      </c>
      <c r="M337" s="21">
        <v>828</v>
      </c>
      <c r="N337" s="61">
        <f t="shared" si="15"/>
        <v>0.69</v>
      </c>
      <c r="O337" s="60">
        <v>76173.919999999998</v>
      </c>
      <c r="P337" s="21">
        <v>9694.2000000000007</v>
      </c>
      <c r="Q337" s="21">
        <v>2078.1799999999998</v>
      </c>
      <c r="R337" s="21">
        <v>59908.39</v>
      </c>
      <c r="S337" s="21">
        <v>2625</v>
      </c>
      <c r="T337" s="21">
        <v>1657.9</v>
      </c>
      <c r="U337" s="21">
        <v>0</v>
      </c>
      <c r="V337" s="21">
        <v>3025.5</v>
      </c>
      <c r="W337" s="21">
        <v>6384</v>
      </c>
      <c r="X337" s="21">
        <v>23.75</v>
      </c>
      <c r="Y337" s="21">
        <v>46192.24</v>
      </c>
      <c r="Z337" s="21">
        <v>4493.1499999999996</v>
      </c>
      <c r="AA337" s="21">
        <v>0</v>
      </c>
      <c r="AB337" s="21">
        <v>0</v>
      </c>
      <c r="AC337" s="21">
        <v>1841001</v>
      </c>
    </row>
    <row r="338" spans="1:30" hidden="1" outlineLevel="2">
      <c r="A338" s="21">
        <v>467</v>
      </c>
      <c r="B338" s="21">
        <v>30015017</v>
      </c>
      <c r="C338" s="21">
        <v>300150174</v>
      </c>
      <c r="D338" s="21" t="s">
        <v>1173</v>
      </c>
      <c r="E338" s="21" t="s">
        <v>1172</v>
      </c>
      <c r="F338" s="21">
        <v>841000</v>
      </c>
      <c r="G338" s="21" t="s">
        <v>1151</v>
      </c>
      <c r="H338" s="21">
        <v>90541</v>
      </c>
      <c r="I338" s="21">
        <v>0</v>
      </c>
      <c r="J338" s="21">
        <v>86</v>
      </c>
      <c r="K338" s="21">
        <v>2</v>
      </c>
      <c r="L338" s="21">
        <v>1</v>
      </c>
      <c r="M338" s="21">
        <v>900</v>
      </c>
      <c r="N338" s="61">
        <f t="shared" si="15"/>
        <v>0.75</v>
      </c>
      <c r="O338" s="60">
        <v>70693.039999999994</v>
      </c>
      <c r="P338" s="21">
        <v>10526.4</v>
      </c>
      <c r="Q338" s="21">
        <v>1870.9</v>
      </c>
      <c r="R338" s="21">
        <v>54228.69</v>
      </c>
      <c r="S338" s="21">
        <v>0</v>
      </c>
      <c r="T338" s="21">
        <v>1229.75</v>
      </c>
      <c r="U338" s="21">
        <v>0</v>
      </c>
      <c r="V338" s="21">
        <v>0</v>
      </c>
      <c r="W338" s="21">
        <v>630</v>
      </c>
      <c r="X338" s="21">
        <v>3.75</v>
      </c>
      <c r="Y338" s="21">
        <v>52365.19</v>
      </c>
      <c r="Z338" s="21">
        <v>4067.05</v>
      </c>
      <c r="AA338" s="21">
        <v>0</v>
      </c>
      <c r="AB338" s="21">
        <v>0</v>
      </c>
      <c r="AC338" s="21">
        <v>1841001</v>
      </c>
    </row>
    <row r="339" spans="1:30" hidden="1" outlineLevel="2">
      <c r="A339" s="21">
        <v>467</v>
      </c>
      <c r="B339" s="21">
        <v>30075537</v>
      </c>
      <c r="C339" s="21">
        <v>300755378</v>
      </c>
      <c r="D339" s="21" t="s">
        <v>1153</v>
      </c>
      <c r="E339" s="21" t="s">
        <v>1171</v>
      </c>
      <c r="F339" s="21">
        <v>841000</v>
      </c>
      <c r="G339" s="21" t="s">
        <v>1151</v>
      </c>
      <c r="H339" s="21">
        <v>90541</v>
      </c>
      <c r="I339" s="21">
        <v>0</v>
      </c>
      <c r="J339" s="21">
        <v>86</v>
      </c>
      <c r="K339" s="21">
        <v>2</v>
      </c>
      <c r="L339" s="21">
        <v>2</v>
      </c>
      <c r="M339" s="21">
        <v>370</v>
      </c>
      <c r="N339" s="61">
        <f t="shared" si="15"/>
        <v>0.30833333333333335</v>
      </c>
      <c r="O339" s="60">
        <v>24361.040000000001</v>
      </c>
      <c r="P339" s="21">
        <v>0</v>
      </c>
      <c r="Q339" s="21">
        <v>804.84</v>
      </c>
      <c r="R339" s="21">
        <v>21912.75</v>
      </c>
      <c r="S339" s="21">
        <v>0</v>
      </c>
      <c r="T339" s="21">
        <v>0</v>
      </c>
      <c r="U339" s="21">
        <v>0</v>
      </c>
      <c r="V339" s="21">
        <v>0</v>
      </c>
      <c r="W339" s="21">
        <v>500.9</v>
      </c>
      <c r="X339" s="21">
        <v>0.15</v>
      </c>
      <c r="Y339" s="21">
        <v>21411.7</v>
      </c>
      <c r="Z339" s="21">
        <v>1643.45</v>
      </c>
      <c r="AA339" s="21">
        <v>0</v>
      </c>
      <c r="AB339" s="21">
        <v>0</v>
      </c>
      <c r="AC339" s="21">
        <v>1841001</v>
      </c>
    </row>
    <row r="340" spans="1:30" hidden="1" outlineLevel="2">
      <c r="A340" s="21">
        <v>467</v>
      </c>
      <c r="B340" s="21">
        <v>30147984</v>
      </c>
      <c r="C340" s="21">
        <v>301479846</v>
      </c>
      <c r="D340" s="21" t="s">
        <v>1170</v>
      </c>
      <c r="E340" s="21" t="s">
        <v>1169</v>
      </c>
      <c r="F340" s="21">
        <v>841000</v>
      </c>
      <c r="G340" s="21" t="s">
        <v>1151</v>
      </c>
      <c r="H340" s="21">
        <v>90541</v>
      </c>
      <c r="I340" s="21">
        <v>0</v>
      </c>
      <c r="J340" s="21">
        <v>86</v>
      </c>
      <c r="K340" s="21">
        <v>2</v>
      </c>
      <c r="L340" s="21">
        <v>1</v>
      </c>
      <c r="M340" s="21">
        <v>600</v>
      </c>
      <c r="N340" s="61">
        <f t="shared" si="15"/>
        <v>0.5</v>
      </c>
      <c r="O340" s="60">
        <v>46594.59</v>
      </c>
      <c r="P340" s="21">
        <v>5846.45</v>
      </c>
      <c r="Q340" s="21">
        <v>1267.03</v>
      </c>
      <c r="R340" s="21">
        <v>36726.46</v>
      </c>
      <c r="S340" s="21">
        <v>0</v>
      </c>
      <c r="T340" s="21">
        <v>1509.5</v>
      </c>
      <c r="U340" s="21">
        <v>0</v>
      </c>
      <c r="V340" s="21">
        <v>0</v>
      </c>
      <c r="W340" s="21">
        <v>351.3</v>
      </c>
      <c r="X340" s="21">
        <v>7.8</v>
      </c>
      <c r="Y340" s="21">
        <v>34857.86</v>
      </c>
      <c r="Z340" s="21">
        <v>2754.65</v>
      </c>
      <c r="AA340" s="21">
        <v>0</v>
      </c>
      <c r="AB340" s="21">
        <v>0</v>
      </c>
      <c r="AC340" s="21">
        <v>1841001</v>
      </c>
    </row>
    <row r="341" spans="1:30" outlineLevel="1" collapsed="1">
      <c r="F341" s="62" t="s">
        <v>1168</v>
      </c>
      <c r="M341" s="21">
        <f>SUBTOTAL(9,M321:M340)</f>
        <v>12029</v>
      </c>
      <c r="N341" s="61">
        <f>SUBTOTAL(9,N321:N340)</f>
        <v>10.024166666666668</v>
      </c>
      <c r="O341" s="60">
        <f>SUBTOTAL(9,O321:O340)</f>
        <v>1483817.79</v>
      </c>
      <c r="AC341" s="21" t="str">
        <f>"1"&amp;LEFT(F341,6)&amp;"110"</f>
        <v>1841000110</v>
      </c>
    </row>
    <row r="342" spans="1:30" hidden="1" outlineLevel="2">
      <c r="A342" s="21">
        <v>467</v>
      </c>
      <c r="B342" s="21">
        <v>2627713</v>
      </c>
      <c r="C342" s="21">
        <v>26277137</v>
      </c>
      <c r="D342" s="21" t="s">
        <v>1167</v>
      </c>
      <c r="E342" s="21" t="s">
        <v>1166</v>
      </c>
      <c r="F342" s="21">
        <v>843501</v>
      </c>
      <c r="G342" s="21" t="s">
        <v>1151</v>
      </c>
      <c r="H342" s="21">
        <v>90541</v>
      </c>
      <c r="I342" s="21">
        <v>0</v>
      </c>
      <c r="J342" s="21">
        <v>86</v>
      </c>
      <c r="K342" s="21">
        <v>2</v>
      </c>
      <c r="L342" s="21">
        <v>5</v>
      </c>
      <c r="M342" s="21">
        <v>900</v>
      </c>
      <c r="N342" s="61">
        <f>+M342/1200</f>
        <v>0.75</v>
      </c>
      <c r="O342" s="60">
        <v>108473.09</v>
      </c>
      <c r="P342" s="21">
        <v>16504.78</v>
      </c>
      <c r="Q342" s="21">
        <v>3856.03</v>
      </c>
      <c r="R342" s="21">
        <v>81965.399999999994</v>
      </c>
      <c r="S342" s="21">
        <v>2436.1999999999998</v>
      </c>
      <c r="T342" s="21">
        <v>4339.5</v>
      </c>
      <c r="U342" s="21">
        <v>0</v>
      </c>
      <c r="V342" s="21">
        <v>0</v>
      </c>
      <c r="W342" s="21">
        <v>437.4</v>
      </c>
      <c r="X342" s="21">
        <v>7.2</v>
      </c>
      <c r="Y342" s="21">
        <v>74745.100000000006</v>
      </c>
      <c r="Z342" s="21">
        <v>6146.88</v>
      </c>
      <c r="AA342" s="21">
        <v>0</v>
      </c>
      <c r="AB342" s="21">
        <v>0</v>
      </c>
      <c r="AC342" s="21">
        <v>1843501</v>
      </c>
    </row>
    <row r="343" spans="1:30" outlineLevel="1" collapsed="1">
      <c r="F343" s="62" t="s">
        <v>1165</v>
      </c>
      <c r="M343" s="21">
        <f>SUBTOTAL(9,M342:M342)</f>
        <v>900</v>
      </c>
      <c r="N343" s="61">
        <f>SUBTOTAL(9,N342:N342)</f>
        <v>0.75</v>
      </c>
      <c r="O343" s="60">
        <f>SUBTOTAL(9,O342:O342)</f>
        <v>108473.09</v>
      </c>
      <c r="AC343" s="21" t="str">
        <f>"1"&amp;LEFT(F343,6)&amp;"110"</f>
        <v>1843501110</v>
      </c>
      <c r="AD343" s="21" t="str">
        <f>VLOOKUP(AC343,'פירוט שכר'!A:K,5,0)</f>
        <v>רכזות משפחתונים-שכר</v>
      </c>
    </row>
    <row r="344" spans="1:30" hidden="1" outlineLevel="2">
      <c r="A344" s="21">
        <v>467</v>
      </c>
      <c r="B344" s="21">
        <v>2617275</v>
      </c>
      <c r="C344" s="21">
        <v>26172759</v>
      </c>
      <c r="D344" s="21" t="s">
        <v>1153</v>
      </c>
      <c r="E344" s="21" t="s">
        <v>1164</v>
      </c>
      <c r="F344" s="21">
        <v>844500</v>
      </c>
      <c r="G344" s="21" t="s">
        <v>1151</v>
      </c>
      <c r="H344" s="21">
        <v>90541</v>
      </c>
      <c r="I344" s="21">
        <v>0</v>
      </c>
      <c r="J344" s="21">
        <v>5</v>
      </c>
      <c r="K344" s="21">
        <v>7</v>
      </c>
      <c r="L344" s="21">
        <v>0</v>
      </c>
      <c r="M344" s="21">
        <v>840</v>
      </c>
      <c r="N344" s="61">
        <f>+M344/1200</f>
        <v>0.7</v>
      </c>
      <c r="O344" s="60">
        <v>62405.54</v>
      </c>
      <c r="P344" s="21">
        <v>9328.5499999999993</v>
      </c>
      <c r="Q344" s="21">
        <v>1669.17</v>
      </c>
      <c r="R344" s="21">
        <v>47779.12</v>
      </c>
      <c r="S344" s="21">
        <v>0</v>
      </c>
      <c r="T344" s="21">
        <v>4349.1000000000004</v>
      </c>
      <c r="U344" s="21">
        <v>0</v>
      </c>
      <c r="V344" s="21">
        <v>0</v>
      </c>
      <c r="W344" s="21">
        <v>819</v>
      </c>
      <c r="X344" s="21">
        <v>28.1</v>
      </c>
      <c r="Y344" s="21">
        <v>42582.92</v>
      </c>
      <c r="Z344" s="21">
        <v>3628.7</v>
      </c>
      <c r="AA344" s="21">
        <v>0</v>
      </c>
      <c r="AB344" s="21">
        <v>0</v>
      </c>
      <c r="AC344" s="21">
        <v>1844401</v>
      </c>
    </row>
    <row r="345" spans="1:30" hidden="1" outlineLevel="2">
      <c r="A345" s="21">
        <v>467</v>
      </c>
      <c r="B345" s="21">
        <v>5112655</v>
      </c>
      <c r="C345" s="21">
        <v>51126555</v>
      </c>
      <c r="D345" s="21" t="s">
        <v>1153</v>
      </c>
      <c r="E345" s="21" t="s">
        <v>1163</v>
      </c>
      <c r="F345" s="21">
        <v>844500</v>
      </c>
      <c r="G345" s="21" t="s">
        <v>1151</v>
      </c>
      <c r="H345" s="21">
        <v>90541</v>
      </c>
      <c r="I345" s="21">
        <v>1</v>
      </c>
      <c r="J345" s="21">
        <v>0</v>
      </c>
      <c r="K345" s="21">
        <v>0</v>
      </c>
      <c r="L345" s="21">
        <v>0</v>
      </c>
      <c r="M345" s="21">
        <v>0</v>
      </c>
      <c r="N345" s="61">
        <f>+M345/1200</f>
        <v>0</v>
      </c>
      <c r="O345" s="60">
        <v>4104.22</v>
      </c>
      <c r="P345" s="21">
        <v>0</v>
      </c>
      <c r="Q345" s="21">
        <v>127.62</v>
      </c>
      <c r="R345" s="21">
        <v>3699.2</v>
      </c>
      <c r="S345" s="21">
        <v>0</v>
      </c>
      <c r="T345" s="21">
        <v>0</v>
      </c>
      <c r="U345" s="21">
        <v>0</v>
      </c>
      <c r="V345" s="21">
        <v>0</v>
      </c>
      <c r="W345" s="21">
        <v>0</v>
      </c>
      <c r="X345" s="21">
        <v>0</v>
      </c>
      <c r="Y345" s="21">
        <v>3699.2</v>
      </c>
      <c r="Z345" s="21">
        <v>277.39999999999998</v>
      </c>
      <c r="AA345" s="21">
        <v>0</v>
      </c>
      <c r="AB345" s="21">
        <v>0</v>
      </c>
      <c r="AC345" s="21">
        <v>1844401</v>
      </c>
    </row>
    <row r="346" spans="1:30" outlineLevel="1" collapsed="1">
      <c r="F346" s="62" t="s">
        <v>1162</v>
      </c>
      <c r="M346" s="21">
        <f>SUBTOTAL(9,M344:M345)</f>
        <v>840</v>
      </c>
      <c r="N346" s="61">
        <f>SUBTOTAL(9,N344:N345)</f>
        <v>0.7</v>
      </c>
      <c r="O346" s="60">
        <f>SUBTOTAL(9,O344:O345)</f>
        <v>66509.759999999995</v>
      </c>
      <c r="AC346" s="21" t="str">
        <f>"1"&amp;LEFT(F346,6)&amp;"110"</f>
        <v>1844500110</v>
      </c>
      <c r="AD346" s="21" t="str">
        <f>VLOOKUP(AC346,'פירוט שכר'!A:K,5,0)</f>
        <v>שכר מועדון לקשיש</v>
      </c>
    </row>
    <row r="347" spans="1:30" hidden="1" outlineLevel="2">
      <c r="A347" s="21">
        <v>467</v>
      </c>
      <c r="B347" s="21">
        <v>4081671</v>
      </c>
      <c r="C347" s="21">
        <v>40816712</v>
      </c>
      <c r="D347" s="21" t="s">
        <v>1153</v>
      </c>
      <c r="E347" s="21" t="s">
        <v>1161</v>
      </c>
      <c r="F347" s="21">
        <v>845200</v>
      </c>
      <c r="G347" s="21" t="s">
        <v>1151</v>
      </c>
      <c r="H347" s="21">
        <v>90541</v>
      </c>
      <c r="I347" s="21">
        <v>0</v>
      </c>
      <c r="J347" s="21">
        <v>5</v>
      </c>
      <c r="K347" s="21">
        <v>7</v>
      </c>
      <c r="L347" s="21">
        <v>0</v>
      </c>
      <c r="M347" s="21">
        <v>1200</v>
      </c>
      <c r="N347" s="61">
        <f>+M347/1200</f>
        <v>1</v>
      </c>
      <c r="O347" s="60">
        <v>90033.87</v>
      </c>
      <c r="P347" s="21">
        <v>13135.05</v>
      </c>
      <c r="Q347" s="21">
        <v>2582.86</v>
      </c>
      <c r="R347" s="21">
        <v>69114.2</v>
      </c>
      <c r="S347" s="21">
        <v>0</v>
      </c>
      <c r="T347" s="21">
        <v>5786</v>
      </c>
      <c r="U347" s="21">
        <v>0</v>
      </c>
      <c r="V347" s="21">
        <v>0</v>
      </c>
      <c r="W347" s="21">
        <v>583.20000000000005</v>
      </c>
      <c r="X347" s="21">
        <v>-10.8</v>
      </c>
      <c r="Y347" s="21">
        <v>62755.8</v>
      </c>
      <c r="Z347" s="21">
        <v>5201.76</v>
      </c>
      <c r="AA347" s="21">
        <v>0</v>
      </c>
      <c r="AB347" s="21">
        <v>0</v>
      </c>
      <c r="AC347" s="21">
        <v>1845201</v>
      </c>
    </row>
    <row r="348" spans="1:30" hidden="1" outlineLevel="2">
      <c r="A348" s="21">
        <v>467</v>
      </c>
      <c r="B348" s="21">
        <v>5631533</v>
      </c>
      <c r="C348" s="21">
        <v>56315336</v>
      </c>
      <c r="D348" s="21" t="s">
        <v>1160</v>
      </c>
      <c r="E348" s="21" t="s">
        <v>1159</v>
      </c>
      <c r="F348" s="21">
        <v>845200</v>
      </c>
      <c r="G348" s="21" t="s">
        <v>1151</v>
      </c>
      <c r="H348" s="21">
        <v>90541</v>
      </c>
      <c r="I348" s="21">
        <v>0</v>
      </c>
      <c r="J348" s="21">
        <v>5</v>
      </c>
      <c r="K348" s="21">
        <v>37</v>
      </c>
      <c r="L348" s="21">
        <v>0</v>
      </c>
      <c r="M348" s="21">
        <v>1069.7</v>
      </c>
      <c r="N348" s="61">
        <f>+M348/1200</f>
        <v>0.89141666666666675</v>
      </c>
      <c r="O348" s="60">
        <v>95337.27</v>
      </c>
      <c r="P348" s="21">
        <v>14376.8</v>
      </c>
      <c r="Q348" s="21">
        <v>2921.2</v>
      </c>
      <c r="R348" s="21">
        <v>72577.649999999994</v>
      </c>
      <c r="S348" s="21">
        <v>-30.6</v>
      </c>
      <c r="T348" s="21">
        <v>7067</v>
      </c>
      <c r="U348" s="21">
        <v>0</v>
      </c>
      <c r="V348" s="21">
        <v>0</v>
      </c>
      <c r="W348" s="21">
        <v>519.9</v>
      </c>
      <c r="X348" s="21">
        <v>11.35</v>
      </c>
      <c r="Y348" s="21">
        <v>65010</v>
      </c>
      <c r="Z348" s="21">
        <v>5461.62</v>
      </c>
      <c r="AA348" s="21">
        <v>0</v>
      </c>
      <c r="AB348" s="21">
        <v>0</v>
      </c>
      <c r="AC348" s="21">
        <v>1845201</v>
      </c>
    </row>
    <row r="349" spans="1:30" outlineLevel="1" collapsed="1">
      <c r="F349" s="62" t="s">
        <v>1158</v>
      </c>
      <c r="M349" s="21">
        <f>SUBTOTAL(9,M347:M348)</f>
        <v>2269.6999999999998</v>
      </c>
      <c r="N349" s="61">
        <f>SUBTOTAL(9,N347:N348)</f>
        <v>1.8914166666666667</v>
      </c>
      <c r="O349" s="60">
        <f>SUBTOTAL(9,O347:O348)</f>
        <v>185371.14</v>
      </c>
      <c r="AC349" s="21" t="str">
        <f>"1"&amp;LEFT(F349,6)&amp;"110"</f>
        <v>1845200110</v>
      </c>
    </row>
    <row r="350" spans="1:30" hidden="1" outlineLevel="2">
      <c r="A350" s="21">
        <v>467</v>
      </c>
      <c r="B350" s="21">
        <v>5754874</v>
      </c>
      <c r="C350" s="21">
        <v>57548745</v>
      </c>
      <c r="D350" s="21" t="s">
        <v>1153</v>
      </c>
      <c r="E350" s="21" t="s">
        <v>1157</v>
      </c>
      <c r="F350" s="21">
        <v>913000</v>
      </c>
      <c r="G350" s="21" t="s">
        <v>1151</v>
      </c>
      <c r="H350" s="21">
        <v>90541</v>
      </c>
      <c r="I350" s="21">
        <v>0</v>
      </c>
      <c r="J350" s="21">
        <v>5</v>
      </c>
      <c r="K350" s="21">
        <v>10</v>
      </c>
      <c r="L350" s="21">
        <v>0</v>
      </c>
      <c r="M350" s="21">
        <v>1200</v>
      </c>
      <c r="N350" s="61">
        <f>+M350/1200</f>
        <v>1</v>
      </c>
      <c r="O350" s="60">
        <v>127996.12</v>
      </c>
      <c r="P350" s="21">
        <v>18570.349999999999</v>
      </c>
      <c r="Q350" s="21">
        <v>4548.8599999999997</v>
      </c>
      <c r="R350" s="21">
        <v>97436.91</v>
      </c>
      <c r="S350" s="21">
        <v>0</v>
      </c>
      <c r="T350" s="21">
        <v>7240</v>
      </c>
      <c r="U350" s="21">
        <v>0</v>
      </c>
      <c r="V350" s="21">
        <v>0</v>
      </c>
      <c r="W350" s="21">
        <v>994.2</v>
      </c>
      <c r="X350" s="21">
        <v>20390.7</v>
      </c>
      <c r="Y350" s="21">
        <v>68812.009999999995</v>
      </c>
      <c r="Z350" s="21">
        <v>7440</v>
      </c>
      <c r="AA350" s="21">
        <v>0</v>
      </c>
      <c r="AB350" s="21">
        <v>0</v>
      </c>
      <c r="AC350" s="21">
        <v>1911000</v>
      </c>
    </row>
    <row r="351" spans="1:30" hidden="1" outlineLevel="2">
      <c r="A351" s="21">
        <v>467</v>
      </c>
      <c r="B351" s="21">
        <v>5899239</v>
      </c>
      <c r="C351" s="21">
        <v>58992397</v>
      </c>
      <c r="D351" s="21" t="s">
        <v>1153</v>
      </c>
      <c r="E351" s="21" t="s">
        <v>1156</v>
      </c>
      <c r="F351" s="21">
        <v>913000</v>
      </c>
      <c r="G351" s="21" t="s">
        <v>1151</v>
      </c>
      <c r="H351" s="21">
        <v>90541</v>
      </c>
      <c r="I351" s="21">
        <v>1</v>
      </c>
      <c r="J351" s="21">
        <v>0</v>
      </c>
      <c r="K351" s="21">
        <v>0</v>
      </c>
      <c r="L351" s="21">
        <v>0</v>
      </c>
      <c r="M351" s="21">
        <v>0</v>
      </c>
      <c r="N351" s="61">
        <f>+M351/1200</f>
        <v>0</v>
      </c>
      <c r="O351" s="60">
        <v>37305.29</v>
      </c>
      <c r="P351" s="21">
        <v>631.15</v>
      </c>
      <c r="Q351" s="21">
        <v>1140.3900000000001</v>
      </c>
      <c r="R351" s="21">
        <v>33054.6</v>
      </c>
      <c r="S351" s="21">
        <v>0</v>
      </c>
      <c r="T351" s="21">
        <v>0</v>
      </c>
      <c r="U351" s="21">
        <v>0</v>
      </c>
      <c r="V351" s="21">
        <v>0</v>
      </c>
      <c r="W351" s="21">
        <v>0</v>
      </c>
      <c r="X351" s="21">
        <v>0</v>
      </c>
      <c r="Y351" s="21">
        <v>33054.6</v>
      </c>
      <c r="Z351" s="21">
        <v>2479.15</v>
      </c>
      <c r="AA351" s="21">
        <v>0</v>
      </c>
      <c r="AB351" s="21">
        <v>0</v>
      </c>
      <c r="AC351" s="21">
        <v>1911000</v>
      </c>
    </row>
    <row r="352" spans="1:30" outlineLevel="1" collapsed="1">
      <c r="F352" s="62" t="s">
        <v>1155</v>
      </c>
      <c r="M352" s="21">
        <f>SUBTOTAL(9,M350:M351)</f>
        <v>1200</v>
      </c>
      <c r="N352" s="61">
        <f>SUBTOTAL(9,N350:N351)</f>
        <v>1</v>
      </c>
      <c r="O352" s="60">
        <f>SUBTOTAL(9,O350:O351)</f>
        <v>165301.41</v>
      </c>
      <c r="AC352" s="21" t="str">
        <f>"1"&amp;LEFT(F352,6)&amp;"110"</f>
        <v>1913000110</v>
      </c>
    </row>
    <row r="353" spans="1:30" hidden="1" outlineLevel="2">
      <c r="A353" s="21">
        <v>467</v>
      </c>
      <c r="B353" s="21">
        <v>5004787</v>
      </c>
      <c r="C353" s="21">
        <v>50047877</v>
      </c>
      <c r="D353" s="21" t="s">
        <v>1153</v>
      </c>
      <c r="E353" s="21" t="s">
        <v>1154</v>
      </c>
      <c r="F353" s="21">
        <v>999000</v>
      </c>
      <c r="G353" s="21" t="s">
        <v>1151</v>
      </c>
      <c r="H353" s="21">
        <v>90541</v>
      </c>
      <c r="I353" s="21">
        <v>3</v>
      </c>
      <c r="J353" s="21">
        <v>11</v>
      </c>
      <c r="K353" s="21">
        <v>1</v>
      </c>
      <c r="L353" s="21">
        <v>0</v>
      </c>
      <c r="M353" s="21">
        <v>840</v>
      </c>
      <c r="N353" s="61">
        <f>+M353/1200</f>
        <v>0.7</v>
      </c>
      <c r="O353" s="60">
        <v>315362.99</v>
      </c>
      <c r="P353" s="21">
        <v>0</v>
      </c>
      <c r="Q353" s="21">
        <v>0</v>
      </c>
      <c r="R353" s="21">
        <v>315362.99</v>
      </c>
      <c r="S353" s="21">
        <v>0</v>
      </c>
      <c r="T353" s="21">
        <v>0</v>
      </c>
      <c r="U353" s="21">
        <v>315362.99</v>
      </c>
      <c r="V353" s="21">
        <v>0</v>
      </c>
      <c r="W353" s="21">
        <v>0</v>
      </c>
      <c r="X353" s="21">
        <v>0</v>
      </c>
      <c r="Y353" s="21">
        <v>0</v>
      </c>
      <c r="Z353" s="21">
        <v>0</v>
      </c>
      <c r="AA353" s="21">
        <v>0</v>
      </c>
      <c r="AB353" s="21">
        <v>0</v>
      </c>
      <c r="AC353" s="21">
        <v>1999000</v>
      </c>
    </row>
    <row r="354" spans="1:30" hidden="1" outlineLevel="2">
      <c r="A354" s="21">
        <v>467</v>
      </c>
      <c r="B354" s="21">
        <v>5479671</v>
      </c>
      <c r="C354" s="21">
        <v>54796719</v>
      </c>
      <c r="D354" s="21" t="s">
        <v>1153</v>
      </c>
      <c r="E354" s="21" t="s">
        <v>1152</v>
      </c>
      <c r="F354" s="21">
        <v>999000</v>
      </c>
      <c r="G354" s="21" t="s">
        <v>1151</v>
      </c>
      <c r="H354" s="21">
        <v>90541</v>
      </c>
      <c r="I354" s="21">
        <v>3</v>
      </c>
      <c r="J354" s="21">
        <v>18</v>
      </c>
      <c r="K354" s="21">
        <v>6</v>
      </c>
      <c r="L354" s="21">
        <v>0</v>
      </c>
      <c r="M354" s="21">
        <v>552</v>
      </c>
      <c r="N354" s="61">
        <f>+M354/1200</f>
        <v>0.46</v>
      </c>
      <c r="O354" s="60">
        <v>226914.04</v>
      </c>
      <c r="P354" s="21">
        <v>0</v>
      </c>
      <c r="Q354" s="21">
        <v>1144.1400000000001</v>
      </c>
      <c r="R354" s="21">
        <v>210018.65</v>
      </c>
      <c r="S354" s="21">
        <v>0</v>
      </c>
      <c r="T354" s="21">
        <v>2380.5</v>
      </c>
      <c r="U354" s="21">
        <v>189694</v>
      </c>
      <c r="V354" s="21">
        <v>0</v>
      </c>
      <c r="W354" s="21">
        <v>0</v>
      </c>
      <c r="X354" s="21">
        <v>0</v>
      </c>
      <c r="Y354" s="21">
        <v>17944.150000000001</v>
      </c>
      <c r="Z354" s="21">
        <v>15751.25</v>
      </c>
      <c r="AA354" s="21">
        <v>0</v>
      </c>
      <c r="AB354" s="21">
        <v>0</v>
      </c>
      <c r="AC354" s="21">
        <v>1999000</v>
      </c>
    </row>
    <row r="355" spans="1:30" outlineLevel="1" collapsed="1">
      <c r="F355" s="62" t="s">
        <v>1149</v>
      </c>
      <c r="M355" s="21">
        <f>SUBTOTAL(9,M353:M354)</f>
        <v>1392</v>
      </c>
      <c r="N355" s="61">
        <f>SUBTOTAL(9,N353:N354)</f>
        <v>1.1599999999999999</v>
      </c>
      <c r="O355" s="60">
        <f>SUBTOTAL(9,O353:O354)</f>
        <v>542277.03</v>
      </c>
      <c r="AC355" s="21" t="str">
        <f>"1"&amp;LEFT(F355,6)&amp;"110"</f>
        <v>1999000110</v>
      </c>
      <c r="AD355" s="21" t="str">
        <f>VLOOKUP(AC355,'פירוט שכר'!A:K,5,0)</f>
        <v>פנסיה נבחרים</v>
      </c>
    </row>
    <row r="356" spans="1:30" s="59" customFormat="1">
      <c r="F356" s="59" t="s">
        <v>1148</v>
      </c>
      <c r="M356" s="59">
        <f>SUBTOTAL(9,M2:M354)</f>
        <v>174033.89999999997</v>
      </c>
      <c r="N356" s="59">
        <f>SUBTOTAL(9,N2:N354)</f>
        <v>145.02824999999993</v>
      </c>
      <c r="O356" s="59">
        <f>SUBTOTAL(9,O2:O354)</f>
        <v>22059340.669999979</v>
      </c>
      <c r="AC356" s="21"/>
    </row>
  </sheetData>
  <autoFilter ref="A1:AD354" xr:uid="{00000000-0009-0000-0000-00000A000000}">
    <sortState xmlns:xlrd2="http://schemas.microsoft.com/office/spreadsheetml/2017/richdata2" ref="A2:AC303">
      <sortCondition ref="F1:F303"/>
    </sortState>
  </autoFilter>
  <pageMargins left="0.7" right="0.7" top="0.75" bottom="0.75" header="0.3" footer="0.3"/>
  <pageSetup paperSize="9" scale="82" orientation="portrait" horizont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H9"/>
  <sheetViews>
    <sheetView rightToLeft="1" workbookViewId="0">
      <selection activeCell="M30" sqref="M30"/>
    </sheetView>
  </sheetViews>
  <sheetFormatPr defaultRowHeight="14.25"/>
  <cols>
    <col min="1" max="1" width="3.25" customWidth="1"/>
    <col min="2" max="2" width="4.625" bestFit="1" customWidth="1"/>
    <col min="4" max="4" width="8.25" bestFit="1" customWidth="1"/>
    <col min="5" max="5" width="14.375" bestFit="1" customWidth="1"/>
  </cols>
  <sheetData>
    <row r="2" spans="2:8" ht="15">
      <c r="B2" s="1" t="s">
        <v>868</v>
      </c>
    </row>
    <row r="4" spans="2:8" ht="45">
      <c r="B4" s="41" t="s">
        <v>596</v>
      </c>
      <c r="C4" s="41" t="s">
        <v>597</v>
      </c>
      <c r="D4" s="41" t="s">
        <v>598</v>
      </c>
      <c r="E4" s="41" t="s">
        <v>1</v>
      </c>
      <c r="F4" s="41" t="s">
        <v>422</v>
      </c>
      <c r="G4" s="41" t="s">
        <v>423</v>
      </c>
      <c r="H4" s="41" t="s">
        <v>425</v>
      </c>
    </row>
    <row r="5" spans="2:8">
      <c r="B5" s="46" t="s">
        <v>863</v>
      </c>
      <c r="C5" s="46" t="s">
        <v>864</v>
      </c>
      <c r="D5" s="46" t="s">
        <v>865</v>
      </c>
      <c r="E5" s="45" t="s">
        <v>426</v>
      </c>
      <c r="F5" s="47">
        <v>4700000</v>
      </c>
      <c r="G5" s="47">
        <v>5493836.4400000004</v>
      </c>
      <c r="H5" s="47">
        <v>5500000</v>
      </c>
    </row>
    <row r="6" spans="2:8">
      <c r="B6" s="46" t="s">
        <v>863</v>
      </c>
      <c r="C6" s="46" t="s">
        <v>866</v>
      </c>
      <c r="D6" s="46" t="s">
        <v>865</v>
      </c>
      <c r="E6" s="45" t="s">
        <v>427</v>
      </c>
      <c r="F6" s="47">
        <v>1100000</v>
      </c>
      <c r="G6" s="47">
        <v>849961.57</v>
      </c>
      <c r="H6" s="47">
        <v>900000</v>
      </c>
    </row>
    <row r="7" spans="2:8">
      <c r="B7" s="46" t="s">
        <v>863</v>
      </c>
      <c r="C7" s="46" t="s">
        <v>867</v>
      </c>
      <c r="D7" s="46" t="s">
        <v>865</v>
      </c>
      <c r="E7" s="45" t="s">
        <v>428</v>
      </c>
      <c r="F7" s="47">
        <v>3000000</v>
      </c>
      <c r="G7" s="47">
        <v>3490523.85</v>
      </c>
      <c r="H7" s="47">
        <v>3500000</v>
      </c>
    </row>
    <row r="9" spans="2:8" ht="15" thickBot="1">
      <c r="B9" s="40" t="s">
        <v>869</v>
      </c>
      <c r="C9" s="43"/>
      <c r="D9" s="43"/>
      <c r="E9" s="43"/>
      <c r="F9" s="39">
        <f>SUM(F5:F8)</f>
        <v>8800000</v>
      </c>
      <c r="G9" s="39">
        <f>SUM(G5:G8)</f>
        <v>9834321.8600000013</v>
      </c>
      <c r="H9" s="39">
        <f>SUM(H5:H8)</f>
        <v>9900000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2:K16"/>
  <sheetViews>
    <sheetView rightToLeft="1" workbookViewId="0">
      <selection activeCell="M30" sqref="M30"/>
    </sheetView>
  </sheetViews>
  <sheetFormatPr defaultRowHeight="14.25"/>
  <cols>
    <col min="1" max="1" width="3.125" customWidth="1"/>
    <col min="2" max="2" width="6.25" customWidth="1"/>
    <col min="3" max="3" width="6.875" bestFit="1" customWidth="1"/>
    <col min="4" max="4" width="7" customWidth="1"/>
    <col min="5" max="5" width="20.875" bestFit="1" customWidth="1"/>
    <col min="6" max="6" width="0" hidden="1" customWidth="1"/>
    <col min="8" max="8" width="0" hidden="1" customWidth="1"/>
    <col min="10" max="10" width="0" hidden="1" customWidth="1"/>
  </cols>
  <sheetData>
    <row r="2" spans="2:11" ht="15">
      <c r="B2" s="44" t="s">
        <v>792</v>
      </c>
    </row>
    <row r="4" spans="2:11" ht="45">
      <c r="B4" s="41" t="s">
        <v>596</v>
      </c>
      <c r="C4" s="41" t="s">
        <v>597</v>
      </c>
      <c r="D4" s="41" t="s">
        <v>598</v>
      </c>
      <c r="E4" s="41" t="s">
        <v>1</v>
      </c>
      <c r="F4" s="41" t="s">
        <v>422</v>
      </c>
      <c r="G4" s="41" t="s">
        <v>422</v>
      </c>
      <c r="H4" s="41" t="s">
        <v>423</v>
      </c>
      <c r="I4" s="41" t="s">
        <v>423</v>
      </c>
      <c r="J4" s="41" t="s">
        <v>424</v>
      </c>
      <c r="K4" s="41" t="s">
        <v>425</v>
      </c>
    </row>
    <row r="5" spans="2:11">
      <c r="B5" s="46" t="s">
        <v>742</v>
      </c>
      <c r="C5" s="46" t="s">
        <v>743</v>
      </c>
      <c r="D5" s="46" t="s">
        <v>744</v>
      </c>
      <c r="E5" s="45" t="s">
        <v>448</v>
      </c>
      <c r="F5" s="47">
        <v>0</v>
      </c>
      <c r="G5" s="47">
        <v>0</v>
      </c>
      <c r="H5" s="47">
        <v>-9863</v>
      </c>
      <c r="I5" s="47">
        <v>9863</v>
      </c>
      <c r="J5" s="47">
        <v>9863</v>
      </c>
      <c r="K5" s="47">
        <v>0</v>
      </c>
    </row>
    <row r="6" spans="2:11">
      <c r="B6" s="46" t="s">
        <v>739</v>
      </c>
      <c r="C6" s="46" t="s">
        <v>748</v>
      </c>
      <c r="D6" s="46" t="s">
        <v>744</v>
      </c>
      <c r="E6" s="45" t="s">
        <v>142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</row>
    <row r="7" spans="2:11">
      <c r="B7" s="46" t="s">
        <v>739</v>
      </c>
      <c r="C7" s="46" t="s">
        <v>750</v>
      </c>
      <c r="D7" s="46" t="s">
        <v>744</v>
      </c>
      <c r="E7" s="45" t="s">
        <v>453</v>
      </c>
      <c r="F7" s="47">
        <v>0</v>
      </c>
      <c r="G7" s="47">
        <v>0</v>
      </c>
      <c r="H7" s="47">
        <v>-196.5</v>
      </c>
      <c r="I7" s="47">
        <v>196.5</v>
      </c>
      <c r="J7" s="47">
        <v>196.5</v>
      </c>
      <c r="K7" s="47">
        <v>0</v>
      </c>
    </row>
    <row r="8" spans="2:11">
      <c r="B8" s="46" t="s">
        <v>739</v>
      </c>
      <c r="C8" s="46" t="s">
        <v>753</v>
      </c>
      <c r="D8" s="46" t="s">
        <v>744</v>
      </c>
      <c r="E8" s="45" t="s">
        <v>457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</row>
    <row r="9" spans="2:11">
      <c r="B9" s="46" t="s">
        <v>732</v>
      </c>
      <c r="C9" s="46" t="s">
        <v>758</v>
      </c>
      <c r="D9" s="46" t="s">
        <v>744</v>
      </c>
      <c r="E9" s="45" t="s">
        <v>462</v>
      </c>
      <c r="F9" s="47">
        <v>0</v>
      </c>
      <c r="G9" s="47">
        <v>0</v>
      </c>
      <c r="H9" s="47">
        <v>-1350</v>
      </c>
      <c r="I9" s="47">
        <v>1350</v>
      </c>
      <c r="J9" s="47">
        <v>1350</v>
      </c>
      <c r="K9" s="47">
        <v>0</v>
      </c>
    </row>
    <row r="10" spans="2:11">
      <c r="B10" s="46" t="s">
        <v>732</v>
      </c>
      <c r="C10" s="46" t="s">
        <v>760</v>
      </c>
      <c r="D10" s="46" t="s">
        <v>744</v>
      </c>
      <c r="E10" s="45" t="s">
        <v>471</v>
      </c>
      <c r="F10" s="47">
        <v>0</v>
      </c>
      <c r="G10" s="47">
        <v>0</v>
      </c>
      <c r="H10" s="47">
        <v>-540</v>
      </c>
      <c r="I10" s="47">
        <v>540</v>
      </c>
      <c r="J10" s="47">
        <v>540</v>
      </c>
      <c r="K10" s="47">
        <v>0</v>
      </c>
    </row>
    <row r="11" spans="2:11">
      <c r="B11" s="46" t="s">
        <v>742</v>
      </c>
      <c r="C11" s="46" t="s">
        <v>760</v>
      </c>
      <c r="D11" s="46" t="s">
        <v>744</v>
      </c>
      <c r="E11" s="45" t="s">
        <v>472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</row>
    <row r="12" spans="2:11">
      <c r="B12" s="46" t="s">
        <v>732</v>
      </c>
      <c r="C12" s="46" t="s">
        <v>762</v>
      </c>
      <c r="D12" s="46" t="s">
        <v>744</v>
      </c>
      <c r="E12" s="45" t="s">
        <v>480</v>
      </c>
      <c r="F12" s="47">
        <v>0</v>
      </c>
      <c r="G12" s="47">
        <v>0</v>
      </c>
      <c r="H12" s="47">
        <v>-2650</v>
      </c>
      <c r="I12" s="47">
        <v>2650</v>
      </c>
      <c r="J12" s="47">
        <v>2650</v>
      </c>
      <c r="K12" s="47">
        <v>0</v>
      </c>
    </row>
    <row r="13" spans="2:11">
      <c r="B13" s="46" t="s">
        <v>732</v>
      </c>
      <c r="C13" s="46" t="s">
        <v>765</v>
      </c>
      <c r="D13" s="46" t="s">
        <v>744</v>
      </c>
      <c r="E13" s="45" t="s">
        <v>480</v>
      </c>
      <c r="F13" s="47">
        <v>0</v>
      </c>
      <c r="G13" s="47">
        <v>0</v>
      </c>
      <c r="H13" s="47">
        <v>-6770</v>
      </c>
      <c r="I13" s="47">
        <v>6770</v>
      </c>
      <c r="J13" s="47">
        <v>6770</v>
      </c>
      <c r="K13" s="47">
        <v>0</v>
      </c>
    </row>
    <row r="14" spans="2:11">
      <c r="B14" s="46" t="s">
        <v>736</v>
      </c>
      <c r="C14" s="46" t="s">
        <v>789</v>
      </c>
      <c r="D14" s="46" t="s">
        <v>744</v>
      </c>
      <c r="E14" s="45" t="s">
        <v>538</v>
      </c>
      <c r="F14" s="47">
        <v>-800000</v>
      </c>
      <c r="G14" s="47">
        <v>800000</v>
      </c>
      <c r="H14" s="47">
        <v>-1122274</v>
      </c>
      <c r="I14" s="47">
        <f>1122274+450000</f>
        <v>1572274</v>
      </c>
      <c r="J14" s="47">
        <v>322274</v>
      </c>
      <c r="K14" s="47">
        <v>1330000</v>
      </c>
    </row>
    <row r="16" spans="2:11" ht="15" thickBot="1">
      <c r="B16" s="40" t="s">
        <v>793</v>
      </c>
      <c r="C16" s="43"/>
      <c r="D16" s="43"/>
      <c r="E16" s="43"/>
      <c r="F16" s="43"/>
      <c r="G16" s="39">
        <f>SUM(G5:G15)</f>
        <v>800000</v>
      </c>
      <c r="H16" s="39">
        <f>SUM(H5:H15)</f>
        <v>-1143643.5</v>
      </c>
      <c r="I16" s="39">
        <f>SUM(I5:I15)</f>
        <v>1593643.5</v>
      </c>
      <c r="J16" s="39">
        <f>SUM(J5:J15)</f>
        <v>343643.5</v>
      </c>
      <c r="K16" s="39">
        <f>SUM(K5:K15)</f>
        <v>1330000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2:H7"/>
  <sheetViews>
    <sheetView rightToLeft="1" workbookViewId="0">
      <selection activeCell="M30" sqref="M30"/>
    </sheetView>
  </sheetViews>
  <sheetFormatPr defaultRowHeight="14.25"/>
  <cols>
    <col min="1" max="1" width="3.25" customWidth="1"/>
  </cols>
  <sheetData>
    <row r="2" spans="2:8" ht="15">
      <c r="B2" s="1" t="s">
        <v>796</v>
      </c>
    </row>
    <row r="4" spans="2:8" ht="45">
      <c r="B4" s="41" t="s">
        <v>596</v>
      </c>
      <c r="C4" s="41" t="s">
        <v>597</v>
      </c>
      <c r="D4" s="41" t="s">
        <v>598</v>
      </c>
      <c r="E4" s="41" t="s">
        <v>1</v>
      </c>
      <c r="F4" s="41" t="s">
        <v>422</v>
      </c>
      <c r="G4" s="41" t="s">
        <v>423</v>
      </c>
      <c r="H4" s="41" t="s">
        <v>425</v>
      </c>
    </row>
    <row r="5" spans="2:8">
      <c r="B5" s="46" t="s">
        <v>732</v>
      </c>
      <c r="C5" s="46" t="s">
        <v>794</v>
      </c>
      <c r="D5" s="46" t="s">
        <v>795</v>
      </c>
      <c r="E5" s="45" t="s">
        <v>547</v>
      </c>
      <c r="F5" s="47">
        <v>2004</v>
      </c>
      <c r="G5" s="47">
        <v>10390</v>
      </c>
      <c r="H5" s="47">
        <v>11000</v>
      </c>
    </row>
    <row r="7" spans="2:8" ht="15" thickBot="1">
      <c r="B7" s="43" t="s">
        <v>797</v>
      </c>
      <c r="C7" s="43"/>
      <c r="D7" s="43"/>
      <c r="E7" s="43"/>
      <c r="F7" s="39">
        <f>SUM(F5)</f>
        <v>2004</v>
      </c>
      <c r="G7" s="39">
        <f>SUM(G5)</f>
        <v>10390</v>
      </c>
      <c r="H7" s="39">
        <f>SUM(H5)</f>
        <v>11000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2:H92"/>
  <sheetViews>
    <sheetView rightToLeft="1" workbookViewId="0">
      <selection activeCell="M30" sqref="M30"/>
    </sheetView>
  </sheetViews>
  <sheetFormatPr defaultRowHeight="14.25"/>
  <cols>
    <col min="1" max="1" width="3.375" customWidth="1"/>
    <col min="2" max="2" width="6.375" customWidth="1"/>
    <col min="4" max="4" width="6.625" customWidth="1"/>
    <col min="5" max="5" width="20.875" bestFit="1" customWidth="1"/>
    <col min="6" max="8" width="9.875" bestFit="1" customWidth="1"/>
  </cols>
  <sheetData>
    <row r="2" spans="2:8" ht="15">
      <c r="B2" s="1" t="s">
        <v>791</v>
      </c>
    </row>
    <row r="4" spans="2:8" ht="30">
      <c r="B4" s="41" t="s">
        <v>596</v>
      </c>
      <c r="C4" s="41" t="s">
        <v>597</v>
      </c>
      <c r="D4" s="41" t="s">
        <v>598</v>
      </c>
      <c r="E4" s="41" t="s">
        <v>1</v>
      </c>
      <c r="F4" s="41" t="s">
        <v>422</v>
      </c>
      <c r="G4" s="41" t="s">
        <v>423</v>
      </c>
      <c r="H4" s="41" t="s">
        <v>425</v>
      </c>
    </row>
    <row r="5" spans="2:8">
      <c r="B5" s="46" t="s">
        <v>745</v>
      </c>
      <c r="C5" s="46" t="s">
        <v>743</v>
      </c>
      <c r="D5" s="46" t="s">
        <v>744</v>
      </c>
      <c r="E5" s="45" t="s">
        <v>449</v>
      </c>
      <c r="F5" s="47">
        <v>0</v>
      </c>
      <c r="G5" s="47">
        <v>0</v>
      </c>
      <c r="H5" s="47">
        <v>0</v>
      </c>
    </row>
    <row r="6" spans="2:8">
      <c r="B6" s="46" t="s">
        <v>745</v>
      </c>
      <c r="C6" s="46" t="s">
        <v>746</v>
      </c>
      <c r="D6" s="46" t="s">
        <v>744</v>
      </c>
      <c r="E6" s="45" t="s">
        <v>139</v>
      </c>
      <c r="F6" s="47">
        <v>120000</v>
      </c>
      <c r="G6" s="47">
        <v>120938</v>
      </c>
      <c r="H6" s="47">
        <v>130000</v>
      </c>
    </row>
    <row r="7" spans="2:8">
      <c r="B7" s="46" t="s">
        <v>745</v>
      </c>
      <c r="C7" s="46" t="s">
        <v>747</v>
      </c>
      <c r="D7" s="46" t="s">
        <v>744</v>
      </c>
      <c r="E7" s="45" t="s">
        <v>450</v>
      </c>
      <c r="F7" s="47">
        <v>100000</v>
      </c>
      <c r="G7" s="47">
        <v>65205</v>
      </c>
      <c r="H7" s="47">
        <v>100000</v>
      </c>
    </row>
    <row r="8" spans="2:8">
      <c r="B8" s="46" t="s">
        <v>745</v>
      </c>
      <c r="C8" s="46" t="s">
        <v>748</v>
      </c>
      <c r="D8" s="46" t="s">
        <v>744</v>
      </c>
      <c r="E8" s="45" t="s">
        <v>451</v>
      </c>
      <c r="F8" s="47">
        <v>0</v>
      </c>
      <c r="G8" s="47">
        <v>0</v>
      </c>
      <c r="H8" s="47">
        <v>65000</v>
      </c>
    </row>
    <row r="9" spans="2:8">
      <c r="B9" s="46" t="s">
        <v>745</v>
      </c>
      <c r="C9" s="46" t="s">
        <v>749</v>
      </c>
      <c r="D9" s="46" t="s">
        <v>744</v>
      </c>
      <c r="E9" s="45" t="s">
        <v>452</v>
      </c>
      <c r="F9" s="47">
        <v>1569003</v>
      </c>
      <c r="G9" s="47">
        <v>1508531.65</v>
      </c>
      <c r="H9" s="47">
        <v>1600000</v>
      </c>
    </row>
    <row r="10" spans="2:8">
      <c r="B10" s="46" t="s">
        <v>745</v>
      </c>
      <c r="C10" s="46" t="s">
        <v>750</v>
      </c>
      <c r="D10" s="46" t="s">
        <v>744</v>
      </c>
      <c r="E10" s="45" t="s">
        <v>454</v>
      </c>
      <c r="F10" s="47">
        <v>4700000</v>
      </c>
      <c r="G10" s="47">
        <v>4652618.53</v>
      </c>
      <c r="H10" s="47">
        <v>4700000</v>
      </c>
    </row>
    <row r="11" spans="2:8">
      <c r="B11" s="46" t="s">
        <v>751</v>
      </c>
      <c r="C11" s="46" t="s">
        <v>750</v>
      </c>
      <c r="D11" s="46" t="s">
        <v>744</v>
      </c>
      <c r="E11" s="45" t="s">
        <v>455</v>
      </c>
      <c r="F11" s="47">
        <v>0</v>
      </c>
      <c r="G11" s="47">
        <v>0</v>
      </c>
      <c r="H11" s="47">
        <v>0</v>
      </c>
    </row>
    <row r="12" spans="2:8">
      <c r="B12" s="46" t="s">
        <v>752</v>
      </c>
      <c r="C12" s="46" t="s">
        <v>750</v>
      </c>
      <c r="D12" s="46" t="s">
        <v>744</v>
      </c>
      <c r="E12" s="45" t="s">
        <v>456</v>
      </c>
      <c r="F12" s="47">
        <v>0</v>
      </c>
      <c r="G12" s="47">
        <v>0</v>
      </c>
      <c r="H12" s="47">
        <v>0</v>
      </c>
    </row>
    <row r="13" spans="2:8">
      <c r="B13" s="46" t="s">
        <v>745</v>
      </c>
      <c r="C13" s="46" t="s">
        <v>753</v>
      </c>
      <c r="D13" s="46" t="s">
        <v>744</v>
      </c>
      <c r="E13" s="45" t="s">
        <v>458</v>
      </c>
      <c r="F13" s="47">
        <v>183998</v>
      </c>
      <c r="G13" s="47">
        <v>448639.85</v>
      </c>
      <c r="H13" s="47">
        <v>450000</v>
      </c>
    </row>
    <row r="14" spans="2:8">
      <c r="B14" s="46" t="s">
        <v>754</v>
      </c>
      <c r="C14" s="46" t="s">
        <v>753</v>
      </c>
      <c r="D14" s="46" t="s">
        <v>744</v>
      </c>
      <c r="E14" s="45" t="s">
        <v>459</v>
      </c>
      <c r="F14" s="47">
        <v>2130000</v>
      </c>
      <c r="G14" s="47">
        <v>2241448.38</v>
      </c>
      <c r="H14" s="47">
        <v>2245000</v>
      </c>
    </row>
    <row r="15" spans="2:8">
      <c r="B15" s="46" t="s">
        <v>755</v>
      </c>
      <c r="C15" s="46" t="s">
        <v>753</v>
      </c>
      <c r="D15" s="46" t="s">
        <v>744</v>
      </c>
      <c r="E15" s="45" t="s">
        <v>455</v>
      </c>
      <c r="F15" s="47">
        <v>200000</v>
      </c>
      <c r="G15" s="47">
        <v>-29518.19</v>
      </c>
      <c r="H15" s="47">
        <v>0</v>
      </c>
    </row>
    <row r="16" spans="2:8">
      <c r="B16" s="46" t="s">
        <v>756</v>
      </c>
      <c r="C16" s="46" t="s">
        <v>753</v>
      </c>
      <c r="D16" s="46" t="s">
        <v>744</v>
      </c>
      <c r="E16" s="45" t="s">
        <v>460</v>
      </c>
      <c r="F16" s="47">
        <v>140000</v>
      </c>
      <c r="G16" s="47">
        <v>0</v>
      </c>
      <c r="H16" s="47">
        <v>0</v>
      </c>
    </row>
    <row r="17" spans="2:8">
      <c r="B17" s="46" t="s">
        <v>757</v>
      </c>
      <c r="C17" s="46" t="s">
        <v>753</v>
      </c>
      <c r="D17" s="46" t="s">
        <v>744</v>
      </c>
      <c r="E17" s="45" t="s">
        <v>461</v>
      </c>
      <c r="F17" s="47">
        <v>0</v>
      </c>
      <c r="G17" s="47">
        <v>0</v>
      </c>
      <c r="H17" s="47">
        <v>0</v>
      </c>
    </row>
    <row r="18" spans="2:8">
      <c r="B18" s="46" t="s">
        <v>745</v>
      </c>
      <c r="C18" s="46" t="s">
        <v>758</v>
      </c>
      <c r="D18" s="46" t="s">
        <v>744</v>
      </c>
      <c r="E18" s="45" t="s">
        <v>463</v>
      </c>
      <c r="F18" s="47">
        <v>0</v>
      </c>
      <c r="G18" s="47">
        <v>0</v>
      </c>
      <c r="H18" s="47">
        <v>0</v>
      </c>
    </row>
    <row r="19" spans="2:8">
      <c r="B19" s="46" t="s">
        <v>754</v>
      </c>
      <c r="C19" s="46" t="s">
        <v>758</v>
      </c>
      <c r="D19" s="46" t="s">
        <v>744</v>
      </c>
      <c r="E19" s="45" t="s">
        <v>464</v>
      </c>
      <c r="F19" s="47">
        <v>110000</v>
      </c>
      <c r="G19" s="47">
        <v>79836.75</v>
      </c>
      <c r="H19" s="47">
        <v>80000</v>
      </c>
    </row>
    <row r="20" spans="2:8">
      <c r="B20" s="46" t="s">
        <v>755</v>
      </c>
      <c r="C20" s="46" t="s">
        <v>758</v>
      </c>
      <c r="D20" s="46" t="s">
        <v>744</v>
      </c>
      <c r="E20" s="45" t="s">
        <v>465</v>
      </c>
      <c r="F20" s="47">
        <v>25006</v>
      </c>
      <c r="G20" s="47">
        <v>16651.189999999999</v>
      </c>
      <c r="H20" s="47">
        <v>17000</v>
      </c>
    </row>
    <row r="21" spans="2:8">
      <c r="B21" s="46" t="s">
        <v>751</v>
      </c>
      <c r="C21" s="46" t="s">
        <v>758</v>
      </c>
      <c r="D21" s="46" t="s">
        <v>744</v>
      </c>
      <c r="E21" s="45" t="s">
        <v>466</v>
      </c>
      <c r="F21" s="47">
        <v>0</v>
      </c>
      <c r="G21" s="47">
        <v>0</v>
      </c>
      <c r="H21" s="47">
        <v>0</v>
      </c>
    </row>
    <row r="22" spans="2:8">
      <c r="B22" s="46" t="s">
        <v>759</v>
      </c>
      <c r="C22" s="46" t="s">
        <v>758</v>
      </c>
      <c r="D22" s="46" t="s">
        <v>744</v>
      </c>
      <c r="E22" s="45" t="s">
        <v>467</v>
      </c>
      <c r="F22" s="47">
        <v>27996</v>
      </c>
      <c r="G22" s="47">
        <v>18189.919999999998</v>
      </c>
      <c r="H22" s="47">
        <v>18000</v>
      </c>
    </row>
    <row r="23" spans="2:8">
      <c r="B23" s="46" t="s">
        <v>756</v>
      </c>
      <c r="C23" s="46" t="s">
        <v>758</v>
      </c>
      <c r="D23" s="46" t="s">
        <v>744</v>
      </c>
      <c r="E23" s="45" t="s">
        <v>468</v>
      </c>
      <c r="F23" s="47">
        <v>0</v>
      </c>
      <c r="G23" s="47">
        <v>314251.58</v>
      </c>
      <c r="H23" s="47">
        <v>315000</v>
      </c>
    </row>
    <row r="24" spans="2:8">
      <c r="B24" s="46" t="s">
        <v>752</v>
      </c>
      <c r="C24" s="46" t="s">
        <v>758</v>
      </c>
      <c r="D24" s="46" t="s">
        <v>744</v>
      </c>
      <c r="E24" s="45" t="s">
        <v>470</v>
      </c>
      <c r="F24" s="47">
        <v>0</v>
      </c>
      <c r="G24" s="47">
        <v>76403.91</v>
      </c>
      <c r="H24" s="47">
        <v>80000</v>
      </c>
    </row>
    <row r="25" spans="2:8">
      <c r="B25" s="46" t="s">
        <v>745</v>
      </c>
      <c r="C25" s="46" t="s">
        <v>760</v>
      </c>
      <c r="D25" s="46" t="s">
        <v>744</v>
      </c>
      <c r="E25" s="45" t="s">
        <v>473</v>
      </c>
      <c r="F25" s="47">
        <v>0</v>
      </c>
      <c r="G25" s="47">
        <v>0</v>
      </c>
      <c r="H25" s="47">
        <v>0</v>
      </c>
    </row>
    <row r="26" spans="2:8">
      <c r="B26" s="46" t="s">
        <v>754</v>
      </c>
      <c r="C26" s="46" t="s">
        <v>760</v>
      </c>
      <c r="D26" s="46" t="s">
        <v>744</v>
      </c>
      <c r="E26" s="45" t="s">
        <v>474</v>
      </c>
      <c r="F26" s="47">
        <v>110000</v>
      </c>
      <c r="G26" s="47">
        <v>79836.75</v>
      </c>
      <c r="H26" s="47">
        <v>80000</v>
      </c>
    </row>
    <row r="27" spans="2:8">
      <c r="B27" s="46" t="s">
        <v>755</v>
      </c>
      <c r="C27" s="46" t="s">
        <v>760</v>
      </c>
      <c r="D27" s="46" t="s">
        <v>744</v>
      </c>
      <c r="E27" s="45" t="s">
        <v>475</v>
      </c>
      <c r="F27" s="47">
        <v>25006</v>
      </c>
      <c r="G27" s="47">
        <v>16651.189999999999</v>
      </c>
      <c r="H27" s="47">
        <v>17000</v>
      </c>
    </row>
    <row r="28" spans="2:8">
      <c r="B28" s="46" t="s">
        <v>751</v>
      </c>
      <c r="C28" s="46" t="s">
        <v>760</v>
      </c>
      <c r="D28" s="46" t="s">
        <v>744</v>
      </c>
      <c r="E28" s="45" t="s">
        <v>476</v>
      </c>
      <c r="F28" s="47">
        <v>0</v>
      </c>
      <c r="G28" s="47">
        <v>0</v>
      </c>
      <c r="H28" s="47">
        <v>0</v>
      </c>
    </row>
    <row r="29" spans="2:8">
      <c r="B29" s="46" t="s">
        <v>759</v>
      </c>
      <c r="C29" s="46" t="s">
        <v>760</v>
      </c>
      <c r="D29" s="46" t="s">
        <v>744</v>
      </c>
      <c r="E29" s="45" t="s">
        <v>477</v>
      </c>
      <c r="F29" s="47">
        <v>0</v>
      </c>
      <c r="G29" s="47">
        <v>0</v>
      </c>
      <c r="H29" s="47">
        <v>0</v>
      </c>
    </row>
    <row r="30" spans="2:8">
      <c r="B30" s="46" t="s">
        <v>756</v>
      </c>
      <c r="C30" s="46" t="s">
        <v>760</v>
      </c>
      <c r="D30" s="46" t="s">
        <v>744</v>
      </c>
      <c r="E30" s="45" t="s">
        <v>478</v>
      </c>
      <c r="F30" s="47">
        <v>0</v>
      </c>
      <c r="G30" s="47">
        <v>294568.48</v>
      </c>
      <c r="H30" s="47">
        <v>300000</v>
      </c>
    </row>
    <row r="31" spans="2:8">
      <c r="B31" s="46" t="s">
        <v>761</v>
      </c>
      <c r="C31" s="46" t="s">
        <v>760</v>
      </c>
      <c r="D31" s="46" t="s">
        <v>744</v>
      </c>
      <c r="E31" s="45" t="s">
        <v>469</v>
      </c>
      <c r="F31" s="47">
        <v>0</v>
      </c>
      <c r="G31" s="47">
        <v>0</v>
      </c>
      <c r="H31" s="47">
        <v>0</v>
      </c>
    </row>
    <row r="32" spans="2:8">
      <c r="B32" s="46" t="s">
        <v>752</v>
      </c>
      <c r="C32" s="46" t="s">
        <v>760</v>
      </c>
      <c r="D32" s="46" t="s">
        <v>744</v>
      </c>
      <c r="E32" s="45" t="s">
        <v>479</v>
      </c>
      <c r="F32" s="47">
        <v>0</v>
      </c>
      <c r="G32" s="47">
        <v>65964.83</v>
      </c>
      <c r="H32" s="47">
        <v>70000</v>
      </c>
    </row>
    <row r="33" spans="2:8">
      <c r="B33" s="46" t="s">
        <v>745</v>
      </c>
      <c r="C33" s="46" t="s">
        <v>762</v>
      </c>
      <c r="D33" s="46" t="s">
        <v>744</v>
      </c>
      <c r="E33" s="45" t="s">
        <v>481</v>
      </c>
      <c r="F33" s="47">
        <v>0</v>
      </c>
      <c r="G33" s="47">
        <v>0</v>
      </c>
      <c r="H33" s="47">
        <v>0</v>
      </c>
    </row>
    <row r="34" spans="2:8">
      <c r="B34" s="46" t="s">
        <v>754</v>
      </c>
      <c r="C34" s="46" t="s">
        <v>762</v>
      </c>
      <c r="D34" s="46" t="s">
        <v>744</v>
      </c>
      <c r="E34" s="45" t="s">
        <v>482</v>
      </c>
      <c r="F34" s="47">
        <v>110000</v>
      </c>
      <c r="G34" s="47">
        <v>79836.75</v>
      </c>
      <c r="H34" s="47">
        <v>80000</v>
      </c>
    </row>
    <row r="35" spans="2:8">
      <c r="B35" s="46" t="s">
        <v>755</v>
      </c>
      <c r="C35" s="46" t="s">
        <v>762</v>
      </c>
      <c r="D35" s="46" t="s">
        <v>744</v>
      </c>
      <c r="E35" s="45" t="s">
        <v>483</v>
      </c>
      <c r="F35" s="47">
        <v>25006</v>
      </c>
      <c r="G35" s="47">
        <v>16651.189999999999</v>
      </c>
      <c r="H35" s="47">
        <v>17000</v>
      </c>
    </row>
    <row r="36" spans="2:8">
      <c r="B36" s="46" t="s">
        <v>751</v>
      </c>
      <c r="C36" s="46" t="s">
        <v>762</v>
      </c>
      <c r="D36" s="46" t="s">
        <v>744</v>
      </c>
      <c r="E36" s="45" t="s">
        <v>484</v>
      </c>
      <c r="F36" s="47">
        <v>0</v>
      </c>
      <c r="G36" s="47">
        <v>0</v>
      </c>
      <c r="H36" s="47">
        <v>0</v>
      </c>
    </row>
    <row r="37" spans="2:8">
      <c r="B37" s="46" t="s">
        <v>759</v>
      </c>
      <c r="C37" s="46" t="s">
        <v>762</v>
      </c>
      <c r="D37" s="46" t="s">
        <v>744</v>
      </c>
      <c r="E37" s="45" t="s">
        <v>485</v>
      </c>
      <c r="F37" s="47">
        <v>0</v>
      </c>
      <c r="G37" s="47">
        <v>0</v>
      </c>
      <c r="H37" s="47">
        <v>0</v>
      </c>
    </row>
    <row r="38" spans="2:8">
      <c r="B38" s="46" t="s">
        <v>756</v>
      </c>
      <c r="C38" s="46" t="s">
        <v>762</v>
      </c>
      <c r="D38" s="46" t="s">
        <v>744</v>
      </c>
      <c r="E38" s="45" t="s">
        <v>486</v>
      </c>
      <c r="F38" s="47">
        <v>0</v>
      </c>
      <c r="G38" s="47">
        <v>305805.15999999997</v>
      </c>
      <c r="H38" s="47">
        <v>310000</v>
      </c>
    </row>
    <row r="39" spans="2:8">
      <c r="B39" s="46" t="s">
        <v>761</v>
      </c>
      <c r="C39" s="46" t="s">
        <v>762</v>
      </c>
      <c r="D39" s="46" t="s">
        <v>744</v>
      </c>
      <c r="E39" s="45" t="s">
        <v>469</v>
      </c>
      <c r="F39" s="47">
        <v>0</v>
      </c>
      <c r="G39" s="47">
        <v>0</v>
      </c>
      <c r="H39" s="47">
        <v>0</v>
      </c>
    </row>
    <row r="40" spans="2:8">
      <c r="B40" s="46" t="s">
        <v>752</v>
      </c>
      <c r="C40" s="46" t="s">
        <v>762</v>
      </c>
      <c r="D40" s="46" t="s">
        <v>744</v>
      </c>
      <c r="E40" s="45" t="s">
        <v>487</v>
      </c>
      <c r="F40" s="47">
        <v>0</v>
      </c>
      <c r="G40" s="47">
        <v>65966.36</v>
      </c>
      <c r="H40" s="47">
        <v>70000</v>
      </c>
    </row>
    <row r="41" spans="2:8">
      <c r="B41" s="46" t="s">
        <v>745</v>
      </c>
      <c r="C41" s="46" t="s">
        <v>763</v>
      </c>
      <c r="D41" s="46" t="s">
        <v>744</v>
      </c>
      <c r="E41" s="45" t="s">
        <v>488</v>
      </c>
      <c r="F41" s="47">
        <v>0</v>
      </c>
      <c r="G41" s="47">
        <v>0</v>
      </c>
      <c r="H41" s="47">
        <v>0</v>
      </c>
    </row>
    <row r="42" spans="2:8">
      <c r="B42" s="46" t="s">
        <v>754</v>
      </c>
      <c r="C42" s="46" t="s">
        <v>763</v>
      </c>
      <c r="D42" s="46" t="s">
        <v>744</v>
      </c>
      <c r="E42" s="45" t="s">
        <v>489</v>
      </c>
      <c r="F42" s="47">
        <v>110000</v>
      </c>
      <c r="G42" s="47">
        <v>0</v>
      </c>
      <c r="H42" s="47">
        <v>40000</v>
      </c>
    </row>
    <row r="43" spans="2:8">
      <c r="B43" s="46" t="s">
        <v>755</v>
      </c>
      <c r="C43" s="46" t="s">
        <v>763</v>
      </c>
      <c r="D43" s="46" t="s">
        <v>744</v>
      </c>
      <c r="E43" s="45" t="s">
        <v>490</v>
      </c>
      <c r="F43" s="47">
        <v>25006</v>
      </c>
      <c r="G43" s="47">
        <v>0</v>
      </c>
      <c r="H43" s="47">
        <v>13000</v>
      </c>
    </row>
    <row r="44" spans="2:8">
      <c r="B44" s="46" t="s">
        <v>745</v>
      </c>
      <c r="C44" s="46" t="s">
        <v>764</v>
      </c>
      <c r="D44" s="46" t="s">
        <v>744</v>
      </c>
      <c r="E44" s="45" t="s">
        <v>494</v>
      </c>
      <c r="F44" s="47">
        <v>83001</v>
      </c>
      <c r="G44" s="47">
        <v>177426.47</v>
      </c>
      <c r="H44" s="47">
        <v>180000</v>
      </c>
    </row>
    <row r="45" spans="2:8">
      <c r="B45" s="46" t="s">
        <v>754</v>
      </c>
      <c r="C45" s="46" t="s">
        <v>764</v>
      </c>
      <c r="D45" s="46" t="s">
        <v>744</v>
      </c>
      <c r="E45" s="45" t="s">
        <v>495</v>
      </c>
      <c r="F45" s="47">
        <v>110000</v>
      </c>
      <c r="G45" s="47">
        <v>144767.63</v>
      </c>
      <c r="H45" s="47">
        <v>150000</v>
      </c>
    </row>
    <row r="46" spans="2:8">
      <c r="B46" s="46" t="s">
        <v>755</v>
      </c>
      <c r="C46" s="46" t="s">
        <v>764</v>
      </c>
      <c r="D46" s="46" t="s">
        <v>744</v>
      </c>
      <c r="E46" s="45" t="s">
        <v>496</v>
      </c>
      <c r="F46" s="47">
        <v>25006</v>
      </c>
      <c r="G46" s="47">
        <v>16650.22</v>
      </c>
      <c r="H46" s="47">
        <v>17000</v>
      </c>
    </row>
    <row r="47" spans="2:8">
      <c r="B47" s="46" t="s">
        <v>751</v>
      </c>
      <c r="C47" s="46" t="s">
        <v>764</v>
      </c>
      <c r="D47" s="46" t="s">
        <v>744</v>
      </c>
      <c r="E47" s="45" t="s">
        <v>497</v>
      </c>
      <c r="F47" s="47">
        <v>0</v>
      </c>
      <c r="G47" s="47">
        <v>0</v>
      </c>
      <c r="H47" s="47">
        <v>0</v>
      </c>
    </row>
    <row r="48" spans="2:8">
      <c r="B48" s="46" t="s">
        <v>759</v>
      </c>
      <c r="C48" s="46" t="s">
        <v>764</v>
      </c>
      <c r="D48" s="46" t="s">
        <v>744</v>
      </c>
      <c r="E48" s="45" t="s">
        <v>498</v>
      </c>
      <c r="F48" s="47">
        <v>0</v>
      </c>
      <c r="G48" s="47">
        <v>0</v>
      </c>
      <c r="H48" s="47">
        <v>0</v>
      </c>
    </row>
    <row r="49" spans="2:8">
      <c r="B49" s="46" t="s">
        <v>756</v>
      </c>
      <c r="C49" s="46" t="s">
        <v>764</v>
      </c>
      <c r="D49" s="46" t="s">
        <v>744</v>
      </c>
      <c r="E49" s="45" t="s">
        <v>499</v>
      </c>
      <c r="F49" s="47">
        <v>190000</v>
      </c>
      <c r="G49" s="47">
        <v>594276.36</v>
      </c>
      <c r="H49" s="47">
        <v>600000</v>
      </c>
    </row>
    <row r="50" spans="2:8">
      <c r="B50" s="46" t="s">
        <v>761</v>
      </c>
      <c r="C50" s="46" t="s">
        <v>764</v>
      </c>
      <c r="D50" s="46" t="s">
        <v>744</v>
      </c>
      <c r="E50" s="45" t="s">
        <v>500</v>
      </c>
      <c r="F50" s="47">
        <v>950000</v>
      </c>
      <c r="G50" s="47">
        <v>0</v>
      </c>
      <c r="H50" s="47">
        <v>0</v>
      </c>
    </row>
    <row r="51" spans="2:8">
      <c r="B51" s="46" t="s">
        <v>752</v>
      </c>
      <c r="C51" s="46" t="s">
        <v>764</v>
      </c>
      <c r="D51" s="46" t="s">
        <v>744</v>
      </c>
      <c r="E51" s="45" t="s">
        <v>501</v>
      </c>
      <c r="F51" s="47">
        <v>0</v>
      </c>
      <c r="G51" s="47">
        <v>0</v>
      </c>
      <c r="H51" s="47">
        <v>0</v>
      </c>
    </row>
    <row r="52" spans="2:8">
      <c r="B52" s="46" t="s">
        <v>745</v>
      </c>
      <c r="C52" s="46" t="s">
        <v>765</v>
      </c>
      <c r="D52" s="46" t="s">
        <v>744</v>
      </c>
      <c r="E52" s="45" t="s">
        <v>502</v>
      </c>
      <c r="F52" s="47">
        <v>2053001</v>
      </c>
      <c r="G52" s="47">
        <v>2068084.3</v>
      </c>
      <c r="H52" s="47">
        <v>2100000</v>
      </c>
    </row>
    <row r="53" spans="2:8">
      <c r="B53" s="46" t="s">
        <v>754</v>
      </c>
      <c r="C53" s="46" t="s">
        <v>765</v>
      </c>
      <c r="D53" s="46" t="s">
        <v>744</v>
      </c>
      <c r="E53" s="45" t="s">
        <v>503</v>
      </c>
      <c r="F53" s="47">
        <v>0</v>
      </c>
      <c r="G53" s="47">
        <v>0</v>
      </c>
      <c r="H53" s="47">
        <v>0</v>
      </c>
    </row>
    <row r="54" spans="2:8">
      <c r="B54" s="46" t="s">
        <v>755</v>
      </c>
      <c r="C54" s="46" t="s">
        <v>765</v>
      </c>
      <c r="D54" s="46" t="s">
        <v>744</v>
      </c>
      <c r="E54" s="45" t="s">
        <v>504</v>
      </c>
      <c r="F54" s="47">
        <v>0</v>
      </c>
      <c r="G54" s="47">
        <v>0</v>
      </c>
      <c r="H54" s="47">
        <v>0</v>
      </c>
    </row>
    <row r="55" spans="2:8">
      <c r="B55" s="46" t="s">
        <v>751</v>
      </c>
      <c r="C55" s="46" t="s">
        <v>765</v>
      </c>
      <c r="D55" s="46" t="s">
        <v>744</v>
      </c>
      <c r="E55" s="45" t="s">
        <v>505</v>
      </c>
      <c r="F55" s="47">
        <v>10997</v>
      </c>
      <c r="G55" s="47">
        <v>0</v>
      </c>
      <c r="H55" s="47">
        <v>0</v>
      </c>
    </row>
    <row r="56" spans="2:8">
      <c r="B56" s="46" t="s">
        <v>759</v>
      </c>
      <c r="C56" s="46" t="s">
        <v>765</v>
      </c>
      <c r="D56" s="46" t="s">
        <v>744</v>
      </c>
      <c r="E56" s="45" t="s">
        <v>506</v>
      </c>
      <c r="F56" s="47">
        <v>0</v>
      </c>
      <c r="G56" s="47">
        <v>28828.83</v>
      </c>
      <c r="H56" s="47">
        <v>30000</v>
      </c>
    </row>
    <row r="57" spans="2:8">
      <c r="B57" s="46" t="s">
        <v>745</v>
      </c>
      <c r="C57" s="46" t="s">
        <v>766</v>
      </c>
      <c r="D57" s="46" t="s">
        <v>744</v>
      </c>
      <c r="E57" s="45" t="s">
        <v>507</v>
      </c>
      <c r="F57" s="47">
        <v>0</v>
      </c>
      <c r="G57" s="47">
        <v>0</v>
      </c>
      <c r="H57" s="47">
        <v>0</v>
      </c>
    </row>
    <row r="58" spans="2:8">
      <c r="B58" s="46" t="s">
        <v>745</v>
      </c>
      <c r="C58" s="46" t="s">
        <v>767</v>
      </c>
      <c r="D58" s="46" t="s">
        <v>744</v>
      </c>
      <c r="E58" s="45" t="s">
        <v>509</v>
      </c>
      <c r="F58" s="47">
        <v>602004</v>
      </c>
      <c r="G58" s="47">
        <v>793639.08</v>
      </c>
      <c r="H58" s="47">
        <v>800000</v>
      </c>
    </row>
    <row r="59" spans="2:8">
      <c r="B59" s="46" t="s">
        <v>754</v>
      </c>
      <c r="C59" s="46" t="s">
        <v>767</v>
      </c>
      <c r="D59" s="46" t="s">
        <v>744</v>
      </c>
      <c r="E59" s="45" t="s">
        <v>510</v>
      </c>
      <c r="F59" s="47">
        <v>3001</v>
      </c>
      <c r="G59" s="47">
        <v>3521.96</v>
      </c>
      <c r="H59" s="47">
        <v>4000</v>
      </c>
    </row>
    <row r="60" spans="2:8">
      <c r="B60" s="46" t="s">
        <v>755</v>
      </c>
      <c r="C60" s="46" t="s">
        <v>767</v>
      </c>
      <c r="D60" s="46" t="s">
        <v>744</v>
      </c>
      <c r="E60" s="45" t="s">
        <v>511</v>
      </c>
      <c r="F60" s="47">
        <v>13001</v>
      </c>
      <c r="G60" s="47">
        <v>37219.42</v>
      </c>
      <c r="H60" s="47">
        <v>38000</v>
      </c>
    </row>
    <row r="61" spans="2:8">
      <c r="B61" s="46" t="s">
        <v>751</v>
      </c>
      <c r="C61" s="46" t="s">
        <v>767</v>
      </c>
      <c r="D61" s="46" t="s">
        <v>744</v>
      </c>
      <c r="E61" s="45" t="s">
        <v>512</v>
      </c>
      <c r="F61" s="47">
        <v>85006</v>
      </c>
      <c r="G61" s="47">
        <v>56718.03</v>
      </c>
      <c r="H61" s="47">
        <v>60000</v>
      </c>
    </row>
    <row r="62" spans="2:8">
      <c r="B62" s="46" t="s">
        <v>759</v>
      </c>
      <c r="C62" s="46" t="s">
        <v>767</v>
      </c>
      <c r="D62" s="46" t="s">
        <v>744</v>
      </c>
      <c r="E62" s="45" t="s">
        <v>506</v>
      </c>
      <c r="F62" s="47">
        <v>6002</v>
      </c>
      <c r="G62" s="47">
        <v>4187.7299999999996</v>
      </c>
      <c r="H62" s="47">
        <v>5000</v>
      </c>
    </row>
    <row r="63" spans="2:8">
      <c r="B63" s="46" t="s">
        <v>756</v>
      </c>
      <c r="C63" s="46" t="s">
        <v>767</v>
      </c>
      <c r="D63" s="46" t="s">
        <v>744</v>
      </c>
      <c r="E63" s="45" t="s">
        <v>513</v>
      </c>
      <c r="F63" s="47">
        <v>130997</v>
      </c>
      <c r="G63" s="47">
        <v>290180.75</v>
      </c>
      <c r="H63" s="47">
        <v>295000</v>
      </c>
    </row>
    <row r="64" spans="2:8">
      <c r="B64" s="46" t="s">
        <v>761</v>
      </c>
      <c r="C64" s="46" t="s">
        <v>767</v>
      </c>
      <c r="D64" s="46" t="s">
        <v>744</v>
      </c>
      <c r="E64" s="45" t="s">
        <v>514</v>
      </c>
      <c r="F64" s="47">
        <v>0</v>
      </c>
      <c r="G64" s="47">
        <v>-4187.7</v>
      </c>
      <c r="H64" s="47">
        <v>5000</v>
      </c>
    </row>
    <row r="65" spans="2:8">
      <c r="B65" s="46" t="s">
        <v>757</v>
      </c>
      <c r="C65" s="46" t="s">
        <v>767</v>
      </c>
      <c r="D65" s="46" t="s">
        <v>744</v>
      </c>
      <c r="E65" s="45" t="s">
        <v>455</v>
      </c>
      <c r="F65" s="47">
        <v>0</v>
      </c>
      <c r="G65" s="47">
        <v>0</v>
      </c>
      <c r="H65" s="47">
        <v>0</v>
      </c>
    </row>
    <row r="66" spans="2:8">
      <c r="B66" s="46" t="s">
        <v>768</v>
      </c>
      <c r="C66" s="46" t="s">
        <v>767</v>
      </c>
      <c r="D66" s="46" t="s">
        <v>744</v>
      </c>
      <c r="E66" s="45" t="s">
        <v>515</v>
      </c>
      <c r="F66" s="47">
        <v>0</v>
      </c>
      <c r="G66" s="47">
        <v>-1860</v>
      </c>
      <c r="H66" s="47">
        <v>2000</v>
      </c>
    </row>
    <row r="67" spans="2:8">
      <c r="B67" s="46" t="s">
        <v>752</v>
      </c>
      <c r="C67" s="46" t="s">
        <v>767</v>
      </c>
      <c r="D67" s="46" t="s">
        <v>744</v>
      </c>
      <c r="E67" s="45" t="s">
        <v>516</v>
      </c>
      <c r="F67" s="47">
        <v>0</v>
      </c>
      <c r="G67" s="47">
        <v>0</v>
      </c>
      <c r="H67" s="47">
        <v>0</v>
      </c>
    </row>
    <row r="68" spans="2:8">
      <c r="B68" s="46" t="s">
        <v>745</v>
      </c>
      <c r="C68" s="46" t="s">
        <v>769</v>
      </c>
      <c r="D68" s="46" t="s">
        <v>744</v>
      </c>
      <c r="E68" s="45" t="s">
        <v>517</v>
      </c>
      <c r="F68" s="47">
        <v>5683998</v>
      </c>
      <c r="G68" s="47">
        <v>5497459.6299999999</v>
      </c>
      <c r="H68" s="47">
        <v>5500000</v>
      </c>
    </row>
    <row r="69" spans="2:8">
      <c r="B69" s="46" t="s">
        <v>754</v>
      </c>
      <c r="C69" s="46" t="s">
        <v>769</v>
      </c>
      <c r="D69" s="46" t="s">
        <v>744</v>
      </c>
      <c r="E69" s="45" t="s">
        <v>461</v>
      </c>
      <c r="F69" s="47">
        <v>0</v>
      </c>
      <c r="G69" s="47">
        <v>0</v>
      </c>
      <c r="H69" s="47">
        <v>0</v>
      </c>
    </row>
    <row r="70" spans="2:8">
      <c r="B70" s="46" t="s">
        <v>745</v>
      </c>
      <c r="C70" s="46" t="s">
        <v>770</v>
      </c>
      <c r="D70" s="46" t="s">
        <v>744</v>
      </c>
      <c r="E70" s="45" t="s">
        <v>518</v>
      </c>
      <c r="F70" s="47">
        <v>300000</v>
      </c>
      <c r="G70" s="47">
        <v>290728.88</v>
      </c>
      <c r="H70" s="47">
        <v>295000</v>
      </c>
    </row>
    <row r="71" spans="2:8">
      <c r="B71" s="46" t="s">
        <v>745</v>
      </c>
      <c r="C71" s="46" t="s">
        <v>771</v>
      </c>
      <c r="D71" s="46" t="s">
        <v>744</v>
      </c>
      <c r="E71" s="45" t="s">
        <v>519</v>
      </c>
      <c r="F71" s="47">
        <v>16999</v>
      </c>
      <c r="G71" s="47">
        <v>7085.21</v>
      </c>
      <c r="H71" s="47">
        <v>7000</v>
      </c>
    </row>
    <row r="72" spans="2:8">
      <c r="B72" s="46" t="s">
        <v>745</v>
      </c>
      <c r="C72" s="46" t="s">
        <v>772</v>
      </c>
      <c r="D72" s="46" t="s">
        <v>744</v>
      </c>
      <c r="E72" s="45" t="s">
        <v>520</v>
      </c>
      <c r="F72" s="47">
        <v>0</v>
      </c>
      <c r="G72" s="47">
        <v>0</v>
      </c>
      <c r="H72" s="47">
        <v>0</v>
      </c>
    </row>
    <row r="73" spans="2:8">
      <c r="B73" s="46" t="s">
        <v>745</v>
      </c>
      <c r="C73" s="46" t="s">
        <v>773</v>
      </c>
      <c r="D73" s="46" t="s">
        <v>744</v>
      </c>
      <c r="E73" s="45" t="s">
        <v>521</v>
      </c>
      <c r="F73" s="47">
        <v>0</v>
      </c>
      <c r="G73" s="47">
        <v>0</v>
      </c>
      <c r="H73" s="47">
        <v>0</v>
      </c>
    </row>
    <row r="74" spans="2:8">
      <c r="B74" s="46" t="s">
        <v>745</v>
      </c>
      <c r="C74" s="46" t="s">
        <v>774</v>
      </c>
      <c r="D74" s="46" t="s">
        <v>744</v>
      </c>
      <c r="E74" s="45" t="s">
        <v>522</v>
      </c>
      <c r="F74" s="47">
        <v>23001</v>
      </c>
      <c r="G74" s="47">
        <v>35488.71</v>
      </c>
      <c r="H74" s="47">
        <v>35000</v>
      </c>
    </row>
    <row r="75" spans="2:8">
      <c r="B75" s="46" t="s">
        <v>745</v>
      </c>
      <c r="C75" s="46" t="s">
        <v>775</v>
      </c>
      <c r="D75" s="46" t="s">
        <v>744</v>
      </c>
      <c r="E75" s="45" t="s">
        <v>523</v>
      </c>
      <c r="F75" s="47">
        <v>0</v>
      </c>
      <c r="G75" s="47">
        <v>0</v>
      </c>
      <c r="H75" s="47">
        <v>0</v>
      </c>
    </row>
    <row r="76" spans="2:8">
      <c r="B76" s="46" t="s">
        <v>776</v>
      </c>
      <c r="C76" s="46" t="s">
        <v>777</v>
      </c>
      <c r="D76" s="46" t="s">
        <v>744</v>
      </c>
      <c r="E76" s="45" t="s">
        <v>524</v>
      </c>
      <c r="F76" s="47">
        <v>0</v>
      </c>
      <c r="G76" s="47">
        <v>120965.14</v>
      </c>
      <c r="H76" s="47">
        <v>150000</v>
      </c>
    </row>
    <row r="77" spans="2:8">
      <c r="B77" s="46" t="s">
        <v>745</v>
      </c>
      <c r="C77" s="46" t="s">
        <v>778</v>
      </c>
      <c r="D77" s="46" t="s">
        <v>744</v>
      </c>
      <c r="E77" s="45" t="s">
        <v>525</v>
      </c>
      <c r="F77" s="47">
        <v>576002</v>
      </c>
      <c r="G77" s="47">
        <v>585192.52</v>
      </c>
      <c r="H77" s="47">
        <v>585000</v>
      </c>
    </row>
    <row r="78" spans="2:8">
      <c r="B78" s="46" t="s">
        <v>745</v>
      </c>
      <c r="C78" s="46" t="s">
        <v>779</v>
      </c>
      <c r="D78" s="46" t="s">
        <v>744</v>
      </c>
      <c r="E78" s="45" t="s">
        <v>526</v>
      </c>
      <c r="F78" s="47">
        <v>23998</v>
      </c>
      <c r="G78" s="47">
        <v>15909.76</v>
      </c>
      <c r="H78" s="47">
        <v>17000</v>
      </c>
    </row>
    <row r="79" spans="2:8">
      <c r="B79" s="46" t="s">
        <v>745</v>
      </c>
      <c r="C79" s="46" t="s">
        <v>780</v>
      </c>
      <c r="D79" s="46" t="s">
        <v>744</v>
      </c>
      <c r="E79" s="45" t="s">
        <v>527</v>
      </c>
      <c r="F79" s="47">
        <v>80000</v>
      </c>
      <c r="G79" s="47">
        <v>75749</v>
      </c>
      <c r="H79" s="47">
        <v>77000</v>
      </c>
    </row>
    <row r="80" spans="2:8">
      <c r="B80" s="46" t="s">
        <v>754</v>
      </c>
      <c r="C80" s="46" t="s">
        <v>780</v>
      </c>
      <c r="D80" s="46" t="s">
        <v>744</v>
      </c>
      <c r="E80" s="45" t="s">
        <v>528</v>
      </c>
      <c r="F80" s="47">
        <v>0</v>
      </c>
      <c r="G80" s="47">
        <v>3666.66</v>
      </c>
      <c r="H80" s="47">
        <v>4000</v>
      </c>
    </row>
    <row r="81" spans="2:8">
      <c r="B81" s="46" t="s">
        <v>781</v>
      </c>
      <c r="C81" s="46" t="s">
        <v>780</v>
      </c>
      <c r="D81" s="46" t="s">
        <v>744</v>
      </c>
      <c r="E81" s="45" t="s">
        <v>529</v>
      </c>
      <c r="F81" s="47">
        <v>0</v>
      </c>
      <c r="G81" s="47">
        <v>0</v>
      </c>
      <c r="H81" s="47">
        <v>0</v>
      </c>
    </row>
    <row r="82" spans="2:8">
      <c r="B82" s="46" t="s">
        <v>745</v>
      </c>
      <c r="C82" s="46" t="s">
        <v>782</v>
      </c>
      <c r="D82" s="46" t="s">
        <v>744</v>
      </c>
      <c r="E82" s="45" t="s">
        <v>391</v>
      </c>
      <c r="F82" s="47">
        <v>230000</v>
      </c>
      <c r="G82" s="47">
        <v>214021</v>
      </c>
      <c r="H82" s="47">
        <v>215000</v>
      </c>
    </row>
    <row r="83" spans="2:8">
      <c r="B83" s="46" t="s">
        <v>745</v>
      </c>
      <c r="C83" s="46" t="s">
        <v>783</v>
      </c>
      <c r="D83" s="46" t="s">
        <v>744</v>
      </c>
      <c r="E83" s="45" t="s">
        <v>531</v>
      </c>
      <c r="F83" s="47">
        <v>0</v>
      </c>
      <c r="G83" s="47">
        <v>0</v>
      </c>
      <c r="H83" s="47">
        <v>0</v>
      </c>
    </row>
    <row r="84" spans="2:8">
      <c r="B84" s="46" t="s">
        <v>745</v>
      </c>
      <c r="C84" s="46" t="s">
        <v>784</v>
      </c>
      <c r="D84" s="46" t="s">
        <v>744</v>
      </c>
      <c r="E84" s="45" t="s">
        <v>533</v>
      </c>
      <c r="F84" s="47">
        <v>107996</v>
      </c>
      <c r="G84" s="47">
        <v>0</v>
      </c>
      <c r="H84" s="47">
        <v>110000</v>
      </c>
    </row>
    <row r="85" spans="2:8">
      <c r="B85" s="46" t="s">
        <v>745</v>
      </c>
      <c r="C85" s="46" t="s">
        <v>785</v>
      </c>
      <c r="D85" s="46" t="s">
        <v>744</v>
      </c>
      <c r="E85" s="45" t="s">
        <v>534</v>
      </c>
      <c r="F85" s="47">
        <v>0</v>
      </c>
      <c r="G85" s="47">
        <v>0</v>
      </c>
      <c r="H85" s="47">
        <v>0</v>
      </c>
    </row>
    <row r="86" spans="2:8">
      <c r="B86" s="46" t="s">
        <v>745</v>
      </c>
      <c r="C86" s="46" t="s">
        <v>786</v>
      </c>
      <c r="D86" s="46" t="s">
        <v>744</v>
      </c>
      <c r="E86" s="45" t="s">
        <v>535</v>
      </c>
      <c r="F86" s="47">
        <v>136999</v>
      </c>
      <c r="G86" s="47">
        <v>118898.81</v>
      </c>
      <c r="H86" s="47">
        <v>120000</v>
      </c>
    </row>
    <row r="87" spans="2:8">
      <c r="B87" s="46" t="s">
        <v>745</v>
      </c>
      <c r="C87" s="46" t="s">
        <v>787</v>
      </c>
      <c r="D87" s="46" t="s">
        <v>744</v>
      </c>
      <c r="E87" s="45" t="s">
        <v>269</v>
      </c>
      <c r="F87" s="47">
        <v>0</v>
      </c>
      <c r="G87" s="47">
        <v>0</v>
      </c>
      <c r="H87" s="47">
        <v>0</v>
      </c>
    </row>
    <row r="88" spans="2:8">
      <c r="B88" s="46" t="s">
        <v>745</v>
      </c>
      <c r="C88" s="46" t="s">
        <v>788</v>
      </c>
      <c r="D88" s="46" t="s">
        <v>744</v>
      </c>
      <c r="E88" s="45" t="s">
        <v>537</v>
      </c>
      <c r="F88" s="47">
        <v>916999</v>
      </c>
      <c r="G88" s="47">
        <v>1338445.74</v>
      </c>
      <c r="H88" s="47">
        <v>1400000</v>
      </c>
    </row>
    <row r="89" spans="2:8">
      <c r="B89" s="46" t="s">
        <v>745</v>
      </c>
      <c r="C89" s="46" t="s">
        <v>789</v>
      </c>
      <c r="D89" s="46" t="s">
        <v>744</v>
      </c>
      <c r="E89" s="45" t="s">
        <v>539</v>
      </c>
      <c r="F89" s="47">
        <v>660000</v>
      </c>
      <c r="G89" s="47">
        <v>612357</v>
      </c>
      <c r="H89" s="47">
        <v>615000</v>
      </c>
    </row>
    <row r="90" spans="2:8">
      <c r="B90" s="46" t="s">
        <v>745</v>
      </c>
      <c r="C90" s="46" t="s">
        <v>790</v>
      </c>
      <c r="D90" s="46" t="s">
        <v>744</v>
      </c>
      <c r="E90" s="45" t="s">
        <v>540</v>
      </c>
      <c r="F90" s="47">
        <v>0</v>
      </c>
      <c r="G90" s="47">
        <v>0</v>
      </c>
      <c r="H90" s="47">
        <v>0</v>
      </c>
    </row>
    <row r="92" spans="2:8" ht="15" thickBot="1">
      <c r="B92" s="40" t="s">
        <v>791</v>
      </c>
      <c r="C92" s="43"/>
      <c r="D92" s="43"/>
      <c r="E92" s="43"/>
      <c r="F92" s="39">
        <f>SUM(F5:F91)</f>
        <v>22729029</v>
      </c>
      <c r="G92" s="39">
        <f>SUM(G5:G91)</f>
        <v>23563898.420000002</v>
      </c>
      <c r="H92" s="39">
        <f>SUM(H5:H91)</f>
        <v>24213000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2:H69"/>
  <sheetViews>
    <sheetView rightToLeft="1" topLeftCell="A61" workbookViewId="0">
      <selection activeCell="M30" sqref="M30"/>
    </sheetView>
  </sheetViews>
  <sheetFormatPr defaultRowHeight="14.25"/>
  <cols>
    <col min="1" max="1" width="3.375" customWidth="1"/>
    <col min="4" max="4" width="6" customWidth="1"/>
    <col min="5" max="5" width="19.75" bestFit="1" customWidth="1"/>
    <col min="7" max="8" width="9.875" bestFit="1" customWidth="1"/>
  </cols>
  <sheetData>
    <row r="2" spans="2:8" ht="15">
      <c r="B2" s="1" t="s">
        <v>861</v>
      </c>
    </row>
    <row r="4" spans="2:8" ht="30">
      <c r="B4" s="41" t="s">
        <v>596</v>
      </c>
      <c r="C4" s="41" t="s">
        <v>597</v>
      </c>
      <c r="D4" s="41" t="s">
        <v>598</v>
      </c>
      <c r="E4" s="41" t="s">
        <v>1</v>
      </c>
      <c r="F4" s="41" t="s">
        <v>422</v>
      </c>
      <c r="G4" s="41" t="s">
        <v>423</v>
      </c>
      <c r="H4" s="41" t="s">
        <v>425</v>
      </c>
    </row>
    <row r="5" spans="2:8">
      <c r="B5" s="46" t="s">
        <v>798</v>
      </c>
      <c r="C5" s="46" t="s">
        <v>799</v>
      </c>
      <c r="D5" s="46" t="s">
        <v>795</v>
      </c>
      <c r="E5" s="45" t="s">
        <v>548</v>
      </c>
      <c r="F5" s="47">
        <v>962004</v>
      </c>
      <c r="G5" s="47">
        <v>1049414</v>
      </c>
      <c r="H5" s="47">
        <v>1100000</v>
      </c>
    </row>
    <row r="6" spans="2:8">
      <c r="B6" s="46" t="s">
        <v>798</v>
      </c>
      <c r="C6" s="46" t="s">
        <v>800</v>
      </c>
      <c r="D6" s="46" t="s">
        <v>795</v>
      </c>
      <c r="E6" s="45" t="s">
        <v>549</v>
      </c>
      <c r="F6" s="47">
        <v>35006</v>
      </c>
      <c r="G6" s="47">
        <v>11382</v>
      </c>
      <c r="H6" s="47">
        <v>12000</v>
      </c>
    </row>
    <row r="7" spans="2:8">
      <c r="B7" s="46" t="s">
        <v>798</v>
      </c>
      <c r="C7" s="46" t="s">
        <v>801</v>
      </c>
      <c r="D7" s="46" t="s">
        <v>795</v>
      </c>
      <c r="E7" s="45" t="s">
        <v>550</v>
      </c>
      <c r="F7" s="47">
        <v>57996</v>
      </c>
      <c r="G7" s="47">
        <v>166494</v>
      </c>
      <c r="H7" s="47">
        <v>170000</v>
      </c>
    </row>
    <row r="8" spans="2:8">
      <c r="B8" s="46" t="s">
        <v>798</v>
      </c>
      <c r="C8" s="46" t="s">
        <v>802</v>
      </c>
      <c r="D8" s="46" t="s">
        <v>795</v>
      </c>
      <c r="E8" s="45" t="s">
        <v>317</v>
      </c>
      <c r="F8" s="47">
        <v>3001</v>
      </c>
      <c r="G8" s="47">
        <v>0</v>
      </c>
      <c r="H8" s="47">
        <v>3000</v>
      </c>
    </row>
    <row r="9" spans="2:8">
      <c r="B9" s="46" t="s">
        <v>798</v>
      </c>
      <c r="C9" s="46" t="s">
        <v>803</v>
      </c>
      <c r="D9" s="46" t="s">
        <v>795</v>
      </c>
      <c r="E9" s="45" t="s">
        <v>551</v>
      </c>
      <c r="F9" s="47">
        <v>0</v>
      </c>
      <c r="G9" s="47">
        <v>0</v>
      </c>
      <c r="H9" s="47">
        <v>0</v>
      </c>
    </row>
    <row r="10" spans="2:8">
      <c r="B10" s="46" t="s">
        <v>798</v>
      </c>
      <c r="C10" s="46" t="s">
        <v>804</v>
      </c>
      <c r="D10" s="46" t="s">
        <v>795</v>
      </c>
      <c r="E10" s="45" t="s">
        <v>322</v>
      </c>
      <c r="F10" s="47">
        <v>0</v>
      </c>
      <c r="G10" s="47">
        <v>0</v>
      </c>
      <c r="H10" s="47">
        <v>0</v>
      </c>
    </row>
    <row r="11" spans="2:8">
      <c r="B11" s="46" t="s">
        <v>798</v>
      </c>
      <c r="C11" s="46" t="s">
        <v>805</v>
      </c>
      <c r="D11" s="46" t="s">
        <v>795</v>
      </c>
      <c r="E11" s="45" t="s">
        <v>323</v>
      </c>
      <c r="F11" s="47">
        <v>59003</v>
      </c>
      <c r="G11" s="47">
        <v>17213</v>
      </c>
      <c r="H11" s="47">
        <v>20000</v>
      </c>
    </row>
    <row r="12" spans="2:8">
      <c r="B12" s="46" t="s">
        <v>798</v>
      </c>
      <c r="C12" s="46" t="s">
        <v>806</v>
      </c>
      <c r="D12" s="46" t="s">
        <v>795</v>
      </c>
      <c r="E12" s="45" t="s">
        <v>324</v>
      </c>
      <c r="F12" s="47">
        <v>0</v>
      </c>
      <c r="G12" s="47">
        <v>0</v>
      </c>
      <c r="H12" s="47">
        <v>0</v>
      </c>
    </row>
    <row r="13" spans="2:8">
      <c r="B13" s="46" t="s">
        <v>798</v>
      </c>
      <c r="C13" s="46" t="s">
        <v>807</v>
      </c>
      <c r="D13" s="46" t="s">
        <v>795</v>
      </c>
      <c r="E13" s="45" t="s">
        <v>325</v>
      </c>
      <c r="F13" s="47">
        <v>0</v>
      </c>
      <c r="G13" s="47">
        <v>0</v>
      </c>
      <c r="H13" s="47">
        <v>0</v>
      </c>
    </row>
    <row r="14" spans="2:8">
      <c r="B14" s="46" t="s">
        <v>798</v>
      </c>
      <c r="C14" s="46" t="s">
        <v>808</v>
      </c>
      <c r="D14" s="46" t="s">
        <v>795</v>
      </c>
      <c r="E14" s="45" t="s">
        <v>552</v>
      </c>
      <c r="F14" s="47">
        <v>0</v>
      </c>
      <c r="G14" s="47">
        <v>0</v>
      </c>
      <c r="H14" s="47">
        <v>0</v>
      </c>
    </row>
    <row r="15" spans="2:8">
      <c r="B15" s="46" t="s">
        <v>798</v>
      </c>
      <c r="C15" s="46" t="s">
        <v>809</v>
      </c>
      <c r="D15" s="46" t="s">
        <v>795</v>
      </c>
      <c r="E15" s="45" t="s">
        <v>553</v>
      </c>
      <c r="F15" s="47">
        <v>0</v>
      </c>
      <c r="G15" s="47">
        <v>139533</v>
      </c>
      <c r="H15" s="47">
        <v>140000</v>
      </c>
    </row>
    <row r="16" spans="2:8">
      <c r="B16" s="46" t="s">
        <v>798</v>
      </c>
      <c r="C16" s="46" t="s">
        <v>810</v>
      </c>
      <c r="D16" s="46" t="s">
        <v>795</v>
      </c>
      <c r="E16" s="45" t="s">
        <v>329</v>
      </c>
      <c r="F16" s="47">
        <v>666999</v>
      </c>
      <c r="G16" s="47">
        <v>756254</v>
      </c>
      <c r="H16" s="47">
        <v>760000</v>
      </c>
    </row>
    <row r="17" spans="2:8">
      <c r="B17" s="46" t="s">
        <v>798</v>
      </c>
      <c r="C17" s="46" t="s">
        <v>811</v>
      </c>
      <c r="D17" s="46" t="s">
        <v>795</v>
      </c>
      <c r="E17" s="45" t="s">
        <v>334</v>
      </c>
      <c r="F17" s="47">
        <v>157996</v>
      </c>
      <c r="G17" s="47">
        <v>153759</v>
      </c>
      <c r="H17" s="47">
        <v>155000</v>
      </c>
    </row>
    <row r="18" spans="2:8">
      <c r="B18" s="46" t="s">
        <v>798</v>
      </c>
      <c r="C18" s="46" t="s">
        <v>812</v>
      </c>
      <c r="D18" s="46" t="s">
        <v>795</v>
      </c>
      <c r="E18" s="45" t="s">
        <v>335</v>
      </c>
      <c r="F18" s="47">
        <v>1693001</v>
      </c>
      <c r="G18" s="47">
        <v>1737783</v>
      </c>
      <c r="H18" s="47">
        <v>1750000</v>
      </c>
    </row>
    <row r="19" spans="2:8">
      <c r="B19" s="46" t="s">
        <v>798</v>
      </c>
      <c r="C19" s="46" t="s">
        <v>813</v>
      </c>
      <c r="D19" s="46" t="s">
        <v>795</v>
      </c>
      <c r="E19" s="45" t="s">
        <v>338</v>
      </c>
      <c r="F19" s="47">
        <v>830000</v>
      </c>
      <c r="G19" s="47">
        <v>1029716</v>
      </c>
      <c r="H19" s="47">
        <v>1030000</v>
      </c>
    </row>
    <row r="20" spans="2:8">
      <c r="B20" s="46" t="s">
        <v>814</v>
      </c>
      <c r="C20" s="46" t="s">
        <v>813</v>
      </c>
      <c r="D20" s="46" t="s">
        <v>795</v>
      </c>
      <c r="E20" s="45" t="s">
        <v>554</v>
      </c>
      <c r="F20" s="47">
        <v>0</v>
      </c>
      <c r="G20" s="47">
        <v>0</v>
      </c>
      <c r="H20" s="47">
        <v>0</v>
      </c>
    </row>
    <row r="21" spans="2:8">
      <c r="B21" s="46" t="s">
        <v>798</v>
      </c>
      <c r="C21" s="46" t="s">
        <v>815</v>
      </c>
      <c r="D21" s="46" t="s">
        <v>795</v>
      </c>
      <c r="E21" s="45" t="s">
        <v>340</v>
      </c>
      <c r="F21" s="47">
        <v>100000</v>
      </c>
      <c r="G21" s="47">
        <v>0</v>
      </c>
      <c r="H21" s="47">
        <v>0</v>
      </c>
    </row>
    <row r="22" spans="2:8">
      <c r="B22" s="46" t="s">
        <v>798</v>
      </c>
      <c r="C22" s="46" t="s">
        <v>816</v>
      </c>
      <c r="D22" s="46" t="s">
        <v>795</v>
      </c>
      <c r="E22" s="45" t="s">
        <v>345</v>
      </c>
      <c r="F22" s="47">
        <v>19003</v>
      </c>
      <c r="G22" s="47">
        <v>20288</v>
      </c>
      <c r="H22" s="47">
        <v>21000</v>
      </c>
    </row>
    <row r="23" spans="2:8">
      <c r="B23" s="46" t="s">
        <v>798</v>
      </c>
      <c r="C23" s="46" t="s">
        <v>817</v>
      </c>
      <c r="D23" s="46" t="s">
        <v>795</v>
      </c>
      <c r="E23" s="45" t="s">
        <v>555</v>
      </c>
      <c r="F23" s="47">
        <v>0</v>
      </c>
      <c r="G23" s="47">
        <v>0</v>
      </c>
      <c r="H23" s="47">
        <v>0</v>
      </c>
    </row>
    <row r="24" spans="2:8">
      <c r="B24" s="46" t="s">
        <v>798</v>
      </c>
      <c r="C24" s="46" t="s">
        <v>818</v>
      </c>
      <c r="D24" s="46" t="s">
        <v>795</v>
      </c>
      <c r="E24" s="45" t="s">
        <v>348</v>
      </c>
      <c r="F24" s="47">
        <v>0</v>
      </c>
      <c r="G24" s="47">
        <v>0</v>
      </c>
      <c r="H24" s="47">
        <v>0</v>
      </c>
    </row>
    <row r="25" spans="2:8">
      <c r="B25" s="46" t="s">
        <v>798</v>
      </c>
      <c r="C25" s="46" t="s">
        <v>819</v>
      </c>
      <c r="D25" s="46" t="s">
        <v>795</v>
      </c>
      <c r="E25" s="45" t="s">
        <v>349</v>
      </c>
      <c r="F25" s="47">
        <v>33998</v>
      </c>
      <c r="G25" s="47">
        <v>48884.03</v>
      </c>
      <c r="H25" s="47">
        <v>50000</v>
      </c>
    </row>
    <row r="26" spans="2:8">
      <c r="B26" s="46" t="s">
        <v>798</v>
      </c>
      <c r="C26" s="46" t="s">
        <v>820</v>
      </c>
      <c r="D26" s="46" t="s">
        <v>795</v>
      </c>
      <c r="E26" s="45" t="s">
        <v>350</v>
      </c>
      <c r="F26" s="47">
        <v>2273001</v>
      </c>
      <c r="G26" s="47">
        <v>2993060</v>
      </c>
      <c r="H26" s="47">
        <v>2995000</v>
      </c>
    </row>
    <row r="27" spans="2:8">
      <c r="B27" s="46" t="s">
        <v>798</v>
      </c>
      <c r="C27" s="46" t="s">
        <v>821</v>
      </c>
      <c r="D27" s="46" t="s">
        <v>795</v>
      </c>
      <c r="E27" s="45" t="s">
        <v>351</v>
      </c>
      <c r="F27" s="47">
        <v>10000</v>
      </c>
      <c r="G27" s="47">
        <v>3266</v>
      </c>
      <c r="H27" s="47">
        <v>4000</v>
      </c>
    </row>
    <row r="28" spans="2:8">
      <c r="B28" s="46" t="s">
        <v>798</v>
      </c>
      <c r="C28" s="46" t="s">
        <v>822</v>
      </c>
      <c r="D28" s="46" t="s">
        <v>795</v>
      </c>
      <c r="E28" s="45" t="s">
        <v>352</v>
      </c>
      <c r="F28" s="47">
        <v>6002</v>
      </c>
      <c r="G28" s="47">
        <v>9878</v>
      </c>
      <c r="H28" s="47">
        <v>10000</v>
      </c>
    </row>
    <row r="29" spans="2:8">
      <c r="B29" s="46" t="s">
        <v>798</v>
      </c>
      <c r="C29" s="46" t="s">
        <v>823</v>
      </c>
      <c r="D29" s="46" t="s">
        <v>795</v>
      </c>
      <c r="E29" s="45" t="s">
        <v>353</v>
      </c>
      <c r="F29" s="47">
        <v>0</v>
      </c>
      <c r="G29" s="47">
        <v>0</v>
      </c>
      <c r="H29" s="47">
        <v>0</v>
      </c>
    </row>
    <row r="30" spans="2:8">
      <c r="B30" s="46" t="s">
        <v>798</v>
      </c>
      <c r="C30" s="46" t="s">
        <v>824</v>
      </c>
      <c r="D30" s="46" t="s">
        <v>795</v>
      </c>
      <c r="E30" s="45" t="s">
        <v>354</v>
      </c>
      <c r="F30" s="47">
        <v>55006</v>
      </c>
      <c r="G30" s="47">
        <v>99702</v>
      </c>
      <c r="H30" s="47">
        <v>100000</v>
      </c>
    </row>
    <row r="31" spans="2:8">
      <c r="B31" s="46" t="s">
        <v>798</v>
      </c>
      <c r="C31" s="46" t="s">
        <v>825</v>
      </c>
      <c r="D31" s="46" t="s">
        <v>795</v>
      </c>
      <c r="E31" s="45" t="s">
        <v>356</v>
      </c>
      <c r="F31" s="47">
        <v>0</v>
      </c>
      <c r="G31" s="47">
        <v>0</v>
      </c>
      <c r="H31" s="47">
        <v>0</v>
      </c>
    </row>
    <row r="32" spans="2:8">
      <c r="B32" s="46" t="s">
        <v>826</v>
      </c>
      <c r="C32" s="46" t="s">
        <v>825</v>
      </c>
      <c r="D32" s="46" t="s">
        <v>795</v>
      </c>
      <c r="E32" s="45" t="s">
        <v>556</v>
      </c>
      <c r="F32" s="47">
        <v>0</v>
      </c>
      <c r="G32" s="47">
        <v>0</v>
      </c>
      <c r="H32" s="47">
        <v>0</v>
      </c>
    </row>
    <row r="33" spans="2:8">
      <c r="B33" s="46" t="s">
        <v>798</v>
      </c>
      <c r="C33" s="46" t="s">
        <v>827</v>
      </c>
      <c r="D33" s="46" t="s">
        <v>795</v>
      </c>
      <c r="E33" s="45" t="s">
        <v>357</v>
      </c>
      <c r="F33" s="47">
        <v>50997</v>
      </c>
      <c r="G33" s="47">
        <v>47056.03</v>
      </c>
      <c r="H33" s="47">
        <v>48000</v>
      </c>
    </row>
    <row r="34" spans="2:8">
      <c r="B34" s="46" t="s">
        <v>826</v>
      </c>
      <c r="C34" s="46" t="s">
        <v>827</v>
      </c>
      <c r="D34" s="46" t="s">
        <v>795</v>
      </c>
      <c r="E34" s="45" t="s">
        <v>557</v>
      </c>
      <c r="F34" s="47">
        <v>492004</v>
      </c>
      <c r="G34" s="47">
        <v>446397</v>
      </c>
      <c r="H34" s="47">
        <v>450000</v>
      </c>
    </row>
    <row r="35" spans="2:8">
      <c r="B35" s="46" t="s">
        <v>798</v>
      </c>
      <c r="C35" s="46" t="s">
        <v>828</v>
      </c>
      <c r="D35" s="46" t="s">
        <v>795</v>
      </c>
      <c r="E35" s="45" t="s">
        <v>558</v>
      </c>
      <c r="F35" s="47">
        <v>0</v>
      </c>
      <c r="G35" s="47">
        <v>0</v>
      </c>
      <c r="H35" s="47">
        <v>0</v>
      </c>
    </row>
    <row r="36" spans="2:8">
      <c r="B36" s="46" t="s">
        <v>798</v>
      </c>
      <c r="C36" s="46" t="s">
        <v>829</v>
      </c>
      <c r="D36" s="46" t="s">
        <v>795</v>
      </c>
      <c r="E36" s="45" t="s">
        <v>361</v>
      </c>
      <c r="F36" s="47">
        <v>0</v>
      </c>
      <c r="G36" s="47">
        <v>0</v>
      </c>
      <c r="H36" s="47">
        <v>0</v>
      </c>
    </row>
    <row r="37" spans="2:8">
      <c r="B37" s="46" t="s">
        <v>798</v>
      </c>
      <c r="C37" s="46" t="s">
        <v>830</v>
      </c>
      <c r="D37" s="46" t="s">
        <v>795</v>
      </c>
      <c r="E37" s="45" t="s">
        <v>362</v>
      </c>
      <c r="F37" s="47">
        <v>13001</v>
      </c>
      <c r="G37" s="47">
        <v>5918.01</v>
      </c>
      <c r="H37" s="47">
        <v>6000</v>
      </c>
    </row>
    <row r="38" spans="2:8">
      <c r="B38" s="46" t="s">
        <v>798</v>
      </c>
      <c r="C38" s="46" t="s">
        <v>831</v>
      </c>
      <c r="D38" s="46" t="s">
        <v>795</v>
      </c>
      <c r="E38" s="45" t="s">
        <v>559</v>
      </c>
      <c r="F38" s="47">
        <v>50997</v>
      </c>
      <c r="G38" s="47">
        <v>199134</v>
      </c>
      <c r="H38" s="47">
        <v>200000</v>
      </c>
    </row>
    <row r="39" spans="2:8">
      <c r="B39" s="46" t="s">
        <v>798</v>
      </c>
      <c r="C39" s="46" t="s">
        <v>832</v>
      </c>
      <c r="D39" s="46" t="s">
        <v>795</v>
      </c>
      <c r="E39" s="45" t="s">
        <v>560</v>
      </c>
      <c r="F39" s="47">
        <v>0</v>
      </c>
      <c r="G39" s="47">
        <v>0</v>
      </c>
      <c r="H39" s="47">
        <v>0</v>
      </c>
    </row>
    <row r="40" spans="2:8">
      <c r="B40" s="46" t="s">
        <v>798</v>
      </c>
      <c r="C40" s="46" t="s">
        <v>833</v>
      </c>
      <c r="D40" s="46" t="s">
        <v>795</v>
      </c>
      <c r="E40" s="45" t="s">
        <v>561</v>
      </c>
      <c r="F40" s="47">
        <v>0</v>
      </c>
      <c r="G40" s="47">
        <v>0</v>
      </c>
      <c r="H40" s="47">
        <v>0</v>
      </c>
    </row>
    <row r="41" spans="2:8">
      <c r="B41" s="46" t="s">
        <v>798</v>
      </c>
      <c r="C41" s="46" t="s">
        <v>834</v>
      </c>
      <c r="D41" s="46" t="s">
        <v>795</v>
      </c>
      <c r="E41" s="45" t="s">
        <v>562</v>
      </c>
      <c r="F41" s="47">
        <v>7996</v>
      </c>
      <c r="G41" s="47">
        <v>7537.03</v>
      </c>
      <c r="H41" s="47">
        <v>8000</v>
      </c>
    </row>
    <row r="42" spans="2:8">
      <c r="B42" s="46" t="s">
        <v>798</v>
      </c>
      <c r="C42" s="46" t="s">
        <v>835</v>
      </c>
      <c r="D42" s="46" t="s">
        <v>795</v>
      </c>
      <c r="E42" s="45" t="s">
        <v>368</v>
      </c>
      <c r="F42" s="47">
        <v>0</v>
      </c>
      <c r="G42" s="47">
        <v>0</v>
      </c>
      <c r="H42" s="47">
        <v>0</v>
      </c>
    </row>
    <row r="43" spans="2:8">
      <c r="B43" s="46" t="s">
        <v>798</v>
      </c>
      <c r="C43" s="46" t="s">
        <v>836</v>
      </c>
      <c r="D43" s="46" t="s">
        <v>795</v>
      </c>
      <c r="E43" s="45" t="s">
        <v>364</v>
      </c>
      <c r="F43" s="47">
        <v>67996</v>
      </c>
      <c r="G43" s="47">
        <v>100625</v>
      </c>
      <c r="H43" s="47">
        <v>100000</v>
      </c>
    </row>
    <row r="44" spans="2:8">
      <c r="B44" s="46" t="s">
        <v>798</v>
      </c>
      <c r="C44" s="46" t="s">
        <v>837</v>
      </c>
      <c r="D44" s="46" t="s">
        <v>795</v>
      </c>
      <c r="E44" s="45" t="s">
        <v>563</v>
      </c>
      <c r="F44" s="47">
        <v>67996</v>
      </c>
      <c r="G44" s="47">
        <v>47919</v>
      </c>
      <c r="H44" s="47">
        <v>50000</v>
      </c>
    </row>
    <row r="45" spans="2:8">
      <c r="B45" s="46" t="s">
        <v>798</v>
      </c>
      <c r="C45" s="46" t="s">
        <v>838</v>
      </c>
      <c r="D45" s="46" t="s">
        <v>795</v>
      </c>
      <c r="E45" s="45" t="s">
        <v>370</v>
      </c>
      <c r="F45" s="47">
        <v>23998</v>
      </c>
      <c r="G45" s="47">
        <v>29967</v>
      </c>
      <c r="H45" s="47">
        <v>30000</v>
      </c>
    </row>
    <row r="46" spans="2:8">
      <c r="B46" s="46" t="s">
        <v>798</v>
      </c>
      <c r="C46" s="46" t="s">
        <v>839</v>
      </c>
      <c r="D46" s="46" t="s">
        <v>795</v>
      </c>
      <c r="E46" s="45" t="s">
        <v>371</v>
      </c>
      <c r="F46" s="47">
        <v>3998</v>
      </c>
      <c r="G46" s="47">
        <v>0</v>
      </c>
      <c r="H46" s="47">
        <v>4000</v>
      </c>
    </row>
    <row r="47" spans="2:8">
      <c r="B47" s="46" t="s">
        <v>798</v>
      </c>
      <c r="C47" s="46" t="s">
        <v>840</v>
      </c>
      <c r="D47" s="46" t="s">
        <v>795</v>
      </c>
      <c r="E47" s="45" t="s">
        <v>564</v>
      </c>
      <c r="F47" s="47">
        <v>556999</v>
      </c>
      <c r="G47" s="47">
        <v>508983</v>
      </c>
      <c r="H47" s="47">
        <v>510000</v>
      </c>
    </row>
    <row r="48" spans="2:8">
      <c r="B48" s="46" t="s">
        <v>798</v>
      </c>
      <c r="C48" s="46" t="s">
        <v>841</v>
      </c>
      <c r="D48" s="46" t="s">
        <v>795</v>
      </c>
      <c r="E48" s="45" t="s">
        <v>373</v>
      </c>
      <c r="F48" s="47">
        <v>0</v>
      </c>
      <c r="G48" s="47">
        <v>0</v>
      </c>
      <c r="H48" s="47">
        <v>0</v>
      </c>
    </row>
    <row r="49" spans="2:8">
      <c r="B49" s="46" t="s">
        <v>798</v>
      </c>
      <c r="C49" s="46" t="s">
        <v>842</v>
      </c>
      <c r="D49" s="46" t="s">
        <v>795</v>
      </c>
      <c r="E49" s="45" t="s">
        <v>374</v>
      </c>
      <c r="F49" s="47">
        <v>226002</v>
      </c>
      <c r="G49" s="47">
        <v>94242</v>
      </c>
      <c r="H49" s="47">
        <v>95000</v>
      </c>
    </row>
    <row r="50" spans="2:8">
      <c r="B50" s="46" t="s">
        <v>798</v>
      </c>
      <c r="C50" s="46" t="s">
        <v>843</v>
      </c>
      <c r="D50" s="46" t="s">
        <v>795</v>
      </c>
      <c r="E50" s="45" t="s">
        <v>375</v>
      </c>
      <c r="F50" s="47">
        <v>62004</v>
      </c>
      <c r="G50" s="47">
        <v>81047</v>
      </c>
      <c r="H50" s="47">
        <v>82000</v>
      </c>
    </row>
    <row r="51" spans="2:8">
      <c r="B51" s="46" t="s">
        <v>798</v>
      </c>
      <c r="C51" s="46" t="s">
        <v>844</v>
      </c>
      <c r="D51" s="46" t="s">
        <v>795</v>
      </c>
      <c r="E51" s="45" t="s">
        <v>565</v>
      </c>
      <c r="F51" s="47">
        <v>0</v>
      </c>
      <c r="G51" s="47">
        <v>0</v>
      </c>
      <c r="H51" s="47">
        <v>0</v>
      </c>
    </row>
    <row r="52" spans="2:8">
      <c r="B52" s="46" t="s">
        <v>798</v>
      </c>
      <c r="C52" s="46" t="s">
        <v>845</v>
      </c>
      <c r="D52" s="46" t="s">
        <v>795</v>
      </c>
      <c r="E52" s="45" t="s">
        <v>376</v>
      </c>
      <c r="F52" s="47">
        <v>70000</v>
      </c>
      <c r="G52" s="47">
        <v>45655</v>
      </c>
      <c r="H52" s="47">
        <v>46000</v>
      </c>
    </row>
    <row r="53" spans="2:8">
      <c r="B53" s="46" t="s">
        <v>798</v>
      </c>
      <c r="C53" s="46" t="s">
        <v>846</v>
      </c>
      <c r="D53" s="46" t="s">
        <v>795</v>
      </c>
      <c r="E53" s="45" t="s">
        <v>377</v>
      </c>
      <c r="F53" s="47">
        <v>0</v>
      </c>
      <c r="G53" s="47">
        <v>0</v>
      </c>
      <c r="H53" s="47">
        <v>0</v>
      </c>
    </row>
    <row r="54" spans="2:8">
      <c r="B54" s="46" t="s">
        <v>798</v>
      </c>
      <c r="C54" s="46" t="s">
        <v>847</v>
      </c>
      <c r="D54" s="46" t="s">
        <v>795</v>
      </c>
      <c r="E54" s="45" t="s">
        <v>566</v>
      </c>
      <c r="F54" s="47">
        <v>0</v>
      </c>
      <c r="G54" s="47">
        <v>578</v>
      </c>
      <c r="H54" s="47">
        <v>0</v>
      </c>
    </row>
    <row r="55" spans="2:8">
      <c r="B55" s="46" t="s">
        <v>798</v>
      </c>
      <c r="C55" s="46" t="s">
        <v>848</v>
      </c>
      <c r="D55" s="46" t="s">
        <v>795</v>
      </c>
      <c r="E55" s="45" t="s">
        <v>567</v>
      </c>
      <c r="F55" s="47">
        <v>6999</v>
      </c>
      <c r="G55" s="47">
        <v>29013.01</v>
      </c>
      <c r="H55" s="47">
        <v>30000</v>
      </c>
    </row>
    <row r="56" spans="2:8">
      <c r="B56" s="46" t="s">
        <v>798</v>
      </c>
      <c r="C56" s="46" t="s">
        <v>849</v>
      </c>
      <c r="D56" s="46" t="s">
        <v>795</v>
      </c>
      <c r="E56" s="45" t="s">
        <v>381</v>
      </c>
      <c r="F56" s="47">
        <v>0</v>
      </c>
      <c r="G56" s="47">
        <v>0</v>
      </c>
      <c r="H56" s="47">
        <v>0</v>
      </c>
    </row>
    <row r="57" spans="2:8">
      <c r="B57" s="46" t="s">
        <v>798</v>
      </c>
      <c r="C57" s="46" t="s">
        <v>850</v>
      </c>
      <c r="D57" s="46" t="s">
        <v>795</v>
      </c>
      <c r="E57" s="45" t="s">
        <v>382</v>
      </c>
      <c r="F57" s="47">
        <v>0</v>
      </c>
      <c r="G57" s="47">
        <v>0</v>
      </c>
      <c r="H57" s="47">
        <v>0</v>
      </c>
    </row>
    <row r="58" spans="2:8">
      <c r="B58" s="46" t="s">
        <v>798</v>
      </c>
      <c r="C58" s="46" t="s">
        <v>851</v>
      </c>
      <c r="D58" s="46" t="s">
        <v>795</v>
      </c>
      <c r="E58" s="45" t="s">
        <v>383</v>
      </c>
      <c r="F58" s="47">
        <v>10000</v>
      </c>
      <c r="G58" s="47">
        <v>24618</v>
      </c>
      <c r="H58" s="47">
        <v>25000</v>
      </c>
    </row>
    <row r="59" spans="2:8">
      <c r="B59" s="46" t="s">
        <v>798</v>
      </c>
      <c r="C59" s="46" t="s">
        <v>852</v>
      </c>
      <c r="D59" s="46" t="s">
        <v>795</v>
      </c>
      <c r="E59" s="45" t="s">
        <v>568</v>
      </c>
      <c r="F59" s="47">
        <v>0</v>
      </c>
      <c r="G59" s="47">
        <v>0</v>
      </c>
      <c r="H59" s="47">
        <v>0</v>
      </c>
    </row>
    <row r="60" spans="2:8">
      <c r="B60" s="46" t="s">
        <v>798</v>
      </c>
      <c r="C60" s="46" t="s">
        <v>853</v>
      </c>
      <c r="D60" s="46" t="s">
        <v>795</v>
      </c>
      <c r="E60" s="45" t="s">
        <v>384</v>
      </c>
      <c r="F60" s="47">
        <v>0</v>
      </c>
      <c r="G60" s="47">
        <v>0</v>
      </c>
      <c r="H60" s="47">
        <v>0</v>
      </c>
    </row>
    <row r="61" spans="2:8">
      <c r="B61" s="46" t="s">
        <v>798</v>
      </c>
      <c r="C61" s="46" t="s">
        <v>854</v>
      </c>
      <c r="D61" s="46" t="s">
        <v>795</v>
      </c>
      <c r="E61" s="45" t="s">
        <v>385</v>
      </c>
      <c r="F61" s="47">
        <v>0</v>
      </c>
      <c r="G61" s="47">
        <v>0</v>
      </c>
      <c r="H61" s="47">
        <v>0</v>
      </c>
    </row>
    <row r="62" spans="2:8">
      <c r="B62" s="46" t="s">
        <v>798</v>
      </c>
      <c r="C62" s="46" t="s">
        <v>855</v>
      </c>
      <c r="D62" s="46" t="s">
        <v>795</v>
      </c>
      <c r="E62" s="45" t="s">
        <v>569</v>
      </c>
      <c r="F62" s="47">
        <v>112004</v>
      </c>
      <c r="G62" s="47">
        <v>96585</v>
      </c>
      <c r="H62" s="47">
        <v>96000</v>
      </c>
    </row>
    <row r="63" spans="2:8">
      <c r="B63" s="46" t="s">
        <v>798</v>
      </c>
      <c r="C63" s="46" t="s">
        <v>856</v>
      </c>
      <c r="D63" s="46" t="s">
        <v>795</v>
      </c>
      <c r="E63" s="45" t="s">
        <v>570</v>
      </c>
      <c r="F63" s="47">
        <v>90000</v>
      </c>
      <c r="G63" s="47">
        <v>89928</v>
      </c>
      <c r="H63" s="47">
        <v>90000</v>
      </c>
    </row>
    <row r="64" spans="2:8">
      <c r="B64" s="46" t="s">
        <v>798</v>
      </c>
      <c r="C64" s="46" t="s">
        <v>857</v>
      </c>
      <c r="D64" s="46" t="s">
        <v>795</v>
      </c>
      <c r="E64" s="45" t="s">
        <v>387</v>
      </c>
      <c r="F64" s="47">
        <v>997</v>
      </c>
      <c r="G64" s="47">
        <v>0</v>
      </c>
      <c r="H64" s="47">
        <v>0</v>
      </c>
    </row>
    <row r="65" spans="2:8">
      <c r="B65" s="46" t="s">
        <v>798</v>
      </c>
      <c r="C65" s="46" t="s">
        <v>858</v>
      </c>
      <c r="D65" s="46" t="s">
        <v>795</v>
      </c>
      <c r="E65" s="45" t="s">
        <v>571</v>
      </c>
      <c r="F65" s="47">
        <v>43001</v>
      </c>
      <c r="G65" s="47">
        <v>25808</v>
      </c>
      <c r="H65" s="47">
        <v>26000</v>
      </c>
    </row>
    <row r="66" spans="2:8">
      <c r="B66" s="46" t="s">
        <v>798</v>
      </c>
      <c r="C66" s="46" t="s">
        <v>859</v>
      </c>
      <c r="D66" s="46" t="s">
        <v>795</v>
      </c>
      <c r="E66" s="45" t="s">
        <v>573</v>
      </c>
      <c r="F66" s="47">
        <v>83001</v>
      </c>
      <c r="G66" s="47">
        <v>0</v>
      </c>
      <c r="H66" s="47">
        <v>0</v>
      </c>
    </row>
    <row r="67" spans="2:8">
      <c r="B67" s="46" t="s">
        <v>798</v>
      </c>
      <c r="C67" s="46" t="s">
        <v>860</v>
      </c>
      <c r="D67" s="46" t="s">
        <v>795</v>
      </c>
      <c r="E67" s="45" t="s">
        <v>390</v>
      </c>
      <c r="F67" s="47">
        <v>0</v>
      </c>
      <c r="G67" s="47">
        <v>0</v>
      </c>
      <c r="H67" s="47">
        <v>0</v>
      </c>
    </row>
    <row r="69" spans="2:8" ht="15" thickBot="1">
      <c r="B69" s="40" t="s">
        <v>862</v>
      </c>
      <c r="C69" s="43"/>
      <c r="D69" s="43"/>
      <c r="E69" s="43"/>
      <c r="F69" s="39">
        <f>SUM(F5:F68)</f>
        <v>9002006</v>
      </c>
      <c r="G69" s="39">
        <f>SUM(G5:G68)</f>
        <v>10117636.109999999</v>
      </c>
      <c r="H69" s="39">
        <f>SUM(H5:H68)</f>
        <v>10216000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2:H8"/>
  <sheetViews>
    <sheetView rightToLeft="1" workbookViewId="0">
      <selection activeCell="M30" sqref="M30"/>
    </sheetView>
  </sheetViews>
  <sheetFormatPr defaultRowHeight="14.25"/>
  <cols>
    <col min="1" max="1" width="3.75" customWidth="1"/>
    <col min="2" max="2" width="4.625" bestFit="1" customWidth="1"/>
    <col min="3" max="3" width="6.875" bestFit="1" customWidth="1"/>
    <col min="4" max="4" width="6.625" customWidth="1"/>
    <col min="5" max="5" width="15.375" bestFit="1" customWidth="1"/>
  </cols>
  <sheetData>
    <row r="2" spans="2:8" ht="15">
      <c r="B2" s="1" t="s">
        <v>873</v>
      </c>
    </row>
    <row r="4" spans="2:8" ht="45">
      <c r="B4" s="41" t="s">
        <v>596</v>
      </c>
      <c r="C4" s="41" t="s">
        <v>597</v>
      </c>
      <c r="D4" s="41" t="s">
        <v>598</v>
      </c>
      <c r="E4" s="41" t="s">
        <v>1</v>
      </c>
      <c r="F4" s="41" t="s">
        <v>422</v>
      </c>
      <c r="G4" s="41" t="s">
        <v>423</v>
      </c>
      <c r="H4" s="41" t="s">
        <v>425</v>
      </c>
    </row>
    <row r="5" spans="2:8">
      <c r="B5" s="46" t="s">
        <v>740</v>
      </c>
      <c r="C5" s="46" t="s">
        <v>870</v>
      </c>
      <c r="D5" s="46" t="s">
        <v>738</v>
      </c>
      <c r="E5" s="45" t="s">
        <v>574</v>
      </c>
      <c r="F5" s="47">
        <v>2200000</v>
      </c>
      <c r="G5" s="47">
        <v>1649000.99</v>
      </c>
      <c r="H5" s="47">
        <v>500000</v>
      </c>
    </row>
    <row r="6" spans="2:8">
      <c r="B6" s="46" t="s">
        <v>740</v>
      </c>
      <c r="C6" s="46" t="s">
        <v>871</v>
      </c>
      <c r="D6" s="46" t="s">
        <v>738</v>
      </c>
      <c r="E6" s="45" t="s">
        <v>575</v>
      </c>
      <c r="F6" s="47">
        <v>1800000</v>
      </c>
      <c r="G6" s="47">
        <v>1100994.44</v>
      </c>
      <c r="H6" s="47">
        <v>1200000</v>
      </c>
    </row>
    <row r="8" spans="2:8" ht="15" thickBot="1">
      <c r="B8" s="43" t="s">
        <v>872</v>
      </c>
      <c r="C8" s="43"/>
      <c r="D8" s="43"/>
      <c r="E8" s="43"/>
      <c r="F8" s="39">
        <f>SUM(F5:F7)</f>
        <v>4000000</v>
      </c>
      <c r="G8" s="39">
        <f>SUM(G5:G7)</f>
        <v>2749995.4299999997</v>
      </c>
      <c r="H8" s="39">
        <f>SUM(H5:H7)</f>
        <v>1700000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2:H10"/>
  <sheetViews>
    <sheetView rightToLeft="1" workbookViewId="0">
      <selection activeCell="M30" sqref="M30"/>
    </sheetView>
  </sheetViews>
  <sheetFormatPr defaultRowHeight="14.25"/>
  <cols>
    <col min="1" max="1" width="3.125" customWidth="1"/>
    <col min="2" max="2" width="4.625" bestFit="1" customWidth="1"/>
    <col min="3" max="3" width="6.875" bestFit="1" customWidth="1"/>
    <col min="4" max="4" width="6.375" customWidth="1"/>
    <col min="5" max="5" width="20.625" bestFit="1" customWidth="1"/>
  </cols>
  <sheetData>
    <row r="2" spans="2:8" ht="15">
      <c r="B2" s="1" t="s">
        <v>1134</v>
      </c>
    </row>
    <row r="4" spans="2:8" ht="45">
      <c r="B4" s="41" t="s">
        <v>596</v>
      </c>
      <c r="C4" s="41" t="s">
        <v>597</v>
      </c>
      <c r="D4" s="41" t="s">
        <v>598</v>
      </c>
      <c r="E4" s="41" t="s">
        <v>1</v>
      </c>
      <c r="F4" s="41" t="s">
        <v>422</v>
      </c>
      <c r="G4" s="41" t="s">
        <v>423</v>
      </c>
      <c r="H4" s="41" t="s">
        <v>425</v>
      </c>
    </row>
    <row r="5" spans="2:8">
      <c r="B5" s="46" t="s">
        <v>1030</v>
      </c>
      <c r="C5" s="46" t="s">
        <v>1128</v>
      </c>
      <c r="D5" s="46" t="s">
        <v>1129</v>
      </c>
      <c r="E5" s="45" t="s">
        <v>433</v>
      </c>
      <c r="F5" s="47">
        <v>0</v>
      </c>
      <c r="G5" s="47">
        <v>689516</v>
      </c>
      <c r="H5" s="47">
        <v>0</v>
      </c>
    </row>
    <row r="6" spans="2:8">
      <c r="B6" s="46" t="s">
        <v>1030</v>
      </c>
      <c r="C6" s="46" t="s">
        <v>1130</v>
      </c>
      <c r="D6" s="46" t="s">
        <v>1129</v>
      </c>
      <c r="E6" s="45" t="s">
        <v>435</v>
      </c>
      <c r="F6" s="47">
        <v>0</v>
      </c>
      <c r="G6" s="47">
        <v>945000</v>
      </c>
      <c r="H6" s="47">
        <v>0</v>
      </c>
    </row>
    <row r="7" spans="2:8">
      <c r="B7" s="46" t="s">
        <v>1030</v>
      </c>
      <c r="C7" s="46" t="s">
        <v>1131</v>
      </c>
      <c r="D7" s="46" t="s">
        <v>1132</v>
      </c>
      <c r="E7" s="45" t="s">
        <v>583</v>
      </c>
      <c r="F7" s="47">
        <v>0</v>
      </c>
      <c r="G7" s="47">
        <v>450000</v>
      </c>
      <c r="H7" s="47">
        <v>0</v>
      </c>
    </row>
    <row r="8" spans="2:8">
      <c r="B8" s="46" t="s">
        <v>734</v>
      </c>
      <c r="C8" s="46" t="s">
        <v>1133</v>
      </c>
      <c r="D8" s="46" t="s">
        <v>1132</v>
      </c>
      <c r="E8" s="45" t="s">
        <v>584</v>
      </c>
      <c r="F8" s="47">
        <v>0</v>
      </c>
      <c r="G8" s="47">
        <v>3200000</v>
      </c>
      <c r="H8" s="47">
        <v>0</v>
      </c>
    </row>
    <row r="10" spans="2:8" ht="15" thickBot="1">
      <c r="B10" s="48" t="s">
        <v>726</v>
      </c>
      <c r="C10" s="43"/>
      <c r="D10" s="43"/>
      <c r="E10" s="43"/>
      <c r="F10" s="39">
        <f>SUM(F5:F9)</f>
        <v>0</v>
      </c>
      <c r="G10" s="39">
        <f>SUM(G5:G9)</f>
        <v>5284516</v>
      </c>
      <c r="H10" s="39">
        <f>SUM(H5:H9)</f>
        <v>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2:H192"/>
  <sheetViews>
    <sheetView rightToLeft="1" topLeftCell="D162" workbookViewId="0">
      <selection activeCell="M30" sqref="M30"/>
    </sheetView>
  </sheetViews>
  <sheetFormatPr defaultRowHeight="14.25"/>
  <cols>
    <col min="1" max="1" width="3.875" customWidth="1"/>
    <col min="2" max="2" width="4.625" bestFit="1" customWidth="1"/>
    <col min="4" max="4" width="6.25" customWidth="1"/>
    <col min="5" max="5" width="22.875" bestFit="1" customWidth="1"/>
    <col min="6" max="7" width="10.875" bestFit="1" customWidth="1"/>
    <col min="8" max="8" width="9.875" bestFit="1" customWidth="1"/>
    <col min="9" max="9" width="9" customWidth="1"/>
    <col min="13" max="13" width="9" customWidth="1"/>
  </cols>
  <sheetData>
    <row r="2" spans="2:8" ht="15">
      <c r="B2" s="1" t="s">
        <v>988</v>
      </c>
    </row>
    <row r="4" spans="2:8" ht="45">
      <c r="B4" s="41" t="s">
        <v>596</v>
      </c>
      <c r="C4" s="41" t="s">
        <v>597</v>
      </c>
      <c r="D4" s="41" t="s">
        <v>598</v>
      </c>
      <c r="E4" s="41" t="s">
        <v>1</v>
      </c>
      <c r="F4" s="41" t="s">
        <v>418</v>
      </c>
      <c r="G4" s="41" t="s">
        <v>419</v>
      </c>
      <c r="H4" s="41" t="s">
        <v>416</v>
      </c>
    </row>
    <row r="5" spans="2:8">
      <c r="B5" s="46" t="s">
        <v>874</v>
      </c>
      <c r="C5" s="46" t="s">
        <v>875</v>
      </c>
      <c r="D5" s="46" t="s">
        <v>876</v>
      </c>
      <c r="E5" s="45" t="s">
        <v>4</v>
      </c>
      <c r="F5" s="37">
        <v>12000</v>
      </c>
      <c r="G5" s="37">
        <v>32541</v>
      </c>
      <c r="H5" s="37">
        <v>20000</v>
      </c>
    </row>
    <row r="6" spans="2:8">
      <c r="B6" s="46" t="s">
        <v>877</v>
      </c>
      <c r="C6" s="46" t="s">
        <v>875</v>
      </c>
      <c r="D6" s="46" t="s">
        <v>876</v>
      </c>
      <c r="E6" s="45" t="s">
        <v>5</v>
      </c>
      <c r="F6" s="37">
        <v>15000</v>
      </c>
      <c r="G6" s="37">
        <v>10100</v>
      </c>
      <c r="H6" s="37">
        <v>15000</v>
      </c>
    </row>
    <row r="7" spans="2:8">
      <c r="B7" s="46" t="s">
        <v>878</v>
      </c>
      <c r="C7" s="46" t="s">
        <v>875</v>
      </c>
      <c r="D7" s="46" t="s">
        <v>876</v>
      </c>
      <c r="E7" s="45" t="s">
        <v>6</v>
      </c>
      <c r="F7" s="37">
        <v>0</v>
      </c>
      <c r="G7" s="37">
        <v>0</v>
      </c>
      <c r="H7" s="37">
        <v>30000</v>
      </c>
    </row>
    <row r="8" spans="2:8">
      <c r="B8" s="46" t="s">
        <v>879</v>
      </c>
      <c r="C8" s="46" t="s">
        <v>875</v>
      </c>
      <c r="D8" s="46" t="s">
        <v>876</v>
      </c>
      <c r="E8" s="45" t="s">
        <v>7</v>
      </c>
      <c r="F8" s="37">
        <v>0</v>
      </c>
      <c r="G8" s="37">
        <v>0</v>
      </c>
      <c r="H8" s="37">
        <v>0</v>
      </c>
    </row>
    <row r="9" spans="2:8">
      <c r="B9" s="46" t="s">
        <v>880</v>
      </c>
      <c r="C9" s="46" t="s">
        <v>875</v>
      </c>
      <c r="D9" s="46" t="s">
        <v>876</v>
      </c>
      <c r="E9" s="45" t="s">
        <v>8</v>
      </c>
      <c r="F9" s="37">
        <v>0</v>
      </c>
      <c r="G9" s="37">
        <v>0</v>
      </c>
      <c r="H9" s="37">
        <v>2000</v>
      </c>
    </row>
    <row r="10" spans="2:8">
      <c r="B10" s="46" t="s">
        <v>881</v>
      </c>
      <c r="C10" s="46" t="s">
        <v>875</v>
      </c>
      <c r="D10" s="46" t="s">
        <v>876</v>
      </c>
      <c r="E10" s="45" t="s">
        <v>9</v>
      </c>
      <c r="F10" s="37">
        <v>50000</v>
      </c>
      <c r="G10" s="37">
        <v>64780.52</v>
      </c>
      <c r="H10" s="37">
        <v>60000</v>
      </c>
    </row>
    <row r="11" spans="2:8">
      <c r="B11" s="46" t="s">
        <v>882</v>
      </c>
      <c r="C11" s="46" t="s">
        <v>875</v>
      </c>
      <c r="D11" s="46" t="s">
        <v>876</v>
      </c>
      <c r="E11" s="45" t="s">
        <v>10</v>
      </c>
      <c r="F11" s="37">
        <v>25000</v>
      </c>
      <c r="G11" s="37">
        <v>3087.89</v>
      </c>
      <c r="H11" s="37">
        <v>35000</v>
      </c>
    </row>
    <row r="12" spans="2:8">
      <c r="B12" s="46" t="s">
        <v>883</v>
      </c>
      <c r="C12" s="46" t="s">
        <v>875</v>
      </c>
      <c r="D12" s="46" t="s">
        <v>876</v>
      </c>
      <c r="E12" s="45" t="s">
        <v>11</v>
      </c>
      <c r="F12" s="37">
        <v>0</v>
      </c>
      <c r="G12" s="37">
        <v>12044.88</v>
      </c>
      <c r="H12" s="37">
        <v>0</v>
      </c>
    </row>
    <row r="13" spans="2:8">
      <c r="B13" s="46" t="s">
        <v>884</v>
      </c>
      <c r="C13" s="46" t="s">
        <v>875</v>
      </c>
      <c r="D13" s="46" t="s">
        <v>876</v>
      </c>
      <c r="E13" s="45" t="s">
        <v>12</v>
      </c>
      <c r="F13" s="37">
        <v>0</v>
      </c>
      <c r="G13" s="37">
        <v>0</v>
      </c>
      <c r="H13" s="37">
        <v>0</v>
      </c>
    </row>
    <row r="14" spans="2:8">
      <c r="B14" s="46" t="s">
        <v>885</v>
      </c>
      <c r="C14" s="46" t="s">
        <v>875</v>
      </c>
      <c r="D14" s="46" t="s">
        <v>876</v>
      </c>
      <c r="E14" s="45" t="s">
        <v>13</v>
      </c>
      <c r="F14" s="37">
        <v>25000</v>
      </c>
      <c r="G14" s="37">
        <v>-5226.6400000000003</v>
      </c>
      <c r="H14" s="37">
        <v>0</v>
      </c>
    </row>
    <row r="15" spans="2:8">
      <c r="B15" s="46" t="s">
        <v>886</v>
      </c>
      <c r="C15" s="46" t="s">
        <v>875</v>
      </c>
      <c r="D15" s="46" t="s">
        <v>876</v>
      </c>
      <c r="E15" s="45" t="s">
        <v>14</v>
      </c>
      <c r="F15" s="37">
        <v>0</v>
      </c>
      <c r="G15" s="37">
        <v>8273.3700000000008</v>
      </c>
      <c r="H15" s="37">
        <v>8000</v>
      </c>
    </row>
    <row r="16" spans="2:8">
      <c r="B16" s="46" t="s">
        <v>887</v>
      </c>
      <c r="C16" s="46" t="s">
        <v>875</v>
      </c>
      <c r="D16" s="46" t="s">
        <v>876</v>
      </c>
      <c r="E16" s="45" t="s">
        <v>15</v>
      </c>
      <c r="F16" s="37">
        <v>0</v>
      </c>
      <c r="G16" s="37">
        <v>0</v>
      </c>
      <c r="H16" s="37">
        <v>0</v>
      </c>
    </row>
    <row r="17" spans="2:8">
      <c r="B17" s="46" t="s">
        <v>888</v>
      </c>
      <c r="C17" s="46" t="s">
        <v>875</v>
      </c>
      <c r="D17" s="46" t="s">
        <v>876</v>
      </c>
      <c r="E17" s="45" t="s">
        <v>16</v>
      </c>
      <c r="F17" s="37">
        <v>0</v>
      </c>
      <c r="G17" s="37">
        <v>0</v>
      </c>
      <c r="H17" s="37">
        <v>0</v>
      </c>
    </row>
    <row r="18" spans="2:8">
      <c r="B18" s="46" t="s">
        <v>889</v>
      </c>
      <c r="C18" s="46" t="s">
        <v>875</v>
      </c>
      <c r="D18" s="46" t="s">
        <v>876</v>
      </c>
      <c r="E18" s="45" t="s">
        <v>17</v>
      </c>
      <c r="F18" s="37">
        <v>0</v>
      </c>
      <c r="G18" s="37">
        <v>0</v>
      </c>
      <c r="H18" s="37">
        <v>0</v>
      </c>
    </row>
    <row r="19" spans="2:8">
      <c r="B19" s="46" t="s">
        <v>890</v>
      </c>
      <c r="C19" s="46" t="s">
        <v>875</v>
      </c>
      <c r="D19" s="46" t="s">
        <v>876</v>
      </c>
      <c r="E19" s="45" t="s">
        <v>18</v>
      </c>
      <c r="F19" s="37">
        <v>7000</v>
      </c>
      <c r="G19" s="37">
        <v>14180.29</v>
      </c>
      <c r="H19" s="37">
        <v>10000</v>
      </c>
    </row>
    <row r="20" spans="2:8">
      <c r="B20" s="46" t="s">
        <v>798</v>
      </c>
      <c r="C20" s="46" t="s">
        <v>875</v>
      </c>
      <c r="D20" s="46" t="s">
        <v>876</v>
      </c>
      <c r="E20" s="45" t="s">
        <v>19</v>
      </c>
      <c r="F20" s="37">
        <v>0</v>
      </c>
      <c r="G20" s="37">
        <v>0</v>
      </c>
      <c r="H20" s="37">
        <v>0</v>
      </c>
    </row>
    <row r="21" spans="2:8">
      <c r="B21" s="46" t="s">
        <v>880</v>
      </c>
      <c r="C21" s="46" t="s">
        <v>891</v>
      </c>
      <c r="D21" s="46" t="s">
        <v>876</v>
      </c>
      <c r="E21" s="45" t="s">
        <v>21</v>
      </c>
      <c r="F21" s="37">
        <v>0</v>
      </c>
      <c r="G21" s="37">
        <v>4600</v>
      </c>
      <c r="H21" s="37">
        <v>2000</v>
      </c>
    </row>
    <row r="22" spans="2:8">
      <c r="B22" s="46" t="s">
        <v>892</v>
      </c>
      <c r="C22" s="46" t="s">
        <v>891</v>
      </c>
      <c r="D22" s="46" t="s">
        <v>876</v>
      </c>
      <c r="E22" s="45" t="s">
        <v>22</v>
      </c>
      <c r="F22" s="37">
        <v>3000</v>
      </c>
      <c r="G22" s="37">
        <v>8378</v>
      </c>
      <c r="H22" s="37">
        <v>3000</v>
      </c>
    </row>
    <row r="23" spans="2:8">
      <c r="B23" s="46" t="s">
        <v>798</v>
      </c>
      <c r="C23" s="46" t="s">
        <v>891</v>
      </c>
      <c r="D23" s="46" t="s">
        <v>876</v>
      </c>
      <c r="E23" s="45" t="s">
        <v>23</v>
      </c>
      <c r="F23" s="37">
        <v>0</v>
      </c>
      <c r="G23" s="37">
        <v>1298</v>
      </c>
      <c r="H23" s="37">
        <v>0</v>
      </c>
    </row>
    <row r="24" spans="2:8">
      <c r="B24" s="46" t="s">
        <v>893</v>
      </c>
      <c r="C24" s="46" t="s">
        <v>894</v>
      </c>
      <c r="D24" s="46" t="s">
        <v>876</v>
      </c>
      <c r="E24" s="45" t="s">
        <v>26</v>
      </c>
      <c r="F24" s="37">
        <v>20000</v>
      </c>
      <c r="G24" s="37">
        <v>11018.99</v>
      </c>
      <c r="H24" s="37">
        <v>12000</v>
      </c>
    </row>
    <row r="25" spans="2:8">
      <c r="B25" s="46" t="s">
        <v>874</v>
      </c>
      <c r="C25" s="46" t="s">
        <v>894</v>
      </c>
      <c r="D25" s="46" t="s">
        <v>876</v>
      </c>
      <c r="E25" s="45" t="s">
        <v>27</v>
      </c>
      <c r="F25" s="37">
        <v>2000</v>
      </c>
      <c r="G25" s="37">
        <v>0</v>
      </c>
      <c r="H25" s="37">
        <v>0</v>
      </c>
    </row>
    <row r="26" spans="2:8">
      <c r="B26" s="46" t="s">
        <v>879</v>
      </c>
      <c r="C26" s="46" t="s">
        <v>894</v>
      </c>
      <c r="D26" s="46" t="s">
        <v>876</v>
      </c>
      <c r="E26" s="45" t="s">
        <v>7</v>
      </c>
      <c r="F26" s="37">
        <v>1000</v>
      </c>
      <c r="G26" s="37">
        <v>0</v>
      </c>
      <c r="H26" s="37">
        <v>0</v>
      </c>
    </row>
    <row r="27" spans="2:8">
      <c r="B27" s="46" t="s">
        <v>880</v>
      </c>
      <c r="C27" s="46" t="s">
        <v>894</v>
      </c>
      <c r="D27" s="46" t="s">
        <v>876</v>
      </c>
      <c r="E27" s="45" t="s">
        <v>28</v>
      </c>
      <c r="F27" s="37">
        <v>0</v>
      </c>
      <c r="G27" s="37">
        <v>3390</v>
      </c>
      <c r="H27" s="37">
        <v>3000</v>
      </c>
    </row>
    <row r="28" spans="2:8">
      <c r="B28" s="46" t="s">
        <v>885</v>
      </c>
      <c r="C28" s="46" t="s">
        <v>894</v>
      </c>
      <c r="D28" s="46" t="s">
        <v>876</v>
      </c>
      <c r="E28" s="45" t="s">
        <v>29</v>
      </c>
      <c r="F28" s="37">
        <v>40000</v>
      </c>
      <c r="G28" s="37">
        <v>80772.009999999995</v>
      </c>
      <c r="H28" s="37">
        <v>80000</v>
      </c>
    </row>
    <row r="29" spans="2:8">
      <c r="B29" s="46" t="s">
        <v>892</v>
      </c>
      <c r="C29" s="46" t="s">
        <v>894</v>
      </c>
      <c r="D29" s="46" t="s">
        <v>876</v>
      </c>
      <c r="E29" s="45" t="s">
        <v>30</v>
      </c>
      <c r="F29" s="37">
        <v>10000</v>
      </c>
      <c r="G29" s="37">
        <v>17522.400000000001</v>
      </c>
      <c r="H29" s="37">
        <v>15000</v>
      </c>
    </row>
    <row r="30" spans="2:8">
      <c r="B30" s="46" t="s">
        <v>886</v>
      </c>
      <c r="C30" s="46" t="s">
        <v>894</v>
      </c>
      <c r="D30" s="46" t="s">
        <v>876</v>
      </c>
      <c r="E30" s="45" t="s">
        <v>14</v>
      </c>
      <c r="F30" s="37">
        <v>30000</v>
      </c>
      <c r="G30" s="37">
        <v>36912.6</v>
      </c>
      <c r="H30" s="37">
        <v>35000</v>
      </c>
    </row>
    <row r="31" spans="2:8">
      <c r="B31" s="46" t="s">
        <v>733</v>
      </c>
      <c r="C31" s="46" t="s">
        <v>894</v>
      </c>
      <c r="D31" s="46" t="s">
        <v>876</v>
      </c>
      <c r="E31" s="45" t="s">
        <v>31</v>
      </c>
      <c r="F31" s="37">
        <v>0</v>
      </c>
      <c r="G31" s="37">
        <v>0</v>
      </c>
      <c r="H31" s="37">
        <v>0</v>
      </c>
    </row>
    <row r="32" spans="2:8">
      <c r="B32" s="46" t="s">
        <v>895</v>
      </c>
      <c r="C32" s="46" t="s">
        <v>894</v>
      </c>
      <c r="D32" s="46" t="s">
        <v>876</v>
      </c>
      <c r="E32" s="45" t="s">
        <v>32</v>
      </c>
      <c r="F32" s="37">
        <v>0</v>
      </c>
      <c r="G32" s="37">
        <v>0</v>
      </c>
      <c r="H32" s="37">
        <v>0</v>
      </c>
    </row>
    <row r="33" spans="2:8">
      <c r="B33" s="46" t="s">
        <v>742</v>
      </c>
      <c r="C33" s="46" t="s">
        <v>894</v>
      </c>
      <c r="D33" s="46" t="s">
        <v>876</v>
      </c>
      <c r="E33" s="45" t="s">
        <v>33</v>
      </c>
      <c r="F33" s="37">
        <v>1000</v>
      </c>
      <c r="G33" s="37">
        <v>0</v>
      </c>
      <c r="H33" s="37">
        <v>0</v>
      </c>
    </row>
    <row r="34" spans="2:8">
      <c r="B34" s="46" t="s">
        <v>887</v>
      </c>
      <c r="C34" s="46" t="s">
        <v>894</v>
      </c>
      <c r="D34" s="46" t="s">
        <v>876</v>
      </c>
      <c r="E34" s="45" t="s">
        <v>34</v>
      </c>
      <c r="F34" s="37">
        <v>25000</v>
      </c>
      <c r="G34" s="37">
        <v>32554.9</v>
      </c>
      <c r="H34" s="37">
        <v>35000</v>
      </c>
    </row>
    <row r="35" spans="2:8">
      <c r="B35" s="46" t="s">
        <v>890</v>
      </c>
      <c r="C35" s="46" t="s">
        <v>894</v>
      </c>
      <c r="D35" s="46" t="s">
        <v>876</v>
      </c>
      <c r="E35" s="45" t="s">
        <v>18</v>
      </c>
      <c r="F35" s="37">
        <v>38000</v>
      </c>
      <c r="G35" s="37">
        <v>25735</v>
      </c>
      <c r="H35" s="37">
        <v>25000</v>
      </c>
    </row>
    <row r="36" spans="2:8">
      <c r="B36" s="46" t="s">
        <v>735</v>
      </c>
      <c r="C36" s="46" t="s">
        <v>894</v>
      </c>
      <c r="D36" s="46" t="s">
        <v>876</v>
      </c>
      <c r="E36" s="45" t="s">
        <v>35</v>
      </c>
      <c r="F36" s="37">
        <v>0</v>
      </c>
      <c r="G36" s="37">
        <v>0</v>
      </c>
      <c r="H36" s="37">
        <v>0</v>
      </c>
    </row>
    <row r="37" spans="2:8">
      <c r="B37" s="46" t="s">
        <v>896</v>
      </c>
      <c r="C37" s="46" t="s">
        <v>894</v>
      </c>
      <c r="D37" s="46" t="s">
        <v>876</v>
      </c>
      <c r="E37" s="45" t="s">
        <v>36</v>
      </c>
      <c r="F37" s="37">
        <v>0</v>
      </c>
      <c r="G37" s="37">
        <v>0</v>
      </c>
      <c r="H37" s="37">
        <v>0</v>
      </c>
    </row>
    <row r="38" spans="2:8">
      <c r="B38" s="46" t="s">
        <v>897</v>
      </c>
      <c r="C38" s="46" t="s">
        <v>894</v>
      </c>
      <c r="D38" s="46" t="s">
        <v>876</v>
      </c>
      <c r="E38" s="45" t="s">
        <v>37</v>
      </c>
      <c r="F38" s="37">
        <v>0</v>
      </c>
      <c r="G38" s="37">
        <v>0</v>
      </c>
      <c r="H38" s="37">
        <v>0</v>
      </c>
    </row>
    <row r="39" spans="2:8">
      <c r="B39" s="46" t="s">
        <v>889</v>
      </c>
      <c r="C39" s="46" t="s">
        <v>898</v>
      </c>
      <c r="D39" s="46" t="s">
        <v>876</v>
      </c>
      <c r="E39" s="45" t="s">
        <v>39</v>
      </c>
      <c r="F39" s="37">
        <v>0</v>
      </c>
      <c r="G39" s="37">
        <v>0</v>
      </c>
      <c r="H39" s="37">
        <v>0</v>
      </c>
    </row>
    <row r="40" spans="2:8">
      <c r="B40" s="46" t="s">
        <v>878</v>
      </c>
      <c r="C40" s="46" t="s">
        <v>899</v>
      </c>
      <c r="D40" s="46" t="s">
        <v>876</v>
      </c>
      <c r="E40" s="45" t="s">
        <v>40</v>
      </c>
      <c r="F40" s="37">
        <v>50000</v>
      </c>
      <c r="G40" s="37">
        <v>55163</v>
      </c>
      <c r="H40" s="37">
        <v>110000</v>
      </c>
    </row>
    <row r="41" spans="2:8">
      <c r="B41" s="46" t="s">
        <v>878</v>
      </c>
      <c r="C41" s="46" t="s">
        <v>900</v>
      </c>
      <c r="D41" s="46" t="s">
        <v>876</v>
      </c>
      <c r="E41" s="45" t="s">
        <v>41</v>
      </c>
      <c r="F41" s="37">
        <v>0</v>
      </c>
      <c r="G41" s="37">
        <v>0</v>
      </c>
      <c r="H41" s="37">
        <v>0</v>
      </c>
    </row>
    <row r="42" spans="2:8">
      <c r="B42" s="46" t="s">
        <v>901</v>
      </c>
      <c r="C42" s="46" t="s">
        <v>902</v>
      </c>
      <c r="D42" s="46" t="s">
        <v>876</v>
      </c>
      <c r="E42" s="45" t="s">
        <v>42</v>
      </c>
      <c r="F42" s="37">
        <v>15000</v>
      </c>
      <c r="G42" s="37">
        <v>87379</v>
      </c>
      <c r="H42" s="37">
        <v>50000</v>
      </c>
    </row>
    <row r="43" spans="2:8">
      <c r="B43" s="46" t="s">
        <v>903</v>
      </c>
      <c r="C43" s="46" t="s">
        <v>902</v>
      </c>
      <c r="D43" s="46" t="s">
        <v>876</v>
      </c>
      <c r="E43" s="45" t="s">
        <v>43</v>
      </c>
      <c r="F43" s="37">
        <v>60000</v>
      </c>
      <c r="G43" s="37">
        <v>109959.47</v>
      </c>
      <c r="H43" s="37">
        <v>60000</v>
      </c>
    </row>
    <row r="44" spans="2:8">
      <c r="B44" s="46" t="s">
        <v>887</v>
      </c>
      <c r="C44" s="46" t="s">
        <v>902</v>
      </c>
      <c r="D44" s="46" t="s">
        <v>876</v>
      </c>
      <c r="E44" s="45" t="s">
        <v>44</v>
      </c>
      <c r="F44" s="37">
        <v>250000</v>
      </c>
      <c r="G44" s="37">
        <v>502300</v>
      </c>
      <c r="H44" s="37">
        <v>240000</v>
      </c>
    </row>
    <row r="45" spans="2:8">
      <c r="B45" s="46" t="s">
        <v>888</v>
      </c>
      <c r="C45" s="46" t="s">
        <v>902</v>
      </c>
      <c r="D45" s="46" t="s">
        <v>876</v>
      </c>
      <c r="E45" s="45" t="s">
        <v>45</v>
      </c>
      <c r="F45" s="37">
        <v>80000</v>
      </c>
      <c r="G45" s="37">
        <v>0</v>
      </c>
      <c r="H45" s="37">
        <v>110000</v>
      </c>
    </row>
    <row r="46" spans="2:8">
      <c r="B46" s="46" t="s">
        <v>890</v>
      </c>
      <c r="C46" s="46" t="s">
        <v>904</v>
      </c>
      <c r="D46" s="46" t="s">
        <v>876</v>
      </c>
      <c r="E46" s="45" t="s">
        <v>46</v>
      </c>
      <c r="F46" s="37">
        <v>0</v>
      </c>
      <c r="G46" s="37">
        <v>0</v>
      </c>
      <c r="H46" s="37">
        <v>0</v>
      </c>
    </row>
    <row r="47" spans="2:8">
      <c r="B47" s="46" t="s">
        <v>878</v>
      </c>
      <c r="C47" s="46" t="s">
        <v>905</v>
      </c>
      <c r="D47" s="46" t="s">
        <v>906</v>
      </c>
      <c r="E47" s="45" t="s">
        <v>6</v>
      </c>
      <c r="F47" s="37">
        <v>0</v>
      </c>
      <c r="G47" s="37">
        <v>5600</v>
      </c>
      <c r="H47" s="37">
        <v>3500</v>
      </c>
    </row>
    <row r="48" spans="2:8">
      <c r="B48" s="46" t="s">
        <v>880</v>
      </c>
      <c r="C48" s="46" t="s">
        <v>905</v>
      </c>
      <c r="D48" s="46" t="s">
        <v>906</v>
      </c>
      <c r="E48" s="45" t="s">
        <v>28</v>
      </c>
      <c r="F48" s="37">
        <v>3000</v>
      </c>
      <c r="G48" s="37">
        <v>0</v>
      </c>
      <c r="H48" s="37">
        <v>1500</v>
      </c>
    </row>
    <row r="49" spans="2:8">
      <c r="B49" s="46" t="s">
        <v>885</v>
      </c>
      <c r="C49" s="46" t="s">
        <v>905</v>
      </c>
      <c r="D49" s="46" t="s">
        <v>906</v>
      </c>
      <c r="E49" s="45" t="s">
        <v>50</v>
      </c>
      <c r="F49" s="37">
        <v>3000</v>
      </c>
      <c r="G49" s="37">
        <v>1453.8</v>
      </c>
      <c r="H49" s="37">
        <v>0</v>
      </c>
    </row>
    <row r="50" spans="2:8">
      <c r="B50" s="46" t="s">
        <v>892</v>
      </c>
      <c r="C50" s="46" t="s">
        <v>905</v>
      </c>
      <c r="D50" s="46" t="s">
        <v>906</v>
      </c>
      <c r="E50" s="45" t="s">
        <v>51</v>
      </c>
      <c r="F50" s="37">
        <v>2000</v>
      </c>
      <c r="G50" s="37">
        <v>4000</v>
      </c>
      <c r="H50" s="37"/>
    </row>
    <row r="51" spans="2:8">
      <c r="B51" s="46" t="s">
        <v>886</v>
      </c>
      <c r="C51" s="46" t="s">
        <v>905</v>
      </c>
      <c r="D51" s="46" t="s">
        <v>906</v>
      </c>
      <c r="E51" s="45" t="s">
        <v>52</v>
      </c>
      <c r="F51" s="37">
        <v>10000</v>
      </c>
      <c r="G51" s="37">
        <v>3353.78</v>
      </c>
      <c r="H51" s="37">
        <v>7000</v>
      </c>
    </row>
    <row r="52" spans="2:8">
      <c r="B52" s="46" t="s">
        <v>907</v>
      </c>
      <c r="C52" s="46" t="s">
        <v>905</v>
      </c>
      <c r="D52" s="46" t="s">
        <v>906</v>
      </c>
      <c r="E52" s="45" t="s">
        <v>53</v>
      </c>
      <c r="F52" s="37">
        <v>229000</v>
      </c>
      <c r="G52" s="37">
        <v>349760.71</v>
      </c>
      <c r="H52" s="37">
        <v>300000</v>
      </c>
    </row>
    <row r="53" spans="2:8">
      <c r="B53" s="46" t="s">
        <v>908</v>
      </c>
      <c r="C53" s="46" t="s">
        <v>905</v>
      </c>
      <c r="D53" s="46" t="s">
        <v>906</v>
      </c>
      <c r="E53" s="45" t="s">
        <v>54</v>
      </c>
      <c r="F53" s="37">
        <v>0</v>
      </c>
      <c r="G53" s="37">
        <v>0</v>
      </c>
      <c r="H53" s="37">
        <v>0</v>
      </c>
    </row>
    <row r="54" spans="2:8">
      <c r="B54" s="46" t="s">
        <v>887</v>
      </c>
      <c r="C54" s="46" t="s">
        <v>905</v>
      </c>
      <c r="D54" s="46" t="s">
        <v>906</v>
      </c>
      <c r="E54" s="45" t="s">
        <v>55</v>
      </c>
      <c r="F54" s="37">
        <v>0</v>
      </c>
      <c r="G54" s="37">
        <v>0</v>
      </c>
      <c r="H54" s="37">
        <v>0</v>
      </c>
    </row>
    <row r="55" spans="2:8">
      <c r="B55" s="46" t="s">
        <v>888</v>
      </c>
      <c r="C55" s="46" t="s">
        <v>905</v>
      </c>
      <c r="D55" s="46" t="s">
        <v>906</v>
      </c>
      <c r="E55" s="45" t="s">
        <v>56</v>
      </c>
      <c r="F55" s="37">
        <v>423000</v>
      </c>
      <c r="G55" s="37">
        <v>470900</v>
      </c>
      <c r="H55" s="37">
        <v>450000</v>
      </c>
    </row>
    <row r="56" spans="2:8">
      <c r="B56" s="46" t="s">
        <v>909</v>
      </c>
      <c r="C56" s="46" t="s">
        <v>905</v>
      </c>
      <c r="D56" s="46" t="s">
        <v>906</v>
      </c>
      <c r="E56" s="45" t="s">
        <v>57</v>
      </c>
      <c r="F56" s="37">
        <v>0</v>
      </c>
      <c r="G56" s="37">
        <v>0</v>
      </c>
      <c r="H56" s="37">
        <v>0</v>
      </c>
    </row>
    <row r="57" spans="2:8">
      <c r="B57" s="46" t="s">
        <v>890</v>
      </c>
      <c r="C57" s="46" t="s">
        <v>905</v>
      </c>
      <c r="D57" s="46" t="s">
        <v>906</v>
      </c>
      <c r="E57" s="45" t="s">
        <v>58</v>
      </c>
      <c r="F57" s="37">
        <v>0</v>
      </c>
      <c r="G57" s="37">
        <v>0</v>
      </c>
      <c r="H57" s="37">
        <v>0</v>
      </c>
    </row>
    <row r="58" spans="2:8">
      <c r="B58" s="46" t="s">
        <v>798</v>
      </c>
      <c r="C58" s="46" t="s">
        <v>905</v>
      </c>
      <c r="D58" s="46" t="s">
        <v>906</v>
      </c>
      <c r="E58" s="45" t="s">
        <v>19</v>
      </c>
      <c r="F58" s="37">
        <v>2000</v>
      </c>
      <c r="G58" s="37">
        <v>0</v>
      </c>
      <c r="H58" s="37">
        <v>6000</v>
      </c>
    </row>
    <row r="59" spans="2:8">
      <c r="B59" s="46" t="s">
        <v>885</v>
      </c>
      <c r="C59" s="46" t="s">
        <v>910</v>
      </c>
      <c r="D59" s="46" t="s">
        <v>906</v>
      </c>
      <c r="E59" s="45" t="s">
        <v>50</v>
      </c>
      <c r="F59" s="37">
        <v>0</v>
      </c>
      <c r="G59" s="37">
        <v>0</v>
      </c>
      <c r="H59" s="37"/>
    </row>
    <row r="60" spans="2:8">
      <c r="B60" s="46" t="s">
        <v>892</v>
      </c>
      <c r="C60" s="46" t="s">
        <v>910</v>
      </c>
      <c r="D60" s="46" t="s">
        <v>906</v>
      </c>
      <c r="E60" s="45" t="s">
        <v>51</v>
      </c>
      <c r="F60" s="37">
        <v>0</v>
      </c>
      <c r="G60" s="37">
        <v>0</v>
      </c>
      <c r="H60" s="37"/>
    </row>
    <row r="61" spans="2:8">
      <c r="B61" s="46" t="s">
        <v>886</v>
      </c>
      <c r="C61" s="46" t="s">
        <v>910</v>
      </c>
      <c r="D61" s="46" t="s">
        <v>906</v>
      </c>
      <c r="E61" s="45" t="s">
        <v>14</v>
      </c>
      <c r="F61" s="37">
        <v>10000</v>
      </c>
      <c r="G61" s="37">
        <v>7981.36</v>
      </c>
      <c r="H61" s="37">
        <v>8000</v>
      </c>
    </row>
    <row r="62" spans="2:8">
      <c r="B62" s="46" t="s">
        <v>907</v>
      </c>
      <c r="C62" s="46" t="s">
        <v>910</v>
      </c>
      <c r="D62" s="46" t="s">
        <v>906</v>
      </c>
      <c r="E62" s="45" t="s">
        <v>60</v>
      </c>
      <c r="F62" s="37">
        <v>0</v>
      </c>
      <c r="G62" s="37">
        <v>0</v>
      </c>
      <c r="H62" s="37">
        <v>0</v>
      </c>
    </row>
    <row r="63" spans="2:8">
      <c r="B63" s="46" t="s">
        <v>903</v>
      </c>
      <c r="C63" s="46" t="s">
        <v>910</v>
      </c>
      <c r="D63" s="46" t="s">
        <v>906</v>
      </c>
      <c r="E63" s="45" t="s">
        <v>61</v>
      </c>
      <c r="F63" s="37">
        <v>0</v>
      </c>
      <c r="G63" s="37">
        <v>0</v>
      </c>
      <c r="H63" s="37">
        <v>0</v>
      </c>
    </row>
    <row r="64" spans="2:8">
      <c r="B64" s="46" t="s">
        <v>887</v>
      </c>
      <c r="C64" s="46" t="s">
        <v>910</v>
      </c>
      <c r="D64" s="46" t="s">
        <v>906</v>
      </c>
      <c r="E64" s="45" t="s">
        <v>62</v>
      </c>
      <c r="F64" s="37">
        <v>400000</v>
      </c>
      <c r="G64" s="37">
        <v>293388.40000000002</v>
      </c>
      <c r="H64" s="37">
        <v>300000</v>
      </c>
    </row>
    <row r="65" spans="2:8">
      <c r="B65" s="46" t="s">
        <v>888</v>
      </c>
      <c r="C65" s="46" t="s">
        <v>910</v>
      </c>
      <c r="D65" s="46" t="s">
        <v>906</v>
      </c>
      <c r="E65" s="45" t="s">
        <v>63</v>
      </c>
      <c r="F65" s="37">
        <v>10000</v>
      </c>
      <c r="G65" s="37">
        <v>0</v>
      </c>
      <c r="H65" s="37">
        <v>0</v>
      </c>
    </row>
    <row r="66" spans="2:8">
      <c r="B66" s="46" t="s">
        <v>890</v>
      </c>
      <c r="C66" s="46" t="s">
        <v>910</v>
      </c>
      <c r="D66" s="46" t="s">
        <v>906</v>
      </c>
      <c r="E66" s="45" t="s">
        <v>58</v>
      </c>
      <c r="F66" s="37">
        <v>0</v>
      </c>
      <c r="G66" s="37">
        <v>0</v>
      </c>
      <c r="H66" s="37">
        <v>0</v>
      </c>
    </row>
    <row r="67" spans="2:8">
      <c r="B67" s="46" t="s">
        <v>798</v>
      </c>
      <c r="C67" s="46" t="s">
        <v>910</v>
      </c>
      <c r="D67" s="46" t="s">
        <v>906</v>
      </c>
      <c r="E67" s="45" t="s">
        <v>19</v>
      </c>
      <c r="F67" s="37">
        <v>2000</v>
      </c>
      <c r="G67" s="37">
        <v>4089.6</v>
      </c>
      <c r="H67" s="37">
        <v>2000</v>
      </c>
    </row>
    <row r="68" spans="2:8">
      <c r="B68" s="46" t="s">
        <v>742</v>
      </c>
      <c r="C68" s="46" t="s">
        <v>911</v>
      </c>
      <c r="D68" s="46" t="s">
        <v>912</v>
      </c>
      <c r="E68" s="45" t="s">
        <v>33</v>
      </c>
      <c r="F68" s="37">
        <v>3000</v>
      </c>
      <c r="G68" s="37">
        <v>4299</v>
      </c>
      <c r="H68" s="37">
        <v>3000</v>
      </c>
    </row>
    <row r="69" spans="2:8">
      <c r="B69" s="46" t="s">
        <v>887</v>
      </c>
      <c r="C69" s="46" t="s">
        <v>911</v>
      </c>
      <c r="D69" s="46" t="s">
        <v>912</v>
      </c>
      <c r="E69" s="45" t="s">
        <v>62</v>
      </c>
      <c r="F69" s="37">
        <v>420000</v>
      </c>
      <c r="G69" s="37">
        <v>522234</v>
      </c>
      <c r="H69" s="37">
        <v>450000</v>
      </c>
    </row>
    <row r="70" spans="2:8">
      <c r="B70" s="46" t="s">
        <v>888</v>
      </c>
      <c r="C70" s="46" t="s">
        <v>911</v>
      </c>
      <c r="D70" s="46" t="s">
        <v>912</v>
      </c>
      <c r="E70" s="45" t="s">
        <v>79</v>
      </c>
      <c r="F70" s="37">
        <v>10000</v>
      </c>
      <c r="G70" s="37">
        <v>16166</v>
      </c>
      <c r="H70" s="37">
        <v>10000</v>
      </c>
    </row>
    <row r="71" spans="2:8">
      <c r="B71" s="46" t="s">
        <v>890</v>
      </c>
      <c r="C71" s="46" t="s">
        <v>911</v>
      </c>
      <c r="D71" s="46" t="s">
        <v>912</v>
      </c>
      <c r="E71" s="45" t="s">
        <v>18</v>
      </c>
      <c r="F71" s="37">
        <v>0</v>
      </c>
      <c r="G71" s="37">
        <v>0</v>
      </c>
      <c r="H71" s="37">
        <v>0</v>
      </c>
    </row>
    <row r="72" spans="2:8">
      <c r="B72" s="46" t="s">
        <v>742</v>
      </c>
      <c r="C72" s="46" t="s">
        <v>913</v>
      </c>
      <c r="D72" s="46" t="s">
        <v>912</v>
      </c>
      <c r="E72" s="45" t="s">
        <v>33</v>
      </c>
      <c r="F72" s="37">
        <v>0</v>
      </c>
      <c r="G72" s="37">
        <v>0</v>
      </c>
      <c r="H72" s="37">
        <v>0</v>
      </c>
    </row>
    <row r="73" spans="2:8">
      <c r="B73" s="46" t="s">
        <v>887</v>
      </c>
      <c r="C73" s="46" t="s">
        <v>913</v>
      </c>
      <c r="D73" s="46" t="s">
        <v>912</v>
      </c>
      <c r="E73" s="45" t="s">
        <v>62</v>
      </c>
      <c r="F73" s="37">
        <v>0</v>
      </c>
      <c r="G73" s="37">
        <v>0</v>
      </c>
      <c r="H73" s="37">
        <v>0</v>
      </c>
    </row>
    <row r="74" spans="2:8">
      <c r="B74" s="46" t="s">
        <v>888</v>
      </c>
      <c r="C74" s="46" t="s">
        <v>913</v>
      </c>
      <c r="D74" s="46" t="s">
        <v>912</v>
      </c>
      <c r="E74" s="45" t="s">
        <v>80</v>
      </c>
      <c r="F74" s="37">
        <v>2350000</v>
      </c>
      <c r="G74" s="37">
        <v>2592825</v>
      </c>
      <c r="H74" s="37">
        <v>2500000</v>
      </c>
    </row>
    <row r="75" spans="2:8">
      <c r="B75" s="46" t="s">
        <v>798</v>
      </c>
      <c r="C75" s="46" t="s">
        <v>913</v>
      </c>
      <c r="D75" s="46" t="s">
        <v>912</v>
      </c>
      <c r="E75" s="45" t="s">
        <v>81</v>
      </c>
      <c r="F75" s="37">
        <v>0</v>
      </c>
      <c r="G75" s="37">
        <v>0</v>
      </c>
      <c r="H75" s="37">
        <v>0</v>
      </c>
    </row>
    <row r="76" spans="2:8">
      <c r="B76" s="46" t="s">
        <v>896</v>
      </c>
      <c r="C76" s="46" t="s">
        <v>914</v>
      </c>
      <c r="D76" s="46" t="s">
        <v>912</v>
      </c>
      <c r="E76" s="45" t="s">
        <v>83</v>
      </c>
      <c r="F76" s="37">
        <v>110000</v>
      </c>
      <c r="G76" s="37">
        <v>170460</v>
      </c>
      <c r="H76" s="37">
        <v>110000</v>
      </c>
    </row>
    <row r="77" spans="2:8">
      <c r="B77" s="46" t="s">
        <v>895</v>
      </c>
      <c r="C77" s="46" t="s">
        <v>915</v>
      </c>
      <c r="D77" s="46" t="s">
        <v>912</v>
      </c>
      <c r="E77" s="45" t="s">
        <v>84</v>
      </c>
      <c r="F77" s="37">
        <v>0</v>
      </c>
      <c r="G77" s="37">
        <v>0</v>
      </c>
      <c r="H77" s="37">
        <v>0</v>
      </c>
    </row>
    <row r="78" spans="2:8">
      <c r="B78" s="46" t="s">
        <v>742</v>
      </c>
      <c r="C78" s="46" t="s">
        <v>915</v>
      </c>
      <c r="D78" s="46" t="s">
        <v>912</v>
      </c>
      <c r="E78" s="45" t="s">
        <v>33</v>
      </c>
      <c r="F78" s="37">
        <v>0</v>
      </c>
      <c r="G78" s="37">
        <v>0</v>
      </c>
      <c r="H78" s="37">
        <v>0</v>
      </c>
    </row>
    <row r="79" spans="2:8">
      <c r="B79" s="46" t="s">
        <v>887</v>
      </c>
      <c r="C79" s="46" t="s">
        <v>915</v>
      </c>
      <c r="D79" s="46" t="s">
        <v>912</v>
      </c>
      <c r="E79" s="45" t="s">
        <v>85</v>
      </c>
      <c r="F79" s="37">
        <v>40000</v>
      </c>
      <c r="G79" s="37">
        <v>23995</v>
      </c>
      <c r="H79" s="37">
        <v>25000</v>
      </c>
    </row>
    <row r="80" spans="2:8">
      <c r="B80" s="46" t="s">
        <v>798</v>
      </c>
      <c r="C80" s="46" t="s">
        <v>915</v>
      </c>
      <c r="D80" s="46" t="s">
        <v>912</v>
      </c>
      <c r="E80" s="45" t="s">
        <v>19</v>
      </c>
      <c r="F80" s="37">
        <v>0</v>
      </c>
      <c r="G80" s="37">
        <v>0</v>
      </c>
      <c r="H80" s="37">
        <v>0</v>
      </c>
    </row>
    <row r="81" spans="2:8">
      <c r="B81" s="46" t="s">
        <v>916</v>
      </c>
      <c r="C81" s="46" t="s">
        <v>917</v>
      </c>
      <c r="D81" s="46" t="s">
        <v>918</v>
      </c>
      <c r="E81" s="45" t="s">
        <v>87</v>
      </c>
      <c r="F81" s="37">
        <v>15000</v>
      </c>
      <c r="G81" s="37">
        <v>17877.95</v>
      </c>
      <c r="H81" s="37"/>
    </row>
    <row r="82" spans="2:8">
      <c r="B82" s="46" t="s">
        <v>919</v>
      </c>
      <c r="C82" s="46" t="s">
        <v>917</v>
      </c>
      <c r="D82" s="46" t="s">
        <v>918</v>
      </c>
      <c r="E82" s="45" t="s">
        <v>88</v>
      </c>
      <c r="F82" s="37">
        <v>4000</v>
      </c>
      <c r="G82" s="37">
        <v>18623</v>
      </c>
      <c r="H82" s="37">
        <v>15000</v>
      </c>
    </row>
    <row r="83" spans="2:8">
      <c r="B83" s="46" t="s">
        <v>920</v>
      </c>
      <c r="C83" s="46" t="s">
        <v>917</v>
      </c>
      <c r="D83" s="46" t="s">
        <v>918</v>
      </c>
      <c r="E83" s="45" t="s">
        <v>89</v>
      </c>
      <c r="F83" s="37">
        <v>5000</v>
      </c>
      <c r="G83" s="37">
        <v>15531</v>
      </c>
      <c r="H83" s="37">
        <v>15000</v>
      </c>
    </row>
    <row r="84" spans="2:8">
      <c r="B84" s="46" t="s">
        <v>890</v>
      </c>
      <c r="C84" s="46" t="s">
        <v>917</v>
      </c>
      <c r="D84" s="46" t="s">
        <v>918</v>
      </c>
      <c r="E84" s="45" t="s">
        <v>594</v>
      </c>
      <c r="F84" s="37">
        <v>1000</v>
      </c>
      <c r="G84" s="37">
        <v>495</v>
      </c>
      <c r="H84" s="37">
        <v>11000</v>
      </c>
    </row>
    <row r="85" spans="2:8">
      <c r="B85" s="46" t="s">
        <v>887</v>
      </c>
      <c r="C85" s="46" t="s">
        <v>921</v>
      </c>
      <c r="D85" s="46" t="s">
        <v>918</v>
      </c>
      <c r="E85" s="45" t="s">
        <v>585</v>
      </c>
      <c r="F85" s="37">
        <v>0</v>
      </c>
      <c r="G85" s="37">
        <v>48545.43</v>
      </c>
      <c r="H85" s="37">
        <v>0</v>
      </c>
    </row>
    <row r="86" spans="2:8">
      <c r="B86" s="46" t="s">
        <v>735</v>
      </c>
      <c r="C86" s="46" t="s">
        <v>921</v>
      </c>
      <c r="D86" s="46" t="s">
        <v>918</v>
      </c>
      <c r="E86" s="45" t="s">
        <v>90</v>
      </c>
      <c r="F86" s="37">
        <v>80000</v>
      </c>
      <c r="G86" s="37">
        <v>0</v>
      </c>
      <c r="H86" s="37">
        <v>80000</v>
      </c>
    </row>
    <row r="87" spans="2:8">
      <c r="B87" s="46" t="s">
        <v>798</v>
      </c>
      <c r="C87" s="46" t="s">
        <v>921</v>
      </c>
      <c r="D87" s="46" t="s">
        <v>918</v>
      </c>
      <c r="E87" s="45" t="s">
        <v>586</v>
      </c>
      <c r="F87" s="37"/>
      <c r="G87" s="37"/>
      <c r="H87" s="38">
        <v>5000</v>
      </c>
    </row>
    <row r="88" spans="2:8">
      <c r="B88" s="46" t="s">
        <v>922</v>
      </c>
      <c r="C88" s="46" t="s">
        <v>921</v>
      </c>
      <c r="D88" s="46" t="s">
        <v>918</v>
      </c>
      <c r="E88" s="45" t="s">
        <v>91</v>
      </c>
      <c r="F88" s="37">
        <v>50000</v>
      </c>
      <c r="G88" s="37">
        <v>0</v>
      </c>
      <c r="H88" s="37">
        <v>50000</v>
      </c>
    </row>
    <row r="89" spans="2:8">
      <c r="B89" s="46" t="s">
        <v>889</v>
      </c>
      <c r="C89" s="46" t="s">
        <v>923</v>
      </c>
      <c r="D89" s="46" t="s">
        <v>918</v>
      </c>
      <c r="E89" s="45" t="s">
        <v>92</v>
      </c>
      <c r="F89" s="37">
        <v>0</v>
      </c>
      <c r="G89" s="37">
        <v>21740</v>
      </c>
      <c r="H89" s="37">
        <v>275000</v>
      </c>
    </row>
    <row r="90" spans="2:8">
      <c r="B90" s="46" t="s">
        <v>896</v>
      </c>
      <c r="C90" s="46" t="s">
        <v>923</v>
      </c>
      <c r="D90" s="46" t="s">
        <v>918</v>
      </c>
      <c r="E90" s="45" t="s">
        <v>93</v>
      </c>
      <c r="F90" s="37">
        <v>145000</v>
      </c>
      <c r="G90" s="37">
        <v>229200</v>
      </c>
      <c r="H90" s="37">
        <v>230000</v>
      </c>
    </row>
    <row r="91" spans="2:8">
      <c r="B91" s="46" t="s">
        <v>887</v>
      </c>
      <c r="C91" s="46" t="s">
        <v>924</v>
      </c>
      <c r="D91" s="46" t="s">
        <v>918</v>
      </c>
      <c r="E91" s="45" t="s">
        <v>94</v>
      </c>
      <c r="F91" s="37">
        <v>0</v>
      </c>
      <c r="G91" s="37">
        <v>12000</v>
      </c>
      <c r="H91" s="37">
        <v>0</v>
      </c>
    </row>
    <row r="92" spans="2:8">
      <c r="B92" s="46" t="s">
        <v>887</v>
      </c>
      <c r="C92" s="46" t="s">
        <v>925</v>
      </c>
      <c r="D92" s="46" t="s">
        <v>918</v>
      </c>
      <c r="E92" s="45" t="s">
        <v>95</v>
      </c>
      <c r="F92" s="37">
        <v>0</v>
      </c>
      <c r="G92" s="37">
        <v>13460</v>
      </c>
      <c r="H92" s="37">
        <v>0</v>
      </c>
    </row>
    <row r="93" spans="2:8">
      <c r="B93" s="46" t="s">
        <v>890</v>
      </c>
      <c r="C93" s="46" t="s">
        <v>925</v>
      </c>
      <c r="D93" s="46" t="s">
        <v>918</v>
      </c>
      <c r="E93" s="45" t="s">
        <v>96</v>
      </c>
      <c r="F93" s="37">
        <v>0</v>
      </c>
      <c r="G93" s="37">
        <v>2136</v>
      </c>
      <c r="H93" s="37">
        <v>0</v>
      </c>
    </row>
    <row r="94" spans="2:8">
      <c r="B94" s="46" t="s">
        <v>926</v>
      </c>
      <c r="C94" s="46" t="s">
        <v>927</v>
      </c>
      <c r="D94" s="46" t="s">
        <v>928</v>
      </c>
      <c r="E94" s="45" t="s">
        <v>98</v>
      </c>
      <c r="F94" s="37">
        <v>0</v>
      </c>
      <c r="G94" s="37">
        <v>0</v>
      </c>
      <c r="H94" s="37">
        <v>4000</v>
      </c>
    </row>
    <row r="95" spans="2:8">
      <c r="B95" s="46" t="s">
        <v>880</v>
      </c>
      <c r="C95" s="46" t="s">
        <v>927</v>
      </c>
      <c r="D95" s="46" t="s">
        <v>928</v>
      </c>
      <c r="E95" s="45" t="s">
        <v>28</v>
      </c>
      <c r="F95" s="37">
        <v>0</v>
      </c>
      <c r="G95" s="37">
        <v>0</v>
      </c>
      <c r="H95" s="37">
        <v>1500</v>
      </c>
    </row>
    <row r="96" spans="2:8">
      <c r="B96" s="46" t="s">
        <v>885</v>
      </c>
      <c r="C96" s="46" t="s">
        <v>927</v>
      </c>
      <c r="D96" s="46" t="s">
        <v>928</v>
      </c>
      <c r="E96" s="45" t="s">
        <v>50</v>
      </c>
      <c r="F96" s="37">
        <v>10000</v>
      </c>
      <c r="G96" s="37">
        <v>0</v>
      </c>
      <c r="H96" s="37">
        <v>0</v>
      </c>
    </row>
    <row r="97" spans="2:8">
      <c r="B97" s="46" t="s">
        <v>886</v>
      </c>
      <c r="C97" s="46" t="s">
        <v>927</v>
      </c>
      <c r="D97" s="46" t="s">
        <v>928</v>
      </c>
      <c r="E97" s="45" t="s">
        <v>99</v>
      </c>
      <c r="F97" s="37">
        <v>0</v>
      </c>
      <c r="G97" s="37">
        <v>1298</v>
      </c>
      <c r="H97" s="37">
        <v>0</v>
      </c>
    </row>
    <row r="98" spans="2:8">
      <c r="B98" s="46" t="s">
        <v>890</v>
      </c>
      <c r="C98" s="46" t="s">
        <v>927</v>
      </c>
      <c r="D98" s="46" t="s">
        <v>928</v>
      </c>
      <c r="E98" s="45" t="s">
        <v>18</v>
      </c>
      <c r="F98" s="37">
        <v>1000</v>
      </c>
      <c r="G98" s="37">
        <v>0</v>
      </c>
      <c r="H98" s="37">
        <v>0</v>
      </c>
    </row>
    <row r="99" spans="2:8">
      <c r="B99" s="46" t="s">
        <v>798</v>
      </c>
      <c r="C99" s="46" t="s">
        <v>927</v>
      </c>
      <c r="D99" s="46" t="s">
        <v>928</v>
      </c>
      <c r="E99" s="45" t="s">
        <v>19</v>
      </c>
      <c r="F99" s="37">
        <v>0</v>
      </c>
      <c r="G99" s="37">
        <v>0</v>
      </c>
      <c r="H99" s="37">
        <v>2000</v>
      </c>
    </row>
    <row r="100" spans="2:8">
      <c r="B100" s="46" t="s">
        <v>887</v>
      </c>
      <c r="C100" s="46" t="s">
        <v>929</v>
      </c>
      <c r="D100" s="46" t="s">
        <v>928</v>
      </c>
      <c r="E100" s="45" t="s">
        <v>100</v>
      </c>
      <c r="F100" s="37">
        <v>0</v>
      </c>
      <c r="G100" s="37">
        <v>8850</v>
      </c>
      <c r="H100" s="37">
        <v>10000</v>
      </c>
    </row>
    <row r="101" spans="2:8">
      <c r="B101" s="46" t="s">
        <v>930</v>
      </c>
      <c r="C101" s="46" t="s">
        <v>929</v>
      </c>
      <c r="D101" s="46" t="s">
        <v>928</v>
      </c>
      <c r="E101" s="45" t="s">
        <v>101</v>
      </c>
      <c r="F101" s="37">
        <v>5000</v>
      </c>
      <c r="G101" s="37">
        <v>0</v>
      </c>
      <c r="H101" s="37">
        <v>0</v>
      </c>
    </row>
    <row r="102" spans="2:8">
      <c r="B102" s="46" t="s">
        <v>887</v>
      </c>
      <c r="C102" s="46" t="s">
        <v>931</v>
      </c>
      <c r="D102" s="46" t="s">
        <v>928</v>
      </c>
      <c r="E102" s="45" t="s">
        <v>102</v>
      </c>
      <c r="F102" s="37">
        <v>537000</v>
      </c>
      <c r="G102" s="37">
        <v>279000</v>
      </c>
      <c r="H102" s="37">
        <v>600000</v>
      </c>
    </row>
    <row r="103" spans="2:8">
      <c r="B103" s="46" t="s">
        <v>885</v>
      </c>
      <c r="C103" s="46" t="s">
        <v>932</v>
      </c>
      <c r="D103" s="46" t="s">
        <v>933</v>
      </c>
      <c r="E103" s="45" t="s">
        <v>104</v>
      </c>
      <c r="F103" s="37">
        <v>1000</v>
      </c>
      <c r="G103" s="37">
        <v>634.16999999999996</v>
      </c>
      <c r="H103" s="37">
        <v>0</v>
      </c>
    </row>
    <row r="104" spans="2:8">
      <c r="B104" s="46" t="s">
        <v>895</v>
      </c>
      <c r="C104" s="46" t="s">
        <v>932</v>
      </c>
      <c r="D104" s="46" t="s">
        <v>933</v>
      </c>
      <c r="E104" s="45" t="s">
        <v>105</v>
      </c>
      <c r="F104" s="37">
        <v>0</v>
      </c>
      <c r="G104" s="37">
        <v>0</v>
      </c>
      <c r="H104" s="37">
        <v>0</v>
      </c>
    </row>
    <row r="105" spans="2:8">
      <c r="B105" s="46" t="s">
        <v>916</v>
      </c>
      <c r="C105" s="46" t="s">
        <v>932</v>
      </c>
      <c r="D105" s="46" t="s">
        <v>933</v>
      </c>
      <c r="E105" s="45" t="s">
        <v>106</v>
      </c>
      <c r="F105" s="37">
        <v>0</v>
      </c>
      <c r="G105" s="37">
        <v>0</v>
      </c>
      <c r="H105" s="37">
        <v>20000</v>
      </c>
    </row>
    <row r="106" spans="2:8">
      <c r="B106" s="46" t="s">
        <v>919</v>
      </c>
      <c r="C106" s="46" t="s">
        <v>932</v>
      </c>
      <c r="D106" s="46" t="s">
        <v>933</v>
      </c>
      <c r="E106" s="45" t="s">
        <v>107</v>
      </c>
      <c r="F106" s="37">
        <v>0</v>
      </c>
      <c r="G106" s="37">
        <v>0</v>
      </c>
      <c r="H106" s="37">
        <v>10000</v>
      </c>
    </row>
    <row r="107" spans="2:8">
      <c r="B107" s="46" t="s">
        <v>920</v>
      </c>
      <c r="C107" s="46" t="s">
        <v>932</v>
      </c>
      <c r="D107" s="46" t="s">
        <v>933</v>
      </c>
      <c r="E107" s="45" t="s">
        <v>108</v>
      </c>
      <c r="F107" s="37">
        <v>0</v>
      </c>
      <c r="G107" s="37">
        <v>0</v>
      </c>
      <c r="H107" s="37">
        <v>5000</v>
      </c>
    </row>
    <row r="108" spans="2:8">
      <c r="B108" s="46" t="s">
        <v>742</v>
      </c>
      <c r="C108" s="46" t="s">
        <v>932</v>
      </c>
      <c r="D108" s="46" t="s">
        <v>933</v>
      </c>
      <c r="E108" s="45" t="s">
        <v>33</v>
      </c>
      <c r="F108" s="37">
        <v>0</v>
      </c>
      <c r="G108" s="37">
        <v>0</v>
      </c>
      <c r="H108" s="37">
        <v>0</v>
      </c>
    </row>
    <row r="109" spans="2:8">
      <c r="B109" s="46" t="s">
        <v>887</v>
      </c>
      <c r="C109" s="46" t="s">
        <v>932</v>
      </c>
      <c r="D109" s="46" t="s">
        <v>933</v>
      </c>
      <c r="E109" s="45" t="s">
        <v>62</v>
      </c>
      <c r="F109" s="37">
        <v>3000</v>
      </c>
      <c r="G109" s="37">
        <v>1500</v>
      </c>
      <c r="H109" s="37">
        <v>0</v>
      </c>
    </row>
    <row r="110" spans="2:8">
      <c r="B110" s="46" t="s">
        <v>887</v>
      </c>
      <c r="C110" s="46" t="s">
        <v>934</v>
      </c>
      <c r="D110" s="46" t="s">
        <v>933</v>
      </c>
      <c r="E110" s="45" t="s">
        <v>109</v>
      </c>
      <c r="F110" s="37">
        <v>30000</v>
      </c>
      <c r="G110" s="37">
        <v>7906</v>
      </c>
      <c r="H110" s="37">
        <v>10000</v>
      </c>
    </row>
    <row r="111" spans="2:8">
      <c r="B111" s="46" t="s">
        <v>935</v>
      </c>
      <c r="C111" s="46" t="s">
        <v>934</v>
      </c>
      <c r="D111" s="46" t="s">
        <v>933</v>
      </c>
      <c r="E111" s="45" t="s">
        <v>110</v>
      </c>
      <c r="F111" s="37">
        <v>220000</v>
      </c>
      <c r="G111" s="37">
        <v>143979.29</v>
      </c>
      <c r="H111" s="37">
        <v>150000</v>
      </c>
    </row>
    <row r="112" spans="2:8">
      <c r="B112" s="46" t="s">
        <v>887</v>
      </c>
      <c r="C112" s="46" t="s">
        <v>936</v>
      </c>
      <c r="D112" s="46" t="s">
        <v>933</v>
      </c>
      <c r="E112" s="45" t="s">
        <v>111</v>
      </c>
      <c r="F112" s="37">
        <v>0</v>
      </c>
      <c r="G112" s="37">
        <v>0</v>
      </c>
      <c r="H112" s="37">
        <v>0</v>
      </c>
    </row>
    <row r="113" spans="2:8">
      <c r="B113" s="46" t="s">
        <v>890</v>
      </c>
      <c r="C113" s="46" t="s">
        <v>936</v>
      </c>
      <c r="D113" s="46" t="s">
        <v>933</v>
      </c>
      <c r="E113" s="45" t="s">
        <v>112</v>
      </c>
      <c r="F113" s="37">
        <v>0</v>
      </c>
      <c r="G113" s="37">
        <v>0</v>
      </c>
      <c r="H113" s="37">
        <v>0</v>
      </c>
    </row>
    <row r="114" spans="2:8">
      <c r="B114" s="46" t="s">
        <v>887</v>
      </c>
      <c r="C114" s="46" t="s">
        <v>937</v>
      </c>
      <c r="D114" s="46" t="s">
        <v>933</v>
      </c>
      <c r="E114" s="45" t="s">
        <v>113</v>
      </c>
      <c r="F114" s="37">
        <v>0</v>
      </c>
      <c r="G114" s="37">
        <v>0</v>
      </c>
      <c r="H114" s="37">
        <v>0</v>
      </c>
    </row>
    <row r="115" spans="2:8">
      <c r="B115" s="46" t="s">
        <v>896</v>
      </c>
      <c r="C115" s="46" t="s">
        <v>937</v>
      </c>
      <c r="D115" s="46" t="s">
        <v>933</v>
      </c>
      <c r="E115" s="45" t="s">
        <v>114</v>
      </c>
      <c r="F115" s="37">
        <v>82000</v>
      </c>
      <c r="G115" s="37">
        <v>84744</v>
      </c>
      <c r="H115" s="37">
        <v>85000</v>
      </c>
    </row>
    <row r="116" spans="2:8">
      <c r="B116" s="46" t="s">
        <v>893</v>
      </c>
      <c r="C116" s="46" t="s">
        <v>938</v>
      </c>
      <c r="D116" s="46" t="s">
        <v>933</v>
      </c>
      <c r="E116" s="45" t="s">
        <v>116</v>
      </c>
      <c r="F116" s="37">
        <v>2000</v>
      </c>
      <c r="G116" s="37">
        <v>7766.35</v>
      </c>
      <c r="H116" s="37">
        <v>8000</v>
      </c>
    </row>
    <row r="117" spans="2:8">
      <c r="B117" s="46" t="s">
        <v>939</v>
      </c>
      <c r="C117" s="46" t="s">
        <v>938</v>
      </c>
      <c r="D117" s="46" t="s">
        <v>933</v>
      </c>
      <c r="E117" s="45" t="s">
        <v>117</v>
      </c>
      <c r="F117" s="37">
        <v>25000</v>
      </c>
      <c r="G117" s="37">
        <v>23959.7</v>
      </c>
      <c r="H117" s="37">
        <v>25000</v>
      </c>
    </row>
    <row r="118" spans="2:8">
      <c r="B118" s="46" t="s">
        <v>940</v>
      </c>
      <c r="C118" s="46" t="s">
        <v>938</v>
      </c>
      <c r="D118" s="46" t="s">
        <v>933</v>
      </c>
      <c r="E118" s="45" t="s">
        <v>118</v>
      </c>
      <c r="F118" s="37">
        <v>0</v>
      </c>
      <c r="G118" s="37">
        <v>0</v>
      </c>
      <c r="H118" s="37">
        <v>0</v>
      </c>
    </row>
    <row r="119" spans="2:8">
      <c r="B119" s="46" t="s">
        <v>926</v>
      </c>
      <c r="C119" s="46" t="s">
        <v>938</v>
      </c>
      <c r="D119" s="46" t="s">
        <v>933</v>
      </c>
      <c r="E119" s="45" t="s">
        <v>119</v>
      </c>
      <c r="F119" s="37">
        <v>6000</v>
      </c>
      <c r="G119" s="37">
        <v>48379</v>
      </c>
      <c r="H119" s="37">
        <v>4000</v>
      </c>
    </row>
    <row r="120" spans="2:8">
      <c r="B120" s="46" t="s">
        <v>885</v>
      </c>
      <c r="C120" s="46" t="s">
        <v>938</v>
      </c>
      <c r="D120" s="46" t="s">
        <v>933</v>
      </c>
      <c r="E120" s="45" t="s">
        <v>104</v>
      </c>
      <c r="F120" s="37">
        <v>1000</v>
      </c>
      <c r="G120" s="37">
        <v>1456.69</v>
      </c>
      <c r="H120" s="37">
        <v>1500</v>
      </c>
    </row>
    <row r="121" spans="2:8">
      <c r="B121" s="46" t="s">
        <v>895</v>
      </c>
      <c r="C121" s="46" t="s">
        <v>938</v>
      </c>
      <c r="D121" s="46" t="s">
        <v>933</v>
      </c>
      <c r="E121" s="45" t="s">
        <v>32</v>
      </c>
      <c r="F121" s="37">
        <v>2000</v>
      </c>
      <c r="G121" s="37">
        <v>781</v>
      </c>
      <c r="H121" s="37">
        <v>2000</v>
      </c>
    </row>
    <row r="122" spans="2:8">
      <c r="B122" s="46" t="s">
        <v>941</v>
      </c>
      <c r="C122" s="46" t="s">
        <v>938</v>
      </c>
      <c r="D122" s="46" t="s">
        <v>933</v>
      </c>
      <c r="E122" s="45" t="s">
        <v>120</v>
      </c>
      <c r="F122" s="37">
        <v>0</v>
      </c>
      <c r="G122" s="37">
        <v>0</v>
      </c>
      <c r="H122" s="37">
        <v>0</v>
      </c>
    </row>
    <row r="123" spans="2:8">
      <c r="B123" s="46" t="s">
        <v>742</v>
      </c>
      <c r="C123" s="46" t="s">
        <v>938</v>
      </c>
      <c r="D123" s="46" t="s">
        <v>933</v>
      </c>
      <c r="E123" s="45" t="s">
        <v>33</v>
      </c>
      <c r="F123" s="37">
        <v>0</v>
      </c>
      <c r="G123" s="37">
        <v>0</v>
      </c>
      <c r="H123" s="37">
        <v>0</v>
      </c>
    </row>
    <row r="124" spans="2:8">
      <c r="B124" s="46" t="s">
        <v>887</v>
      </c>
      <c r="C124" s="46" t="s">
        <v>938</v>
      </c>
      <c r="D124" s="46" t="s">
        <v>933</v>
      </c>
      <c r="E124" s="45" t="s">
        <v>62</v>
      </c>
      <c r="F124" s="37">
        <v>2000</v>
      </c>
      <c r="G124" s="37">
        <v>3385</v>
      </c>
      <c r="H124" s="37">
        <v>4000</v>
      </c>
    </row>
    <row r="125" spans="2:8">
      <c r="B125" s="46" t="s">
        <v>890</v>
      </c>
      <c r="C125" s="46" t="s">
        <v>938</v>
      </c>
      <c r="D125" s="46" t="s">
        <v>933</v>
      </c>
      <c r="E125" s="45" t="s">
        <v>18</v>
      </c>
      <c r="F125" s="37">
        <v>0</v>
      </c>
      <c r="G125" s="37">
        <v>0</v>
      </c>
      <c r="H125" s="37">
        <v>0</v>
      </c>
    </row>
    <row r="126" spans="2:8">
      <c r="B126" s="46" t="s">
        <v>798</v>
      </c>
      <c r="C126" s="46" t="s">
        <v>938</v>
      </c>
      <c r="D126" s="46" t="s">
        <v>933</v>
      </c>
      <c r="E126" s="45" t="s">
        <v>19</v>
      </c>
      <c r="F126" s="37">
        <v>0</v>
      </c>
      <c r="G126" s="37">
        <v>0</v>
      </c>
      <c r="H126" s="37">
        <v>0</v>
      </c>
    </row>
    <row r="127" spans="2:8">
      <c r="B127" s="46" t="s">
        <v>926</v>
      </c>
      <c r="C127" s="46" t="s">
        <v>942</v>
      </c>
      <c r="D127" s="46" t="s">
        <v>933</v>
      </c>
      <c r="E127" s="45" t="s">
        <v>121</v>
      </c>
      <c r="F127" s="37">
        <v>0</v>
      </c>
      <c r="G127" s="37">
        <v>0</v>
      </c>
      <c r="H127" s="37">
        <v>0</v>
      </c>
    </row>
    <row r="128" spans="2:8">
      <c r="B128" s="46" t="s">
        <v>939</v>
      </c>
      <c r="C128" s="46" t="s">
        <v>943</v>
      </c>
      <c r="D128" s="46" t="s">
        <v>933</v>
      </c>
      <c r="E128" s="45" t="s">
        <v>122</v>
      </c>
      <c r="F128" s="37">
        <v>0</v>
      </c>
      <c r="G128" s="37">
        <v>0</v>
      </c>
      <c r="H128" s="37">
        <v>3000</v>
      </c>
    </row>
    <row r="129" spans="2:8">
      <c r="B129" s="46" t="s">
        <v>890</v>
      </c>
      <c r="C129" s="46" t="s">
        <v>944</v>
      </c>
      <c r="D129" s="46" t="s">
        <v>945</v>
      </c>
      <c r="E129" s="45" t="s">
        <v>123</v>
      </c>
      <c r="F129" s="37">
        <v>1000</v>
      </c>
      <c r="G129" s="37">
        <v>200</v>
      </c>
      <c r="H129" s="37">
        <v>1000</v>
      </c>
    </row>
    <row r="130" spans="2:8">
      <c r="B130" s="46" t="s">
        <v>946</v>
      </c>
      <c r="C130" s="46" t="s">
        <v>947</v>
      </c>
      <c r="D130" s="46" t="s">
        <v>948</v>
      </c>
      <c r="E130" s="45" t="s">
        <v>124</v>
      </c>
      <c r="F130" s="37">
        <v>0</v>
      </c>
      <c r="G130" s="37">
        <v>0</v>
      </c>
      <c r="H130" s="37">
        <v>0</v>
      </c>
    </row>
    <row r="131" spans="2:8">
      <c r="B131" s="46" t="s">
        <v>949</v>
      </c>
      <c r="C131" s="46" t="s">
        <v>950</v>
      </c>
      <c r="D131" s="46" t="s">
        <v>948</v>
      </c>
      <c r="E131" s="45" t="s">
        <v>125</v>
      </c>
      <c r="F131" s="37">
        <v>300000</v>
      </c>
      <c r="G131" s="37">
        <v>449261</v>
      </c>
      <c r="H131" s="37">
        <v>750000</v>
      </c>
    </row>
    <row r="132" spans="2:8">
      <c r="B132" s="46" t="s">
        <v>951</v>
      </c>
      <c r="C132" s="46" t="s">
        <v>950</v>
      </c>
      <c r="D132" s="46" t="s">
        <v>948</v>
      </c>
      <c r="E132" s="45" t="s">
        <v>126</v>
      </c>
      <c r="F132" s="37">
        <v>0</v>
      </c>
      <c r="G132" s="37">
        <v>0</v>
      </c>
      <c r="H132" s="37">
        <v>0</v>
      </c>
    </row>
    <row r="133" spans="2:8">
      <c r="B133" s="46" t="s">
        <v>885</v>
      </c>
      <c r="C133" s="46" t="s">
        <v>952</v>
      </c>
      <c r="D133" s="46" t="s">
        <v>948</v>
      </c>
      <c r="E133" s="45" t="s">
        <v>127</v>
      </c>
      <c r="F133" s="37">
        <v>1000</v>
      </c>
      <c r="G133" s="37">
        <v>495.31</v>
      </c>
      <c r="H133" s="37">
        <v>1000</v>
      </c>
    </row>
    <row r="134" spans="2:8">
      <c r="B134" s="46" t="s">
        <v>886</v>
      </c>
      <c r="C134" s="46" t="s">
        <v>952</v>
      </c>
      <c r="D134" s="46" t="s">
        <v>948</v>
      </c>
      <c r="E134" s="45" t="s">
        <v>128</v>
      </c>
      <c r="F134" s="37">
        <v>0</v>
      </c>
      <c r="G134" s="37">
        <v>0</v>
      </c>
      <c r="H134" s="37">
        <v>0</v>
      </c>
    </row>
    <row r="135" spans="2:8">
      <c r="B135" s="46" t="s">
        <v>895</v>
      </c>
      <c r="C135" s="46" t="s">
        <v>952</v>
      </c>
      <c r="D135" s="46" t="s">
        <v>948</v>
      </c>
      <c r="E135" s="45" t="s">
        <v>129</v>
      </c>
      <c r="F135" s="37">
        <v>0</v>
      </c>
      <c r="G135" s="37">
        <v>0</v>
      </c>
      <c r="H135" s="37">
        <v>6000</v>
      </c>
    </row>
    <row r="136" spans="2:8">
      <c r="B136" s="46" t="s">
        <v>887</v>
      </c>
      <c r="C136" s="46" t="s">
        <v>952</v>
      </c>
      <c r="D136" s="46" t="s">
        <v>948</v>
      </c>
      <c r="E136" s="45" t="s">
        <v>130</v>
      </c>
      <c r="F136" s="37">
        <v>0</v>
      </c>
      <c r="G136" s="37">
        <v>0</v>
      </c>
      <c r="H136" s="37">
        <v>0</v>
      </c>
    </row>
    <row r="137" spans="2:8">
      <c r="B137" s="46" t="s">
        <v>890</v>
      </c>
      <c r="C137" s="46" t="s">
        <v>952</v>
      </c>
      <c r="D137" s="46" t="s">
        <v>948</v>
      </c>
      <c r="E137" s="45" t="s">
        <v>58</v>
      </c>
      <c r="F137" s="37">
        <v>0</v>
      </c>
      <c r="G137" s="37">
        <v>0</v>
      </c>
      <c r="H137" s="37">
        <v>0</v>
      </c>
    </row>
    <row r="138" spans="2:8">
      <c r="B138" s="46" t="s">
        <v>939</v>
      </c>
      <c r="C138" s="46" t="s">
        <v>953</v>
      </c>
      <c r="D138" s="46" t="s">
        <v>954</v>
      </c>
      <c r="E138" s="45" t="s">
        <v>274</v>
      </c>
      <c r="F138" s="37">
        <v>23000</v>
      </c>
      <c r="G138" s="37">
        <v>37506.9</v>
      </c>
      <c r="H138" s="37">
        <v>20000</v>
      </c>
    </row>
    <row r="139" spans="2:8">
      <c r="B139" s="46" t="s">
        <v>946</v>
      </c>
      <c r="C139" s="46" t="s">
        <v>955</v>
      </c>
      <c r="D139" s="46" t="s">
        <v>954</v>
      </c>
      <c r="E139" s="45" t="s">
        <v>275</v>
      </c>
      <c r="F139" s="37">
        <v>0</v>
      </c>
      <c r="G139" s="37">
        <v>0</v>
      </c>
      <c r="H139" s="37">
        <v>0</v>
      </c>
    </row>
    <row r="140" spans="2:8">
      <c r="B140" s="46" t="s">
        <v>946</v>
      </c>
      <c r="C140" s="46" t="s">
        <v>956</v>
      </c>
      <c r="D140" s="46" t="s">
        <v>954</v>
      </c>
      <c r="E140" s="45" t="s">
        <v>220</v>
      </c>
      <c r="F140" s="37">
        <v>0</v>
      </c>
      <c r="G140" s="37">
        <v>0</v>
      </c>
      <c r="H140" s="37">
        <v>0</v>
      </c>
    </row>
    <row r="141" spans="2:8">
      <c r="B141" s="46" t="s">
        <v>946</v>
      </c>
      <c r="C141" s="46" t="s">
        <v>957</v>
      </c>
      <c r="D141" s="46" t="s">
        <v>954</v>
      </c>
      <c r="E141" s="45" t="s">
        <v>276</v>
      </c>
      <c r="F141" s="37">
        <v>0</v>
      </c>
      <c r="G141" s="37">
        <v>0</v>
      </c>
      <c r="H141" s="37">
        <v>0</v>
      </c>
    </row>
    <row r="142" spans="2:8">
      <c r="B142" s="46" t="s">
        <v>946</v>
      </c>
      <c r="C142" s="46" t="s">
        <v>958</v>
      </c>
      <c r="D142" s="46" t="s">
        <v>954</v>
      </c>
      <c r="E142" s="45" t="s">
        <v>277</v>
      </c>
      <c r="F142" s="37">
        <v>0</v>
      </c>
      <c r="G142" s="37">
        <v>0</v>
      </c>
      <c r="H142" s="37">
        <v>0</v>
      </c>
    </row>
    <row r="143" spans="2:8">
      <c r="B143" s="46" t="s">
        <v>946</v>
      </c>
      <c r="C143" s="46" t="s">
        <v>959</v>
      </c>
      <c r="D143" s="46" t="s">
        <v>954</v>
      </c>
      <c r="E143" s="45" t="s">
        <v>278</v>
      </c>
      <c r="F143" s="37">
        <v>0</v>
      </c>
      <c r="G143" s="37">
        <v>0</v>
      </c>
      <c r="H143" s="37">
        <v>0</v>
      </c>
    </row>
    <row r="144" spans="2:8">
      <c r="B144" s="46" t="s">
        <v>889</v>
      </c>
      <c r="C144" s="46" t="s">
        <v>960</v>
      </c>
      <c r="D144" s="46" t="s">
        <v>954</v>
      </c>
      <c r="E144" s="45" t="s">
        <v>280</v>
      </c>
      <c r="F144" s="37">
        <v>5000</v>
      </c>
      <c r="G144" s="37">
        <v>7091</v>
      </c>
      <c r="H144" s="37">
        <v>5000</v>
      </c>
    </row>
    <row r="145" spans="2:8">
      <c r="B145" s="46" t="s">
        <v>890</v>
      </c>
      <c r="C145" s="46" t="s">
        <v>960</v>
      </c>
      <c r="D145" s="46" t="s">
        <v>954</v>
      </c>
      <c r="E145" s="45" t="s">
        <v>281</v>
      </c>
      <c r="F145" s="37">
        <v>0</v>
      </c>
      <c r="G145" s="37">
        <v>0</v>
      </c>
      <c r="H145" s="37">
        <v>0</v>
      </c>
    </row>
    <row r="146" spans="2:8">
      <c r="B146" s="46" t="s">
        <v>890</v>
      </c>
      <c r="C146" s="46" t="s">
        <v>961</v>
      </c>
      <c r="D146" s="46" t="s">
        <v>954</v>
      </c>
      <c r="E146" s="45" t="s">
        <v>282</v>
      </c>
      <c r="F146" s="37">
        <v>0</v>
      </c>
      <c r="G146" s="37">
        <v>0</v>
      </c>
      <c r="H146" s="37">
        <v>0</v>
      </c>
    </row>
    <row r="147" spans="2:8">
      <c r="B147" s="46" t="s">
        <v>893</v>
      </c>
      <c r="C147" s="46" t="s">
        <v>962</v>
      </c>
      <c r="D147" s="46" t="s">
        <v>954</v>
      </c>
      <c r="E147" s="45" t="s">
        <v>283</v>
      </c>
      <c r="F147" s="37">
        <v>0</v>
      </c>
      <c r="G147" s="37">
        <v>0</v>
      </c>
      <c r="H147" s="38">
        <v>13000</v>
      </c>
    </row>
    <row r="148" spans="2:8">
      <c r="B148" s="46" t="s">
        <v>893</v>
      </c>
      <c r="C148" s="46" t="s">
        <v>963</v>
      </c>
      <c r="D148" s="46" t="s">
        <v>954</v>
      </c>
      <c r="E148" s="45" t="s">
        <v>286</v>
      </c>
      <c r="F148" s="37">
        <v>0</v>
      </c>
      <c r="G148" s="37">
        <v>-6272.23</v>
      </c>
      <c r="H148" s="38">
        <v>7000</v>
      </c>
    </row>
    <row r="149" spans="2:8">
      <c r="B149" s="46" t="s">
        <v>939</v>
      </c>
      <c r="C149" s="46" t="s">
        <v>963</v>
      </c>
      <c r="D149" s="46" t="s">
        <v>954</v>
      </c>
      <c r="E149" s="45" t="s">
        <v>287</v>
      </c>
      <c r="F149" s="37">
        <v>30000</v>
      </c>
      <c r="G149" s="37">
        <v>224955.3</v>
      </c>
      <c r="H149" s="37">
        <v>80000</v>
      </c>
    </row>
    <row r="150" spans="2:8">
      <c r="B150" s="46" t="s">
        <v>885</v>
      </c>
      <c r="C150" s="46" t="s">
        <v>963</v>
      </c>
      <c r="D150" s="46" t="s">
        <v>954</v>
      </c>
      <c r="E150" s="45" t="s">
        <v>288</v>
      </c>
      <c r="F150" s="37">
        <v>2000</v>
      </c>
      <c r="G150" s="37">
        <v>704.95</v>
      </c>
      <c r="H150" s="37">
        <v>2000</v>
      </c>
    </row>
    <row r="151" spans="2:8">
      <c r="B151" s="46" t="s">
        <v>895</v>
      </c>
      <c r="C151" s="46" t="s">
        <v>963</v>
      </c>
      <c r="D151" s="46" t="s">
        <v>954</v>
      </c>
      <c r="E151" s="45" t="s">
        <v>289</v>
      </c>
      <c r="F151" s="37">
        <v>0</v>
      </c>
      <c r="G151" s="37">
        <v>0</v>
      </c>
      <c r="H151" s="38">
        <v>10000</v>
      </c>
    </row>
    <row r="152" spans="2:8">
      <c r="B152" s="46" t="s">
        <v>742</v>
      </c>
      <c r="C152" s="46" t="s">
        <v>963</v>
      </c>
      <c r="D152" s="46" t="s">
        <v>954</v>
      </c>
      <c r="E152" s="45" t="s">
        <v>155</v>
      </c>
      <c r="F152" s="37">
        <v>60000</v>
      </c>
      <c r="G152" s="37">
        <v>8538</v>
      </c>
      <c r="H152" s="37">
        <v>20000</v>
      </c>
    </row>
    <row r="153" spans="2:8">
      <c r="B153" s="46" t="s">
        <v>887</v>
      </c>
      <c r="C153" s="46" t="s">
        <v>963</v>
      </c>
      <c r="D153" s="46" t="s">
        <v>954</v>
      </c>
      <c r="E153" s="45" t="s">
        <v>290</v>
      </c>
      <c r="F153" s="37">
        <v>50000</v>
      </c>
      <c r="G153" s="37">
        <v>23600</v>
      </c>
      <c r="H153" s="38">
        <v>100000</v>
      </c>
    </row>
    <row r="154" spans="2:8">
      <c r="B154" s="46" t="s">
        <v>890</v>
      </c>
      <c r="C154" s="46" t="s">
        <v>963</v>
      </c>
      <c r="D154" s="46" t="s">
        <v>954</v>
      </c>
      <c r="E154" s="45" t="s">
        <v>291</v>
      </c>
      <c r="F154" s="37">
        <v>20000</v>
      </c>
      <c r="G154" s="37">
        <v>16140</v>
      </c>
      <c r="H154" s="37">
        <v>0</v>
      </c>
    </row>
    <row r="155" spans="2:8">
      <c r="B155" s="46" t="s">
        <v>798</v>
      </c>
      <c r="C155" s="46" t="s">
        <v>963</v>
      </c>
      <c r="D155" s="46" t="s">
        <v>954</v>
      </c>
      <c r="E155" s="45" t="s">
        <v>292</v>
      </c>
      <c r="F155" s="37">
        <v>120000</v>
      </c>
      <c r="G155" s="37">
        <v>826</v>
      </c>
      <c r="H155" s="37">
        <v>0</v>
      </c>
    </row>
    <row r="156" spans="2:8">
      <c r="B156" s="46" t="s">
        <v>887</v>
      </c>
      <c r="C156" s="46" t="s">
        <v>964</v>
      </c>
      <c r="D156" s="46" t="s">
        <v>954</v>
      </c>
      <c r="E156" s="45" t="s">
        <v>294</v>
      </c>
      <c r="F156" s="37">
        <v>115000</v>
      </c>
      <c r="G156" s="37">
        <v>0</v>
      </c>
      <c r="H156" s="37">
        <v>0</v>
      </c>
    </row>
    <row r="157" spans="2:8">
      <c r="B157" s="46" t="s">
        <v>893</v>
      </c>
      <c r="C157" s="46" t="s">
        <v>965</v>
      </c>
      <c r="D157" s="46" t="s">
        <v>966</v>
      </c>
      <c r="E157" s="45" t="s">
        <v>295</v>
      </c>
      <c r="F157" s="37">
        <v>0</v>
      </c>
      <c r="G157" s="37">
        <v>0</v>
      </c>
      <c r="H157" s="37">
        <v>0</v>
      </c>
    </row>
    <row r="158" spans="2:8">
      <c r="B158" s="46" t="s">
        <v>893</v>
      </c>
      <c r="C158" s="46" t="s">
        <v>967</v>
      </c>
      <c r="D158" s="46" t="s">
        <v>966</v>
      </c>
      <c r="E158" s="45" t="s">
        <v>297</v>
      </c>
      <c r="F158" s="37">
        <v>0</v>
      </c>
      <c r="G158" s="37">
        <v>0</v>
      </c>
      <c r="H158" s="37">
        <v>0</v>
      </c>
    </row>
    <row r="159" spans="2:8">
      <c r="B159" s="46" t="s">
        <v>949</v>
      </c>
      <c r="C159" s="46" t="s">
        <v>967</v>
      </c>
      <c r="D159" s="46" t="s">
        <v>966</v>
      </c>
      <c r="E159" s="45" t="s">
        <v>298</v>
      </c>
      <c r="F159" s="37">
        <v>0</v>
      </c>
      <c r="G159" s="37">
        <v>0</v>
      </c>
      <c r="H159" s="37">
        <v>0</v>
      </c>
    </row>
    <row r="160" spans="2:8">
      <c r="B160" s="46" t="s">
        <v>885</v>
      </c>
      <c r="C160" s="46" t="s">
        <v>967</v>
      </c>
      <c r="D160" s="46" t="s">
        <v>966</v>
      </c>
      <c r="E160" s="45" t="s">
        <v>299</v>
      </c>
      <c r="F160" s="37">
        <v>2000</v>
      </c>
      <c r="G160" s="37">
        <v>974.89</v>
      </c>
      <c r="H160" s="37">
        <v>1000</v>
      </c>
    </row>
    <row r="161" spans="2:8">
      <c r="B161" s="46" t="s">
        <v>890</v>
      </c>
      <c r="C161" s="46" t="s">
        <v>967</v>
      </c>
      <c r="D161" s="46" t="s">
        <v>966</v>
      </c>
      <c r="E161" s="45" t="s">
        <v>18</v>
      </c>
      <c r="F161" s="37">
        <v>4000</v>
      </c>
      <c r="G161" s="37">
        <v>1052</v>
      </c>
      <c r="H161" s="37">
        <v>4000</v>
      </c>
    </row>
    <row r="162" spans="2:8">
      <c r="B162" s="46" t="s">
        <v>893</v>
      </c>
      <c r="C162" s="46" t="s">
        <v>968</v>
      </c>
      <c r="D162" s="46" t="s">
        <v>966</v>
      </c>
      <c r="E162" s="45" t="s">
        <v>301</v>
      </c>
      <c r="F162" s="37">
        <v>10000</v>
      </c>
      <c r="G162" s="37">
        <v>3580.87</v>
      </c>
      <c r="H162" s="37">
        <v>4000</v>
      </c>
    </row>
    <row r="163" spans="2:8">
      <c r="B163" s="46" t="s">
        <v>939</v>
      </c>
      <c r="C163" s="46" t="s">
        <v>968</v>
      </c>
      <c r="D163" s="46" t="s">
        <v>966</v>
      </c>
      <c r="E163" s="45" t="s">
        <v>302</v>
      </c>
      <c r="F163" s="37">
        <v>0</v>
      </c>
      <c r="G163" s="37">
        <v>117693.7</v>
      </c>
      <c r="H163" s="37">
        <v>20000</v>
      </c>
    </row>
    <row r="164" spans="2:8">
      <c r="B164" s="46" t="s">
        <v>887</v>
      </c>
      <c r="C164" s="46" t="s">
        <v>968</v>
      </c>
      <c r="D164" s="46" t="s">
        <v>966</v>
      </c>
      <c r="E164" s="45" t="s">
        <v>303</v>
      </c>
      <c r="F164" s="37">
        <v>5000</v>
      </c>
      <c r="G164" s="37">
        <v>5900</v>
      </c>
      <c r="H164" s="37">
        <v>5000</v>
      </c>
    </row>
    <row r="165" spans="2:8">
      <c r="B165" s="46" t="s">
        <v>890</v>
      </c>
      <c r="C165" s="46" t="s">
        <v>968</v>
      </c>
      <c r="D165" s="46" t="s">
        <v>966</v>
      </c>
      <c r="E165" s="45" t="s">
        <v>304</v>
      </c>
      <c r="F165" s="37">
        <v>0</v>
      </c>
      <c r="G165" s="37">
        <v>0</v>
      </c>
      <c r="H165" s="37">
        <v>0</v>
      </c>
    </row>
    <row r="166" spans="2:8">
      <c r="B166" s="46" t="s">
        <v>896</v>
      </c>
      <c r="C166" s="46" t="s">
        <v>969</v>
      </c>
      <c r="D166" s="46" t="s">
        <v>966</v>
      </c>
      <c r="E166" s="45" t="s">
        <v>305</v>
      </c>
      <c r="F166" s="37">
        <v>26000</v>
      </c>
      <c r="G166" s="37">
        <v>27155</v>
      </c>
      <c r="H166" s="37">
        <v>27000</v>
      </c>
    </row>
    <row r="167" spans="2:8">
      <c r="B167" s="46" t="s">
        <v>970</v>
      </c>
      <c r="C167" s="46" t="s">
        <v>971</v>
      </c>
      <c r="D167" s="46" t="s">
        <v>966</v>
      </c>
      <c r="E167" s="45" t="s">
        <v>306</v>
      </c>
      <c r="F167" s="37">
        <v>0</v>
      </c>
      <c r="G167" s="37">
        <v>0</v>
      </c>
      <c r="H167" s="37">
        <v>0</v>
      </c>
    </row>
    <row r="168" spans="2:8">
      <c r="B168" s="46" t="s">
        <v>939</v>
      </c>
      <c r="C168" s="46" t="s">
        <v>972</v>
      </c>
      <c r="D168" s="46" t="s">
        <v>973</v>
      </c>
      <c r="E168" s="45" t="s">
        <v>393</v>
      </c>
      <c r="F168" s="37">
        <v>9000</v>
      </c>
      <c r="G168" s="37">
        <v>17480.900000000001</v>
      </c>
      <c r="H168" s="37">
        <v>18000</v>
      </c>
    </row>
    <row r="169" spans="2:8">
      <c r="B169" s="46" t="s">
        <v>887</v>
      </c>
      <c r="C169" s="46" t="s">
        <v>972</v>
      </c>
      <c r="D169" s="46" t="s">
        <v>973</v>
      </c>
      <c r="E169" s="45" t="s">
        <v>394</v>
      </c>
      <c r="F169" s="37">
        <v>0</v>
      </c>
      <c r="G169" s="37">
        <v>944</v>
      </c>
      <c r="H169" s="37">
        <v>1000</v>
      </c>
    </row>
    <row r="170" spans="2:8">
      <c r="B170" s="46" t="s">
        <v>890</v>
      </c>
      <c r="C170" s="46" t="s">
        <v>972</v>
      </c>
      <c r="D170" s="46" t="s">
        <v>973</v>
      </c>
      <c r="E170" s="45" t="s">
        <v>18</v>
      </c>
      <c r="F170" s="37">
        <v>33000</v>
      </c>
      <c r="G170" s="37">
        <v>0</v>
      </c>
      <c r="H170" s="37">
        <v>0</v>
      </c>
    </row>
    <row r="171" spans="2:8">
      <c r="B171" s="46" t="s">
        <v>896</v>
      </c>
      <c r="C171" s="46" t="s">
        <v>974</v>
      </c>
      <c r="D171" s="46" t="s">
        <v>975</v>
      </c>
      <c r="E171" s="45" t="s">
        <v>395</v>
      </c>
      <c r="F171" s="37">
        <v>18000</v>
      </c>
      <c r="G171" s="37">
        <v>0</v>
      </c>
      <c r="H171" s="37">
        <v>0</v>
      </c>
    </row>
    <row r="172" spans="2:8">
      <c r="B172" s="46" t="s">
        <v>885</v>
      </c>
      <c r="C172" s="46" t="s">
        <v>976</v>
      </c>
      <c r="D172" s="46" t="s">
        <v>977</v>
      </c>
      <c r="E172" s="45" t="s">
        <v>397</v>
      </c>
      <c r="F172" s="37">
        <v>3000</v>
      </c>
      <c r="G172" s="37">
        <v>0</v>
      </c>
      <c r="H172" s="37">
        <v>0</v>
      </c>
    </row>
    <row r="173" spans="2:8">
      <c r="B173" s="46" t="s">
        <v>895</v>
      </c>
      <c r="C173" s="46" t="s">
        <v>978</v>
      </c>
      <c r="D173" s="46" t="s">
        <v>977</v>
      </c>
      <c r="E173" s="45" t="s">
        <v>32</v>
      </c>
      <c r="F173" s="37">
        <v>402000</v>
      </c>
      <c r="G173" s="37">
        <v>86966</v>
      </c>
      <c r="H173" s="37">
        <v>50000</v>
      </c>
    </row>
    <row r="174" spans="2:8">
      <c r="B174" s="46" t="s">
        <v>742</v>
      </c>
      <c r="C174" s="46" t="s">
        <v>978</v>
      </c>
      <c r="D174" s="46" t="s">
        <v>977</v>
      </c>
      <c r="E174" s="45" t="s">
        <v>155</v>
      </c>
      <c r="F174" s="37">
        <v>3000</v>
      </c>
      <c r="G174" s="37">
        <v>0</v>
      </c>
      <c r="H174" s="37">
        <v>0</v>
      </c>
    </row>
    <row r="175" spans="2:8">
      <c r="B175" s="46" t="s">
        <v>887</v>
      </c>
      <c r="C175" s="46" t="s">
        <v>978</v>
      </c>
      <c r="D175" s="46" t="s">
        <v>977</v>
      </c>
      <c r="E175" s="45" t="s">
        <v>62</v>
      </c>
      <c r="F175" s="37">
        <v>37000</v>
      </c>
      <c r="G175" s="37">
        <v>67726</v>
      </c>
      <c r="H175" s="37">
        <v>50000</v>
      </c>
    </row>
    <row r="176" spans="2:8">
      <c r="B176" s="46" t="s">
        <v>890</v>
      </c>
      <c r="C176" s="46" t="s">
        <v>978</v>
      </c>
      <c r="D176" s="46" t="s">
        <v>977</v>
      </c>
      <c r="E176" s="45" t="s">
        <v>398</v>
      </c>
      <c r="F176" s="37">
        <v>629000</v>
      </c>
      <c r="G176" s="37">
        <v>510459</v>
      </c>
      <c r="H176" s="37">
        <v>150000</v>
      </c>
    </row>
    <row r="177" spans="2:8">
      <c r="B177" s="46" t="s">
        <v>979</v>
      </c>
      <c r="C177" s="46" t="s">
        <v>980</v>
      </c>
      <c r="D177" s="46" t="s">
        <v>977</v>
      </c>
      <c r="E177" s="45" t="s">
        <v>399</v>
      </c>
      <c r="F177" s="37">
        <v>7010000</v>
      </c>
      <c r="G177" s="37">
        <v>8250646</v>
      </c>
      <c r="H177" s="37">
        <v>180000</v>
      </c>
    </row>
    <row r="178" spans="2:8">
      <c r="B178" s="46" t="s">
        <v>732</v>
      </c>
      <c r="C178" s="46" t="s">
        <v>981</v>
      </c>
      <c r="D178" s="46" t="s">
        <v>982</v>
      </c>
      <c r="E178" s="45" t="s">
        <v>150</v>
      </c>
      <c r="F178" s="37">
        <v>25000</v>
      </c>
      <c r="G178" s="37">
        <v>16618</v>
      </c>
      <c r="H178" s="37">
        <v>35000</v>
      </c>
    </row>
    <row r="179" spans="2:8">
      <c r="B179" s="46" t="s">
        <v>939</v>
      </c>
      <c r="C179" s="46" t="s">
        <v>981</v>
      </c>
      <c r="D179" s="46" t="s">
        <v>982</v>
      </c>
      <c r="E179" s="45" t="s">
        <v>165</v>
      </c>
      <c r="F179" s="37">
        <v>21000</v>
      </c>
      <c r="G179" s="37">
        <v>47826.9</v>
      </c>
      <c r="H179" s="37">
        <v>50000</v>
      </c>
    </row>
    <row r="180" spans="2:8">
      <c r="B180" s="46" t="s">
        <v>874</v>
      </c>
      <c r="C180" s="46" t="s">
        <v>981</v>
      </c>
      <c r="D180" s="46" t="s">
        <v>982</v>
      </c>
      <c r="E180" s="45" t="s">
        <v>400</v>
      </c>
      <c r="F180" s="37">
        <v>8000</v>
      </c>
      <c r="G180" s="37">
        <v>4970</v>
      </c>
      <c r="H180" s="37">
        <v>10000</v>
      </c>
    </row>
    <row r="181" spans="2:8">
      <c r="B181" s="46" t="s">
        <v>885</v>
      </c>
      <c r="C181" s="46" t="s">
        <v>981</v>
      </c>
      <c r="D181" s="46" t="s">
        <v>982</v>
      </c>
      <c r="E181" s="45" t="s">
        <v>401</v>
      </c>
      <c r="F181" s="37">
        <v>75000</v>
      </c>
      <c r="G181" s="37">
        <v>75508.800000000003</v>
      </c>
      <c r="H181" s="37">
        <v>75000</v>
      </c>
    </row>
    <row r="182" spans="2:8">
      <c r="B182" s="46" t="s">
        <v>886</v>
      </c>
      <c r="C182" s="46" t="s">
        <v>981</v>
      </c>
      <c r="D182" s="46" t="s">
        <v>982</v>
      </c>
      <c r="E182" s="45" t="s">
        <v>14</v>
      </c>
      <c r="F182" s="37">
        <v>15000</v>
      </c>
      <c r="G182" s="37">
        <v>40748.410000000003</v>
      </c>
      <c r="H182" s="37">
        <v>30000</v>
      </c>
    </row>
    <row r="183" spans="2:8">
      <c r="B183" s="46" t="s">
        <v>887</v>
      </c>
      <c r="C183" s="46" t="s">
        <v>981</v>
      </c>
      <c r="D183" s="46" t="s">
        <v>982</v>
      </c>
      <c r="E183" s="45" t="s">
        <v>62</v>
      </c>
      <c r="F183" s="37">
        <v>0</v>
      </c>
      <c r="G183" s="37">
        <v>7139</v>
      </c>
      <c r="H183" s="37">
        <v>10000</v>
      </c>
    </row>
    <row r="184" spans="2:8">
      <c r="B184" s="46" t="s">
        <v>798</v>
      </c>
      <c r="C184" s="46" t="s">
        <v>981</v>
      </c>
      <c r="D184" s="46" t="s">
        <v>982</v>
      </c>
      <c r="E184" s="45" t="s">
        <v>19</v>
      </c>
      <c r="F184" s="37">
        <v>5000</v>
      </c>
      <c r="G184" s="37">
        <v>0</v>
      </c>
      <c r="H184" s="37">
        <v>0</v>
      </c>
    </row>
    <row r="185" spans="2:8">
      <c r="B185" s="46" t="s">
        <v>895</v>
      </c>
      <c r="C185" s="46" t="s">
        <v>983</v>
      </c>
      <c r="D185" s="46" t="s">
        <v>984</v>
      </c>
      <c r="E185" s="45" t="s">
        <v>405</v>
      </c>
      <c r="F185" s="37">
        <v>0</v>
      </c>
      <c r="G185" s="37">
        <v>4466.45</v>
      </c>
      <c r="H185" s="37">
        <v>0</v>
      </c>
    </row>
    <row r="186" spans="2:8">
      <c r="B186" s="46" t="s">
        <v>887</v>
      </c>
      <c r="C186" s="46" t="s">
        <v>983</v>
      </c>
      <c r="D186" s="46" t="s">
        <v>984</v>
      </c>
      <c r="E186" s="45" t="s">
        <v>406</v>
      </c>
      <c r="F186" s="37">
        <v>165000</v>
      </c>
      <c r="G186" s="37">
        <v>314573.88</v>
      </c>
      <c r="H186" s="37">
        <v>80000</v>
      </c>
    </row>
    <row r="187" spans="2:8">
      <c r="B187" s="46" t="s">
        <v>888</v>
      </c>
      <c r="C187" s="46" t="s">
        <v>983</v>
      </c>
      <c r="D187" s="46" t="s">
        <v>984</v>
      </c>
      <c r="E187" s="45" t="s">
        <v>407</v>
      </c>
      <c r="F187" s="37">
        <v>90000</v>
      </c>
      <c r="G187" s="37">
        <v>253897.60000000001</v>
      </c>
      <c r="H187" s="37">
        <v>60000</v>
      </c>
    </row>
    <row r="188" spans="2:8">
      <c r="B188" s="46" t="s">
        <v>935</v>
      </c>
      <c r="C188" s="46" t="s">
        <v>983</v>
      </c>
      <c r="D188" s="46" t="s">
        <v>984</v>
      </c>
      <c r="E188" s="45" t="s">
        <v>408</v>
      </c>
      <c r="F188" s="37">
        <v>25000</v>
      </c>
      <c r="G188" s="37">
        <v>82103.16</v>
      </c>
      <c r="H188" s="37">
        <v>25000</v>
      </c>
    </row>
    <row r="189" spans="2:8">
      <c r="B189" s="46" t="s">
        <v>889</v>
      </c>
      <c r="C189" s="46" t="s">
        <v>985</v>
      </c>
      <c r="D189" s="46" t="s">
        <v>984</v>
      </c>
      <c r="E189" s="45" t="s">
        <v>409</v>
      </c>
      <c r="F189" s="37">
        <v>800000</v>
      </c>
      <c r="G189" s="37">
        <v>1167316.01</v>
      </c>
      <c r="H189" s="37">
        <v>300000</v>
      </c>
    </row>
    <row r="190" spans="2:8">
      <c r="B190" s="46" t="s">
        <v>781</v>
      </c>
      <c r="C190" s="46" t="s">
        <v>986</v>
      </c>
      <c r="D190" s="46" t="s">
        <v>987</v>
      </c>
      <c r="E190" s="45" t="s">
        <v>414</v>
      </c>
      <c r="F190" s="37">
        <v>0</v>
      </c>
      <c r="G190" s="37">
        <v>129264.1</v>
      </c>
      <c r="H190" s="37">
        <v>600000</v>
      </c>
    </row>
    <row r="192" spans="2:8">
      <c r="F192" s="17">
        <f>SUM(F5:F191)</f>
        <v>16160000</v>
      </c>
      <c r="G192" s="17">
        <f>SUM(G5:G191)</f>
        <v>18578575.810000006</v>
      </c>
      <c r="H192" s="17">
        <f>SUM(H5:H191)</f>
        <v>9562000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75"/>
  <sheetViews>
    <sheetView rightToLeft="1" view="pageBreakPreview" topLeftCell="A19" zoomScaleNormal="100" zoomScaleSheetLayoutView="100" workbookViewId="0">
      <selection activeCell="Q45" activeCellId="15" sqref="B29 Q29 B32 Q32 B35 Q35 B38 Q38 B39 Q39 B40 Q40 B42 Q42 B45 Q45"/>
    </sheetView>
  </sheetViews>
  <sheetFormatPr defaultRowHeight="14.25"/>
  <cols>
    <col min="1" max="1" width="4" customWidth="1"/>
    <col min="2" max="2" width="28" customWidth="1"/>
    <col min="3" max="3" width="13.375" hidden="1" customWidth="1"/>
    <col min="4" max="4" width="13.375" style="5" hidden="1" customWidth="1"/>
    <col min="5" max="7" width="13.375" hidden="1" customWidth="1"/>
    <col min="8" max="14" width="13.375" style="169" hidden="1" customWidth="1"/>
    <col min="15" max="17" width="13.375" style="169" customWidth="1"/>
    <col min="18" max="18" width="11.375" bestFit="1" customWidth="1"/>
    <col min="19" max="19" width="9.875" bestFit="1" customWidth="1"/>
  </cols>
  <sheetData>
    <row r="1" spans="1:19" ht="18.75">
      <c r="B1" s="272" t="s">
        <v>1135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</row>
    <row r="2" spans="1:19" ht="18.75">
      <c r="A2" s="4"/>
      <c r="B2" s="272" t="s">
        <v>2088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</row>
    <row r="4" spans="1:19" ht="30">
      <c r="A4" s="6" t="s">
        <v>595</v>
      </c>
      <c r="B4" s="7" t="s">
        <v>599</v>
      </c>
      <c r="C4" s="7" t="s">
        <v>422</v>
      </c>
      <c r="D4" s="8" t="s">
        <v>423</v>
      </c>
      <c r="E4" s="8" t="s">
        <v>698</v>
      </c>
      <c r="F4" s="78" t="s">
        <v>1619</v>
      </c>
      <c r="G4" s="78" t="s">
        <v>1622</v>
      </c>
      <c r="H4" s="185" t="s">
        <v>1623</v>
      </c>
      <c r="I4" s="185" t="s">
        <v>1660</v>
      </c>
      <c r="J4" s="185" t="s">
        <v>1663</v>
      </c>
      <c r="K4" s="185" t="s">
        <v>1664</v>
      </c>
      <c r="L4" s="185" t="s">
        <v>1665</v>
      </c>
      <c r="M4" s="185" t="s">
        <v>2046</v>
      </c>
      <c r="N4" s="185" t="s">
        <v>2047</v>
      </c>
      <c r="O4" s="185" t="s">
        <v>2002</v>
      </c>
      <c r="P4" s="185" t="s">
        <v>2089</v>
      </c>
      <c r="Q4" s="185" t="s">
        <v>2087</v>
      </c>
    </row>
    <row r="5" spans="1:19" ht="15">
      <c r="A5" s="9">
        <v>1</v>
      </c>
      <c r="B5" s="10" t="s">
        <v>601</v>
      </c>
      <c r="C5" s="11">
        <f>-SUMIF(הכנסות!$A:$A,$A5,הכנסות!G:G)</f>
        <v>5800000</v>
      </c>
      <c r="D5" s="11">
        <f>-SUMIF(הכנסות!$A:$A,$A5,הכנסות!I:I)</f>
        <v>6343798.0100000007</v>
      </c>
      <c r="E5" s="11">
        <f>SUMIF(הכנסות!$A:$A,$A5,הכנסות!K:K)</f>
        <v>543798.01</v>
      </c>
      <c r="F5" s="79">
        <f>SUMIF(הכנסות!$A:$A,$A5,הכנסות!L:L)</f>
        <v>6200000</v>
      </c>
      <c r="G5" s="79">
        <f>SUMIF(הכנסות!$A:$A,$A5,הכנסות!M:M)</f>
        <v>5910000</v>
      </c>
      <c r="H5" s="186">
        <f>SUMIF(הכנסות!$A:$A,$A5,הכנסות!N:N)</f>
        <v>6450000</v>
      </c>
      <c r="I5" s="186">
        <f>SUMIF(הכנסות!$A:$A,$A5,הכנסות!P:P)</f>
        <v>6450000</v>
      </c>
      <c r="J5" s="186">
        <f>SUMIF(הכנסות!$A:$A,$A5,הכנסות!Q:Q)</f>
        <v>5809566.6099999994</v>
      </c>
      <c r="K5" s="186">
        <f>SUMIF(הכנסות!$A:$A,$A5,הכנסות!R:R)</f>
        <v>6337709.0290909093</v>
      </c>
      <c r="L5" s="186">
        <f>SUMIF(הכנסות!$A:$A,$A5,הכנסות!S:S)</f>
        <v>6700000</v>
      </c>
      <c r="M5" s="186">
        <f>SUMIF(הכנסות!$A:$A,$A5,הכנסות!T:T)</f>
        <v>4142061.05</v>
      </c>
      <c r="N5" s="186">
        <f>SUMIF(הכנסות!$A:$A,$A5,הכנסות!U:U)</f>
        <v>6300000</v>
      </c>
      <c r="O5" s="186">
        <f>SUMIF(הכנסות!$A:$A,$A5,הכנסות!V:V)</f>
        <v>7000000</v>
      </c>
      <c r="P5" s="186">
        <f>SUMIF(הכנסות!$A:$A,$A5,הכנסות!W:W)</f>
        <v>6399299.3200000003</v>
      </c>
      <c r="Q5" s="186">
        <f>SUMIF(הכנסות!$A:$A,$A5,הכנסות!X:X)</f>
        <v>7513000</v>
      </c>
    </row>
    <row r="6" spans="1:19" ht="15">
      <c r="A6" s="9">
        <v>13</v>
      </c>
      <c r="B6" s="10" t="s">
        <v>602</v>
      </c>
      <c r="C6" s="11">
        <f>-SUMIF(הכנסות!$A:$A,$A6,הכנסות!G:G)</f>
        <v>4000000</v>
      </c>
      <c r="D6" s="11">
        <f>-SUMIF(הכנסות!$A:$A,$A6,הכנסות!I:I)</f>
        <v>2749995.4299999997</v>
      </c>
      <c r="E6" s="11">
        <f>-SUMIF(הכנסות!$A:$A,$A6,הכנסות!K:K)</f>
        <v>1250004.57</v>
      </c>
      <c r="F6" s="79">
        <f>SUMIF(הכנסות!$A:$A,$A6,הכנסות!L:L)</f>
        <v>4500000</v>
      </c>
      <c r="G6" s="79">
        <f>SUMIF(הכנסות!$A:$A,$A6,הכנסות!M:M)</f>
        <v>4124000</v>
      </c>
      <c r="H6" s="186">
        <f>SUMIF(הכנסות!$A:$A,$A6,הכנסות!N:N)</f>
        <v>4175000</v>
      </c>
      <c r="I6" s="186">
        <f>SUMIF(הכנסות!$A:$A,$A6,הכנסות!P:P)</f>
        <v>4175000</v>
      </c>
      <c r="J6" s="186">
        <f>SUMIF(הכנסות!$A:$A,$A6,הכנסות!Q:Q)</f>
        <v>2424805.2999999998</v>
      </c>
      <c r="K6" s="186">
        <f>SUMIF(הכנסות!$A:$A,$A6,הכנסות!R:R)</f>
        <v>4500000</v>
      </c>
      <c r="L6" s="186">
        <f>SUMIF(הכנסות!$A:$A,$A6,הכנסות!S:S)</f>
        <v>4900000</v>
      </c>
      <c r="M6" s="186">
        <f>SUMIF(הכנסות!$A:$A,$A6,הכנסות!T:T)</f>
        <v>2245254.79</v>
      </c>
      <c r="N6" s="186">
        <f>SUMIF(הכנסות!$A:$A,$A6,הכנסות!U:U)</f>
        <v>3903000</v>
      </c>
      <c r="O6" s="186">
        <f>SUMIF(הכנסות!$A:$A,$A6,הכנסות!V:V)</f>
        <v>3200000</v>
      </c>
      <c r="P6" s="186">
        <f>SUMIF(הכנסות!$A:$A,$A6,הכנסות!W:W)</f>
        <v>4349217.7699999996</v>
      </c>
      <c r="Q6" s="186">
        <f>SUMIF(הכנסות!$A:$A,$A6,הכנסות!X:X)</f>
        <v>2200000</v>
      </c>
    </row>
    <row r="7" spans="1:19" ht="15">
      <c r="A7" s="9">
        <v>10</v>
      </c>
      <c r="B7" s="10" t="s">
        <v>603</v>
      </c>
      <c r="C7" s="11">
        <f>-SUMIF(הכנסות!$A:$A,$A7,הכנסות!G:G)</f>
        <v>0</v>
      </c>
      <c r="D7" s="11">
        <f>-SUMIF(הכנסות!$A:$A,$A7,הכנסות!I:I)</f>
        <v>10156.5</v>
      </c>
      <c r="E7" s="11">
        <f>-SUMIF(הכנסות!$A:$A,$A7,הכנסות!K:K)</f>
        <v>-10156.5</v>
      </c>
      <c r="F7" s="79">
        <f>SUMIF(הכנסות!$A:$A,$A7,הכנסות!L:L)</f>
        <v>500000</v>
      </c>
      <c r="G7" s="79">
        <f>SUMIF(הכנסות!$A:$A,$A7,הכנסות!M:M)</f>
        <v>647000</v>
      </c>
      <c r="H7" s="186">
        <f>SUMIF(הכנסות!$A:$A,$A7,הכנסות!N:N)</f>
        <v>56000</v>
      </c>
      <c r="I7" s="186">
        <f>SUMIF(הכנסות!$A:$A,$A7,הכנסות!P:P)</f>
        <v>56000</v>
      </c>
      <c r="J7" s="186">
        <f>SUMIF(הכנסות!$A:$A,$A7,הכנסות!Q:Q)</f>
        <v>31910.67</v>
      </c>
      <c r="K7" s="186">
        <f>SUMIF(הכנסות!$A:$A,$A7,הכנסות!R:R)</f>
        <v>36660.899999999994</v>
      </c>
      <c r="L7" s="186">
        <f>SUMIF(הכנסות!$A:$A,$A7,הכנסות!S:S)</f>
        <v>59600</v>
      </c>
      <c r="M7" s="186">
        <f>SUMIF(הכנסות!$A:$A,$A7,הכנסות!T:T)</f>
        <v>13230</v>
      </c>
      <c r="N7" s="186">
        <f>SUMIF(הכנסות!$A:$A,$A7,הכנסות!U:U)</f>
        <v>17000</v>
      </c>
      <c r="O7" s="186">
        <f>SUMIF(הכנסות!$A:$A,$A7,הכנסות!V:V)</f>
        <v>30000</v>
      </c>
      <c r="P7" s="186">
        <f>SUMIF(הכנסות!$A:$A,$A7,הכנסות!W:W)</f>
        <v>23451.4</v>
      </c>
      <c r="Q7" s="186">
        <f>SUMIF(הכנסות!$A:$A,$A7,הכנסות!X:X)</f>
        <v>40000</v>
      </c>
    </row>
    <row r="8" spans="1:19" ht="15">
      <c r="A8" s="9">
        <v>11</v>
      </c>
      <c r="B8" s="10" t="s">
        <v>604</v>
      </c>
      <c r="C8" s="11">
        <f>-SUMIF(הכנסות!$A:$A,$A8,הכנסות!G:G)</f>
        <v>2004</v>
      </c>
      <c r="D8" s="11">
        <f>-SUMIF(הכנסות!$A:$A,$A8,הכנסות!I:I)</f>
        <v>10390</v>
      </c>
      <c r="E8" s="11">
        <f>-SUMIF(הכנסות!$A:$A,$A8,הכנסות!K:K)</f>
        <v>-8386</v>
      </c>
      <c r="F8" s="79">
        <f>SUMIF(הכנסות!$A:$A,$A8,הכנסות!L:L)</f>
        <v>4000</v>
      </c>
      <c r="G8" s="79">
        <f>SUMIF(הכנסות!$A:$A,$A8,הכנסות!M:M)</f>
        <v>7000</v>
      </c>
      <c r="H8" s="186">
        <f>SUMIF(הכנסות!$A:$A,$A8,הכנסות!N:N)</f>
        <v>7000</v>
      </c>
      <c r="I8" s="186">
        <f>SUMIF(הכנסות!$A:$A,$A8,הכנסות!P:P)</f>
        <v>7000</v>
      </c>
      <c r="J8" s="186">
        <f>SUMIF(הכנסות!$A:$A,$A8,הכנסות!Q:Q)</f>
        <v>33162</v>
      </c>
      <c r="K8" s="186">
        <f>SUMIF(הכנסות!$A:$A,$A8,הכנסות!R:R)</f>
        <v>39794.399999999994</v>
      </c>
      <c r="L8" s="186">
        <f>SUMIF(הכנסות!$A:$A,$A8,הכנסות!S:S)</f>
        <v>41000</v>
      </c>
      <c r="M8" s="186">
        <f>SUMIF(הכנסות!$A:$A,$A8,הכנסות!T:T)</f>
        <v>38492</v>
      </c>
      <c r="N8" s="186">
        <f>SUMIF(הכנסות!$A:$A,$A8,הכנסות!U:U)</f>
        <v>41991.272727272699</v>
      </c>
      <c r="O8" s="186">
        <f>SUMIF(הכנסות!$A:$A,$A8,הכנסות!V:V)</f>
        <v>40000</v>
      </c>
      <c r="P8" s="186">
        <f>SUMIF(הכנסות!$A:$A,$A8,הכנסות!W:W)</f>
        <v>24485</v>
      </c>
      <c r="Q8" s="186">
        <f>SUMIF(הכנסות!$A:$A,$A8,הכנסות!X:X)</f>
        <v>50000</v>
      </c>
      <c r="R8" s="17"/>
    </row>
    <row r="9" spans="1:19" ht="15">
      <c r="A9" s="9">
        <v>3</v>
      </c>
      <c r="B9" s="10" t="s">
        <v>605</v>
      </c>
      <c r="C9" s="11">
        <f>-SUMIF(הכנסות!$A:$A,$A9,הכנסות!G:G)</f>
        <v>3270001</v>
      </c>
      <c r="D9" s="11">
        <f>-SUMIF(הכנסות!$A:$A,$A9,הכנסות!I:I)</f>
        <v>3858398.9299999997</v>
      </c>
      <c r="E9" s="11">
        <f>-SUMIF(הכנסות!$A:$A,$A9,הכנסות!K:K)</f>
        <v>711602.07000000007</v>
      </c>
      <c r="F9" s="79">
        <f>SUMIF(הכנסות!$A:$A,$A9,הכנסות!L:L)</f>
        <v>4985000</v>
      </c>
      <c r="G9" s="79">
        <f>SUMIF(הכנסות!$A:$A,$A9,הכנסות!M:M)</f>
        <v>3865500</v>
      </c>
      <c r="H9" s="186">
        <f>SUMIF(הכנסות!$A:$A,$A9,הכנסות!N:N)</f>
        <v>2639500</v>
      </c>
      <c r="I9" s="186">
        <f>SUMIF(הכנסות!$A:$A,$A9,הכנסות!P:P)</f>
        <v>2584500</v>
      </c>
      <c r="J9" s="186">
        <f>SUMIF(הכנסות!$A:$A,$A9,הכנסות!Q:Q)</f>
        <v>1322706.7200000002</v>
      </c>
      <c r="K9" s="186">
        <f>SUMIF(הכנסות!$A:$A,$A9,הכנסות!R:R)</f>
        <v>2011184.0709090908</v>
      </c>
      <c r="L9" s="186">
        <f>SUMIF(הכנסות!$A:$A,$A9,הכנסות!S:S)</f>
        <v>2512760</v>
      </c>
      <c r="M9" s="186">
        <f>SUMIF(הכנסות!$A:$A,$A9,הכנסות!T:T)</f>
        <v>1729957.4000000001</v>
      </c>
      <c r="N9" s="186">
        <f>SUMIF(הכנסות!$A:$A,$A9,הכנסות!U:U)</f>
        <v>2068442.4690909092</v>
      </c>
      <c r="O9" s="186">
        <f>SUMIF(הכנסות!$A:$A,$A9,הכנסות!V:V)</f>
        <v>1977999.9963636363</v>
      </c>
      <c r="P9" s="186">
        <f>SUMIF(הכנסות!$A:$A,$A9,הכנסות!W:W)</f>
        <v>3513784.62</v>
      </c>
      <c r="Q9" s="186">
        <f>SUMIF(הכנסות!$A:$A,$A9,הכנסות!X:X)</f>
        <v>2273000</v>
      </c>
    </row>
    <row r="10" spans="1:19" ht="15">
      <c r="A10" s="12"/>
      <c r="B10" s="12" t="s">
        <v>606</v>
      </c>
      <c r="C10" s="13">
        <f t="shared" ref="C10:O10" si="0">SUM(C5:C9)</f>
        <v>13072005</v>
      </c>
      <c r="D10" s="13">
        <f t="shared" si="0"/>
        <v>12972738.870000001</v>
      </c>
      <c r="E10" s="13">
        <f t="shared" si="0"/>
        <v>2486862.1500000004</v>
      </c>
      <c r="F10" s="80">
        <f t="shared" si="0"/>
        <v>16189000</v>
      </c>
      <c r="G10" s="80">
        <f t="shared" si="0"/>
        <v>14553500</v>
      </c>
      <c r="H10" s="187">
        <f t="shared" si="0"/>
        <v>13327500</v>
      </c>
      <c r="I10" s="187">
        <f t="shared" si="0"/>
        <v>13272500</v>
      </c>
      <c r="J10" s="187">
        <f t="shared" si="0"/>
        <v>9622151.2999999989</v>
      </c>
      <c r="K10" s="187">
        <f t="shared" si="0"/>
        <v>12925348.4</v>
      </c>
      <c r="L10" s="187">
        <f t="shared" si="0"/>
        <v>14213360</v>
      </c>
      <c r="M10" s="187">
        <f t="shared" si="0"/>
        <v>8168995.2400000002</v>
      </c>
      <c r="N10" s="187">
        <f t="shared" si="0"/>
        <v>12330433.741818182</v>
      </c>
      <c r="O10" s="187">
        <f t="shared" si="0"/>
        <v>12247999.996363636</v>
      </c>
      <c r="P10" s="187">
        <f t="shared" ref="P10:Q10" si="1">SUM(P5:P9)</f>
        <v>14310238.109999999</v>
      </c>
      <c r="Q10" s="187">
        <f t="shared" si="1"/>
        <v>12076000</v>
      </c>
    </row>
    <row r="11" spans="1:19" ht="15">
      <c r="A11" s="9">
        <v>9</v>
      </c>
      <c r="B11" s="10" t="s">
        <v>607</v>
      </c>
      <c r="C11" s="11">
        <f>-SUMIF(הכנסות!$A:$A,$A11,הכנסות!G:G)</f>
        <v>20980036</v>
      </c>
      <c r="D11" s="11">
        <f>-SUMIF(הכנסות!$A:$A,$A11,הכנסות!I:I)</f>
        <v>22950691.960000001</v>
      </c>
      <c r="E11" s="11">
        <f>-SUMIF(הכנסות!$A:$A,$A11,הכנסות!K:K)</f>
        <v>-1782379.34</v>
      </c>
      <c r="F11" s="79">
        <f>SUMIF(הכנסות!$A:$A,$A11,הכנסות!L:L)</f>
        <v>25580000</v>
      </c>
      <c r="G11" s="79">
        <f>SUMIF(הכנסות!$A:$A,$A11,הכנסות!M:M)</f>
        <v>25128000</v>
      </c>
      <c r="H11" s="186">
        <f>SUMIF(הכנסות!$A:$A,$A11,הכנסות!N:N)</f>
        <v>30267060</v>
      </c>
      <c r="I11" s="186">
        <f>SUMIF(הכנסות!$A:$A,$A11,הכנסות!P:P)</f>
        <v>28603339.059999999</v>
      </c>
      <c r="J11" s="186">
        <f>SUMIF(הכנסות!$A:$A,$A11,הכנסות!Q:Q)</f>
        <v>24762250.172000002</v>
      </c>
      <c r="K11" s="186">
        <f>SUMIF(הכנסות!$A:$A,$A11,הכנסות!R:R)</f>
        <v>32126763.039999995</v>
      </c>
      <c r="L11" s="186">
        <f>SUMIF(הכנסות!$A:$A,$A11,הכנסות!S:S)</f>
        <v>37117957.711999997</v>
      </c>
      <c r="M11" s="186">
        <f>SUMIF(הכנסות!$A:$A,$A11,הכנסות!T:T)</f>
        <v>33442183.039999988</v>
      </c>
      <c r="N11" s="186">
        <f>SUMIF(הכנסות!$A:$A,$A11,הכנסות!U:U)</f>
        <v>37145373.245454557</v>
      </c>
      <c r="O11" s="186">
        <f>SUMIF(הכנסות!$A:$A,$A11,הכנסות!V:V)</f>
        <v>37767446.516363636</v>
      </c>
      <c r="P11" s="186">
        <f>SUMIF(הכנסות!$A:$A,$A11,הכנסות!W:W)</f>
        <v>40860961.966499999</v>
      </c>
      <c r="Q11" s="186">
        <f>SUMIF(הכנסות!$A:$A,$A11,הכנסות!X:X)</f>
        <v>40562000.486500002</v>
      </c>
      <c r="R11" s="165"/>
    </row>
    <row r="12" spans="1:19" ht="15">
      <c r="A12" s="9">
        <v>12</v>
      </c>
      <c r="B12" s="10" t="s">
        <v>608</v>
      </c>
      <c r="C12" s="11">
        <f>-SUMIF(הכנסות!$A:$A,$A12,הכנסות!G:G)</f>
        <v>8338008</v>
      </c>
      <c r="D12" s="11">
        <f>-SUMIF(הכנסות!$A:$A,$A12,הכנסות!I:I)</f>
        <v>9740376.0500000007</v>
      </c>
      <c r="E12" s="11">
        <f>-SUMIF(הכנסות!$A:$A,$A12,הכנסות!K:K)</f>
        <v>-1250424.05</v>
      </c>
      <c r="F12" s="79">
        <f>SUMIF(הכנסות!$A:$A,$A12,הכנסות!L:L)</f>
        <v>11267000</v>
      </c>
      <c r="G12" s="79">
        <f>SUMIF(הכנסות!$A:$A,$A12,הכנסות!M:M)</f>
        <v>12104500</v>
      </c>
      <c r="H12" s="186">
        <f>SUMIF(הכנסות!$A:$A,$A12,הכנסות!N:N)</f>
        <v>14063723</v>
      </c>
      <c r="I12" s="186">
        <f>SUMIF(הכנסות!$A:$A,$A12,הכנסות!P:P)</f>
        <v>14052000</v>
      </c>
      <c r="J12" s="186">
        <f>SUMIF(הכנסות!$A:$A,$A12,הכנסות!Q:Q)</f>
        <v>9810716</v>
      </c>
      <c r="K12" s="186">
        <f>SUMIF(הכנסות!$A:$A,$A12,הכנסות!R:R)</f>
        <v>11772859.199999999</v>
      </c>
      <c r="L12" s="186">
        <f>SUMIF(הכנסות!$A:$A,$A12,הכנסות!S:S)</f>
        <v>13210450</v>
      </c>
      <c r="M12" s="186">
        <f>SUMIF(הכנסות!$A:$A,$A12,הכנסות!T:T)</f>
        <v>12885190</v>
      </c>
      <c r="N12" s="186">
        <f>SUMIF(הכנסות!$A:$A,$A12,הכנסות!U:U)</f>
        <v>14467208.36363636</v>
      </c>
      <c r="O12" s="186">
        <f>SUMIF(הכנסות!$A:$A,$A12,הכנסות!V:V)</f>
        <v>15811542.545454547</v>
      </c>
      <c r="P12" s="186">
        <f>SUMIF(הכנסות!$A:$A,$A12,הכנסות!W:W)</f>
        <v>18616673</v>
      </c>
      <c r="Q12" s="186">
        <f>SUMIF(הכנסות!$A:$A,$A12,הכנסות!X:X)</f>
        <v>19843000</v>
      </c>
      <c r="R12" s="17"/>
      <c r="S12" s="17"/>
    </row>
    <row r="13" spans="1:19" ht="15">
      <c r="A13" s="9">
        <v>8</v>
      </c>
      <c r="B13" s="10" t="s">
        <v>609</v>
      </c>
      <c r="C13" s="11">
        <f>-SUMIF(הכנסות!$A:$A,$A13,הכנסות!G:G)</f>
        <v>86003</v>
      </c>
      <c r="D13" s="11">
        <f>-SUMIF(הכנסות!$A:$A,$A13,הכנסות!I:I)</f>
        <v>110471</v>
      </c>
      <c r="E13" s="11">
        <f>-SUMIF(הכנסות!$A:$A,$A13,הכנסות!K:K)</f>
        <v>-24468</v>
      </c>
      <c r="F13" s="79">
        <f>SUMIF(הכנסות!$A:$A,$A13,הכנסות!L:L)</f>
        <v>311000</v>
      </c>
      <c r="G13" s="79">
        <f>SUMIF(הכנסות!$A:$A,$A13,הכנסות!M:M)</f>
        <v>121500</v>
      </c>
      <c r="H13" s="186">
        <f>SUMIF(הכנסות!$A:$A,$A13,הכנסות!N:N)</f>
        <v>613000</v>
      </c>
      <c r="I13" s="186">
        <f>SUMIF(הכנסות!$A:$A,$A13,הכנסות!P:P)</f>
        <v>613000</v>
      </c>
      <c r="J13" s="186">
        <f>SUMIF(הכנסות!$A:$A,$A13,הכנסות!Q:Q)</f>
        <v>115730</v>
      </c>
      <c r="K13" s="186">
        <f>SUMIF(הכנסות!$A:$A,$A13,הכנסות!R:R)</f>
        <v>381876</v>
      </c>
      <c r="L13" s="186">
        <f>SUMIF(הכנסות!$A:$A,$A13,הכנסות!S:S)</f>
        <v>297482</v>
      </c>
      <c r="M13" s="186">
        <f>SUMIF(הכנסות!$A:$A,$A13,הכנסות!T:T)</f>
        <v>590722.03</v>
      </c>
      <c r="N13" s="186">
        <f>SUMIF(הכנסות!$A:$A,$A13,הכנסות!U:U)</f>
        <v>591518.63636363635</v>
      </c>
      <c r="O13" s="186">
        <f>SUMIF(הכנסות!$A:$A,$A13,הכנסות!V:V)</f>
        <v>407850</v>
      </c>
      <c r="P13" s="186">
        <f>SUMIF(הכנסות!$A:$A,$A13,הכנסות!W:W)</f>
        <v>707566</v>
      </c>
      <c r="Q13" s="186">
        <f>SUMIF(הכנסות!$A:$A,$A13,הכנסות!X:X)</f>
        <v>869000</v>
      </c>
    </row>
    <row r="14" spans="1:19" ht="15">
      <c r="A14" s="9">
        <v>4</v>
      </c>
      <c r="B14" s="10" t="s">
        <v>431</v>
      </c>
      <c r="C14" s="11">
        <f>-SUMIF(הכנסות!$A:$A,$A14,הכנסות!G:G)</f>
        <v>14900000</v>
      </c>
      <c r="D14" s="11">
        <f>-SUMIF(הכנסות!$A:$A,$A14,הכנסות!I:I)</f>
        <v>12842807.470000001</v>
      </c>
      <c r="E14" s="11">
        <f>-SUMIF(הכנסות!$A:$A,$A14,הכנסות!K:K)</f>
        <v>2057192.53</v>
      </c>
      <c r="F14" s="79">
        <f>SUMIF(הכנסות!$A:$A,$A14,הכנסות!L:L)</f>
        <v>12048000</v>
      </c>
      <c r="G14" s="79">
        <f>SUMIF(הכנסות!$A:$A,$A14,הכנסות!M:M)</f>
        <v>13824400</v>
      </c>
      <c r="H14" s="186">
        <f>SUMIF(הכנסות!$A:$A,$A14,הכנסות!N:N)</f>
        <v>15533000</v>
      </c>
      <c r="I14" s="186">
        <f>SUMIF(הכנסות!$A:$A,$A14,הכנסות!P:P)</f>
        <v>15533000</v>
      </c>
      <c r="J14" s="186">
        <f>SUMIF(הכנסות!$A:$A,$A14,הכנסות!Q:Q)</f>
        <v>12499385.42</v>
      </c>
      <c r="K14" s="186">
        <f>SUMIF(הכנסות!$A:$A,$A14,הכנסות!R:R)</f>
        <v>16447000</v>
      </c>
      <c r="L14" s="186">
        <f>SUMIF(הכנסות!$A:$A,$A14,הכנסות!S:S)</f>
        <v>14421100</v>
      </c>
      <c r="M14" s="186">
        <f>SUMIF(הכנסות!$A:$A,$A14,הכנסות!T:T)</f>
        <v>12823697.539999999</v>
      </c>
      <c r="N14" s="186">
        <f>SUMIF(הכנסות!$A:$A,$A14,הכנסות!U:U)</f>
        <v>14421100</v>
      </c>
      <c r="O14" s="186">
        <f>SUMIF(הכנסות!$A:$A,$A14,הכנסות!V:V)</f>
        <v>14001200</v>
      </c>
      <c r="P14" s="186">
        <f>SUMIF(הכנסות!$A:$A,$A14,הכנסות!W:W)</f>
        <v>14001580.82</v>
      </c>
      <c r="Q14" s="186">
        <f>SUMIF(הכנסות!$A:$A,$A14,הכנסות!X:X)</f>
        <v>14031000</v>
      </c>
    </row>
    <row r="15" spans="1:19" ht="15">
      <c r="A15" s="9">
        <v>6</v>
      </c>
      <c r="B15" s="10" t="s">
        <v>610</v>
      </c>
      <c r="C15" s="11">
        <f>-SUMIF(הכנסות!$A:$A,$A15,הכנסות!G:G)</f>
        <v>50000</v>
      </c>
      <c r="D15" s="11">
        <f>-SUMIF(הכנסות!$A:$A,$A15,הכנסות!I:I)</f>
        <v>453766</v>
      </c>
      <c r="E15" s="11">
        <f>-SUMIF(הכנסות!$A:$A,$A15,הכנסות!K:K)</f>
        <v>-403766</v>
      </c>
      <c r="F15" s="79">
        <f>SUMIF(הכנסות!$A:$A,$A15,הכנסות!L:L)</f>
        <v>240000</v>
      </c>
      <c r="G15" s="79">
        <f>SUMIF(הכנסות!$A:$A,$A15,הכנסות!M:M)</f>
        <v>3703000</v>
      </c>
      <c r="H15" s="186">
        <f>SUMIF(הכנסות!$A:$A,$A15,הכנסות!N:N)</f>
        <v>1324400</v>
      </c>
      <c r="I15" s="186">
        <f>SUMIF(הכנסות!$A:$A,$A15,הכנסות!P:P)</f>
        <v>1324400</v>
      </c>
      <c r="J15" s="186">
        <f>SUMIF(הכנסות!$A:$A,$A15,הכנסות!Q:Q)</f>
        <v>611665</v>
      </c>
      <c r="K15" s="186">
        <f>SUMIF(הכנסות!$A:$A,$A15,הכנסות!R:R)</f>
        <v>733998</v>
      </c>
      <c r="L15" s="186">
        <f>SUMIF(הכנסות!$A:$A,$A15,הכנסות!S:S)</f>
        <v>643000</v>
      </c>
      <c r="M15" s="186">
        <f>SUMIF(הכנסות!$A:$A,$A15,הכנסות!T:T)</f>
        <v>383782.62</v>
      </c>
      <c r="N15" s="186">
        <f>SUMIF(הכנסות!$A:$A,$A15,הכנסות!U:U)</f>
        <v>1794000</v>
      </c>
      <c r="O15" s="186">
        <f>SUMIF(הכנסות!$A:$A,$A15,הכנסות!V:V)</f>
        <v>1240000</v>
      </c>
      <c r="P15" s="186">
        <f>SUMIF(הכנסות!$A:$A,$A15,הכנסות!W:W)</f>
        <v>3010081.2</v>
      </c>
      <c r="Q15" s="186">
        <f>SUMIF(הכנסות!$A:$A,$A15,הכנסות!X:X)</f>
        <v>2917000</v>
      </c>
    </row>
    <row r="16" spans="1:19" ht="15">
      <c r="A16" s="12"/>
      <c r="B16" s="12" t="s">
        <v>611</v>
      </c>
      <c r="C16" s="13">
        <f t="shared" ref="C16:O16" si="2">SUM(C11:C15)</f>
        <v>44354047</v>
      </c>
      <c r="D16" s="13">
        <f t="shared" si="2"/>
        <v>46098112.480000004</v>
      </c>
      <c r="E16" s="13">
        <f t="shared" si="2"/>
        <v>-1403844.86</v>
      </c>
      <c r="F16" s="80">
        <f t="shared" si="2"/>
        <v>49446000</v>
      </c>
      <c r="G16" s="80">
        <f t="shared" si="2"/>
        <v>54881400</v>
      </c>
      <c r="H16" s="187">
        <f t="shared" si="2"/>
        <v>61801183</v>
      </c>
      <c r="I16" s="187">
        <f t="shared" si="2"/>
        <v>60125739.060000002</v>
      </c>
      <c r="J16" s="187">
        <f t="shared" si="2"/>
        <v>47799746.592000008</v>
      </c>
      <c r="K16" s="187">
        <f t="shared" si="2"/>
        <v>61462496.239999995</v>
      </c>
      <c r="L16" s="187">
        <f t="shared" si="2"/>
        <v>65689989.711999997</v>
      </c>
      <c r="M16" s="187">
        <f t="shared" si="2"/>
        <v>60125575.229999989</v>
      </c>
      <c r="N16" s="187">
        <f t="shared" si="2"/>
        <v>68419200.24545455</v>
      </c>
      <c r="O16" s="187">
        <f t="shared" si="2"/>
        <v>69228039.061818182</v>
      </c>
      <c r="P16" s="187">
        <f t="shared" ref="P16:Q16" si="3">SUM(P11:P15)</f>
        <v>77196862.98650001</v>
      </c>
      <c r="Q16" s="187">
        <f t="shared" si="3"/>
        <v>78222000.486499995</v>
      </c>
    </row>
    <row r="17" spans="1:24" ht="15">
      <c r="A17" s="9">
        <v>7</v>
      </c>
      <c r="B17" s="10" t="s">
        <v>612</v>
      </c>
      <c r="C17" s="11">
        <f>-SUMIF(הכנסות!$A:$A,$A17,הכנסות!G:G)</f>
        <v>800000</v>
      </c>
      <c r="D17" s="11">
        <f>-SUMIF(הכנסות!$A:$A,$A17,הכנסות!I:I)</f>
        <v>1572274</v>
      </c>
      <c r="E17" s="11">
        <f>-SUMIF(הכנסות!$A:$A,$A17,הכנסות!K:K)</f>
        <v>-322274</v>
      </c>
      <c r="F17" s="79">
        <f>-SUMIF(הכנסות!$A:$A,$A17,הכנסות!L:L)</f>
        <v>-1330000</v>
      </c>
      <c r="G17" s="79">
        <f>-SUMIF(הכנסות!$A:$A,$A17,הכנסות!M:M)</f>
        <v>-1330000</v>
      </c>
      <c r="H17" s="186">
        <f>-SUMIF(הכנסות!$A:$A,$A17,הכנסות!N:N)</f>
        <v>-1330000</v>
      </c>
      <c r="I17" s="186">
        <f>-SUMIF(הכנסות!$A:$A,$A17,הכנסות!P:P)</f>
        <v>-1330000</v>
      </c>
      <c r="J17" s="186">
        <f>-SUMIF(הכנסות!$A:$A,$A17,הכנסות!Q:Q)</f>
        <v>-700000</v>
      </c>
      <c r="K17" s="186">
        <f>-SUMIF(הכנסות!$A:$A,$A17,הכנסות!R:R)</f>
        <v>-1330000</v>
      </c>
      <c r="L17" s="186">
        <f>-SUMIF(הכנסות!$A:$A,$A17,הכנסות!S:S)</f>
        <v>-2030000</v>
      </c>
      <c r="M17" s="186">
        <f>SUMIF(הכנסות!$A:$A,$A17,הכנסות!T:T)</f>
        <v>1552114.9300000002</v>
      </c>
      <c r="N17" s="186">
        <f>SUMIF(הכנסות!$A:$A,$A17,הכנסות!U:U)</f>
        <v>1960964.6509090909</v>
      </c>
      <c r="O17" s="186">
        <f>SUMIF(הכנסות!$A:$A,$A17,הכנסות!V:V)</f>
        <v>3750000</v>
      </c>
      <c r="P17" s="186">
        <f>SUMIF(הכנסות!$A:$A,$A17,הכנסות!W:W)</f>
        <v>3200000</v>
      </c>
      <c r="Q17" s="186">
        <f>SUMIF(הכנסות!$A:$A,$A17,הכנסות!X:X)</f>
        <v>3000000</v>
      </c>
    </row>
    <row r="18" spans="1:24" ht="15">
      <c r="A18" s="9"/>
      <c r="B18" s="10" t="s">
        <v>613</v>
      </c>
      <c r="C18" s="11"/>
      <c r="D18" s="11"/>
      <c r="E18" s="11"/>
      <c r="F18" s="79"/>
      <c r="G18" s="79"/>
      <c r="H18" s="186"/>
      <c r="I18" s="186"/>
      <c r="J18" s="186"/>
      <c r="K18" s="186"/>
      <c r="L18" s="186"/>
      <c r="M18" s="186">
        <f>SUMIF(הכנסות!$A:$A,$A18,הכנסות!T:T)</f>
        <v>0</v>
      </c>
      <c r="N18" s="186">
        <f>SUMIF(הכנסות!$A:$A,$A18,הכנסות!U:U)</f>
        <v>0</v>
      </c>
      <c r="O18" s="186">
        <f>SUMIF(הכנסות!$A:$A,$A18,הכנסות!V:V)</f>
        <v>0</v>
      </c>
      <c r="P18" s="186">
        <f>SUMIF(הכנסות!$A:$A,$A18,הכנסות!W:W)</f>
        <v>0</v>
      </c>
      <c r="Q18" s="186">
        <f>SUMIF(הכנסות!$A:$A,$A18,הכנסות!X:X)</f>
        <v>0</v>
      </c>
    </row>
    <row r="19" spans="1:24" ht="30">
      <c r="A19" s="12"/>
      <c r="B19" s="14" t="s">
        <v>614</v>
      </c>
      <c r="C19" s="13">
        <f t="shared" ref="C19:M19" si="4">C16+C10</f>
        <v>57426052</v>
      </c>
      <c r="D19" s="13">
        <f t="shared" si="4"/>
        <v>59070851.350000009</v>
      </c>
      <c r="E19" s="13">
        <f t="shared" si="4"/>
        <v>1083017.2900000003</v>
      </c>
      <c r="F19" s="80">
        <f t="shared" si="4"/>
        <v>65635000</v>
      </c>
      <c r="G19" s="80">
        <f t="shared" si="4"/>
        <v>69434900</v>
      </c>
      <c r="H19" s="187">
        <f t="shared" si="4"/>
        <v>75128683</v>
      </c>
      <c r="I19" s="187">
        <f t="shared" si="4"/>
        <v>73398239.060000002</v>
      </c>
      <c r="J19" s="187">
        <f t="shared" si="4"/>
        <v>57421897.892000005</v>
      </c>
      <c r="K19" s="187">
        <f t="shared" si="4"/>
        <v>74387844.640000001</v>
      </c>
      <c r="L19" s="187">
        <f t="shared" si="4"/>
        <v>79903349.711999997</v>
      </c>
      <c r="M19" s="187">
        <f t="shared" si="4"/>
        <v>68294570.469999984</v>
      </c>
      <c r="N19" s="187">
        <f>N16+N10+N17</f>
        <v>82710598.638181835</v>
      </c>
      <c r="O19" s="187">
        <f>O16+O10+O17</f>
        <v>85226039.058181822</v>
      </c>
      <c r="P19" s="187">
        <f t="shared" ref="P19:Q19" si="5">P16+P10+P17</f>
        <v>94707101.096500009</v>
      </c>
      <c r="Q19" s="187">
        <f t="shared" si="5"/>
        <v>93298000.486499995</v>
      </c>
    </row>
    <row r="20" spans="1:24" ht="15">
      <c r="A20" s="9">
        <v>2</v>
      </c>
      <c r="B20" s="10" t="s">
        <v>615</v>
      </c>
      <c r="C20" s="11">
        <f>-SUMIF(הכנסות!$A:$A,$A20,הכנסות!G:G)</f>
        <v>3000000</v>
      </c>
      <c r="D20" s="11">
        <f>-SUMIF(הכנסות!$A:$A,$A20,הכנסות!I:I)</f>
        <v>3490523.85</v>
      </c>
      <c r="E20" s="11">
        <f>-SUMIF(הכנסות!$A:$A,$A20,הכנסות!K:K)</f>
        <v>-490523.85</v>
      </c>
      <c r="F20" s="79">
        <f>SUMIF(הכנסות!$A:$A,$A20,הכנסות!L:L)</f>
        <v>3500000</v>
      </c>
      <c r="G20" s="79">
        <f>SUMIF(הכנסות!$A:$A,$A20,הכנסות!M:M)</f>
        <v>3500000</v>
      </c>
      <c r="H20" s="186">
        <f>SUMIF(הכנסות!$A:$A,$A20,הכנסות!N:N)</f>
        <v>4000000</v>
      </c>
      <c r="I20" s="186">
        <f>SUMIF(הכנסות!$A:$A,$A20,הכנסות!P:P)</f>
        <v>4000000</v>
      </c>
      <c r="J20" s="186">
        <f>SUMIF(הכנסות!$A:$A,$A20,הכנסות!Q:Q)</f>
        <v>3690000</v>
      </c>
      <c r="K20" s="186">
        <f>SUMIF(הכנסות!$A:$A,$A20,הכנסות!R:R)</f>
        <v>4000000</v>
      </c>
      <c r="L20" s="186">
        <f>SUMIF(הכנסות!$A:$A,$A20,הכנסות!S:S)</f>
        <v>4000000</v>
      </c>
      <c r="M20" s="186">
        <f>SUMIF(הכנסות!$A:$A,$A20,הכנסות!T:T)</f>
        <v>2943000</v>
      </c>
      <c r="N20" s="186">
        <f>SUMIF(הכנסות!$A:$A,$A20,הכנסות!U:U)</f>
        <v>4100000</v>
      </c>
      <c r="O20" s="186">
        <f>SUMIF(הכנסות!$A:$A,$A20,הכנסות!V:V)</f>
        <v>4000000</v>
      </c>
      <c r="P20" s="186">
        <f>SUMIF(הכנסות!$A:$A,$A20,הכנסות!W:W)</f>
        <v>3892654.4</v>
      </c>
      <c r="Q20" s="186">
        <f>SUMIF(הכנסות!$A:$A,$A20,הכנסות!X:X)</f>
        <v>4333000</v>
      </c>
    </row>
    <row r="21" spans="1:24" ht="15">
      <c r="A21" s="9">
        <v>14</v>
      </c>
      <c r="B21" s="10" t="s">
        <v>616</v>
      </c>
      <c r="C21" s="11">
        <f>-SUMIF(הכנסות!$A:$A,$A21,הכנסות!G:G)</f>
        <v>0</v>
      </c>
      <c r="D21" s="11">
        <f>-SUMIF(הכנסות!$A:$A,$A21,הכנסות!I:I)</f>
        <v>3650000</v>
      </c>
      <c r="E21" s="11">
        <f>-SUMIF(הכנסות!$A:$A,$A21,הכנסות!K:K)</f>
        <v>-3650000</v>
      </c>
      <c r="F21" s="79">
        <f>SUMIF(הכנסות!$A:$A,$A21,הכנסות!L:L)</f>
        <v>0</v>
      </c>
      <c r="G21" s="79">
        <f>SUMIF(הכנסות!$A:$A,$A21,הכנסות!M:M)</f>
        <v>0</v>
      </c>
      <c r="H21" s="186">
        <f>SUMIF(הכנסות!$A:$A,$A21,הכנסות!N:N)</f>
        <v>0</v>
      </c>
      <c r="I21" s="186">
        <f>SUMIF(הכנסות!$A:$A,$A21,הכנסות!P:P)</f>
        <v>0</v>
      </c>
      <c r="J21" s="186">
        <f>SUMIF(הכנסות!$A:$A,$A21,הכנסות!Q:Q)</f>
        <v>0</v>
      </c>
      <c r="K21" s="186">
        <f>SUMIF(הכנסות!$A:$A,$A21,הכנסות!R:R)</f>
        <v>0</v>
      </c>
      <c r="L21" s="186">
        <f>SUMIF(הכנסות!$A:$A,$A21,הכנסות!S:S)</f>
        <v>0</v>
      </c>
      <c r="M21" s="186">
        <f>SUMIF(הכנסות!$A:$A,$A21,הכנסות!T:T)</f>
        <v>0</v>
      </c>
      <c r="N21" s="186">
        <f>SUMIF(הכנסות!$A:$A,$A21,הכנסות!U:U)</f>
        <v>0</v>
      </c>
      <c r="O21" s="186">
        <f>SUMIF(הכנסות!$A:$A,$A21,הכנסות!V:V)</f>
        <v>0</v>
      </c>
      <c r="P21" s="186">
        <f>SUMIF(הכנסות!$A:$A,$A21,הכנסות!W:W)</f>
        <v>2808000</v>
      </c>
      <c r="Q21" s="186">
        <f>SUMIF(הכנסות!$A:$A,$A21,הכנסות!X:X)</f>
        <v>0</v>
      </c>
    </row>
    <row r="22" spans="1:24" ht="15">
      <c r="A22" s="12"/>
      <c r="B22" s="14" t="s">
        <v>617</v>
      </c>
      <c r="C22" s="13">
        <f t="shared" ref="C22:O22" si="6">C19+C20+C21</f>
        <v>60426052</v>
      </c>
      <c r="D22" s="13">
        <f t="shared" si="6"/>
        <v>66211375.20000001</v>
      </c>
      <c r="E22" s="13">
        <f t="shared" si="6"/>
        <v>-3057506.5599999996</v>
      </c>
      <c r="F22" s="80">
        <f t="shared" si="6"/>
        <v>69135000</v>
      </c>
      <c r="G22" s="80">
        <f t="shared" si="6"/>
        <v>72934900</v>
      </c>
      <c r="H22" s="187">
        <f t="shared" si="6"/>
        <v>79128683</v>
      </c>
      <c r="I22" s="187">
        <f t="shared" si="6"/>
        <v>77398239.060000002</v>
      </c>
      <c r="J22" s="187">
        <f t="shared" si="6"/>
        <v>61111897.892000005</v>
      </c>
      <c r="K22" s="187">
        <f t="shared" si="6"/>
        <v>78387844.640000001</v>
      </c>
      <c r="L22" s="187">
        <f t="shared" si="6"/>
        <v>83903349.711999997</v>
      </c>
      <c r="M22" s="187">
        <f t="shared" si="6"/>
        <v>71237570.469999984</v>
      </c>
      <c r="N22" s="187">
        <f t="shared" si="6"/>
        <v>86810598.638181835</v>
      </c>
      <c r="O22" s="187">
        <f t="shared" si="6"/>
        <v>89226039.058181822</v>
      </c>
      <c r="P22" s="187">
        <f t="shared" ref="P22:Q22" si="7">P19+P20+P21</f>
        <v>101407755.49650002</v>
      </c>
      <c r="Q22" s="187">
        <f t="shared" si="7"/>
        <v>97631000.486499995</v>
      </c>
    </row>
    <row r="23" spans="1:24" ht="15">
      <c r="A23" s="9">
        <v>5</v>
      </c>
      <c r="B23" s="10" t="s">
        <v>618</v>
      </c>
      <c r="C23" s="11">
        <f>-SUMIF(הכנסות!$A:$A,$A23,הכנסות!G:G)</f>
        <v>0</v>
      </c>
      <c r="D23" s="11">
        <f>-SUMIF(הכנסות!$A:$A,$A23,הכנסות!I:I)</f>
        <v>1807516</v>
      </c>
      <c r="E23" s="11">
        <f>-SUMIF(הכנסות!$A:$A,$A23,הכנסות!K:K)</f>
        <v>-689516</v>
      </c>
      <c r="F23" s="79">
        <f>SUMIF(הכנסות!$A:$A,$A23,הכנסות!L:L)</f>
        <v>2126000</v>
      </c>
      <c r="G23" s="79">
        <f>SUMIF(הכנסות!$A:$A,$A23,הכנסות!M:M)</f>
        <v>0</v>
      </c>
      <c r="H23" s="186">
        <f>SUMIF(הכנסות!$A:$A,$A23,הכנסות!N:N)</f>
        <v>2741000</v>
      </c>
      <c r="I23" s="186">
        <f>SUMIF(הכנסות!$A:$A,$A23,הכנסות!P:P)</f>
        <v>2741000</v>
      </c>
      <c r="J23" s="186">
        <f>SUMIF(הכנסות!$A:$A,$A23,הכנסות!Q:Q)</f>
        <v>594449.57999999996</v>
      </c>
      <c r="K23" s="186">
        <f>SUMIF(הכנסות!$A:$A,$A23,הכנסות!R:R)</f>
        <v>1800000</v>
      </c>
      <c r="L23" s="186">
        <f>SUMIF(הכנסות!$A:$A,$A23,הכנסות!S:S)</f>
        <v>2544900</v>
      </c>
      <c r="M23" s="186">
        <f>SUMIF(הכנסות!$A:$A,$A23,הכנסות!T:T)</f>
        <v>0</v>
      </c>
      <c r="N23" s="186">
        <f>SUMIF(הכנסות!$A:$A,$A23,הכנסות!U:U)</f>
        <v>848276</v>
      </c>
      <c r="O23" s="186">
        <f>SUMIF(הכנסות!$A:$A,$A23,הכנסות!V:V)</f>
        <v>2470800</v>
      </c>
      <c r="P23" s="186">
        <f>SUMIF(הכנסות!$A:$A,$A23,הכנסות!W:W)</f>
        <v>823621</v>
      </c>
      <c r="Q23" s="186">
        <f>SUMIF(הכנסות!$A:$A,$A23,הכנסות!X:X)</f>
        <v>2876000</v>
      </c>
      <c r="R23" s="17"/>
    </row>
    <row r="24" spans="1:24" s="58" customFormat="1" ht="15">
      <c r="A24" s="15"/>
      <c r="B24" s="15" t="s">
        <v>619</v>
      </c>
      <c r="C24" s="93">
        <f t="shared" ref="C24:O24" si="8">C22+C23</f>
        <v>60426052</v>
      </c>
      <c r="D24" s="93">
        <f t="shared" si="8"/>
        <v>68018891.200000018</v>
      </c>
      <c r="E24" s="93">
        <f t="shared" si="8"/>
        <v>-3747022.5599999996</v>
      </c>
      <c r="F24" s="94">
        <f t="shared" si="8"/>
        <v>71261000</v>
      </c>
      <c r="G24" s="94">
        <f t="shared" si="8"/>
        <v>72934900</v>
      </c>
      <c r="H24" s="188">
        <f t="shared" si="8"/>
        <v>81869683</v>
      </c>
      <c r="I24" s="188">
        <f t="shared" si="8"/>
        <v>80139239.060000002</v>
      </c>
      <c r="J24" s="188">
        <f t="shared" si="8"/>
        <v>61706347.472000003</v>
      </c>
      <c r="K24" s="188">
        <f t="shared" si="8"/>
        <v>80187844.640000001</v>
      </c>
      <c r="L24" s="188">
        <f t="shared" si="8"/>
        <v>86448249.711999997</v>
      </c>
      <c r="M24" s="188">
        <f t="shared" si="8"/>
        <v>71237570.469999984</v>
      </c>
      <c r="N24" s="188">
        <f t="shared" si="8"/>
        <v>87658874.638181835</v>
      </c>
      <c r="O24" s="188">
        <f t="shared" si="8"/>
        <v>91696839.058181822</v>
      </c>
      <c r="P24" s="188">
        <f t="shared" ref="P24:Q24" si="9">P22+P23</f>
        <v>102231376.49650002</v>
      </c>
      <c r="Q24" s="188">
        <f t="shared" si="9"/>
        <v>100507000.48649999</v>
      </c>
      <c r="R24" s="255"/>
      <c r="S24" s="255"/>
    </row>
    <row r="25" spans="1:24" ht="15">
      <c r="A25" s="9"/>
      <c r="B25" s="16" t="s">
        <v>620</v>
      </c>
      <c r="C25" s="11"/>
      <c r="D25" s="11"/>
    </row>
    <row r="26" spans="1:24" ht="15">
      <c r="A26" s="9">
        <v>16</v>
      </c>
      <c r="B26" s="10" t="s">
        <v>621</v>
      </c>
      <c r="C26" s="11">
        <f>SUMIF(הוצאות!$A:$A,$A26,הוצאות!G:G)</f>
        <v>4826000</v>
      </c>
      <c r="D26" s="11">
        <f>SUMIF(הוצאות!$A:$A,$A26,הוצאות!H:H)</f>
        <v>5135052.4099999992</v>
      </c>
      <c r="E26" s="11">
        <f>SUMIF(הוצאות!$A:$A,$A26,הוצאות!I:I)</f>
        <v>-309027.40999999997</v>
      </c>
      <c r="F26" s="11">
        <f>SUMIF(הוצאות!$A:$A,$A26,הוצאות!J:J)</f>
        <v>5733000</v>
      </c>
      <c r="G26" s="11">
        <f>SUMIF(הוצאות!$A:$A,$A26,הוצאות!K:K)</f>
        <v>6087300</v>
      </c>
      <c r="H26" s="186">
        <f>SUMIF(הוצאות!$A:$A,$A26,הוצאות!L:L)</f>
        <v>6135577</v>
      </c>
      <c r="I26" s="186">
        <f>SUMIF(הוצאות!$A:$A,$A26,הוצאות!N:N)</f>
        <v>6018577</v>
      </c>
      <c r="J26" s="186" t="e">
        <f>SUMIF(הוצאות!$A:$A,$A26,הוצאות!O:O)</f>
        <v>#N/A</v>
      </c>
      <c r="K26" s="186">
        <f>SUMIF(הוצאות!$A:$A,$A26,הוצאות!P:P)</f>
        <v>5977591.2520000003</v>
      </c>
      <c r="L26" s="186">
        <f>SUMIF(הוצאות!$A:$A,$A26,הוצאות!Q:Q)</f>
        <v>6479574</v>
      </c>
      <c r="M26" s="186">
        <f>SUMIF(הוצאות!$A:$A,$A26,הוצאות!R:R)</f>
        <v>5179413.7500000009</v>
      </c>
      <c r="N26" s="186">
        <f>SUMIF(הוצאות!$A:$A,$A26,הוצאות!S:S)</f>
        <v>6751982.8899999997</v>
      </c>
      <c r="O26" s="186">
        <f>SUMIF(הוצאות!$A:$A,$A26,הוצאות!T:T)</f>
        <v>8456235.6890360005</v>
      </c>
      <c r="P26" s="186">
        <f>SUMIF(הוצאות!$A:$A,$A26,הוצאות!U:U)</f>
        <v>6722512.0600000005</v>
      </c>
      <c r="Q26" s="186">
        <f>SUMIF(הוצאות!$A:$A,$A26,הוצאות!V:V)</f>
        <v>7171000</v>
      </c>
      <c r="R26" s="159">
        <f>SUMIF(הוצאות!$A:$A,$A26,הוצאות!W:W)</f>
        <v>37.559999999999995</v>
      </c>
      <c r="S26" s="1"/>
      <c r="T26" s="1"/>
      <c r="U26" s="1"/>
      <c r="V26" s="1"/>
      <c r="W26" s="1"/>
      <c r="X26" s="1"/>
    </row>
    <row r="27" spans="1:24" ht="15">
      <c r="A27" s="9">
        <v>15</v>
      </c>
      <c r="B27" s="10" t="s">
        <v>622</v>
      </c>
      <c r="C27" s="11">
        <f>SUMIF(הוצאות!$A:$A,$A27,הוצאות!G:G)</f>
        <v>8900000</v>
      </c>
      <c r="D27" s="11">
        <f>SUMIF(הוצאות!$A:$A,$A27,הוצאות!H:H)</f>
        <v>10947174.380000001</v>
      </c>
      <c r="E27" s="11">
        <f>SUMIF(הוצאות!$A:$A,$A27,הוצאות!I:I)</f>
        <v>-2047063.3799999994</v>
      </c>
      <c r="F27" s="11">
        <f>SUMIF(הוצאות!$A:$A,$A27,הוצאות!J:J)</f>
        <v>12061000</v>
      </c>
      <c r="G27" s="11">
        <f>SUMIF(הוצאות!$A:$A,$A27,הוצאות!K:K)</f>
        <v>13894500</v>
      </c>
      <c r="H27" s="186">
        <f>SUMIF(הוצאות!$A:$A,$A27,הוצאות!L:L)</f>
        <v>14997487</v>
      </c>
      <c r="I27" s="186">
        <f>SUMIF(הוצאות!$A:$A,$A27,הוצאות!N:N)</f>
        <v>14976546</v>
      </c>
      <c r="J27" s="186">
        <f>SUMIF(הוצאות!$A:$A,$A27,הוצאות!O:O)</f>
        <v>9771639.8099999987</v>
      </c>
      <c r="K27" s="186">
        <f>SUMIF(הוצאות!$A:$A,$A27,הוצאות!P:P)</f>
        <v>14340084.910142856</v>
      </c>
      <c r="L27" s="186">
        <f>SUMIF(הוצאות!$A:$A,$A27,הוצאות!Q:Q)</f>
        <v>14725576.892000001</v>
      </c>
      <c r="M27" s="186">
        <f>SUMIF(הוצאות!$A:$A,$A27,הוצאות!R:R)</f>
        <v>11217701.490000002</v>
      </c>
      <c r="N27" s="186">
        <f>SUMIF(הוצאות!$A:$A,$A27,הוצאות!S:S)</f>
        <v>15006409.614545453</v>
      </c>
      <c r="O27" s="186">
        <f>SUMIF(הוצאות!$A:$A,$A27,הוצאות!T:T)</f>
        <v>14498892.476363637</v>
      </c>
      <c r="P27" s="186">
        <f>SUMIF(הוצאות!$A:$A,$A27,הוצאות!U:U)</f>
        <v>16825081.609999999</v>
      </c>
      <c r="Q27" s="186">
        <f>SUMIF(הוצאות!$A:$A,$A27,הוצאות!V:V)</f>
        <v>14736000.249999998</v>
      </c>
      <c r="R27" s="11">
        <f>SUMIF(הוצאות!$A:$A,$A27,הוצאות!W:W)</f>
        <v>0</v>
      </c>
    </row>
    <row r="28" spans="1:24" ht="15">
      <c r="A28" s="9">
        <v>27</v>
      </c>
      <c r="B28" s="10" t="s">
        <v>602</v>
      </c>
      <c r="C28" s="11">
        <f>SUMIF(הוצאות!$A:$A,$A28,הוצאות!G:G)</f>
        <v>7639000</v>
      </c>
      <c r="D28" s="11">
        <f>SUMIF(הוצאות!$A:$A,$A28,הוצאות!H:H)</f>
        <v>8761105</v>
      </c>
      <c r="E28" s="11">
        <f>SUMIF(הוצאות!$A:$A,$A28,הוצאות!I:I)</f>
        <v>-1122102</v>
      </c>
      <c r="F28" s="11">
        <f>SUMIF(הוצאות!$A:$A,$A28,הוצאות!J:J)</f>
        <v>4333000</v>
      </c>
      <c r="G28" s="11">
        <f>SUMIF(הוצאות!$A:$A,$A28,הוצאות!K:K)</f>
        <v>4870000</v>
      </c>
      <c r="H28" s="186">
        <f>SUMIF(הוצאות!$A:$A,$A28,הוצאות!L:L)</f>
        <v>1712500</v>
      </c>
      <c r="I28" s="186">
        <f>SUMIF(הוצאות!$A:$A,$A28,הוצאות!N:N)</f>
        <v>1712500</v>
      </c>
      <c r="J28" s="186">
        <f>SUMIF(הוצאות!$A:$A,$A28,הוצאות!O:O)</f>
        <v>2898642.59</v>
      </c>
      <c r="K28" s="186">
        <f>SUMIF(הוצאות!$A:$A,$A28,הוצאות!P:P)</f>
        <v>5883115.7719999999</v>
      </c>
      <c r="L28" s="186">
        <f>SUMIF(הוצאות!$A:$A,$A28,הוצאות!Q:Q)</f>
        <v>5884000</v>
      </c>
      <c r="M28" s="186">
        <f>SUMIF(הוצאות!$A:$A,$A28,הוצאות!R:R)</f>
        <v>2435117.92</v>
      </c>
      <c r="N28" s="186">
        <f>SUMIF(הוצאות!$A:$A,$A28,הוצאות!S:S)</f>
        <v>4145249.1127272728</v>
      </c>
      <c r="O28" s="186">
        <f>SUMIF(הוצאות!$A:$A,$A28,הוצאות!T:T)</f>
        <v>3060000</v>
      </c>
      <c r="P28" s="186">
        <f>SUMIF(הוצאות!$A:$A,$A28,הוצאות!U:U)</f>
        <v>5126870.93</v>
      </c>
      <c r="Q28" s="186">
        <f>SUMIF(הוצאות!$A:$A,$A28,הוצאות!V:V)</f>
        <v>2600000</v>
      </c>
      <c r="R28" s="11">
        <f>SUMIF(הוצאות!$A:$A,$A28,הוצאות!W:W)</f>
        <v>0</v>
      </c>
    </row>
    <row r="29" spans="1:24" ht="15">
      <c r="A29" s="12"/>
      <c r="B29" s="14" t="s">
        <v>623</v>
      </c>
      <c r="C29" s="13">
        <f t="shared" ref="C29:R29" si="10">SUM(C26:C28)</f>
        <v>21365000</v>
      </c>
      <c r="D29" s="13">
        <f t="shared" si="10"/>
        <v>24843331.789999999</v>
      </c>
      <c r="E29" s="13">
        <f t="shared" si="10"/>
        <v>-3478192.7899999996</v>
      </c>
      <c r="F29" s="13">
        <f t="shared" si="10"/>
        <v>22127000</v>
      </c>
      <c r="G29" s="13">
        <f t="shared" si="10"/>
        <v>24851800</v>
      </c>
      <c r="H29" s="187">
        <f t="shared" si="10"/>
        <v>22845564</v>
      </c>
      <c r="I29" s="187">
        <f t="shared" si="10"/>
        <v>22707623</v>
      </c>
      <c r="J29" s="187" t="e">
        <f t="shared" si="10"/>
        <v>#N/A</v>
      </c>
      <c r="K29" s="187">
        <f t="shared" si="10"/>
        <v>26200791.934142858</v>
      </c>
      <c r="L29" s="187">
        <f t="shared" si="10"/>
        <v>27089150.892000001</v>
      </c>
      <c r="M29" s="187">
        <f t="shared" si="10"/>
        <v>18832233.160000004</v>
      </c>
      <c r="N29" s="187">
        <f t="shared" si="10"/>
        <v>25903641.617272727</v>
      </c>
      <c r="O29" s="187">
        <f t="shared" si="10"/>
        <v>26015128.165399637</v>
      </c>
      <c r="P29" s="187">
        <f t="shared" ref="P29:Q29" si="11">SUM(P26:P28)</f>
        <v>28674464.600000001</v>
      </c>
      <c r="Q29" s="187">
        <f t="shared" si="11"/>
        <v>24507000.25</v>
      </c>
      <c r="R29" s="13">
        <f t="shared" si="10"/>
        <v>37.559999999999995</v>
      </c>
    </row>
    <row r="30" spans="1:24" ht="15">
      <c r="A30" s="9">
        <v>20</v>
      </c>
      <c r="B30" s="10" t="s">
        <v>624</v>
      </c>
      <c r="C30" s="11">
        <f>SUMIF(הוצאות!$A:$A,$A30,הוצאות!G:G)</f>
        <v>13950000</v>
      </c>
      <c r="D30" s="11">
        <f>SUMIF(הוצאות!$A:$A,$A30,הוצאות!H:H)</f>
        <v>15235290.649999999</v>
      </c>
      <c r="E30" s="11">
        <f>SUMIF(הוצאות!$A:$A,$A30,הוצאות!I:I)</f>
        <v>-1285267.6499999999</v>
      </c>
      <c r="F30" s="11">
        <f>SUMIF(הוצאות!$A:$A,$A30,הוצאות!J:J)</f>
        <v>17038000</v>
      </c>
      <c r="G30" s="11">
        <f>SUMIF(הוצאות!$A:$A,$A30,הוצאות!K:K)</f>
        <v>19132000</v>
      </c>
      <c r="H30" s="186">
        <f>SUMIF(הוצאות!$A:$A,$A30,הוצאות!L:L)</f>
        <v>20889300</v>
      </c>
      <c r="I30" s="186">
        <f>SUMIF(הוצאות!$A:$A,$A30,הוצאות!N:N)</f>
        <v>20381500</v>
      </c>
      <c r="J30" s="186">
        <f>SUMIF(הוצאות!$A:$A,$A30,הוצאות!O:O)</f>
        <v>15310295.569999998</v>
      </c>
      <c r="K30" s="186">
        <f>SUMIF(הוצאות!$A:$A,$A30,הוצאות!P:P)</f>
        <v>21768132.800000001</v>
      </c>
      <c r="L30" s="186">
        <f>SUMIF(הוצאות!$A:$A,$A30,הוצאות!Q:Q)</f>
        <v>25479737</v>
      </c>
      <c r="M30" s="186">
        <f>SUMIF(הוצאות!$A:$A,$A30,הוצאות!R:R)</f>
        <v>18322149.860000003</v>
      </c>
      <c r="N30" s="186">
        <f>SUMIF(הוצאות!$A:$A,$A30,הוצאות!S:S)</f>
        <v>24609214.609999999</v>
      </c>
      <c r="O30" s="186">
        <f>SUMIF(הוצאות!$A:$A,$A30,הוצאות!T:T)</f>
        <v>25219025.461754002</v>
      </c>
      <c r="P30" s="186">
        <f>SUMIF(הוצאות!$A:$A,$A30,הוצאות!U:U)</f>
        <v>27654563.990000006</v>
      </c>
      <c r="Q30" s="186">
        <f>SUMIF(הוצאות!$A:$A,$A30,הוצאות!V:V)</f>
        <v>29916000</v>
      </c>
      <c r="R30" s="253">
        <f>SUMIF(הוצאות!$A:$A,$A30,הוצאות!W:W)</f>
        <v>148.18</v>
      </c>
      <c r="S30" s="252"/>
      <c r="T30" s="1"/>
      <c r="U30" s="1"/>
    </row>
    <row r="31" spans="1:24" ht="15">
      <c r="A31" s="9">
        <v>19</v>
      </c>
      <c r="B31" s="10" t="s">
        <v>625</v>
      </c>
      <c r="C31" s="11">
        <f>SUMIF(הוצאות!$A:$A,$A31,הוצאות!G:G)</f>
        <v>8631000</v>
      </c>
      <c r="D31" s="11">
        <f>SUMIF(הוצאות!$A:$A,$A31,הוצאות!H:H)</f>
        <v>9917528.6100000013</v>
      </c>
      <c r="E31" s="11">
        <f>SUMIF(הוצאות!$A:$A,$A31,הוצאות!I:I)</f>
        <v>-1286473.6100000001</v>
      </c>
      <c r="F31" s="11">
        <f>SUMIF(הוצאות!$A:$A,$A31,הוצאות!J:J)</f>
        <v>11174000</v>
      </c>
      <c r="G31" s="11">
        <f>SUMIF(הוצאות!$A:$A,$A31,הוצאות!K:K)</f>
        <v>13210500</v>
      </c>
      <c r="H31" s="186">
        <f>SUMIF(הוצאות!$A:$A,$A31,הוצאות!L:L)</f>
        <v>16121495.888888888</v>
      </c>
      <c r="I31" s="186">
        <f>SUMIF(הוצאות!$A:$A,$A31,הוצאות!N:N)</f>
        <v>16005767.888888888</v>
      </c>
      <c r="J31" s="186">
        <f>SUMIF(הוצאות!$A:$A,$A31,הוצאות!O:O)</f>
        <v>10844649.869999997</v>
      </c>
      <c r="K31" s="186">
        <f>SUMIF(הוצאות!$A:$A,$A31,הוצאות!P:P)</f>
        <v>13362840.243999997</v>
      </c>
      <c r="L31" s="186">
        <f>SUMIF(הוצאות!$A:$A,$A31,הוצאות!Q:Q)</f>
        <v>14025359.5</v>
      </c>
      <c r="M31" s="186">
        <f>SUMIF(הוצאות!$A:$A,$A31,הוצאות!R:R)</f>
        <v>15316913.550000001</v>
      </c>
      <c r="N31" s="186">
        <f>SUMIF(הוצאות!$A:$A,$A31,הוצאות!S:S)</f>
        <v>15722751.861818181</v>
      </c>
      <c r="O31" s="186">
        <f>SUMIF(הוצאות!$A:$A,$A31,הוצאות!T:T)</f>
        <v>14309374.287272725</v>
      </c>
      <c r="P31" s="186">
        <f>SUMIF(הוצאות!$A:$A,$A31,הוצאות!U:U)</f>
        <v>16901218.130000003</v>
      </c>
      <c r="Q31" s="186">
        <f>SUMIF(הוצאות!$A:$A,$A31,הוצאות!V:V)</f>
        <v>14199000.300000001</v>
      </c>
      <c r="R31" s="11">
        <f>SUMIF(הוצאות!$A:$A,$A31,הוצאות!W:W)</f>
        <v>0</v>
      </c>
      <c r="S31" s="1"/>
      <c r="T31" s="1"/>
      <c r="U31" s="1"/>
    </row>
    <row r="32" spans="1:24" ht="15">
      <c r="A32" s="12"/>
      <c r="B32" s="14" t="s">
        <v>626</v>
      </c>
      <c r="C32" s="13">
        <f t="shared" ref="C32:R32" si="12">SUM(C30:C31)</f>
        <v>22581000</v>
      </c>
      <c r="D32" s="13">
        <f t="shared" si="12"/>
        <v>25152819.259999998</v>
      </c>
      <c r="E32" s="13">
        <f t="shared" si="12"/>
        <v>-2571741.2599999998</v>
      </c>
      <c r="F32" s="13">
        <f t="shared" si="12"/>
        <v>28212000</v>
      </c>
      <c r="G32" s="13">
        <f t="shared" si="12"/>
        <v>32342500</v>
      </c>
      <c r="H32" s="187">
        <f t="shared" si="12"/>
        <v>37010795.888888888</v>
      </c>
      <c r="I32" s="187">
        <f t="shared" si="12"/>
        <v>36387267.888888888</v>
      </c>
      <c r="J32" s="187">
        <f t="shared" si="12"/>
        <v>26154945.439999998</v>
      </c>
      <c r="K32" s="187">
        <f t="shared" si="12"/>
        <v>35130973.044</v>
      </c>
      <c r="L32" s="187">
        <f t="shared" si="12"/>
        <v>39505096.5</v>
      </c>
      <c r="M32" s="187">
        <f t="shared" si="12"/>
        <v>33639063.410000004</v>
      </c>
      <c r="N32" s="187">
        <f t="shared" si="12"/>
        <v>40331966.471818179</v>
      </c>
      <c r="O32" s="187">
        <f t="shared" si="12"/>
        <v>39528399.749026731</v>
      </c>
      <c r="P32" s="187">
        <f t="shared" ref="P32:Q32" si="13">SUM(P30:P31)</f>
        <v>44555782.120000005</v>
      </c>
      <c r="Q32" s="187">
        <f t="shared" si="13"/>
        <v>44115000.299999997</v>
      </c>
      <c r="R32" s="13">
        <f t="shared" si="12"/>
        <v>148.18</v>
      </c>
    </row>
    <row r="33" spans="1:19" ht="15">
      <c r="A33" s="9">
        <v>21</v>
      </c>
      <c r="B33" s="10" t="s">
        <v>627</v>
      </c>
      <c r="C33" s="11">
        <f>SUMIF(הוצאות!$A:$A,$A33,הוצאות!G:G)</f>
        <v>1860000</v>
      </c>
      <c r="D33" s="11">
        <f>SUMIF(הוצאות!$A:$A,$A33,הוצאות!H:H)</f>
        <v>1844171.7800000003</v>
      </c>
      <c r="E33" s="11">
        <f>SUMIF(הוצאות!$A:$A,$A33,הוצאות!I:I)</f>
        <v>15828.220000000003</v>
      </c>
      <c r="F33" s="11">
        <f>SUMIF(הוצאות!$A:$A,$A33,הוצאות!J:J)</f>
        <v>2043000</v>
      </c>
      <c r="G33" s="11">
        <f>SUMIF(הוצאות!$A:$A,$A33,הוצאות!K:K)</f>
        <v>2329000</v>
      </c>
      <c r="H33" s="186">
        <f>SUMIF(הוצאות!$A:$A,$A33,הוצאות!L:L)</f>
        <v>2247000</v>
      </c>
      <c r="I33" s="186">
        <f>SUMIF(הוצאות!$A:$A,$A33,הוצאות!N:N)</f>
        <v>2247000</v>
      </c>
      <c r="J33" s="186">
        <f>SUMIF(הוצאות!$A:$A,$A33,הוצאות!O:O)</f>
        <v>1786534.4199999997</v>
      </c>
      <c r="K33" s="186">
        <f>SUMIF(הוצאות!$A:$A,$A33,הוצאות!P:P)</f>
        <v>2418324.7999999998</v>
      </c>
      <c r="L33" s="186">
        <f>SUMIF(הוצאות!$A:$A,$A33,הוצאות!Q:Q)</f>
        <v>2574000</v>
      </c>
      <c r="M33" s="186">
        <f>SUMIF(הוצאות!$A:$A,$A33,הוצאות!R:R)</f>
        <v>1973724.38</v>
      </c>
      <c r="N33" s="186">
        <f>SUMIF(הוצאות!$A:$A,$A33,הוצאות!S:S)</f>
        <v>2642949.9609090909</v>
      </c>
      <c r="O33" s="186">
        <f>SUMIF(הוצאות!$A:$A,$A33,הוצאות!T:T)</f>
        <v>2697835.0018779999</v>
      </c>
      <c r="P33" s="186">
        <f>SUMIF(הוצאות!$A:$A,$A33,הוצאות!U:U)</f>
        <v>2852244.59</v>
      </c>
      <c r="Q33" s="186">
        <f>SUMIF(הוצאות!$A:$A,$A33,הוצאות!V:V)</f>
        <v>3227000</v>
      </c>
      <c r="R33" s="159">
        <f>SUMIF(הוצאות!$A:$A,$A33,הוצאות!W:W)</f>
        <v>18.2</v>
      </c>
    </row>
    <row r="34" spans="1:19" ht="15">
      <c r="A34" s="9">
        <v>22</v>
      </c>
      <c r="B34" s="10" t="s">
        <v>628</v>
      </c>
      <c r="C34" s="11">
        <f>SUMIF(הוצאות!$A:$A,$A34,הוצאות!G:G)</f>
        <v>9908000</v>
      </c>
      <c r="D34" s="11">
        <f>SUMIF(הוצאות!$A:$A,$A34,הוצאות!H:H)</f>
        <v>11773785.599999998</v>
      </c>
      <c r="E34" s="11">
        <f>SUMIF(הוצאות!$A:$A,$A34,הוצאות!I:I)</f>
        <v>-1865786.6</v>
      </c>
      <c r="F34" s="11">
        <f>SUMIF(הוצאות!$A:$A,$A34,הוצאות!J:J)</f>
        <v>13584000</v>
      </c>
      <c r="G34" s="11">
        <f>SUMIF(הוצאות!$A:$A,$A34,הוצאות!K:K)</f>
        <v>14160500</v>
      </c>
      <c r="H34" s="186">
        <f>SUMIF(הוצאות!$A:$A,$A34,הוצאות!L:L)</f>
        <v>19181824</v>
      </c>
      <c r="I34" s="186">
        <f>SUMIF(הוצאות!$A:$A,$A34,הוצאות!N:N)</f>
        <v>17820501</v>
      </c>
      <c r="J34" s="186" t="e">
        <f>SUMIF(הוצאות!$A:$A,$A34,הוצאות!O:O)</f>
        <v>#N/A</v>
      </c>
      <c r="K34" s="186">
        <f>SUMIF(הוצאות!$A:$A,$A34,הוצאות!P:P)</f>
        <v>15614229.252000004</v>
      </c>
      <c r="L34" s="186">
        <f>SUMIF(הוצאות!$A:$A,$A34,הוצאות!Q:Q)</f>
        <v>15634102</v>
      </c>
      <c r="M34" s="186" t="e">
        <f>SUMIF(הוצאות!$A:$A,$A34,הוצאות!R:R)</f>
        <v>#N/A</v>
      </c>
      <c r="N34" s="186" t="e">
        <f>SUMIF(הוצאות!$A:$A,$A34,הוצאות!S:S)</f>
        <v>#N/A</v>
      </c>
      <c r="O34" s="186">
        <f>SUMIF(הוצאות!$A:$A,$A34,הוצאות!T:T)</f>
        <v>19347075.545454547</v>
      </c>
      <c r="P34" s="186">
        <f>SUMIF(הוצאות!$A:$A,$A34,הוצאות!U:U)</f>
        <v>22529520.23</v>
      </c>
      <c r="Q34" s="186">
        <f>SUMIF(הוצאות!$A:$A,$A34,הוצאות!V:V)</f>
        <v>23763000.23</v>
      </c>
      <c r="R34" s="11">
        <f>SUMIF(הוצאות!$A:$A,$A34,הוצאות!W:W)</f>
        <v>0</v>
      </c>
      <c r="S34" s="17"/>
    </row>
    <row r="35" spans="1:19" ht="15">
      <c r="A35" s="12"/>
      <c r="B35" s="14" t="s">
        <v>629</v>
      </c>
      <c r="C35" s="13">
        <f t="shared" ref="C35:R35" si="14">SUM(C33:C34)</f>
        <v>11768000</v>
      </c>
      <c r="D35" s="13">
        <f t="shared" si="14"/>
        <v>13617957.379999999</v>
      </c>
      <c r="E35" s="13">
        <f t="shared" si="14"/>
        <v>-1849958.3800000001</v>
      </c>
      <c r="F35" s="13">
        <f t="shared" si="14"/>
        <v>15627000</v>
      </c>
      <c r="G35" s="13">
        <f t="shared" si="14"/>
        <v>16489500</v>
      </c>
      <c r="H35" s="187">
        <f t="shared" si="14"/>
        <v>21428824</v>
      </c>
      <c r="I35" s="187">
        <f t="shared" si="14"/>
        <v>20067501</v>
      </c>
      <c r="J35" s="187" t="e">
        <f t="shared" si="14"/>
        <v>#N/A</v>
      </c>
      <c r="K35" s="187">
        <f t="shared" si="14"/>
        <v>18032554.052000005</v>
      </c>
      <c r="L35" s="187">
        <f t="shared" si="14"/>
        <v>18208102</v>
      </c>
      <c r="M35" s="187" t="e">
        <f t="shared" si="14"/>
        <v>#N/A</v>
      </c>
      <c r="N35" s="187" t="e">
        <f t="shared" si="14"/>
        <v>#N/A</v>
      </c>
      <c r="O35" s="187">
        <f t="shared" si="14"/>
        <v>22044910.547332548</v>
      </c>
      <c r="P35" s="187">
        <f t="shared" ref="P35:Q35" si="15">SUM(P33:P34)</f>
        <v>25381764.82</v>
      </c>
      <c r="Q35" s="187">
        <f t="shared" si="15"/>
        <v>26990000.23</v>
      </c>
      <c r="R35" s="13">
        <f t="shared" si="14"/>
        <v>18.2</v>
      </c>
      <c r="S35" s="17"/>
    </row>
    <row r="36" spans="1:19" ht="15">
      <c r="A36" s="9">
        <v>23</v>
      </c>
      <c r="B36" s="10" t="s">
        <v>630</v>
      </c>
      <c r="C36" s="11">
        <f>SUMIF(הוצאות!$A:$A,$A36,הוצאות!G:G)</f>
        <v>1164000</v>
      </c>
      <c r="D36" s="11">
        <f>SUMIF(הוצאות!$A:$A,$A36,הוצאות!H:H)</f>
        <v>1264943.96</v>
      </c>
      <c r="E36" s="11">
        <f>SUMIF(הוצאות!$A:$A,$A36,הוצאות!I:I)</f>
        <v>-100935.96</v>
      </c>
      <c r="F36" s="11">
        <f>SUMIF(הוצאות!$A:$A,$A36,הוצאות!J:J)</f>
        <v>1103000</v>
      </c>
      <c r="G36" s="11">
        <f>SUMIF(הוצאות!$A:$A,$A36,הוצאות!K:K)</f>
        <v>1014000</v>
      </c>
      <c r="H36" s="186">
        <f>SUMIF(הוצאות!$A:$A,$A36,הוצאות!L:L)</f>
        <v>913500</v>
      </c>
      <c r="I36" s="186">
        <f>SUMIF(הוצאות!$A:$A,$A36,הוצאות!N:N)</f>
        <v>913500</v>
      </c>
      <c r="J36" s="186">
        <f>SUMIF(הוצאות!$A:$A,$A36,הוצאות!O:O)</f>
        <v>635787.08000000007</v>
      </c>
      <c r="K36" s="186">
        <f>SUMIF(הוצאות!$A:$A,$A36,הוצאות!P:P)</f>
        <v>762944.49600000004</v>
      </c>
      <c r="L36" s="186">
        <f>SUMIF(הוצאות!$A:$A,$A36,הוצאות!Q:Q)</f>
        <v>871000</v>
      </c>
      <c r="M36" s="186">
        <f>SUMIF(הוצאות!$A:$A,$A36,הוצאות!R:R)</f>
        <v>820816.33</v>
      </c>
      <c r="N36" s="186">
        <f>SUMIF(הוצאות!$A:$A,$A36,הוצאות!S:S)</f>
        <v>895435.99636363634</v>
      </c>
      <c r="O36" s="186">
        <f>SUMIF(הוצאות!$A:$A,$A36,הוצאות!T:T)</f>
        <v>533000</v>
      </c>
      <c r="P36" s="186">
        <f>SUMIF(הוצאות!$A:$A,$A36,הוצאות!U:U)</f>
        <v>726451.32</v>
      </c>
      <c r="Q36" s="186">
        <f>SUMIF(הוצאות!$A:$A,$A36,הוצאות!V:V)</f>
        <v>360000</v>
      </c>
      <c r="R36" s="11">
        <f>SUMIF(הוצאות!$A:$A,$A36,הוצאות!W:W)</f>
        <v>0</v>
      </c>
    </row>
    <row r="37" spans="1:19" ht="15">
      <c r="A37" s="9">
        <v>18</v>
      </c>
      <c r="B37" s="10" t="s">
        <v>631</v>
      </c>
      <c r="C37" s="11">
        <f>SUMIF(הוצאות!$A:$A,$A37,הוצאות!G:G)</f>
        <v>3634000</v>
      </c>
      <c r="D37" s="11">
        <f>SUMIF(הוצאות!$A:$A,$A37,הוצאות!H:H)</f>
        <v>3544497.8600000003</v>
      </c>
      <c r="E37" s="11">
        <f>SUMIF(הוצאות!$A:$A,$A37,הוצאות!I:I)</f>
        <v>89511.14</v>
      </c>
      <c r="F37" s="11">
        <f>SUMIF(הוצאות!$A:$A,$A37,הוצאות!J:J)</f>
        <v>4480000</v>
      </c>
      <c r="G37" s="11">
        <f>SUMIF(הוצאות!$A:$A,$A37,הוצאות!K:K)</f>
        <v>1910000</v>
      </c>
      <c r="H37" s="186">
        <f>SUMIF(הוצאות!$A:$A,$A37,הוצאות!L:L)</f>
        <v>3000000</v>
      </c>
      <c r="I37" s="186">
        <f>SUMIF(הוצאות!$A:$A,$A37,הוצאות!N:N)</f>
        <v>3000000</v>
      </c>
      <c r="J37" s="186">
        <f>SUMIF(הוצאות!$A:$A,$A37,הוצאות!O:O)</f>
        <v>1939085.81</v>
      </c>
      <c r="K37" s="186">
        <f>SUMIF(הוצאות!$A:$A,$A37,הוצאות!P:P)</f>
        <v>2908628.7150000003</v>
      </c>
      <c r="L37" s="186">
        <f>SUMIF(הוצאות!$A:$A,$A37,הוצאות!Q:Q)</f>
        <v>2858000</v>
      </c>
      <c r="M37" s="186">
        <f>SUMIF(הוצאות!$A:$A,$A37,הוצאות!R:R)</f>
        <v>2849804.9899999998</v>
      </c>
      <c r="N37" s="186">
        <f>SUMIF(הוצאות!$A:$A,$A37,הוצאות!S:S)</f>
        <v>3108878.1709090909</v>
      </c>
      <c r="O37" s="186">
        <f>SUMIF(הוצאות!$A:$A,$A37,הוצאות!T:T)</f>
        <v>3500288</v>
      </c>
      <c r="P37" s="186">
        <f>SUMIF(הוצאות!$A:$A,$A37,הוצאות!U:U)</f>
        <v>3642329.29</v>
      </c>
      <c r="Q37" s="186">
        <f>SUMIF(הוצאות!$A:$A,$A37,הוצאות!V:V)</f>
        <v>3247999.95</v>
      </c>
      <c r="R37" s="11">
        <f>SUMIF(הוצאות!$A:$A,$A37,הוצאות!W:W)</f>
        <v>0</v>
      </c>
    </row>
    <row r="38" spans="1:19" ht="15">
      <c r="A38" s="12"/>
      <c r="B38" s="14" t="s">
        <v>632</v>
      </c>
      <c r="C38" s="13">
        <f t="shared" ref="C38:R38" si="16">SUM(C36:C37)</f>
        <v>4798000</v>
      </c>
      <c r="D38" s="13">
        <f t="shared" si="16"/>
        <v>4809441.82</v>
      </c>
      <c r="E38" s="13">
        <f t="shared" si="16"/>
        <v>-11424.820000000007</v>
      </c>
      <c r="F38" s="13">
        <f t="shared" si="16"/>
        <v>5583000</v>
      </c>
      <c r="G38" s="13">
        <f t="shared" si="16"/>
        <v>2924000</v>
      </c>
      <c r="H38" s="187">
        <f t="shared" si="16"/>
        <v>3913500</v>
      </c>
      <c r="I38" s="187">
        <f t="shared" si="16"/>
        <v>3913500</v>
      </c>
      <c r="J38" s="187">
        <f t="shared" si="16"/>
        <v>2574872.89</v>
      </c>
      <c r="K38" s="187">
        <f t="shared" si="16"/>
        <v>3671573.2110000001</v>
      </c>
      <c r="L38" s="187">
        <f t="shared" si="16"/>
        <v>3729000</v>
      </c>
      <c r="M38" s="187">
        <f t="shared" si="16"/>
        <v>3670621.32</v>
      </c>
      <c r="N38" s="187">
        <f t="shared" si="16"/>
        <v>4004314.167272727</v>
      </c>
      <c r="O38" s="187">
        <f t="shared" si="16"/>
        <v>4033288</v>
      </c>
      <c r="P38" s="187">
        <f t="shared" ref="P38:Q38" si="17">SUM(P36:P37)</f>
        <v>4368780.6100000003</v>
      </c>
      <c r="Q38" s="187">
        <f t="shared" si="17"/>
        <v>3607999.95</v>
      </c>
      <c r="R38" s="13">
        <f t="shared" si="16"/>
        <v>0</v>
      </c>
    </row>
    <row r="39" spans="1:19" ht="15">
      <c r="A39" s="9">
        <v>17</v>
      </c>
      <c r="B39" s="10" t="s">
        <v>633</v>
      </c>
      <c r="C39" s="11">
        <f>SUMIF(הוצאות!$A:$A,$A39,הוצאות!G:G)</f>
        <v>1260000</v>
      </c>
      <c r="D39" s="11">
        <f>SUMIF(הוצאות!$A:$A,$A39,הוצאות!H:H)</f>
        <v>1924653.08</v>
      </c>
      <c r="E39" s="11">
        <f>SUMIF(הוצאות!$A:$A,$A39,הוצאות!I:I)</f>
        <v>-664653.07999999996</v>
      </c>
      <c r="F39" s="11">
        <f>SUMIF(הוצאות!$A:$A,$A39,הוצאות!J:J)</f>
        <v>2050000</v>
      </c>
      <c r="G39" s="11">
        <f>SUMIF(הוצאות!$A:$A,$A39,הוצאות!K:K)</f>
        <v>2110000</v>
      </c>
      <c r="H39" s="186">
        <f>SUMIF(הוצאות!$A:$A,$A39,הוצאות!L:L)</f>
        <v>810000</v>
      </c>
      <c r="I39" s="186">
        <f>SUMIF(הוצאות!$A:$A,$A39,הוצאות!N:N)</f>
        <v>810000</v>
      </c>
      <c r="J39" s="186">
        <f>SUMIF(הוצאות!$A:$A,$A39,הוצאות!O:O)</f>
        <v>1031686.02</v>
      </c>
      <c r="K39" s="186">
        <f>SUMIF(הוצאות!$A:$A,$A39,הוצאות!P:P)</f>
        <v>2167203.2599999998</v>
      </c>
      <c r="L39" s="186">
        <f>SUMIF(הוצאות!$A:$A,$A39,הוצאות!Q:Q)</f>
        <v>717000</v>
      </c>
      <c r="M39" s="186">
        <f>SUMIF(הוצאות!$A:$A,$A39,הוצאות!R:R)</f>
        <v>974890.64</v>
      </c>
      <c r="N39" s="186">
        <f>SUMIF(הוצאות!$A:$A,$A39,הוצאות!S:S)</f>
        <v>1063517.0618181818</v>
      </c>
      <c r="O39" s="186">
        <f>SUMIF(הוצאות!$A:$A,$A39,הוצאות!T:T)</f>
        <v>645000</v>
      </c>
      <c r="P39" s="186">
        <f>SUMIF(הוצאות!$A:$A,$A39,הוצאות!U:U)</f>
        <v>1009317.22</v>
      </c>
      <c r="Q39" s="186">
        <f>SUMIF(הוצאות!$A:$A,$A39,הוצאות!V:V)</f>
        <v>400000</v>
      </c>
      <c r="R39" s="11">
        <f>SUMIF(הוצאות!$A:$A,$A39,הוצאות!W:W)</f>
        <v>0</v>
      </c>
    </row>
    <row r="40" spans="1:19" ht="15">
      <c r="A40" s="9">
        <v>24</v>
      </c>
      <c r="B40" s="10" t="s">
        <v>634</v>
      </c>
      <c r="C40" s="11">
        <f>SUMIF(הוצאות!$A:$A,$A40,הוצאות!G:G)</f>
        <v>0</v>
      </c>
      <c r="D40" s="11">
        <f>SUMIF(הוצאות!$A:$A,$A40,הוצאות!H:H)</f>
        <v>190114</v>
      </c>
      <c r="E40" s="11">
        <f>SUMIF(הוצאות!$A:$A,$A40,הוצאות!I:I)</f>
        <v>-190114</v>
      </c>
      <c r="F40" s="11">
        <f>SUMIF(הוצאות!$A:$A,$A40,הוצאות!J:J)</f>
        <v>500000</v>
      </c>
      <c r="G40" s="11">
        <f>SUMIF(הוצאות!$A:$A,$A40,הוצאות!K:K)</f>
        <v>500000</v>
      </c>
      <c r="H40" s="186">
        <f>SUMIF(הוצאות!$A:$A,$A40,הוצאות!L:L)</f>
        <v>150000</v>
      </c>
      <c r="I40" s="186">
        <f>SUMIF(הוצאות!$A:$A,$A40,הוצאות!N:N)</f>
        <v>150000</v>
      </c>
      <c r="J40" s="186">
        <f>SUMIF(הוצאות!$A:$A,$A40,הוצאות!O:O)</f>
        <v>70000</v>
      </c>
      <c r="K40" s="186">
        <f>SUMIF(הוצאות!$A:$A,$A40,הוצאות!P:P)</f>
        <v>200000</v>
      </c>
      <c r="L40" s="186">
        <f>SUMIF(הוצאות!$A:$A,$A40,הוצאות!Q:Q)</f>
        <v>150000</v>
      </c>
      <c r="M40" s="186">
        <f>SUMIF(הוצאות!$A:$A,$A40,הוצאות!R:R)</f>
        <v>64245</v>
      </c>
      <c r="N40" s="186">
        <f>SUMIF(הוצאות!$A:$A,$A40,הוצאות!S:S)</f>
        <v>70085.454545454544</v>
      </c>
      <c r="O40" s="186">
        <f>SUMIF(הוצאות!$A:$A,$A40,הוצאות!T:T)</f>
        <v>0</v>
      </c>
      <c r="P40" s="186">
        <f>SUMIF(הוצאות!$A:$A,$A40,הוצאות!U:U)</f>
        <v>694150.99</v>
      </c>
      <c r="Q40" s="186">
        <f>SUMIF(הוצאות!$A:$A,$A40,הוצאות!V:V)</f>
        <v>300000</v>
      </c>
      <c r="R40" s="11">
        <f>SUMIF(הוצאות!$A:$A,$A40,הוצאות!W:W)</f>
        <v>0</v>
      </c>
    </row>
    <row r="41" spans="1:19" ht="30">
      <c r="A41" s="12"/>
      <c r="B41" s="14" t="s">
        <v>635</v>
      </c>
      <c r="C41" s="13">
        <f t="shared" ref="C41:R41" si="18">C38+C39+C40+C35+C32+C29</f>
        <v>61772000</v>
      </c>
      <c r="D41" s="13">
        <f t="shared" si="18"/>
        <v>70538317.329999998</v>
      </c>
      <c r="E41" s="13">
        <f t="shared" si="18"/>
        <v>-8766084.3300000001</v>
      </c>
      <c r="F41" s="13">
        <f t="shared" si="18"/>
        <v>74099000</v>
      </c>
      <c r="G41" s="13">
        <f t="shared" si="18"/>
        <v>79217800</v>
      </c>
      <c r="H41" s="187">
        <f t="shared" si="18"/>
        <v>86158683.888888896</v>
      </c>
      <c r="I41" s="187">
        <f t="shared" si="18"/>
        <v>84035891.888888896</v>
      </c>
      <c r="J41" s="187" t="e">
        <f t="shared" si="18"/>
        <v>#N/A</v>
      </c>
      <c r="K41" s="187">
        <f t="shared" si="18"/>
        <v>85403095.501142859</v>
      </c>
      <c r="L41" s="187">
        <f t="shared" si="18"/>
        <v>89398349.392000005</v>
      </c>
      <c r="M41" s="187" t="e">
        <f t="shared" si="18"/>
        <v>#N/A</v>
      </c>
      <c r="N41" s="187" t="e">
        <f t="shared" si="18"/>
        <v>#N/A</v>
      </c>
      <c r="O41" s="187">
        <f t="shared" si="18"/>
        <v>92266726.461758912</v>
      </c>
      <c r="P41" s="187">
        <f t="shared" ref="P41:Q41" si="19">P38+P39+P40+P35+P32+P29</f>
        <v>104684260.36000001</v>
      </c>
      <c r="Q41" s="187">
        <f t="shared" si="19"/>
        <v>99920000.729999989</v>
      </c>
      <c r="R41" s="13">
        <f t="shared" si="18"/>
        <v>203.94</v>
      </c>
    </row>
    <row r="42" spans="1:19" ht="15">
      <c r="A42" s="9">
        <v>25</v>
      </c>
      <c r="B42" s="10" t="s">
        <v>615</v>
      </c>
      <c r="C42" s="11">
        <f>SUMIF(הוצאות!$A:$A,$A42,הוצאות!G:G)</f>
        <v>3000000</v>
      </c>
      <c r="D42" s="11">
        <f>SUMIF(הוצאות!$A:$A,$A42,הוצאות!H:H)</f>
        <v>3490523.85</v>
      </c>
      <c r="E42" s="11">
        <f>SUMIF(הוצאות!$A:$A,$A42,הוצאות!I:I)</f>
        <v>-490523.85</v>
      </c>
      <c r="F42" s="11">
        <f>SUMIF(הוצאות!$A:$A,$A42,הוצאות!J:J)</f>
        <v>3500000</v>
      </c>
      <c r="G42" s="11">
        <f>SUMIF(הוצאות!$A:$A,$A42,הוצאות!K:K)</f>
        <v>3500000</v>
      </c>
      <c r="H42" s="186">
        <f>SUMIF(הוצאות!$A:$A,$A42,הוצאות!L:L)</f>
        <v>4000000</v>
      </c>
      <c r="I42" s="186">
        <f>SUMIF(הוצאות!$A:$A,$A42,הוצאות!N:N)</f>
        <v>4000000</v>
      </c>
      <c r="J42" s="186">
        <f>SUMIF(הוצאות!$A:$A,$A42,הוצאות!O:O)</f>
        <v>3536485.83</v>
      </c>
      <c r="K42" s="186">
        <f>SUMIF(הוצאות!$A:$A,$A42,הוצאות!P:P)</f>
        <v>4000000</v>
      </c>
      <c r="L42" s="186">
        <f>SUMIF(הוצאות!$A:$A,$A42,הוצאות!Q:Q)</f>
        <v>4000000</v>
      </c>
      <c r="M42" s="186">
        <f>SUMIF(הוצאות!$A:$A,$A42,הוצאות!R:R)</f>
        <v>2943000</v>
      </c>
      <c r="N42" s="186">
        <f>SUMIF(הוצאות!$A:$A,$A42,הוצאות!S:S)</f>
        <v>4100000</v>
      </c>
      <c r="O42" s="186">
        <f>SUMIF(הוצאות!$A:$A,$A42,הוצאות!T:T)</f>
        <v>4000000</v>
      </c>
      <c r="P42" s="186">
        <f>SUMIF(הוצאות!$A:$A,$A42,הוצאות!U:U)</f>
        <v>3892654.4</v>
      </c>
      <c r="Q42" s="186">
        <f>SUMIF(הוצאות!$A:$A,$A42,הוצאות!V:V)</f>
        <v>4333000</v>
      </c>
      <c r="R42" s="11">
        <f>SUMIF(הוצאות!$A:$A,$A42,הוצאות!W:W)</f>
        <v>0</v>
      </c>
    </row>
    <row r="43" spans="1:19" ht="15">
      <c r="A43" s="9">
        <v>26</v>
      </c>
      <c r="B43" s="10" t="s">
        <v>636</v>
      </c>
      <c r="C43" s="11">
        <f>SUMIF(הוצאות!$A:$A,$A43,הוצאות!G:G)</f>
        <v>0</v>
      </c>
      <c r="D43" s="11">
        <f>SUMIF(הוצאות!$A:$A,$A43,הוצאות!H:H)</f>
        <v>4595000</v>
      </c>
      <c r="E43" s="11">
        <f>SUMIF(הוצאות!$A:$A,$A43,הוצאות!I:I)</f>
        <v>-4595000</v>
      </c>
      <c r="F43" s="11">
        <f>SUMIF(הוצאות!$A:$A,$A43,הוצאות!J:J)</f>
        <v>0</v>
      </c>
      <c r="G43" s="11">
        <f>SUMIF(הוצאות!$A:$A,$A43,הוצאות!K:K)</f>
        <v>0</v>
      </c>
      <c r="H43" s="186">
        <f>SUMIF(הוצאות!$A:$A,$A43,הוצאות!L:L)</f>
        <v>0</v>
      </c>
      <c r="I43" s="186">
        <f>SUMIF(הוצאות!$A:$A,$A43,הוצאות!N:N)</f>
        <v>0</v>
      </c>
      <c r="J43" s="186">
        <f>SUMIF(הוצאות!$A:$A,$A43,הוצאות!O:O)</f>
        <v>0</v>
      </c>
      <c r="K43" s="186">
        <f>SUMIF(הוצאות!$A:$A,$A43,הוצאות!P:P)</f>
        <v>0</v>
      </c>
      <c r="L43" s="186">
        <f>SUMIF(הוצאות!$A:$A,$A43,הוצאות!Q:Q)</f>
        <v>0</v>
      </c>
      <c r="M43" s="186">
        <f>SUMIF(הוצאות!$A:$A,$A43,הוצאות!R:R)</f>
        <v>0</v>
      </c>
      <c r="N43" s="186">
        <f>SUMIF(הוצאות!$A:$A,$A43,הוצאות!S:S)</f>
        <v>0</v>
      </c>
      <c r="O43" s="186">
        <f>SUMIF(הוצאות!$A:$A,$A43,הוצאות!T:T)</f>
        <v>0</v>
      </c>
      <c r="P43" s="186">
        <f>SUMIF(הוצאות!$A:$A,$A43,הוצאות!U:U)</f>
        <v>2808000</v>
      </c>
      <c r="Q43" s="186">
        <f>SUMIF(הוצאות!$A:$A,$A43,הוצאות!V:V)</f>
        <v>0</v>
      </c>
      <c r="R43" s="11">
        <f>SUMIF(הוצאות!$A:$A,$A43,הוצאות!W:W)</f>
        <v>0</v>
      </c>
    </row>
    <row r="44" spans="1:19" ht="15">
      <c r="A44" s="12"/>
      <c r="B44" s="14" t="s">
        <v>637</v>
      </c>
      <c r="C44" s="13">
        <f t="shared" ref="C44:R44" si="20">C41+C42+C43</f>
        <v>64772000</v>
      </c>
      <c r="D44" s="13">
        <f t="shared" si="20"/>
        <v>78623841.179999992</v>
      </c>
      <c r="E44" s="13">
        <f t="shared" si="20"/>
        <v>-13851608.18</v>
      </c>
      <c r="F44" s="13">
        <f t="shared" si="20"/>
        <v>77599000</v>
      </c>
      <c r="G44" s="13">
        <f t="shared" si="20"/>
        <v>82717800</v>
      </c>
      <c r="H44" s="187">
        <f t="shared" si="20"/>
        <v>90158683.888888896</v>
      </c>
      <c r="I44" s="187">
        <f t="shared" si="20"/>
        <v>88035891.888888896</v>
      </c>
      <c r="J44" s="187" t="e">
        <f t="shared" si="20"/>
        <v>#N/A</v>
      </c>
      <c r="K44" s="187">
        <f t="shared" si="20"/>
        <v>89403095.501142859</v>
      </c>
      <c r="L44" s="187">
        <f t="shared" si="20"/>
        <v>93398349.392000005</v>
      </c>
      <c r="M44" s="187" t="e">
        <f t="shared" si="20"/>
        <v>#N/A</v>
      </c>
      <c r="N44" s="187" t="e">
        <f t="shared" si="20"/>
        <v>#N/A</v>
      </c>
      <c r="O44" s="187">
        <f t="shared" si="20"/>
        <v>96266726.461758912</v>
      </c>
      <c r="P44" s="187">
        <f t="shared" ref="P44:Q44" si="21">P41+P42+P43</f>
        <v>111384914.76000002</v>
      </c>
      <c r="Q44" s="187">
        <f t="shared" si="21"/>
        <v>104253000.72999999</v>
      </c>
      <c r="R44" s="13">
        <f t="shared" si="20"/>
        <v>203.94</v>
      </c>
    </row>
    <row r="45" spans="1:19" ht="15">
      <c r="A45" s="9">
        <v>28</v>
      </c>
      <c r="B45" s="10" t="s">
        <v>638</v>
      </c>
      <c r="C45" s="11">
        <f>SUMIF(הוצאות!$A:$A,$A45,הוצאות!G:G)</f>
        <v>2235000</v>
      </c>
      <c r="D45" s="11">
        <f>SUMIF(הוצאות!$A:$A,$A45,הוצאות!H:H)</f>
        <v>0</v>
      </c>
      <c r="E45" s="11">
        <f>SUMIF(הוצאות!$A:$A,$A45,הוצאות!I:I)</f>
        <v>2235006</v>
      </c>
      <c r="F45" s="11">
        <f>SUMIF(הוצאות!$A:$A,$A45,הוצאות!J:J)</f>
        <v>2126000</v>
      </c>
      <c r="G45" s="11">
        <f>SUMIF(הוצאות!$A:$A,$A45,הוצאות!K:K)</f>
        <v>0</v>
      </c>
      <c r="H45" s="186">
        <f>SUMIF(הוצאות!$A:$A,$A45,הוצאות!L:L)</f>
        <v>2741000</v>
      </c>
      <c r="I45" s="186">
        <f>SUMIF(הוצאות!$A:$A,$A45,הוצאות!N:N)</f>
        <v>2741000</v>
      </c>
      <c r="J45" s="186">
        <f>SUMIF(הוצאות!$A:$A,$A45,הוצאות!O:O)</f>
        <v>0</v>
      </c>
      <c r="K45" s="186">
        <f>SUMIF(הוצאות!$A:$A,$A45,הוצאות!P:P)</f>
        <v>0</v>
      </c>
      <c r="L45" s="186">
        <f>SUMIF(הוצאות!$A:$A,$A45,הוצאות!Q:Q)</f>
        <v>2544900</v>
      </c>
      <c r="M45" s="186">
        <f>SUMIF(הוצאות!$A:$A,$A45,הוצאות!R:R)</f>
        <v>0</v>
      </c>
      <c r="N45" s="186">
        <f>SUMIF(הוצאות!$A:$A,$A45,הוצאות!S:S)</f>
        <v>0</v>
      </c>
      <c r="O45" s="186">
        <f>SUMIF(הוצאות!$A:$A,$A45,הוצאות!T:T)</f>
        <v>2470800</v>
      </c>
      <c r="P45" s="186">
        <f>SUMIF(הוצאות!$A:$A,$A45,הוצאות!U:U)</f>
        <v>0</v>
      </c>
      <c r="Q45" s="186">
        <f>SUMIF(הוצאות!$A:$A,$A45,הוצאות!V:V)</f>
        <v>2876000</v>
      </c>
      <c r="R45" s="11">
        <f>SUMIF(הוצאות!$A:$A,$A45,הוצאות!W:W)</f>
        <v>0</v>
      </c>
    </row>
    <row r="46" spans="1:19" s="58" customFormat="1" ht="15">
      <c r="A46" s="15"/>
      <c r="B46" s="15" t="s">
        <v>639</v>
      </c>
      <c r="C46" s="93">
        <f t="shared" ref="C46:R46" si="22">C44+C45</f>
        <v>67007000</v>
      </c>
      <c r="D46" s="93">
        <f t="shared" si="22"/>
        <v>78623841.179999992</v>
      </c>
      <c r="E46" s="93">
        <f t="shared" si="22"/>
        <v>-11616602.18</v>
      </c>
      <c r="F46" s="93">
        <f t="shared" si="22"/>
        <v>79725000</v>
      </c>
      <c r="G46" s="93">
        <f t="shared" si="22"/>
        <v>82717800</v>
      </c>
      <c r="H46" s="188">
        <f t="shared" si="22"/>
        <v>92899683.888888896</v>
      </c>
      <c r="I46" s="188">
        <f t="shared" si="22"/>
        <v>90776891.888888896</v>
      </c>
      <c r="J46" s="188" t="e">
        <f t="shared" si="22"/>
        <v>#N/A</v>
      </c>
      <c r="K46" s="188">
        <f t="shared" si="22"/>
        <v>89403095.501142859</v>
      </c>
      <c r="L46" s="188">
        <f t="shared" si="22"/>
        <v>95943249.392000005</v>
      </c>
      <c r="M46" s="188" t="e">
        <f t="shared" ref="M46:O46" si="23">M44+M45</f>
        <v>#N/A</v>
      </c>
      <c r="N46" s="188" t="e">
        <f t="shared" si="23"/>
        <v>#N/A</v>
      </c>
      <c r="O46" s="188">
        <f t="shared" si="23"/>
        <v>98737526.461758912</v>
      </c>
      <c r="P46" s="188">
        <f t="shared" ref="P46:Q46" si="24">P44+P45</f>
        <v>111384914.76000002</v>
      </c>
      <c r="Q46" s="188">
        <f t="shared" si="24"/>
        <v>107129000.72999999</v>
      </c>
      <c r="R46" s="157">
        <f t="shared" si="22"/>
        <v>203.94</v>
      </c>
    </row>
    <row r="47" spans="1:19" ht="15">
      <c r="A47" s="18"/>
      <c r="B47" s="18" t="s">
        <v>640</v>
      </c>
      <c r="C47" s="241">
        <f t="shared" ref="C47:L47" si="25">C24-C46</f>
        <v>-6580948</v>
      </c>
      <c r="D47" s="241">
        <f t="shared" si="25"/>
        <v>-10604949.979999974</v>
      </c>
      <c r="E47" s="241">
        <f t="shared" si="25"/>
        <v>7869579.6200000001</v>
      </c>
      <c r="F47" s="241">
        <f t="shared" si="25"/>
        <v>-8464000</v>
      </c>
      <c r="G47" s="241">
        <f t="shared" si="25"/>
        <v>-9782900</v>
      </c>
      <c r="H47" s="242">
        <f t="shared" si="25"/>
        <v>-11030000.888888896</v>
      </c>
      <c r="I47" s="242">
        <f t="shared" si="25"/>
        <v>-10637652.828888893</v>
      </c>
      <c r="J47" s="242" t="e">
        <f t="shared" si="25"/>
        <v>#N/A</v>
      </c>
      <c r="K47" s="242">
        <f t="shared" si="25"/>
        <v>-9215250.8611428589</v>
      </c>
      <c r="L47" s="242">
        <f t="shared" si="25"/>
        <v>-9494999.6800000072</v>
      </c>
      <c r="M47" s="242" t="e">
        <f t="shared" ref="M47:O47" si="26">M24-M46</f>
        <v>#N/A</v>
      </c>
      <c r="N47" s="242" t="e">
        <f t="shared" si="26"/>
        <v>#N/A</v>
      </c>
      <c r="O47" s="242">
        <f t="shared" si="26"/>
        <v>-7040687.4035770893</v>
      </c>
      <c r="P47" s="242">
        <f t="shared" ref="P47:Q47" si="27">P24-P46</f>
        <v>-9153538.263500005</v>
      </c>
      <c r="Q47" s="242">
        <f t="shared" si="27"/>
        <v>-6622000.2434999943</v>
      </c>
    </row>
    <row r="50" spans="4:5" ht="15.75">
      <c r="D50" s="72"/>
      <c r="E50" s="73"/>
    </row>
    <row r="51" spans="4:5" ht="15.75">
      <c r="D51" s="74" t="s">
        <v>1540</v>
      </c>
      <c r="E51" s="21"/>
    </row>
    <row r="52" spans="4:5" ht="15.75">
      <c r="D52" s="74" t="s">
        <v>1541</v>
      </c>
      <c r="E52" s="21"/>
    </row>
    <row r="53" spans="4:5" ht="15.75">
      <c r="D53" s="74" t="s">
        <v>1542</v>
      </c>
      <c r="E53" s="21"/>
    </row>
    <row r="54" spans="4:5" ht="15.75">
      <c r="D54" s="74" t="s">
        <v>1543</v>
      </c>
      <c r="E54" s="21"/>
    </row>
    <row r="55" spans="4:5" ht="15.75">
      <c r="D55" s="74" t="s">
        <v>165</v>
      </c>
      <c r="E55" s="21"/>
    </row>
    <row r="56" spans="4:5" ht="15.75">
      <c r="D56" s="74" t="s">
        <v>165</v>
      </c>
      <c r="E56" s="21"/>
    </row>
    <row r="57" spans="4:5" ht="15.75">
      <c r="D57" s="74" t="s">
        <v>165</v>
      </c>
      <c r="E57" s="21"/>
    </row>
    <row r="58" spans="4:5" ht="15.75">
      <c r="D58" s="74" t="s">
        <v>1544</v>
      </c>
      <c r="E58" s="21"/>
    </row>
    <row r="59" spans="4:5" ht="15.75">
      <c r="D59" s="75" t="s">
        <v>1545</v>
      </c>
      <c r="E59" s="76"/>
    </row>
    <row r="60" spans="4:5" ht="15.75">
      <c r="D60" s="77"/>
      <c r="E60" s="21"/>
    </row>
    <row r="61" spans="4:5" ht="15.75">
      <c r="D61" s="77"/>
      <c r="E61" s="21"/>
    </row>
    <row r="62" spans="4:5" ht="15.75">
      <c r="D62" s="77"/>
      <c r="E62" s="21"/>
    </row>
    <row r="63" spans="4:5" ht="15.75">
      <c r="D63" s="77"/>
      <c r="E63" s="21"/>
    </row>
    <row r="64" spans="4:5" ht="15.75">
      <c r="D64" s="77"/>
      <c r="E64" s="21"/>
    </row>
    <row r="65" spans="4:5" ht="15.75">
      <c r="D65" s="77"/>
      <c r="E65" s="21"/>
    </row>
    <row r="66" spans="4:5" ht="15.75">
      <c r="D66" s="77"/>
      <c r="E66" s="21"/>
    </row>
    <row r="67" spans="4:5" ht="15.75">
      <c r="D67" s="77"/>
      <c r="E67" s="21"/>
    </row>
    <row r="68" spans="4:5" ht="15.75">
      <c r="D68" s="77"/>
      <c r="E68" s="21"/>
    </row>
    <row r="69" spans="4:5" ht="15.75">
      <c r="D69" s="77"/>
      <c r="E69" s="21"/>
    </row>
    <row r="70" spans="4:5" ht="15.75">
      <c r="D70" s="77"/>
      <c r="E70" s="21"/>
    </row>
    <row r="71" spans="4:5" ht="15.75">
      <c r="D71" s="77"/>
      <c r="E71" s="21"/>
    </row>
    <row r="72" spans="4:5" ht="15.75">
      <c r="D72" s="77"/>
      <c r="E72" s="21"/>
    </row>
    <row r="73" spans="4:5" ht="15.75">
      <c r="D73" s="77"/>
      <c r="E73" s="21"/>
    </row>
    <row r="74" spans="4:5" ht="15.75">
      <c r="D74" s="77"/>
      <c r="E74" s="21"/>
    </row>
    <row r="75" spans="4:5" ht="15.75">
      <c r="D75" s="77"/>
      <c r="E75" s="21"/>
    </row>
  </sheetData>
  <mergeCells count="2">
    <mergeCell ref="B1:R1"/>
    <mergeCell ref="B2:R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firstPageNumber="15" orientation="portrait" r:id="rId1"/>
  <headerFooter>
    <oddFooter>&amp;C&amp;"David,רגיל"&amp;P</oddFooter>
  </headerFooter>
  <rowBreaks count="2" manualBreakCount="2">
    <brk id="47" min="1" max="5" man="1"/>
    <brk id="71" min="1" max="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2:H40"/>
  <sheetViews>
    <sheetView rightToLeft="1" workbookViewId="0">
      <selection activeCell="M30" sqref="M30"/>
    </sheetView>
  </sheetViews>
  <sheetFormatPr defaultRowHeight="14.25"/>
  <cols>
    <col min="1" max="1" width="3.625" customWidth="1"/>
    <col min="2" max="2" width="4.625" bestFit="1" customWidth="1"/>
    <col min="4" max="4" width="6.25" customWidth="1"/>
    <col min="5" max="5" width="19.875" bestFit="1" customWidth="1"/>
    <col min="6" max="7" width="10" bestFit="1" customWidth="1"/>
    <col min="8" max="8" width="11.125" bestFit="1" customWidth="1"/>
  </cols>
  <sheetData>
    <row r="2" spans="2:8" ht="15">
      <c r="B2" s="1" t="s">
        <v>621</v>
      </c>
    </row>
    <row r="4" spans="2:8" ht="30">
      <c r="B4" s="41" t="s">
        <v>596</v>
      </c>
      <c r="C4" s="41" t="s">
        <v>597</v>
      </c>
      <c r="D4" s="41" t="s">
        <v>598</v>
      </c>
      <c r="E4" s="41" t="s">
        <v>1</v>
      </c>
      <c r="F4" s="41" t="s">
        <v>418</v>
      </c>
      <c r="G4" s="41" t="s">
        <v>419</v>
      </c>
      <c r="H4" s="41" t="s">
        <v>416</v>
      </c>
    </row>
    <row r="5" spans="2:8">
      <c r="B5" s="46" t="s">
        <v>989</v>
      </c>
      <c r="C5" s="46" t="s">
        <v>875</v>
      </c>
      <c r="D5" s="46" t="s">
        <v>876</v>
      </c>
      <c r="E5" s="45" t="s">
        <v>3</v>
      </c>
      <c r="F5" s="37">
        <v>620000</v>
      </c>
      <c r="G5" s="37">
        <v>619578.73</v>
      </c>
      <c r="H5" s="37">
        <v>1230000</v>
      </c>
    </row>
    <row r="6" spans="2:8">
      <c r="B6" s="46" t="s">
        <v>989</v>
      </c>
      <c r="C6" s="46" t="s">
        <v>990</v>
      </c>
      <c r="D6" s="46" t="s">
        <v>876</v>
      </c>
      <c r="E6" s="45" t="s">
        <v>20</v>
      </c>
      <c r="F6" s="37">
        <v>0</v>
      </c>
      <c r="G6" s="37">
        <v>0</v>
      </c>
      <c r="H6" s="37">
        <v>250000</v>
      </c>
    </row>
    <row r="7" spans="2:8">
      <c r="B7" s="46" t="s">
        <v>989</v>
      </c>
      <c r="C7" s="46" t="s">
        <v>894</v>
      </c>
      <c r="D7" s="46" t="s">
        <v>876</v>
      </c>
      <c r="E7" s="45" t="s">
        <v>24</v>
      </c>
      <c r="F7" s="37">
        <v>726000</v>
      </c>
      <c r="G7" s="37">
        <v>648975.28</v>
      </c>
      <c r="H7" s="37">
        <v>655000</v>
      </c>
    </row>
    <row r="8" spans="2:8">
      <c r="B8" s="46" t="s">
        <v>991</v>
      </c>
      <c r="C8" s="46" t="s">
        <v>894</v>
      </c>
      <c r="D8" s="46" t="s">
        <v>876</v>
      </c>
      <c r="E8" s="45" t="s">
        <v>25</v>
      </c>
      <c r="F8" s="37">
        <v>0</v>
      </c>
      <c r="G8" s="37">
        <v>0</v>
      </c>
      <c r="H8" s="37">
        <v>0</v>
      </c>
    </row>
    <row r="9" spans="2:8">
      <c r="B9" s="46" t="s">
        <v>989</v>
      </c>
      <c r="C9" s="46" t="s">
        <v>898</v>
      </c>
      <c r="D9" s="46" t="s">
        <v>876</v>
      </c>
      <c r="E9" s="45" t="s">
        <v>38</v>
      </c>
      <c r="F9" s="37">
        <v>202000</v>
      </c>
      <c r="G9" s="37">
        <v>108063.52</v>
      </c>
      <c r="H9" s="37">
        <v>110000</v>
      </c>
    </row>
    <row r="10" spans="2:8">
      <c r="B10" s="46" t="s">
        <v>992</v>
      </c>
      <c r="C10" s="46" t="s">
        <v>993</v>
      </c>
      <c r="D10" s="46" t="s">
        <v>876</v>
      </c>
      <c r="E10" s="45" t="s">
        <v>47</v>
      </c>
      <c r="F10" s="37">
        <v>0</v>
      </c>
      <c r="G10" s="37">
        <v>0</v>
      </c>
      <c r="H10" s="37">
        <v>0</v>
      </c>
    </row>
    <row r="11" spans="2:8">
      <c r="B11" s="46" t="s">
        <v>989</v>
      </c>
      <c r="C11" s="46" t="s">
        <v>994</v>
      </c>
      <c r="D11" s="46" t="s">
        <v>906</v>
      </c>
      <c r="E11" s="45" t="s">
        <v>48</v>
      </c>
      <c r="F11" s="37">
        <v>0</v>
      </c>
      <c r="G11" s="37">
        <v>3139.94</v>
      </c>
      <c r="H11" s="37">
        <v>60000</v>
      </c>
    </row>
    <row r="12" spans="2:8">
      <c r="B12" s="46" t="s">
        <v>989</v>
      </c>
      <c r="C12" s="46" t="s">
        <v>905</v>
      </c>
      <c r="D12" s="46" t="s">
        <v>906</v>
      </c>
      <c r="E12" s="45" t="s">
        <v>49</v>
      </c>
      <c r="F12" s="37">
        <v>475000</v>
      </c>
      <c r="G12" s="37">
        <v>479765.45</v>
      </c>
      <c r="H12" s="37">
        <v>485000</v>
      </c>
    </row>
    <row r="13" spans="2:8">
      <c r="B13" s="46" t="s">
        <v>989</v>
      </c>
      <c r="C13" s="46" t="s">
        <v>910</v>
      </c>
      <c r="D13" s="46" t="s">
        <v>906</v>
      </c>
      <c r="E13" s="45" t="s">
        <v>59</v>
      </c>
      <c r="F13" s="37">
        <v>200000</v>
      </c>
      <c r="G13" s="37">
        <v>199872.08</v>
      </c>
      <c r="H13" s="37">
        <v>205000</v>
      </c>
    </row>
    <row r="14" spans="2:8">
      <c r="B14" s="46" t="s">
        <v>991</v>
      </c>
      <c r="C14" s="46" t="s">
        <v>910</v>
      </c>
      <c r="D14" s="46" t="s">
        <v>906</v>
      </c>
      <c r="E14" s="45" t="s">
        <v>25</v>
      </c>
      <c r="F14" s="37">
        <v>0</v>
      </c>
      <c r="G14" s="37">
        <v>0</v>
      </c>
      <c r="H14" s="37"/>
    </row>
    <row r="15" spans="2:8">
      <c r="B15" s="46" t="s">
        <v>992</v>
      </c>
      <c r="C15" s="46" t="s">
        <v>995</v>
      </c>
      <c r="D15" s="46" t="s">
        <v>906</v>
      </c>
      <c r="E15" s="45" t="s">
        <v>47</v>
      </c>
      <c r="F15" s="37">
        <v>0</v>
      </c>
      <c r="G15" s="37">
        <v>0</v>
      </c>
      <c r="H15" s="37">
        <v>0</v>
      </c>
    </row>
    <row r="16" spans="2:8">
      <c r="B16" s="46" t="s">
        <v>989</v>
      </c>
      <c r="C16" s="46" t="s">
        <v>996</v>
      </c>
      <c r="D16" s="46" t="s">
        <v>912</v>
      </c>
      <c r="E16" s="45" t="s">
        <v>82</v>
      </c>
      <c r="F16" s="37">
        <v>113000</v>
      </c>
      <c r="G16" s="37">
        <v>105754.71</v>
      </c>
      <c r="H16" s="37">
        <v>110000</v>
      </c>
    </row>
    <row r="17" spans="2:8">
      <c r="B17" s="46" t="s">
        <v>992</v>
      </c>
      <c r="C17" s="46" t="s">
        <v>997</v>
      </c>
      <c r="D17" s="46" t="s">
        <v>912</v>
      </c>
      <c r="E17" s="45" t="s">
        <v>47</v>
      </c>
      <c r="F17" s="37">
        <v>0</v>
      </c>
      <c r="G17" s="37">
        <v>0</v>
      </c>
      <c r="H17" s="37">
        <v>0</v>
      </c>
    </row>
    <row r="18" spans="2:8">
      <c r="B18" s="46" t="s">
        <v>989</v>
      </c>
      <c r="C18" s="46" t="s">
        <v>917</v>
      </c>
      <c r="D18" s="46" t="s">
        <v>918</v>
      </c>
      <c r="E18" s="45" t="s">
        <v>86</v>
      </c>
      <c r="F18" s="37">
        <v>102000</v>
      </c>
      <c r="G18" s="37">
        <v>115078.34</v>
      </c>
      <c r="H18" s="37">
        <v>120000</v>
      </c>
    </row>
    <row r="19" spans="2:8">
      <c r="B19" s="46" t="s">
        <v>992</v>
      </c>
      <c r="C19" s="46" t="s">
        <v>998</v>
      </c>
      <c r="D19" s="46" t="s">
        <v>918</v>
      </c>
      <c r="E19" s="45" t="s">
        <v>47</v>
      </c>
      <c r="F19" s="37">
        <v>0</v>
      </c>
      <c r="G19" s="37">
        <v>0</v>
      </c>
      <c r="H19" s="37">
        <v>0</v>
      </c>
    </row>
    <row r="20" spans="2:8">
      <c r="B20" s="46" t="s">
        <v>989</v>
      </c>
      <c r="C20" s="46" t="s">
        <v>927</v>
      </c>
      <c r="D20" s="46" t="s">
        <v>928</v>
      </c>
      <c r="E20" s="45" t="s">
        <v>97</v>
      </c>
      <c r="F20" s="37">
        <v>651000</v>
      </c>
      <c r="G20" s="37">
        <v>648811.22</v>
      </c>
      <c r="H20" s="37">
        <v>570000</v>
      </c>
    </row>
    <row r="21" spans="2:8">
      <c r="B21" s="46" t="s">
        <v>992</v>
      </c>
      <c r="C21" s="46" t="s">
        <v>999</v>
      </c>
      <c r="D21" s="46" t="s">
        <v>928</v>
      </c>
      <c r="E21" s="45" t="s">
        <v>47</v>
      </c>
      <c r="F21" s="37">
        <v>0</v>
      </c>
      <c r="G21" s="37">
        <v>0</v>
      </c>
      <c r="H21" s="37">
        <v>0</v>
      </c>
    </row>
    <row r="22" spans="2:8">
      <c r="B22" s="46" t="s">
        <v>989</v>
      </c>
      <c r="C22" s="46" t="s">
        <v>932</v>
      </c>
      <c r="D22" s="46" t="s">
        <v>933</v>
      </c>
      <c r="E22" s="45" t="s">
        <v>103</v>
      </c>
      <c r="F22" s="37">
        <v>122000</v>
      </c>
      <c r="G22" s="37">
        <v>86766.14</v>
      </c>
      <c r="H22" s="37">
        <v>90000</v>
      </c>
    </row>
    <row r="23" spans="2:8">
      <c r="B23" s="46" t="s">
        <v>991</v>
      </c>
      <c r="C23" s="46" t="s">
        <v>932</v>
      </c>
      <c r="D23" s="46" t="s">
        <v>933</v>
      </c>
      <c r="E23" s="45" t="s">
        <v>25</v>
      </c>
      <c r="F23" s="37">
        <v>0</v>
      </c>
      <c r="G23" s="37">
        <v>0</v>
      </c>
      <c r="H23" s="37">
        <v>0</v>
      </c>
    </row>
    <row r="24" spans="2:8">
      <c r="B24" s="46" t="s">
        <v>989</v>
      </c>
      <c r="C24" s="46" t="s">
        <v>938</v>
      </c>
      <c r="D24" s="46" t="s">
        <v>933</v>
      </c>
      <c r="E24" s="45" t="s">
        <v>115</v>
      </c>
      <c r="F24" s="37">
        <v>204000</v>
      </c>
      <c r="G24" s="37">
        <v>258383.65</v>
      </c>
      <c r="H24" s="37">
        <v>350000</v>
      </c>
    </row>
    <row r="25" spans="2:8">
      <c r="B25" s="46" t="s">
        <v>991</v>
      </c>
      <c r="C25" s="46" t="s">
        <v>938</v>
      </c>
      <c r="D25" s="46" t="s">
        <v>933</v>
      </c>
      <c r="E25" s="45" t="s">
        <v>25</v>
      </c>
      <c r="F25" s="37">
        <v>0</v>
      </c>
      <c r="G25" s="37">
        <v>0</v>
      </c>
      <c r="H25" s="37">
        <v>0</v>
      </c>
    </row>
    <row r="26" spans="2:8">
      <c r="B26" s="46" t="s">
        <v>989</v>
      </c>
      <c r="C26" s="46" t="s">
        <v>957</v>
      </c>
      <c r="D26" s="46" t="s">
        <v>954</v>
      </c>
      <c r="E26" s="45" t="s">
        <v>593</v>
      </c>
      <c r="F26" s="37">
        <v>153000</v>
      </c>
      <c r="G26" s="37">
        <v>94766.52</v>
      </c>
      <c r="H26" s="37">
        <v>100000</v>
      </c>
    </row>
    <row r="27" spans="2:8">
      <c r="B27" s="46" t="s">
        <v>989</v>
      </c>
      <c r="C27" s="46" t="s">
        <v>960</v>
      </c>
      <c r="D27" s="46" t="s">
        <v>954</v>
      </c>
      <c r="E27" s="45" t="s">
        <v>279</v>
      </c>
      <c r="F27" s="37">
        <v>114000</v>
      </c>
      <c r="G27" s="37">
        <v>320950.34000000003</v>
      </c>
      <c r="H27" s="37">
        <v>190000</v>
      </c>
    </row>
    <row r="28" spans="2:8">
      <c r="B28" s="46" t="s">
        <v>989</v>
      </c>
      <c r="C28" s="46" t="s">
        <v>1000</v>
      </c>
      <c r="D28" s="46" t="s">
        <v>954</v>
      </c>
      <c r="E28" s="45" t="s">
        <v>284</v>
      </c>
      <c r="F28" s="37">
        <v>144000</v>
      </c>
      <c r="G28" s="37">
        <v>226419.3</v>
      </c>
      <c r="H28" s="37">
        <v>180000</v>
      </c>
    </row>
    <row r="29" spans="2:8">
      <c r="B29" s="46" t="s">
        <v>989</v>
      </c>
      <c r="C29" s="46" t="s">
        <v>963</v>
      </c>
      <c r="D29" s="46" t="s">
        <v>954</v>
      </c>
      <c r="E29" s="45" t="s">
        <v>285</v>
      </c>
      <c r="F29" s="37">
        <v>24000</v>
      </c>
      <c r="G29" s="37">
        <v>0</v>
      </c>
      <c r="H29" s="37">
        <v>100000</v>
      </c>
    </row>
    <row r="30" spans="2:8">
      <c r="B30" s="46" t="s">
        <v>989</v>
      </c>
      <c r="C30" s="46" t="s">
        <v>1001</v>
      </c>
      <c r="D30" s="46" t="s">
        <v>954</v>
      </c>
      <c r="E30" s="45" t="s">
        <v>293</v>
      </c>
      <c r="F30" s="37">
        <v>25000</v>
      </c>
      <c r="G30" s="37">
        <v>20055.96</v>
      </c>
      <c r="H30" s="37">
        <v>0</v>
      </c>
    </row>
    <row r="31" spans="2:8">
      <c r="B31" s="46" t="s">
        <v>992</v>
      </c>
      <c r="C31" s="46" t="s">
        <v>1002</v>
      </c>
      <c r="D31" s="46" t="s">
        <v>954</v>
      </c>
      <c r="E31" s="45" t="s">
        <v>47</v>
      </c>
      <c r="F31" s="37">
        <v>0</v>
      </c>
      <c r="G31" s="37">
        <v>0</v>
      </c>
      <c r="H31" s="37">
        <v>0</v>
      </c>
    </row>
    <row r="32" spans="2:8">
      <c r="B32" s="46" t="s">
        <v>989</v>
      </c>
      <c r="C32" s="46" t="s">
        <v>967</v>
      </c>
      <c r="D32" s="46" t="s">
        <v>966</v>
      </c>
      <c r="E32" s="45" t="s">
        <v>296</v>
      </c>
      <c r="F32" s="37">
        <v>120000</v>
      </c>
      <c r="G32" s="37">
        <v>134369.32</v>
      </c>
      <c r="H32" s="37">
        <v>140000</v>
      </c>
    </row>
    <row r="33" spans="2:8">
      <c r="B33" s="46" t="s">
        <v>989</v>
      </c>
      <c r="C33" s="46" t="s">
        <v>968</v>
      </c>
      <c r="D33" s="46" t="s">
        <v>966</v>
      </c>
      <c r="E33" s="45" t="s">
        <v>300</v>
      </c>
      <c r="F33" s="37">
        <v>173000</v>
      </c>
      <c r="G33" s="37">
        <v>170142.89</v>
      </c>
      <c r="H33" s="37">
        <v>170000</v>
      </c>
    </row>
    <row r="34" spans="2:8">
      <c r="B34" s="46" t="s">
        <v>991</v>
      </c>
      <c r="C34" s="46" t="s">
        <v>968</v>
      </c>
      <c r="D34" s="46" t="s">
        <v>966</v>
      </c>
      <c r="E34" s="45" t="s">
        <v>25</v>
      </c>
      <c r="F34" s="37">
        <v>0</v>
      </c>
      <c r="G34" s="37">
        <v>0</v>
      </c>
      <c r="H34" s="37">
        <v>0</v>
      </c>
    </row>
    <row r="35" spans="2:8">
      <c r="B35" s="46" t="s">
        <v>992</v>
      </c>
      <c r="C35" s="46" t="s">
        <v>1003</v>
      </c>
      <c r="D35" s="46" t="s">
        <v>966</v>
      </c>
      <c r="E35" s="45" t="s">
        <v>47</v>
      </c>
      <c r="F35" s="37">
        <v>0</v>
      </c>
      <c r="G35" s="37">
        <v>0</v>
      </c>
      <c r="H35" s="37">
        <v>0</v>
      </c>
    </row>
    <row r="36" spans="2:8">
      <c r="B36" s="46" t="s">
        <v>989</v>
      </c>
      <c r="C36" s="46" t="s">
        <v>976</v>
      </c>
      <c r="D36" s="46" t="s">
        <v>977</v>
      </c>
      <c r="E36" s="45" t="s">
        <v>396</v>
      </c>
      <c r="F36" s="37">
        <v>149000</v>
      </c>
      <c r="G36" s="37">
        <v>165301.41</v>
      </c>
      <c r="H36" s="37">
        <v>170000</v>
      </c>
    </row>
    <row r="37" spans="2:8">
      <c r="B37" s="46" t="s">
        <v>989</v>
      </c>
      <c r="C37" s="46" t="s">
        <v>986</v>
      </c>
      <c r="D37" s="46" t="s">
        <v>987</v>
      </c>
      <c r="E37" s="45" t="s">
        <v>412</v>
      </c>
      <c r="F37" s="37">
        <v>0</v>
      </c>
      <c r="G37" s="37">
        <v>36112.5</v>
      </c>
      <c r="H37" s="37">
        <v>0</v>
      </c>
    </row>
    <row r="38" spans="2:8">
      <c r="B38" s="46" t="s">
        <v>1004</v>
      </c>
      <c r="C38" s="46" t="s">
        <v>986</v>
      </c>
      <c r="D38" s="46" t="s">
        <v>987</v>
      </c>
      <c r="E38" s="45" t="s">
        <v>413</v>
      </c>
      <c r="F38" s="37">
        <v>515000</v>
      </c>
      <c r="G38" s="37">
        <v>506164.09</v>
      </c>
      <c r="H38" s="37">
        <v>510000</v>
      </c>
    </row>
    <row r="40" spans="2:8" ht="15" thickBot="1">
      <c r="B40" s="40" t="s">
        <v>621</v>
      </c>
      <c r="C40" s="43"/>
      <c r="D40" s="43"/>
      <c r="E40" s="43"/>
      <c r="F40" s="42">
        <f>SUM(F5:F38)</f>
        <v>4832000</v>
      </c>
      <c r="G40" s="42">
        <f>SUM(G5:G38)</f>
        <v>4948471.3899999987</v>
      </c>
      <c r="H40" s="42">
        <f>SUM(H5:H38)</f>
        <v>5795000</v>
      </c>
    </row>
  </sheetData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2:H36"/>
  <sheetViews>
    <sheetView rightToLeft="1" topLeftCell="A2" workbookViewId="0">
      <selection activeCell="M30" sqref="M30"/>
    </sheetView>
  </sheetViews>
  <sheetFormatPr defaultRowHeight="14.25"/>
  <cols>
    <col min="1" max="1" width="3.375" customWidth="1"/>
    <col min="2" max="2" width="4.625" bestFit="1" customWidth="1"/>
    <col min="4" max="4" width="6.375" customWidth="1"/>
    <col min="5" max="5" width="22.125" bestFit="1" customWidth="1"/>
    <col min="6" max="8" width="12.25" bestFit="1" customWidth="1"/>
  </cols>
  <sheetData>
    <row r="2" spans="2:8" ht="15">
      <c r="B2" s="1" t="s">
        <v>1029</v>
      </c>
    </row>
    <row r="4" spans="2:8" ht="30">
      <c r="B4" s="41" t="s">
        <v>596</v>
      </c>
      <c r="C4" s="41" t="s">
        <v>597</v>
      </c>
      <c r="D4" s="41" t="s">
        <v>598</v>
      </c>
      <c r="E4" s="41" t="s">
        <v>1</v>
      </c>
      <c r="F4" s="41" t="s">
        <v>418</v>
      </c>
      <c r="G4" s="41" t="s">
        <v>419</v>
      </c>
      <c r="H4" s="41" t="s">
        <v>416</v>
      </c>
    </row>
    <row r="5" spans="2:8">
      <c r="B5" s="46" t="s">
        <v>989</v>
      </c>
      <c r="C5" s="46" t="s">
        <v>1005</v>
      </c>
      <c r="D5" s="46" t="s">
        <v>1006</v>
      </c>
      <c r="E5" s="45" t="s">
        <v>131</v>
      </c>
      <c r="F5" s="37">
        <v>545000</v>
      </c>
      <c r="G5" s="37">
        <v>672356.63</v>
      </c>
      <c r="H5" s="37">
        <v>650000</v>
      </c>
    </row>
    <row r="6" spans="2:8">
      <c r="B6" s="46" t="s">
        <v>991</v>
      </c>
      <c r="C6" s="46" t="s">
        <v>1005</v>
      </c>
      <c r="D6" s="46" t="s">
        <v>1006</v>
      </c>
      <c r="E6" s="45" t="s">
        <v>25</v>
      </c>
      <c r="F6" s="37">
        <v>0</v>
      </c>
      <c r="G6" s="37">
        <v>0</v>
      </c>
      <c r="H6" s="37">
        <v>0</v>
      </c>
    </row>
    <row r="7" spans="2:8">
      <c r="B7" s="46" t="s">
        <v>989</v>
      </c>
      <c r="C7" s="46" t="s">
        <v>1007</v>
      </c>
      <c r="D7" s="46" t="s">
        <v>1006</v>
      </c>
      <c r="E7" s="45" t="s">
        <v>140</v>
      </c>
      <c r="F7" s="37">
        <v>1279000</v>
      </c>
      <c r="G7" s="37">
        <v>1278012.6299999999</v>
      </c>
      <c r="H7" s="37">
        <v>1350000</v>
      </c>
    </row>
    <row r="8" spans="2:8">
      <c r="B8" s="46" t="s">
        <v>989</v>
      </c>
      <c r="C8" s="46" t="s">
        <v>1008</v>
      </c>
      <c r="D8" s="46" t="s">
        <v>1006</v>
      </c>
      <c r="E8" s="45" t="s">
        <v>146</v>
      </c>
      <c r="F8" s="37">
        <v>2100000</v>
      </c>
      <c r="G8" s="37">
        <v>2163772.9700000002</v>
      </c>
      <c r="H8" s="37">
        <v>2300000</v>
      </c>
    </row>
    <row r="9" spans="2:8">
      <c r="B9" s="46" t="s">
        <v>991</v>
      </c>
      <c r="C9" s="46" t="s">
        <v>1008</v>
      </c>
      <c r="D9" s="46" t="s">
        <v>1006</v>
      </c>
      <c r="E9" s="45" t="s">
        <v>147</v>
      </c>
      <c r="F9" s="37">
        <v>0</v>
      </c>
      <c r="G9" s="37">
        <v>0</v>
      </c>
      <c r="H9" s="37">
        <v>0</v>
      </c>
    </row>
    <row r="10" spans="2:8">
      <c r="B10" s="46" t="s">
        <v>989</v>
      </c>
      <c r="C10" s="46" t="s">
        <v>1009</v>
      </c>
      <c r="D10" s="46" t="s">
        <v>1006</v>
      </c>
      <c r="E10" s="45" t="s">
        <v>159</v>
      </c>
      <c r="F10" s="37">
        <v>0</v>
      </c>
      <c r="G10" s="37">
        <v>0</v>
      </c>
      <c r="H10" s="37">
        <v>0</v>
      </c>
    </row>
    <row r="11" spans="2:8">
      <c r="B11" s="46" t="s">
        <v>989</v>
      </c>
      <c r="C11" s="46" t="s">
        <v>1010</v>
      </c>
      <c r="D11" s="46" t="s">
        <v>1006</v>
      </c>
      <c r="E11" s="45" t="s">
        <v>162</v>
      </c>
      <c r="F11" s="37">
        <v>115000</v>
      </c>
      <c r="G11" s="37">
        <v>115009.38</v>
      </c>
      <c r="H11" s="37">
        <v>120000</v>
      </c>
    </row>
    <row r="12" spans="2:8">
      <c r="B12" s="46" t="s">
        <v>989</v>
      </c>
      <c r="C12" s="46" t="s">
        <v>1011</v>
      </c>
      <c r="D12" s="46" t="s">
        <v>1006</v>
      </c>
      <c r="E12" s="45" t="s">
        <v>589</v>
      </c>
      <c r="F12" s="37">
        <v>136000</v>
      </c>
      <c r="G12" s="37">
        <v>327561.55</v>
      </c>
      <c r="H12" s="37">
        <v>685000</v>
      </c>
    </row>
    <row r="13" spans="2:8">
      <c r="B13" s="46" t="s">
        <v>989</v>
      </c>
      <c r="C13" s="46" t="s">
        <v>1012</v>
      </c>
      <c r="D13" s="46" t="s">
        <v>1006</v>
      </c>
      <c r="E13" s="45" t="s">
        <v>168</v>
      </c>
      <c r="F13" s="37">
        <v>383000</v>
      </c>
      <c r="G13" s="37">
        <v>622643.21</v>
      </c>
      <c r="H13" s="37">
        <v>280000</v>
      </c>
    </row>
    <row r="14" spans="2:8">
      <c r="B14" s="46" t="s">
        <v>989</v>
      </c>
      <c r="C14" s="46" t="s">
        <v>1013</v>
      </c>
      <c r="D14" s="46" t="s">
        <v>1006</v>
      </c>
      <c r="E14" s="45" t="s">
        <v>182</v>
      </c>
      <c r="F14" s="37">
        <v>249000</v>
      </c>
      <c r="G14" s="37">
        <v>477475.2</v>
      </c>
      <c r="H14" s="37">
        <v>280000</v>
      </c>
    </row>
    <row r="15" spans="2:8">
      <c r="B15" s="46" t="s">
        <v>991</v>
      </c>
      <c r="C15" s="46" t="s">
        <v>1013</v>
      </c>
      <c r="D15" s="46" t="s">
        <v>1006</v>
      </c>
      <c r="E15" s="45" t="s">
        <v>183</v>
      </c>
      <c r="F15" s="37">
        <v>0</v>
      </c>
      <c r="G15" s="37">
        <v>0</v>
      </c>
      <c r="H15" s="37">
        <v>0</v>
      </c>
    </row>
    <row r="16" spans="2:8">
      <c r="B16" s="46" t="s">
        <v>989</v>
      </c>
      <c r="C16" s="46" t="s">
        <v>1014</v>
      </c>
      <c r="D16" s="46" t="s">
        <v>1006</v>
      </c>
      <c r="E16" s="45" t="s">
        <v>196</v>
      </c>
      <c r="F16" s="37">
        <v>288000</v>
      </c>
      <c r="G16" s="37">
        <v>414084.74</v>
      </c>
      <c r="H16" s="37">
        <v>300000</v>
      </c>
    </row>
    <row r="17" spans="2:8">
      <c r="B17" s="46" t="s">
        <v>991</v>
      </c>
      <c r="C17" s="46" t="s">
        <v>1014</v>
      </c>
      <c r="D17" s="46" t="s">
        <v>1006</v>
      </c>
      <c r="E17" s="45" t="s">
        <v>25</v>
      </c>
      <c r="F17" s="37">
        <v>0</v>
      </c>
      <c r="G17" s="37">
        <v>2734</v>
      </c>
      <c r="H17" s="37">
        <v>0</v>
      </c>
    </row>
    <row r="18" spans="2:8">
      <c r="B18" s="46" t="s">
        <v>989</v>
      </c>
      <c r="C18" s="46" t="s">
        <v>1015</v>
      </c>
      <c r="D18" s="46" t="s">
        <v>1006</v>
      </c>
      <c r="E18" s="45" t="s">
        <v>209</v>
      </c>
      <c r="F18" s="37">
        <v>93000</v>
      </c>
      <c r="G18" s="37">
        <v>0</v>
      </c>
      <c r="H18" s="37">
        <v>300000</v>
      </c>
    </row>
    <row r="19" spans="2:8">
      <c r="B19" s="46" t="s">
        <v>989</v>
      </c>
      <c r="C19" s="46" t="s">
        <v>1016</v>
      </c>
      <c r="D19" s="46" t="s">
        <v>1006</v>
      </c>
      <c r="E19" s="45" t="s">
        <v>590</v>
      </c>
      <c r="F19" s="37">
        <v>16000</v>
      </c>
      <c r="G19" s="37">
        <v>9193.48</v>
      </c>
      <c r="H19" s="37">
        <v>10000</v>
      </c>
    </row>
    <row r="20" spans="2:8">
      <c r="B20" s="46" t="s">
        <v>989</v>
      </c>
      <c r="C20" s="46" t="s">
        <v>1017</v>
      </c>
      <c r="D20" s="46" t="s">
        <v>1006</v>
      </c>
      <c r="E20" s="45" t="s">
        <v>216</v>
      </c>
      <c r="F20" s="37">
        <v>1141000</v>
      </c>
      <c r="G20" s="37">
        <v>1195040.67</v>
      </c>
      <c r="H20" s="37">
        <v>1250000</v>
      </c>
    </row>
    <row r="21" spans="2:8">
      <c r="B21" s="46" t="s">
        <v>991</v>
      </c>
      <c r="C21" s="46" t="s">
        <v>1017</v>
      </c>
      <c r="D21" s="46" t="s">
        <v>1006</v>
      </c>
      <c r="E21" s="45" t="s">
        <v>25</v>
      </c>
      <c r="F21" s="37">
        <v>0</v>
      </c>
      <c r="G21" s="37">
        <v>3770</v>
      </c>
      <c r="H21" s="37">
        <v>0</v>
      </c>
    </row>
    <row r="22" spans="2:8">
      <c r="B22" s="46" t="s">
        <v>989</v>
      </c>
      <c r="C22" s="46" t="s">
        <v>1018</v>
      </c>
      <c r="D22" s="46" t="s">
        <v>1006</v>
      </c>
      <c r="E22" s="45" t="s">
        <v>222</v>
      </c>
      <c r="F22" s="37">
        <v>443000</v>
      </c>
      <c r="G22" s="37">
        <v>441870.56</v>
      </c>
      <c r="H22" s="37">
        <v>450000</v>
      </c>
    </row>
    <row r="23" spans="2:8">
      <c r="B23" s="46" t="s">
        <v>989</v>
      </c>
      <c r="C23" s="46" t="s">
        <v>1019</v>
      </c>
      <c r="D23" s="46" t="s">
        <v>1006</v>
      </c>
      <c r="E23" s="45" t="s">
        <v>233</v>
      </c>
      <c r="F23" s="37">
        <v>5930000</v>
      </c>
      <c r="G23" s="37">
        <v>6323764.0199999996</v>
      </c>
      <c r="H23" s="37">
        <v>6400000</v>
      </c>
    </row>
    <row r="24" spans="2:8">
      <c r="B24" s="46" t="s">
        <v>991</v>
      </c>
      <c r="C24" s="46" t="s">
        <v>1019</v>
      </c>
      <c r="D24" s="46" t="s">
        <v>1006</v>
      </c>
      <c r="E24" s="45" t="s">
        <v>25</v>
      </c>
      <c r="F24" s="37">
        <v>0</v>
      </c>
      <c r="G24" s="37">
        <v>33671</v>
      </c>
      <c r="H24" s="37">
        <v>0</v>
      </c>
    </row>
    <row r="25" spans="2:8">
      <c r="B25" s="46" t="s">
        <v>989</v>
      </c>
      <c r="C25" s="46" t="s">
        <v>1020</v>
      </c>
      <c r="D25" s="46" t="s">
        <v>1006</v>
      </c>
      <c r="E25" s="45" t="s">
        <v>247</v>
      </c>
      <c r="F25" s="37">
        <v>508000</v>
      </c>
      <c r="G25" s="37">
        <v>556388.25</v>
      </c>
      <c r="H25" s="37">
        <v>650000</v>
      </c>
    </row>
    <row r="26" spans="2:8">
      <c r="B26" s="46" t="s">
        <v>991</v>
      </c>
      <c r="C26" s="46" t="s">
        <v>1020</v>
      </c>
      <c r="D26" s="46" t="s">
        <v>1006</v>
      </c>
      <c r="E26" s="45" t="s">
        <v>248</v>
      </c>
      <c r="F26" s="37">
        <v>0</v>
      </c>
      <c r="G26" s="37">
        <v>0</v>
      </c>
      <c r="H26" s="37">
        <v>0</v>
      </c>
    </row>
    <row r="27" spans="2:8">
      <c r="B27" s="46" t="s">
        <v>991</v>
      </c>
      <c r="C27" s="46" t="s">
        <v>1021</v>
      </c>
      <c r="D27" s="46" t="s">
        <v>1006</v>
      </c>
      <c r="E27" s="45" t="s">
        <v>252</v>
      </c>
      <c r="F27" s="37">
        <v>0</v>
      </c>
      <c r="G27" s="37">
        <v>0</v>
      </c>
      <c r="H27" s="37">
        <v>0</v>
      </c>
    </row>
    <row r="28" spans="2:8">
      <c r="B28" s="46" t="s">
        <v>989</v>
      </c>
      <c r="C28" s="46" t="s">
        <v>1022</v>
      </c>
      <c r="D28" s="46" t="s">
        <v>1006</v>
      </c>
      <c r="E28" s="45" t="s">
        <v>257</v>
      </c>
      <c r="F28" s="37">
        <v>349000</v>
      </c>
      <c r="G28" s="37">
        <v>0</v>
      </c>
      <c r="H28" s="37">
        <v>350000</v>
      </c>
    </row>
    <row r="29" spans="2:8">
      <c r="B29" s="46" t="s">
        <v>989</v>
      </c>
      <c r="C29" s="46" t="s">
        <v>1023</v>
      </c>
      <c r="D29" s="46" t="s">
        <v>1006</v>
      </c>
      <c r="E29" s="45" t="s">
        <v>591</v>
      </c>
      <c r="F29" s="37">
        <v>220000</v>
      </c>
      <c r="G29" s="37">
        <v>24902.41</v>
      </c>
      <c r="H29" s="37">
        <v>220000</v>
      </c>
    </row>
    <row r="30" spans="2:8">
      <c r="B30" s="46" t="s">
        <v>989</v>
      </c>
      <c r="C30" s="46" t="s">
        <v>1024</v>
      </c>
      <c r="D30" s="46" t="s">
        <v>1006</v>
      </c>
      <c r="E30" s="45" t="s">
        <v>261</v>
      </c>
      <c r="F30" s="37">
        <v>200000</v>
      </c>
      <c r="G30" s="37">
        <v>0</v>
      </c>
      <c r="H30" s="37">
        <v>130000</v>
      </c>
    </row>
    <row r="31" spans="2:8">
      <c r="B31" s="46" t="s">
        <v>989</v>
      </c>
      <c r="C31" s="46" t="s">
        <v>1025</v>
      </c>
      <c r="D31" s="46" t="s">
        <v>1006</v>
      </c>
      <c r="E31" s="45" t="s">
        <v>265</v>
      </c>
      <c r="F31" s="37">
        <v>0</v>
      </c>
      <c r="G31" s="37">
        <v>0</v>
      </c>
      <c r="H31" s="37">
        <v>160000</v>
      </c>
    </row>
    <row r="32" spans="2:8">
      <c r="B32" s="46" t="s">
        <v>989</v>
      </c>
      <c r="C32" s="46" t="s">
        <v>1026</v>
      </c>
      <c r="D32" s="46" t="s">
        <v>1006</v>
      </c>
      <c r="E32" s="45" t="s">
        <v>268</v>
      </c>
      <c r="F32" s="37">
        <v>333000</v>
      </c>
      <c r="G32" s="37">
        <v>522142.67</v>
      </c>
      <c r="H32" s="37">
        <v>200000</v>
      </c>
    </row>
    <row r="33" spans="2:8">
      <c r="B33" s="46" t="s">
        <v>989</v>
      </c>
      <c r="C33" s="46" t="s">
        <v>1027</v>
      </c>
      <c r="D33" s="46" t="s">
        <v>1006</v>
      </c>
      <c r="E33" s="45" t="s">
        <v>270</v>
      </c>
      <c r="F33" s="37">
        <v>156000</v>
      </c>
      <c r="G33" s="37">
        <v>1077.4000000000001</v>
      </c>
      <c r="H33" s="37">
        <v>0</v>
      </c>
    </row>
    <row r="34" spans="2:8">
      <c r="B34" s="46" t="s">
        <v>989</v>
      </c>
      <c r="C34" s="46" t="s">
        <v>1028</v>
      </c>
      <c r="D34" s="46" t="s">
        <v>1006</v>
      </c>
      <c r="E34" s="45" t="s">
        <v>592</v>
      </c>
      <c r="F34" s="37">
        <v>35000</v>
      </c>
      <c r="G34" s="37">
        <v>81226.289999999994</v>
      </c>
      <c r="H34" s="37">
        <v>300000</v>
      </c>
    </row>
    <row r="36" spans="2:8" ht="15" thickBot="1">
      <c r="B36" s="40" t="s">
        <v>1029</v>
      </c>
      <c r="C36" s="43"/>
      <c r="D36" s="43"/>
      <c r="E36" s="43"/>
      <c r="F36" s="42">
        <f>SUM(F5:F35)</f>
        <v>14519000</v>
      </c>
      <c r="G36" s="42">
        <f>SUM(G5:G35)</f>
        <v>15266697.059999999</v>
      </c>
      <c r="H36" s="42">
        <f>SUM(H5:H35)</f>
        <v>16385000</v>
      </c>
    </row>
  </sheetData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2:H158"/>
  <sheetViews>
    <sheetView rightToLeft="1" topLeftCell="A131" workbookViewId="0">
      <selection activeCell="M30" sqref="M30"/>
    </sheetView>
  </sheetViews>
  <sheetFormatPr defaultRowHeight="14.25"/>
  <cols>
    <col min="1" max="1" width="3.125" customWidth="1"/>
    <col min="2" max="2" width="4.625" bestFit="1" customWidth="1"/>
    <col min="3" max="3" width="6.875" bestFit="1" customWidth="1"/>
    <col min="4" max="4" width="6.125" customWidth="1"/>
    <col min="5" max="5" width="25.625" bestFit="1" customWidth="1"/>
    <col min="6" max="6" width="11.125" bestFit="1" customWidth="1"/>
    <col min="7" max="8" width="12.25" bestFit="1" customWidth="1"/>
  </cols>
  <sheetData>
    <row r="2" spans="2:8" ht="15">
      <c r="B2" s="1" t="s">
        <v>1047</v>
      </c>
    </row>
    <row r="4" spans="2:8" ht="30">
      <c r="B4" s="41" t="s">
        <v>596</v>
      </c>
      <c r="C4" s="41" t="s">
        <v>597</v>
      </c>
      <c r="D4" s="41" t="s">
        <v>598</v>
      </c>
      <c r="E4" s="41" t="s">
        <v>1</v>
      </c>
      <c r="F4" s="41" t="s">
        <v>418</v>
      </c>
      <c r="G4" s="41" t="s">
        <v>419</v>
      </c>
      <c r="H4" s="41" t="s">
        <v>416</v>
      </c>
    </row>
    <row r="5" spans="2:8">
      <c r="B5" s="46" t="s">
        <v>878</v>
      </c>
      <c r="C5" s="46" t="s">
        <v>1005</v>
      </c>
      <c r="D5" s="46" t="s">
        <v>1006</v>
      </c>
      <c r="E5" s="45" t="s">
        <v>132</v>
      </c>
      <c r="F5" s="37">
        <v>0</v>
      </c>
      <c r="G5" s="37">
        <v>0</v>
      </c>
      <c r="H5" s="37">
        <v>0</v>
      </c>
    </row>
    <row r="6" spans="2:8">
      <c r="B6" s="46" t="s">
        <v>879</v>
      </c>
      <c r="C6" s="46" t="s">
        <v>1005</v>
      </c>
      <c r="D6" s="46" t="s">
        <v>1006</v>
      </c>
      <c r="E6" s="45" t="s">
        <v>133</v>
      </c>
      <c r="F6" s="37">
        <v>0</v>
      </c>
      <c r="G6" s="37">
        <v>0</v>
      </c>
      <c r="H6" s="37">
        <v>0</v>
      </c>
    </row>
    <row r="7" spans="2:8">
      <c r="B7" s="46" t="s">
        <v>880</v>
      </c>
      <c r="C7" s="46" t="s">
        <v>1005</v>
      </c>
      <c r="D7" s="46" t="s">
        <v>1006</v>
      </c>
      <c r="E7" s="45" t="s">
        <v>28</v>
      </c>
      <c r="F7" s="37">
        <v>0</v>
      </c>
      <c r="G7" s="37">
        <v>2600</v>
      </c>
      <c r="H7" s="37">
        <v>3000</v>
      </c>
    </row>
    <row r="8" spans="2:8">
      <c r="B8" s="46" t="s">
        <v>885</v>
      </c>
      <c r="C8" s="46" t="s">
        <v>1005</v>
      </c>
      <c r="D8" s="46" t="s">
        <v>1006</v>
      </c>
      <c r="E8" s="45" t="s">
        <v>134</v>
      </c>
      <c r="F8" s="37">
        <v>7000</v>
      </c>
      <c r="G8" s="37">
        <v>3089.48</v>
      </c>
      <c r="H8" s="37">
        <v>4000</v>
      </c>
    </row>
    <row r="9" spans="2:8">
      <c r="B9" s="46" t="s">
        <v>892</v>
      </c>
      <c r="C9" s="46" t="s">
        <v>1005</v>
      </c>
      <c r="D9" s="46" t="s">
        <v>1006</v>
      </c>
      <c r="E9" s="45" t="s">
        <v>22</v>
      </c>
      <c r="F9" s="37">
        <v>2000</v>
      </c>
      <c r="G9" s="37">
        <v>0</v>
      </c>
      <c r="H9" s="37">
        <v>0</v>
      </c>
    </row>
    <row r="10" spans="2:8">
      <c r="B10" s="46" t="s">
        <v>886</v>
      </c>
      <c r="C10" s="46" t="s">
        <v>1005</v>
      </c>
      <c r="D10" s="46" t="s">
        <v>1006</v>
      </c>
      <c r="E10" s="45" t="s">
        <v>14</v>
      </c>
      <c r="F10" s="37">
        <v>10000</v>
      </c>
      <c r="G10" s="37">
        <v>4436.8900000000003</v>
      </c>
      <c r="H10" s="37">
        <v>5000</v>
      </c>
    </row>
    <row r="11" spans="2:8">
      <c r="B11" s="46" t="s">
        <v>907</v>
      </c>
      <c r="C11" s="46" t="s">
        <v>1005</v>
      </c>
      <c r="D11" s="46" t="s">
        <v>1006</v>
      </c>
      <c r="E11" s="45" t="s">
        <v>135</v>
      </c>
      <c r="F11" s="37">
        <v>20000</v>
      </c>
      <c r="G11" s="37">
        <v>0</v>
      </c>
      <c r="H11" s="37">
        <v>0</v>
      </c>
    </row>
    <row r="12" spans="2:8">
      <c r="B12" s="46" t="s">
        <v>887</v>
      </c>
      <c r="C12" s="46" t="s">
        <v>1005</v>
      </c>
      <c r="D12" s="46" t="s">
        <v>1006</v>
      </c>
      <c r="E12" s="45" t="s">
        <v>62</v>
      </c>
      <c r="F12" s="37">
        <v>0</v>
      </c>
      <c r="G12" s="37">
        <v>0</v>
      </c>
      <c r="H12" s="37">
        <v>0</v>
      </c>
    </row>
    <row r="13" spans="2:8">
      <c r="B13" s="46" t="s">
        <v>890</v>
      </c>
      <c r="C13" s="46" t="s">
        <v>1005</v>
      </c>
      <c r="D13" s="46" t="s">
        <v>1006</v>
      </c>
      <c r="E13" s="45" t="s">
        <v>18</v>
      </c>
      <c r="F13" s="37">
        <v>10000</v>
      </c>
      <c r="G13" s="37">
        <v>0</v>
      </c>
      <c r="H13" s="37">
        <v>0</v>
      </c>
    </row>
    <row r="14" spans="2:8">
      <c r="B14" s="46" t="s">
        <v>1030</v>
      </c>
      <c r="C14" s="46" t="s">
        <v>1005</v>
      </c>
      <c r="D14" s="46" t="s">
        <v>1006</v>
      </c>
      <c r="E14" s="45" t="s">
        <v>136</v>
      </c>
      <c r="F14" s="37">
        <v>0</v>
      </c>
      <c r="G14" s="37">
        <v>0</v>
      </c>
      <c r="H14" s="37">
        <v>0</v>
      </c>
    </row>
    <row r="15" spans="2:8">
      <c r="B15" s="46" t="s">
        <v>798</v>
      </c>
      <c r="C15" s="46" t="s">
        <v>1005</v>
      </c>
      <c r="D15" s="46" t="s">
        <v>1006</v>
      </c>
      <c r="E15" s="45" t="s">
        <v>19</v>
      </c>
      <c r="F15" s="37">
        <v>2000</v>
      </c>
      <c r="G15" s="37">
        <v>0</v>
      </c>
      <c r="H15" s="37">
        <v>0</v>
      </c>
    </row>
    <row r="16" spans="2:8">
      <c r="B16" s="46" t="s">
        <v>1031</v>
      </c>
      <c r="C16" s="46" t="s">
        <v>1005</v>
      </c>
      <c r="D16" s="46" t="s">
        <v>1006</v>
      </c>
      <c r="E16" s="45" t="s">
        <v>137</v>
      </c>
      <c r="F16" s="37">
        <v>0</v>
      </c>
      <c r="G16" s="37">
        <v>0</v>
      </c>
      <c r="H16" s="37">
        <v>0</v>
      </c>
    </row>
    <row r="17" spans="2:8">
      <c r="B17" s="46" t="s">
        <v>798</v>
      </c>
      <c r="C17" s="46" t="s">
        <v>1032</v>
      </c>
      <c r="D17" s="46" t="s">
        <v>1006</v>
      </c>
      <c r="E17" s="45" t="s">
        <v>138</v>
      </c>
      <c r="F17" s="37">
        <v>120000</v>
      </c>
      <c r="G17" s="37">
        <v>108771.1</v>
      </c>
      <c r="H17" s="37">
        <v>120000</v>
      </c>
    </row>
    <row r="18" spans="2:8">
      <c r="B18" s="46" t="s">
        <v>887</v>
      </c>
      <c r="C18" s="46" t="s">
        <v>1033</v>
      </c>
      <c r="D18" s="46" t="s">
        <v>1006</v>
      </c>
      <c r="E18" s="45" t="s">
        <v>139</v>
      </c>
      <c r="F18" s="37">
        <v>250000</v>
      </c>
      <c r="G18" s="37">
        <v>211139</v>
      </c>
      <c r="H18" s="37">
        <v>250000</v>
      </c>
    </row>
    <row r="19" spans="2:8">
      <c r="B19" s="46" t="s">
        <v>732</v>
      </c>
      <c r="C19" s="46" t="s">
        <v>1007</v>
      </c>
      <c r="D19" s="46" t="s">
        <v>1006</v>
      </c>
      <c r="E19" s="45" t="s">
        <v>141</v>
      </c>
      <c r="F19" s="37">
        <v>15000</v>
      </c>
      <c r="G19" s="37">
        <v>63211</v>
      </c>
      <c r="H19" s="37">
        <v>15000</v>
      </c>
    </row>
    <row r="20" spans="2:8">
      <c r="B20" s="46" t="s">
        <v>893</v>
      </c>
      <c r="C20" s="46" t="s">
        <v>1007</v>
      </c>
      <c r="D20" s="46" t="s">
        <v>1006</v>
      </c>
      <c r="E20" s="45" t="s">
        <v>142</v>
      </c>
      <c r="F20" s="37">
        <v>15000</v>
      </c>
      <c r="G20" s="37">
        <v>0</v>
      </c>
      <c r="H20" s="37">
        <v>0</v>
      </c>
    </row>
    <row r="21" spans="2:8">
      <c r="B21" s="46" t="s">
        <v>939</v>
      </c>
      <c r="C21" s="46" t="s">
        <v>1007</v>
      </c>
      <c r="D21" s="46" t="s">
        <v>1006</v>
      </c>
      <c r="E21" s="45" t="s">
        <v>143</v>
      </c>
      <c r="F21" s="37">
        <v>22000</v>
      </c>
      <c r="G21" s="37">
        <v>49188.800000000003</v>
      </c>
      <c r="H21" s="37">
        <v>50000</v>
      </c>
    </row>
    <row r="22" spans="2:8">
      <c r="B22" s="46" t="s">
        <v>940</v>
      </c>
      <c r="C22" s="46" t="s">
        <v>1007</v>
      </c>
      <c r="D22" s="46" t="s">
        <v>1006</v>
      </c>
      <c r="E22" s="45" t="s">
        <v>144</v>
      </c>
      <c r="F22" s="37">
        <v>25000</v>
      </c>
      <c r="G22" s="37">
        <v>25364.28</v>
      </c>
      <c r="H22" s="37">
        <v>25000</v>
      </c>
    </row>
    <row r="23" spans="2:8">
      <c r="B23" s="46" t="s">
        <v>895</v>
      </c>
      <c r="C23" s="46" t="s">
        <v>1007</v>
      </c>
      <c r="D23" s="46" t="s">
        <v>1006</v>
      </c>
      <c r="E23" s="45" t="s">
        <v>145</v>
      </c>
      <c r="F23" s="37">
        <v>20000</v>
      </c>
      <c r="G23" s="37">
        <v>3687</v>
      </c>
      <c r="H23" s="37">
        <v>10000</v>
      </c>
    </row>
    <row r="24" spans="2:8">
      <c r="B24" s="46" t="s">
        <v>742</v>
      </c>
      <c r="C24" s="46" t="s">
        <v>1007</v>
      </c>
      <c r="D24" s="46" t="s">
        <v>1006</v>
      </c>
      <c r="E24" s="45" t="s">
        <v>33</v>
      </c>
      <c r="F24" s="37">
        <v>30000</v>
      </c>
      <c r="G24" s="37">
        <v>39009.199999999997</v>
      </c>
      <c r="H24" s="37">
        <v>30000</v>
      </c>
    </row>
    <row r="25" spans="2:8">
      <c r="B25" s="46" t="s">
        <v>887</v>
      </c>
      <c r="C25" s="46" t="s">
        <v>1007</v>
      </c>
      <c r="D25" s="46" t="s">
        <v>1006</v>
      </c>
      <c r="E25" s="45" t="s">
        <v>34</v>
      </c>
      <c r="F25" s="37">
        <v>25000</v>
      </c>
      <c r="G25" s="37">
        <v>21651</v>
      </c>
      <c r="H25" s="37">
        <v>10000</v>
      </c>
    </row>
    <row r="26" spans="2:8">
      <c r="B26" s="46" t="s">
        <v>798</v>
      </c>
      <c r="C26" s="46" t="s">
        <v>1007</v>
      </c>
      <c r="D26" s="46" t="s">
        <v>1006</v>
      </c>
      <c r="E26" s="45" t="s">
        <v>19</v>
      </c>
      <c r="F26" s="37">
        <v>0</v>
      </c>
      <c r="G26" s="37">
        <v>0</v>
      </c>
      <c r="H26" s="37">
        <v>0</v>
      </c>
    </row>
    <row r="27" spans="2:8">
      <c r="B27" s="46" t="s">
        <v>739</v>
      </c>
      <c r="C27" s="46" t="s">
        <v>1008</v>
      </c>
      <c r="D27" s="46" t="s">
        <v>1006</v>
      </c>
      <c r="E27" s="45" t="s">
        <v>148</v>
      </c>
      <c r="F27" s="37">
        <v>273000</v>
      </c>
      <c r="G27" s="37">
        <v>242568</v>
      </c>
      <c r="H27" s="37">
        <v>250000</v>
      </c>
    </row>
    <row r="28" spans="2:8">
      <c r="B28" s="46" t="s">
        <v>1034</v>
      </c>
      <c r="C28" s="46" t="s">
        <v>1008</v>
      </c>
      <c r="D28" s="46" t="s">
        <v>1006</v>
      </c>
      <c r="E28" s="45" t="s">
        <v>149</v>
      </c>
      <c r="F28" s="37">
        <v>20000</v>
      </c>
      <c r="G28" s="37">
        <v>31500</v>
      </c>
      <c r="H28" s="37">
        <v>20000</v>
      </c>
    </row>
    <row r="29" spans="2:8">
      <c r="B29" s="46" t="s">
        <v>732</v>
      </c>
      <c r="C29" s="46" t="s">
        <v>1008</v>
      </c>
      <c r="D29" s="46" t="s">
        <v>1006</v>
      </c>
      <c r="E29" s="45" t="s">
        <v>150</v>
      </c>
      <c r="F29" s="37">
        <v>5000</v>
      </c>
      <c r="G29" s="37">
        <v>1060</v>
      </c>
      <c r="H29" s="37">
        <v>2000</v>
      </c>
    </row>
    <row r="30" spans="2:8">
      <c r="B30" s="46" t="s">
        <v>893</v>
      </c>
      <c r="C30" s="46" t="s">
        <v>1008</v>
      </c>
      <c r="D30" s="46" t="s">
        <v>1006</v>
      </c>
      <c r="E30" s="45" t="s">
        <v>26</v>
      </c>
      <c r="F30" s="37">
        <v>60000</v>
      </c>
      <c r="G30" s="37">
        <v>77192.320000000007</v>
      </c>
      <c r="H30" s="37">
        <v>77000</v>
      </c>
    </row>
    <row r="31" spans="2:8">
      <c r="B31" s="46" t="s">
        <v>939</v>
      </c>
      <c r="C31" s="46" t="s">
        <v>1008</v>
      </c>
      <c r="D31" s="46" t="s">
        <v>1006</v>
      </c>
      <c r="E31" s="45" t="s">
        <v>151</v>
      </c>
      <c r="F31" s="37">
        <v>26000</v>
      </c>
      <c r="G31" s="37">
        <v>32308.400000000001</v>
      </c>
      <c r="H31" s="37">
        <v>30000</v>
      </c>
    </row>
    <row r="32" spans="2:8">
      <c r="B32" s="46" t="s">
        <v>940</v>
      </c>
      <c r="C32" s="46" t="s">
        <v>1008</v>
      </c>
      <c r="D32" s="46" t="s">
        <v>1006</v>
      </c>
      <c r="E32" s="45" t="s">
        <v>144</v>
      </c>
      <c r="F32" s="37">
        <v>10000</v>
      </c>
      <c r="G32" s="37">
        <v>45094.1</v>
      </c>
      <c r="H32" s="37">
        <v>45000</v>
      </c>
    </row>
    <row r="33" spans="2:8">
      <c r="B33" s="46" t="s">
        <v>885</v>
      </c>
      <c r="C33" s="46" t="s">
        <v>1008</v>
      </c>
      <c r="D33" s="46" t="s">
        <v>1006</v>
      </c>
      <c r="E33" s="45" t="s">
        <v>152</v>
      </c>
      <c r="F33" s="37">
        <v>15000</v>
      </c>
      <c r="G33" s="37">
        <v>11391.76</v>
      </c>
      <c r="H33" s="37">
        <v>12000</v>
      </c>
    </row>
    <row r="34" spans="2:8">
      <c r="B34" s="46" t="s">
        <v>886</v>
      </c>
      <c r="C34" s="46" t="s">
        <v>1008</v>
      </c>
      <c r="D34" s="46" t="s">
        <v>1006</v>
      </c>
      <c r="E34" s="45" t="s">
        <v>153</v>
      </c>
      <c r="F34" s="37">
        <v>3000</v>
      </c>
      <c r="G34" s="37">
        <v>1113</v>
      </c>
      <c r="H34" s="37">
        <v>2000</v>
      </c>
    </row>
    <row r="35" spans="2:8">
      <c r="B35" s="46" t="s">
        <v>895</v>
      </c>
      <c r="C35" s="46" t="s">
        <v>1008</v>
      </c>
      <c r="D35" s="46" t="s">
        <v>1006</v>
      </c>
      <c r="E35" s="45" t="s">
        <v>154</v>
      </c>
      <c r="F35" s="37">
        <v>26000</v>
      </c>
      <c r="G35" s="37">
        <v>40325</v>
      </c>
      <c r="H35" s="37">
        <v>30000</v>
      </c>
    </row>
    <row r="36" spans="2:8">
      <c r="B36" s="46" t="s">
        <v>742</v>
      </c>
      <c r="C36" s="46" t="s">
        <v>1008</v>
      </c>
      <c r="D36" s="46" t="s">
        <v>1006</v>
      </c>
      <c r="E36" s="45" t="s">
        <v>155</v>
      </c>
      <c r="F36" s="37">
        <v>0</v>
      </c>
      <c r="G36" s="37">
        <v>0</v>
      </c>
      <c r="H36" s="37">
        <v>0</v>
      </c>
    </row>
    <row r="37" spans="2:8">
      <c r="B37" s="46" t="s">
        <v>887</v>
      </c>
      <c r="C37" s="46" t="s">
        <v>1008</v>
      </c>
      <c r="D37" s="46" t="s">
        <v>1006</v>
      </c>
      <c r="E37" s="45" t="s">
        <v>62</v>
      </c>
      <c r="F37" s="37">
        <v>15000</v>
      </c>
      <c r="G37" s="37">
        <v>6216</v>
      </c>
      <c r="H37" s="37">
        <v>7000</v>
      </c>
    </row>
    <row r="38" spans="2:8">
      <c r="B38" s="46" t="s">
        <v>889</v>
      </c>
      <c r="C38" s="46" t="s">
        <v>1008</v>
      </c>
      <c r="D38" s="46" t="s">
        <v>1006</v>
      </c>
      <c r="E38" s="45" t="s">
        <v>156</v>
      </c>
      <c r="F38" s="37">
        <v>2550000</v>
      </c>
      <c r="G38" s="37">
        <v>2522610.08</v>
      </c>
      <c r="H38" s="37">
        <v>2550000</v>
      </c>
    </row>
    <row r="39" spans="2:8">
      <c r="B39" s="46" t="s">
        <v>890</v>
      </c>
      <c r="C39" s="46" t="s">
        <v>1008</v>
      </c>
      <c r="D39" s="46" t="s">
        <v>1006</v>
      </c>
      <c r="E39" s="45" t="s">
        <v>18</v>
      </c>
      <c r="F39" s="37">
        <v>5000</v>
      </c>
      <c r="G39" s="37">
        <v>1510</v>
      </c>
      <c r="H39" s="37">
        <v>2000</v>
      </c>
    </row>
    <row r="40" spans="2:8">
      <c r="B40" s="46" t="s">
        <v>798</v>
      </c>
      <c r="C40" s="46" t="s">
        <v>1008</v>
      </c>
      <c r="D40" s="46" t="s">
        <v>1006</v>
      </c>
      <c r="E40" s="45" t="s">
        <v>19</v>
      </c>
      <c r="F40" s="37">
        <v>0</v>
      </c>
      <c r="G40" s="37">
        <v>0</v>
      </c>
      <c r="H40" s="37">
        <v>0</v>
      </c>
    </row>
    <row r="41" spans="2:8">
      <c r="B41" s="46" t="s">
        <v>885</v>
      </c>
      <c r="C41" s="46" t="s">
        <v>1035</v>
      </c>
      <c r="D41" s="46" t="s">
        <v>1006</v>
      </c>
      <c r="E41" s="45" t="s">
        <v>157</v>
      </c>
      <c r="F41" s="37">
        <v>0</v>
      </c>
      <c r="G41" s="37">
        <v>0</v>
      </c>
      <c r="H41" s="37">
        <v>0</v>
      </c>
    </row>
    <row r="42" spans="2:8">
      <c r="B42" s="46" t="s">
        <v>798</v>
      </c>
      <c r="C42" s="46" t="s">
        <v>1035</v>
      </c>
      <c r="D42" s="46" t="s">
        <v>1006</v>
      </c>
      <c r="E42" s="45" t="s">
        <v>158</v>
      </c>
      <c r="F42" s="37">
        <v>0</v>
      </c>
      <c r="G42" s="37">
        <v>0</v>
      </c>
      <c r="H42" s="37">
        <v>0</v>
      </c>
    </row>
    <row r="43" spans="2:8">
      <c r="B43" s="46" t="s">
        <v>733</v>
      </c>
      <c r="C43" s="46" t="s">
        <v>1009</v>
      </c>
      <c r="D43" s="46" t="s">
        <v>1006</v>
      </c>
      <c r="E43" s="45" t="s">
        <v>160</v>
      </c>
      <c r="F43" s="37">
        <v>0</v>
      </c>
      <c r="G43" s="37">
        <v>0</v>
      </c>
      <c r="H43" s="37">
        <v>0</v>
      </c>
    </row>
    <row r="44" spans="2:8">
      <c r="B44" s="46" t="s">
        <v>895</v>
      </c>
      <c r="C44" s="46" t="s">
        <v>1009</v>
      </c>
      <c r="D44" s="46" t="s">
        <v>1006</v>
      </c>
      <c r="E44" s="45" t="s">
        <v>161</v>
      </c>
      <c r="F44" s="37">
        <v>0</v>
      </c>
      <c r="G44" s="37">
        <v>0</v>
      </c>
      <c r="H44" s="37">
        <v>0</v>
      </c>
    </row>
    <row r="45" spans="2:8">
      <c r="B45" s="46" t="s">
        <v>739</v>
      </c>
      <c r="C45" s="46" t="s">
        <v>1010</v>
      </c>
      <c r="D45" s="46" t="s">
        <v>1006</v>
      </c>
      <c r="E45" s="45" t="s">
        <v>163</v>
      </c>
      <c r="F45" s="37">
        <v>57000</v>
      </c>
      <c r="G45" s="37">
        <v>41021.35</v>
      </c>
      <c r="H45" s="37">
        <v>42000</v>
      </c>
    </row>
    <row r="46" spans="2:8">
      <c r="B46" s="46" t="s">
        <v>732</v>
      </c>
      <c r="C46" s="46" t="s">
        <v>1010</v>
      </c>
      <c r="D46" s="46" t="s">
        <v>1006</v>
      </c>
      <c r="E46" s="45" t="s">
        <v>164</v>
      </c>
      <c r="F46" s="37">
        <v>0</v>
      </c>
      <c r="G46" s="37">
        <v>0</v>
      </c>
      <c r="H46" s="37">
        <v>0</v>
      </c>
    </row>
    <row r="47" spans="2:8">
      <c r="B47" s="46" t="s">
        <v>893</v>
      </c>
      <c r="C47" s="46" t="s">
        <v>1010</v>
      </c>
      <c r="D47" s="46" t="s">
        <v>1006</v>
      </c>
      <c r="E47" s="45" t="s">
        <v>26</v>
      </c>
      <c r="F47" s="37">
        <v>7000</v>
      </c>
      <c r="G47" s="37">
        <v>3600</v>
      </c>
      <c r="H47" s="37">
        <v>4000</v>
      </c>
    </row>
    <row r="48" spans="2:8">
      <c r="B48" s="46" t="s">
        <v>939</v>
      </c>
      <c r="C48" s="46" t="s">
        <v>1010</v>
      </c>
      <c r="D48" s="46" t="s">
        <v>1006</v>
      </c>
      <c r="E48" s="45" t="s">
        <v>165</v>
      </c>
      <c r="F48" s="37">
        <v>0</v>
      </c>
      <c r="G48" s="37">
        <v>0</v>
      </c>
      <c r="H48" s="37">
        <v>0</v>
      </c>
    </row>
    <row r="49" spans="2:8">
      <c r="B49" s="46" t="s">
        <v>798</v>
      </c>
      <c r="C49" s="46" t="s">
        <v>1010</v>
      </c>
      <c r="D49" s="46" t="s">
        <v>1006</v>
      </c>
      <c r="E49" s="45" t="s">
        <v>19</v>
      </c>
      <c r="F49" s="37">
        <v>0</v>
      </c>
      <c r="G49" s="37">
        <v>0</v>
      </c>
      <c r="H49" s="37">
        <v>0</v>
      </c>
    </row>
    <row r="50" spans="2:8">
      <c r="B50" s="46" t="s">
        <v>889</v>
      </c>
      <c r="C50" s="46" t="s">
        <v>1011</v>
      </c>
      <c r="D50" s="46" t="s">
        <v>1006</v>
      </c>
      <c r="E50" s="45" t="s">
        <v>166</v>
      </c>
      <c r="F50" s="37">
        <v>0</v>
      </c>
      <c r="G50" s="37">
        <v>537107.16</v>
      </c>
      <c r="H50" s="37">
        <v>0</v>
      </c>
    </row>
    <row r="51" spans="2:8">
      <c r="B51" s="46" t="s">
        <v>890</v>
      </c>
      <c r="C51" s="46" t="s">
        <v>1011</v>
      </c>
      <c r="D51" s="46" t="s">
        <v>1006</v>
      </c>
      <c r="E51" s="45" t="s">
        <v>167</v>
      </c>
      <c r="F51" s="37">
        <v>0</v>
      </c>
      <c r="G51" s="37">
        <v>36913.85</v>
      </c>
      <c r="H51" s="37">
        <v>0</v>
      </c>
    </row>
    <row r="52" spans="2:8">
      <c r="B52" s="46" t="s">
        <v>732</v>
      </c>
      <c r="C52" s="46" t="s">
        <v>1012</v>
      </c>
      <c r="D52" s="46" t="s">
        <v>1006</v>
      </c>
      <c r="E52" s="45" t="s">
        <v>169</v>
      </c>
      <c r="F52" s="37">
        <v>0</v>
      </c>
      <c r="G52" s="37">
        <v>18762</v>
      </c>
      <c r="H52" s="37">
        <v>0</v>
      </c>
    </row>
    <row r="53" spans="2:8">
      <c r="B53" s="46" t="s">
        <v>893</v>
      </c>
      <c r="C53" s="46" t="s">
        <v>1012</v>
      </c>
      <c r="D53" s="46" t="s">
        <v>1006</v>
      </c>
      <c r="E53" s="45" t="s">
        <v>170</v>
      </c>
      <c r="F53" s="37">
        <v>0</v>
      </c>
      <c r="G53" s="37">
        <v>166652.10999999999</v>
      </c>
      <c r="H53" s="37">
        <v>100000</v>
      </c>
    </row>
    <row r="54" spans="2:8">
      <c r="B54" s="46" t="s">
        <v>939</v>
      </c>
      <c r="C54" s="46" t="s">
        <v>1012</v>
      </c>
      <c r="D54" s="46" t="s">
        <v>1006</v>
      </c>
      <c r="E54" s="45" t="s">
        <v>171</v>
      </c>
      <c r="F54" s="37">
        <v>0</v>
      </c>
      <c r="G54" s="37">
        <v>176870.6</v>
      </c>
      <c r="H54" s="37">
        <v>150000</v>
      </c>
    </row>
    <row r="55" spans="2:8">
      <c r="B55" s="46" t="s">
        <v>940</v>
      </c>
      <c r="C55" s="46" t="s">
        <v>1012</v>
      </c>
      <c r="D55" s="46" t="s">
        <v>1006</v>
      </c>
      <c r="E55" s="45" t="s">
        <v>172</v>
      </c>
      <c r="F55" s="37">
        <v>0</v>
      </c>
      <c r="G55" s="37">
        <v>0</v>
      </c>
      <c r="H55" s="37">
        <v>0</v>
      </c>
    </row>
    <row r="56" spans="2:8">
      <c r="B56" s="46" t="s">
        <v>1036</v>
      </c>
      <c r="C56" s="46" t="s">
        <v>1012</v>
      </c>
      <c r="D56" s="46" t="s">
        <v>1006</v>
      </c>
      <c r="E56" s="45" t="s">
        <v>173</v>
      </c>
      <c r="F56" s="37">
        <v>0</v>
      </c>
      <c r="G56" s="37">
        <v>0</v>
      </c>
      <c r="H56" s="37">
        <v>0</v>
      </c>
    </row>
    <row r="57" spans="2:8">
      <c r="B57" s="46" t="s">
        <v>885</v>
      </c>
      <c r="C57" s="46" t="s">
        <v>1012</v>
      </c>
      <c r="D57" s="46" t="s">
        <v>1006</v>
      </c>
      <c r="E57" s="45" t="s">
        <v>174</v>
      </c>
      <c r="F57" s="37">
        <v>0</v>
      </c>
      <c r="G57" s="37">
        <v>19557.29</v>
      </c>
      <c r="H57" s="37">
        <v>20000</v>
      </c>
    </row>
    <row r="58" spans="2:8">
      <c r="B58" s="46" t="s">
        <v>886</v>
      </c>
      <c r="C58" s="46" t="s">
        <v>1012</v>
      </c>
      <c r="D58" s="46" t="s">
        <v>1006</v>
      </c>
      <c r="E58" s="45" t="s">
        <v>175</v>
      </c>
      <c r="F58" s="37">
        <v>0</v>
      </c>
      <c r="G58" s="37">
        <v>5076</v>
      </c>
      <c r="H58" s="37">
        <v>0</v>
      </c>
    </row>
    <row r="59" spans="2:8">
      <c r="B59" s="46" t="s">
        <v>895</v>
      </c>
      <c r="C59" s="46" t="s">
        <v>1012</v>
      </c>
      <c r="D59" s="46" t="s">
        <v>1006</v>
      </c>
      <c r="E59" s="45" t="s">
        <v>176</v>
      </c>
      <c r="F59" s="37">
        <v>0</v>
      </c>
      <c r="G59" s="37">
        <v>0</v>
      </c>
      <c r="H59" s="37">
        <v>0</v>
      </c>
    </row>
    <row r="60" spans="2:8">
      <c r="B60" s="46" t="s">
        <v>742</v>
      </c>
      <c r="C60" s="46" t="s">
        <v>1012</v>
      </c>
      <c r="D60" s="46" t="s">
        <v>1006</v>
      </c>
      <c r="E60" s="45" t="s">
        <v>33</v>
      </c>
      <c r="F60" s="37">
        <v>0</v>
      </c>
      <c r="G60" s="37">
        <v>0</v>
      </c>
      <c r="H60" s="37">
        <v>0</v>
      </c>
    </row>
    <row r="61" spans="2:8">
      <c r="B61" s="46" t="s">
        <v>887</v>
      </c>
      <c r="C61" s="46" t="s">
        <v>1012</v>
      </c>
      <c r="D61" s="46" t="s">
        <v>1006</v>
      </c>
      <c r="E61" s="45" t="s">
        <v>177</v>
      </c>
      <c r="F61" s="37">
        <v>180000</v>
      </c>
      <c r="G61" s="37">
        <v>224427.53</v>
      </c>
      <c r="H61" s="37">
        <v>225000</v>
      </c>
    </row>
    <row r="62" spans="2:8">
      <c r="B62" s="46" t="s">
        <v>890</v>
      </c>
      <c r="C62" s="46" t="s">
        <v>1012</v>
      </c>
      <c r="D62" s="46" t="s">
        <v>1006</v>
      </c>
      <c r="E62" s="45" t="s">
        <v>178</v>
      </c>
      <c r="F62" s="37">
        <v>0</v>
      </c>
      <c r="G62" s="37">
        <v>0</v>
      </c>
      <c r="H62" s="37">
        <v>0</v>
      </c>
    </row>
    <row r="63" spans="2:8">
      <c r="B63" s="46" t="s">
        <v>946</v>
      </c>
      <c r="C63" s="46" t="s">
        <v>1012</v>
      </c>
      <c r="D63" s="46" t="s">
        <v>1006</v>
      </c>
      <c r="E63" s="45" t="s">
        <v>179</v>
      </c>
      <c r="F63" s="37">
        <v>0</v>
      </c>
      <c r="G63" s="37">
        <v>0</v>
      </c>
      <c r="H63" s="37">
        <v>0</v>
      </c>
    </row>
    <row r="64" spans="2:8">
      <c r="B64" s="46" t="s">
        <v>1037</v>
      </c>
      <c r="C64" s="46" t="s">
        <v>1012</v>
      </c>
      <c r="D64" s="46" t="s">
        <v>1006</v>
      </c>
      <c r="E64" s="45" t="s">
        <v>180</v>
      </c>
      <c r="F64" s="37">
        <v>240000</v>
      </c>
      <c r="G64" s="37">
        <v>220567</v>
      </c>
      <c r="H64" s="37">
        <v>240000</v>
      </c>
    </row>
    <row r="65" spans="2:8">
      <c r="B65" s="46" t="s">
        <v>798</v>
      </c>
      <c r="C65" s="46" t="s">
        <v>1012</v>
      </c>
      <c r="D65" s="46" t="s">
        <v>1006</v>
      </c>
      <c r="E65" s="45" t="s">
        <v>181</v>
      </c>
      <c r="F65" s="37">
        <v>0</v>
      </c>
      <c r="G65" s="37">
        <v>0</v>
      </c>
      <c r="H65" s="37">
        <v>0</v>
      </c>
    </row>
    <row r="66" spans="2:8">
      <c r="B66" s="46" t="s">
        <v>732</v>
      </c>
      <c r="C66" s="46" t="s">
        <v>1013</v>
      </c>
      <c r="D66" s="46" t="s">
        <v>1006</v>
      </c>
      <c r="E66" s="45" t="s">
        <v>184</v>
      </c>
      <c r="F66" s="37">
        <v>0</v>
      </c>
      <c r="G66" s="37">
        <v>0</v>
      </c>
      <c r="H66" s="37">
        <v>0</v>
      </c>
    </row>
    <row r="67" spans="2:8">
      <c r="B67" s="46" t="s">
        <v>893</v>
      </c>
      <c r="C67" s="46" t="s">
        <v>1013</v>
      </c>
      <c r="D67" s="46" t="s">
        <v>1006</v>
      </c>
      <c r="E67" s="45" t="s">
        <v>185</v>
      </c>
      <c r="F67" s="37">
        <v>0</v>
      </c>
      <c r="G67" s="37">
        <v>35101.1</v>
      </c>
      <c r="H67" s="37">
        <v>35000</v>
      </c>
    </row>
    <row r="68" spans="2:8">
      <c r="B68" s="46" t="s">
        <v>939</v>
      </c>
      <c r="C68" s="46" t="s">
        <v>1013</v>
      </c>
      <c r="D68" s="46" t="s">
        <v>1006</v>
      </c>
      <c r="E68" s="45" t="s">
        <v>186</v>
      </c>
      <c r="F68" s="37">
        <v>0</v>
      </c>
      <c r="G68" s="37">
        <v>53760.5</v>
      </c>
      <c r="H68" s="37">
        <v>40000</v>
      </c>
    </row>
    <row r="69" spans="2:8">
      <c r="B69" s="46" t="s">
        <v>940</v>
      </c>
      <c r="C69" s="46" t="s">
        <v>1013</v>
      </c>
      <c r="D69" s="46" t="s">
        <v>1006</v>
      </c>
      <c r="E69" s="45" t="s">
        <v>187</v>
      </c>
      <c r="F69" s="37">
        <v>0</v>
      </c>
      <c r="G69" s="37">
        <v>0</v>
      </c>
      <c r="H69" s="37">
        <v>0</v>
      </c>
    </row>
    <row r="70" spans="2:8">
      <c r="B70" s="46" t="s">
        <v>1036</v>
      </c>
      <c r="C70" s="46" t="s">
        <v>1013</v>
      </c>
      <c r="D70" s="46" t="s">
        <v>1006</v>
      </c>
      <c r="E70" s="45" t="s">
        <v>173</v>
      </c>
      <c r="F70" s="37">
        <v>0</v>
      </c>
      <c r="G70" s="37">
        <v>0</v>
      </c>
      <c r="H70" s="37">
        <v>0</v>
      </c>
    </row>
    <row r="71" spans="2:8">
      <c r="B71" s="46" t="s">
        <v>885</v>
      </c>
      <c r="C71" s="46" t="s">
        <v>1013</v>
      </c>
      <c r="D71" s="46" t="s">
        <v>1006</v>
      </c>
      <c r="E71" s="45" t="s">
        <v>188</v>
      </c>
      <c r="F71" s="37">
        <v>0</v>
      </c>
      <c r="G71" s="37">
        <v>5264.48</v>
      </c>
      <c r="H71" s="37">
        <v>0</v>
      </c>
    </row>
    <row r="72" spans="2:8">
      <c r="B72" s="46" t="s">
        <v>886</v>
      </c>
      <c r="C72" s="46" t="s">
        <v>1013</v>
      </c>
      <c r="D72" s="46" t="s">
        <v>1006</v>
      </c>
      <c r="E72" s="45" t="s">
        <v>189</v>
      </c>
      <c r="F72" s="37">
        <v>0</v>
      </c>
      <c r="G72" s="37">
        <v>4866</v>
      </c>
      <c r="H72" s="37">
        <v>0</v>
      </c>
    </row>
    <row r="73" spans="2:8">
      <c r="B73" s="46" t="s">
        <v>895</v>
      </c>
      <c r="C73" s="46" t="s">
        <v>1013</v>
      </c>
      <c r="D73" s="46" t="s">
        <v>1006</v>
      </c>
      <c r="E73" s="45" t="s">
        <v>190</v>
      </c>
      <c r="F73" s="37">
        <v>0</v>
      </c>
      <c r="G73" s="37">
        <v>0</v>
      </c>
      <c r="H73" s="37">
        <v>0</v>
      </c>
    </row>
    <row r="74" spans="2:8">
      <c r="B74" s="46" t="s">
        <v>887</v>
      </c>
      <c r="C74" s="46" t="s">
        <v>1013</v>
      </c>
      <c r="D74" s="46" t="s">
        <v>1006</v>
      </c>
      <c r="E74" s="45" t="s">
        <v>191</v>
      </c>
      <c r="F74" s="37">
        <v>180000</v>
      </c>
      <c r="G74" s="37">
        <v>181328.87</v>
      </c>
      <c r="H74" s="37">
        <v>180000</v>
      </c>
    </row>
    <row r="75" spans="2:8">
      <c r="B75" s="46" t="s">
        <v>890</v>
      </c>
      <c r="C75" s="46" t="s">
        <v>1013</v>
      </c>
      <c r="D75" s="46" t="s">
        <v>1006</v>
      </c>
      <c r="E75" s="45" t="s">
        <v>192</v>
      </c>
      <c r="F75" s="37">
        <v>0</v>
      </c>
      <c r="G75" s="37">
        <v>0</v>
      </c>
      <c r="H75" s="37">
        <v>0</v>
      </c>
    </row>
    <row r="76" spans="2:8">
      <c r="B76" s="46" t="s">
        <v>946</v>
      </c>
      <c r="C76" s="46" t="s">
        <v>1013</v>
      </c>
      <c r="D76" s="46" t="s">
        <v>1006</v>
      </c>
      <c r="E76" s="45" t="s">
        <v>193</v>
      </c>
      <c r="F76" s="37">
        <v>0</v>
      </c>
      <c r="G76" s="37">
        <v>0</v>
      </c>
      <c r="H76" s="37">
        <v>0</v>
      </c>
    </row>
    <row r="77" spans="2:8">
      <c r="B77" s="46" t="s">
        <v>1037</v>
      </c>
      <c r="C77" s="46" t="s">
        <v>1013</v>
      </c>
      <c r="D77" s="46" t="s">
        <v>1006</v>
      </c>
      <c r="E77" s="45" t="s">
        <v>194</v>
      </c>
      <c r="F77" s="37">
        <v>320000</v>
      </c>
      <c r="G77" s="37">
        <v>230196</v>
      </c>
      <c r="H77" s="37">
        <v>320000</v>
      </c>
    </row>
    <row r="78" spans="2:8">
      <c r="B78" s="46" t="s">
        <v>798</v>
      </c>
      <c r="C78" s="46" t="s">
        <v>1013</v>
      </c>
      <c r="D78" s="46" t="s">
        <v>1006</v>
      </c>
      <c r="E78" s="45" t="s">
        <v>195</v>
      </c>
      <c r="F78" s="37">
        <v>0</v>
      </c>
      <c r="G78" s="37">
        <v>0</v>
      </c>
      <c r="H78" s="37">
        <v>0</v>
      </c>
    </row>
    <row r="79" spans="2:8">
      <c r="B79" s="46" t="s">
        <v>732</v>
      </c>
      <c r="C79" s="46" t="s">
        <v>1014</v>
      </c>
      <c r="D79" s="46" t="s">
        <v>1006</v>
      </c>
      <c r="E79" s="45" t="s">
        <v>197</v>
      </c>
      <c r="F79" s="37">
        <v>0</v>
      </c>
      <c r="G79" s="37">
        <v>0</v>
      </c>
      <c r="H79" s="37">
        <v>0</v>
      </c>
    </row>
    <row r="80" spans="2:8">
      <c r="B80" s="46" t="s">
        <v>893</v>
      </c>
      <c r="C80" s="46" t="s">
        <v>1014</v>
      </c>
      <c r="D80" s="46" t="s">
        <v>1006</v>
      </c>
      <c r="E80" s="45" t="s">
        <v>198</v>
      </c>
      <c r="F80" s="37">
        <v>0</v>
      </c>
      <c r="G80" s="37">
        <v>22564.93</v>
      </c>
      <c r="H80" s="37">
        <v>25000</v>
      </c>
    </row>
    <row r="81" spans="2:8">
      <c r="B81" s="46" t="s">
        <v>939</v>
      </c>
      <c r="C81" s="46" t="s">
        <v>1014</v>
      </c>
      <c r="D81" s="46" t="s">
        <v>1006</v>
      </c>
      <c r="E81" s="45" t="s">
        <v>199</v>
      </c>
      <c r="F81" s="37">
        <v>0</v>
      </c>
      <c r="G81" s="37">
        <v>0</v>
      </c>
      <c r="H81" s="37">
        <v>0</v>
      </c>
    </row>
    <row r="82" spans="2:8">
      <c r="B82" s="46" t="s">
        <v>940</v>
      </c>
      <c r="C82" s="46" t="s">
        <v>1014</v>
      </c>
      <c r="D82" s="46" t="s">
        <v>1006</v>
      </c>
      <c r="E82" s="45" t="s">
        <v>200</v>
      </c>
      <c r="F82" s="37">
        <v>0</v>
      </c>
      <c r="G82" s="37">
        <v>0</v>
      </c>
      <c r="H82" s="37">
        <v>0</v>
      </c>
    </row>
    <row r="83" spans="2:8">
      <c r="B83" s="46" t="s">
        <v>1036</v>
      </c>
      <c r="C83" s="46" t="s">
        <v>1014</v>
      </c>
      <c r="D83" s="46" t="s">
        <v>1006</v>
      </c>
      <c r="E83" s="45" t="s">
        <v>173</v>
      </c>
      <c r="F83" s="37">
        <v>0</v>
      </c>
      <c r="G83" s="37">
        <v>0</v>
      </c>
      <c r="H83" s="37">
        <v>0</v>
      </c>
    </row>
    <row r="84" spans="2:8">
      <c r="B84" s="46" t="s">
        <v>885</v>
      </c>
      <c r="C84" s="46" t="s">
        <v>1014</v>
      </c>
      <c r="D84" s="46" t="s">
        <v>1006</v>
      </c>
      <c r="E84" s="45" t="s">
        <v>201</v>
      </c>
      <c r="F84" s="37">
        <v>0</v>
      </c>
      <c r="G84" s="37">
        <v>5468.81</v>
      </c>
      <c r="H84" s="37">
        <v>5000</v>
      </c>
    </row>
    <row r="85" spans="2:8">
      <c r="B85" s="46" t="s">
        <v>886</v>
      </c>
      <c r="C85" s="46" t="s">
        <v>1014</v>
      </c>
      <c r="D85" s="46" t="s">
        <v>1006</v>
      </c>
      <c r="E85" s="45" t="s">
        <v>202</v>
      </c>
      <c r="F85" s="37">
        <v>0</v>
      </c>
      <c r="G85" s="37">
        <v>1182</v>
      </c>
      <c r="H85" s="37">
        <v>0</v>
      </c>
    </row>
    <row r="86" spans="2:8">
      <c r="B86" s="46" t="s">
        <v>895</v>
      </c>
      <c r="C86" s="46" t="s">
        <v>1014</v>
      </c>
      <c r="D86" s="46" t="s">
        <v>1006</v>
      </c>
      <c r="E86" s="45" t="s">
        <v>203</v>
      </c>
      <c r="F86" s="37">
        <v>0</v>
      </c>
      <c r="G86" s="37">
        <v>0</v>
      </c>
      <c r="H86" s="37">
        <v>0</v>
      </c>
    </row>
    <row r="87" spans="2:8">
      <c r="B87" s="46" t="s">
        <v>742</v>
      </c>
      <c r="C87" s="46" t="s">
        <v>1014</v>
      </c>
      <c r="D87" s="46" t="s">
        <v>1006</v>
      </c>
      <c r="E87" s="45" t="s">
        <v>204</v>
      </c>
      <c r="F87" s="37">
        <v>0</v>
      </c>
      <c r="G87" s="37">
        <v>0</v>
      </c>
      <c r="H87" s="37">
        <v>0</v>
      </c>
    </row>
    <row r="88" spans="2:8">
      <c r="B88" s="46" t="s">
        <v>887</v>
      </c>
      <c r="C88" s="46" t="s">
        <v>1014</v>
      </c>
      <c r="D88" s="46" t="s">
        <v>1006</v>
      </c>
      <c r="E88" s="45" t="s">
        <v>205</v>
      </c>
      <c r="F88" s="37">
        <v>201000</v>
      </c>
      <c r="G88" s="37">
        <v>181461.86</v>
      </c>
      <c r="H88" s="37">
        <v>200000</v>
      </c>
    </row>
    <row r="89" spans="2:8">
      <c r="B89" s="46" t="s">
        <v>890</v>
      </c>
      <c r="C89" s="46" t="s">
        <v>1014</v>
      </c>
      <c r="D89" s="46" t="s">
        <v>1006</v>
      </c>
      <c r="E89" s="45" t="s">
        <v>18</v>
      </c>
      <c r="F89" s="37">
        <v>0</v>
      </c>
      <c r="G89" s="37">
        <v>0</v>
      </c>
      <c r="H89" s="37">
        <v>0</v>
      </c>
    </row>
    <row r="90" spans="2:8">
      <c r="B90" s="46" t="s">
        <v>946</v>
      </c>
      <c r="C90" s="46" t="s">
        <v>1014</v>
      </c>
      <c r="D90" s="46" t="s">
        <v>1006</v>
      </c>
      <c r="E90" s="45" t="s">
        <v>206</v>
      </c>
      <c r="F90" s="37">
        <v>0</v>
      </c>
      <c r="G90" s="37">
        <v>0</v>
      </c>
      <c r="H90" s="37">
        <v>0</v>
      </c>
    </row>
    <row r="91" spans="2:8">
      <c r="B91" s="46" t="s">
        <v>1037</v>
      </c>
      <c r="C91" s="46" t="s">
        <v>1014</v>
      </c>
      <c r="D91" s="46" t="s">
        <v>1006</v>
      </c>
      <c r="E91" s="45" t="s">
        <v>207</v>
      </c>
      <c r="F91" s="37">
        <v>340000</v>
      </c>
      <c r="G91" s="37">
        <v>244008</v>
      </c>
      <c r="H91" s="37">
        <v>340000</v>
      </c>
    </row>
    <row r="92" spans="2:8">
      <c r="B92" s="46" t="s">
        <v>798</v>
      </c>
      <c r="C92" s="46" t="s">
        <v>1014</v>
      </c>
      <c r="D92" s="46" t="s">
        <v>1006</v>
      </c>
      <c r="E92" s="45" t="s">
        <v>208</v>
      </c>
      <c r="F92" s="37">
        <v>0</v>
      </c>
      <c r="G92" s="37">
        <v>0</v>
      </c>
      <c r="H92" s="37">
        <v>0</v>
      </c>
    </row>
    <row r="93" spans="2:8">
      <c r="B93" s="46" t="s">
        <v>893</v>
      </c>
      <c r="C93" s="46" t="s">
        <v>1015</v>
      </c>
      <c r="D93" s="46" t="s">
        <v>1006</v>
      </c>
      <c r="E93" s="45" t="s">
        <v>210</v>
      </c>
      <c r="F93" s="37">
        <v>0</v>
      </c>
      <c r="G93" s="37">
        <v>0</v>
      </c>
      <c r="H93" s="37">
        <v>0</v>
      </c>
    </row>
    <row r="94" spans="2:8">
      <c r="B94" s="46" t="s">
        <v>939</v>
      </c>
      <c r="C94" s="46" t="s">
        <v>1015</v>
      </c>
      <c r="D94" s="46" t="s">
        <v>1006</v>
      </c>
      <c r="E94" s="45" t="s">
        <v>211</v>
      </c>
      <c r="F94" s="37">
        <v>0</v>
      </c>
      <c r="G94" s="37">
        <v>0</v>
      </c>
      <c r="H94" s="37">
        <v>0</v>
      </c>
    </row>
    <row r="95" spans="2:8">
      <c r="B95" s="46" t="s">
        <v>885</v>
      </c>
      <c r="C95" s="46" t="s">
        <v>1015</v>
      </c>
      <c r="D95" s="46" t="s">
        <v>1006</v>
      </c>
      <c r="E95" s="45" t="s">
        <v>212</v>
      </c>
      <c r="F95" s="37">
        <v>0</v>
      </c>
      <c r="G95" s="37">
        <v>0</v>
      </c>
      <c r="H95" s="37">
        <v>0</v>
      </c>
    </row>
    <row r="96" spans="2:8">
      <c r="B96" s="46" t="s">
        <v>887</v>
      </c>
      <c r="C96" s="46" t="s">
        <v>1015</v>
      </c>
      <c r="D96" s="46" t="s">
        <v>1006</v>
      </c>
      <c r="E96" s="45" t="s">
        <v>213</v>
      </c>
      <c r="F96" s="37">
        <v>114000</v>
      </c>
      <c r="G96" s="37">
        <v>252070.03</v>
      </c>
      <c r="H96" s="37">
        <v>200000</v>
      </c>
    </row>
    <row r="97" spans="2:8">
      <c r="B97" s="46" t="s">
        <v>946</v>
      </c>
      <c r="C97" s="46" t="s">
        <v>1015</v>
      </c>
      <c r="D97" s="46" t="s">
        <v>1006</v>
      </c>
      <c r="E97" s="45" t="s">
        <v>214</v>
      </c>
      <c r="F97" s="37">
        <v>210000</v>
      </c>
      <c r="G97" s="37">
        <v>151848</v>
      </c>
      <c r="H97" s="37">
        <v>210000</v>
      </c>
    </row>
    <row r="98" spans="2:8">
      <c r="B98" s="46" t="s">
        <v>733</v>
      </c>
      <c r="C98" s="46" t="s">
        <v>1016</v>
      </c>
      <c r="D98" s="46" t="s">
        <v>1006</v>
      </c>
      <c r="E98" s="45" t="s">
        <v>215</v>
      </c>
      <c r="F98" s="37">
        <v>0</v>
      </c>
      <c r="G98" s="37">
        <v>0</v>
      </c>
      <c r="H98" s="37">
        <v>0</v>
      </c>
    </row>
    <row r="99" spans="2:8">
      <c r="B99" s="46" t="s">
        <v>887</v>
      </c>
      <c r="C99" s="46" t="s">
        <v>1016</v>
      </c>
      <c r="D99" s="46" t="s">
        <v>1006</v>
      </c>
      <c r="E99" s="45" t="s">
        <v>34</v>
      </c>
      <c r="F99" s="37">
        <v>0</v>
      </c>
      <c r="G99" s="37">
        <v>0</v>
      </c>
      <c r="H99" s="37">
        <v>0</v>
      </c>
    </row>
    <row r="100" spans="2:8">
      <c r="B100" s="46" t="s">
        <v>885</v>
      </c>
      <c r="C100" s="46" t="s">
        <v>1017</v>
      </c>
      <c r="D100" s="46" t="s">
        <v>1006</v>
      </c>
      <c r="E100" s="45" t="s">
        <v>217</v>
      </c>
      <c r="F100" s="37">
        <v>14000</v>
      </c>
      <c r="G100" s="37">
        <v>13217.87</v>
      </c>
      <c r="H100" s="37">
        <v>14000</v>
      </c>
    </row>
    <row r="101" spans="2:8">
      <c r="B101" s="46" t="s">
        <v>886</v>
      </c>
      <c r="C101" s="46" t="s">
        <v>1017</v>
      </c>
      <c r="D101" s="46" t="s">
        <v>1006</v>
      </c>
      <c r="E101" s="45" t="s">
        <v>52</v>
      </c>
      <c r="F101" s="37">
        <v>1000</v>
      </c>
      <c r="G101" s="37">
        <v>2891</v>
      </c>
      <c r="H101" s="37">
        <v>2000</v>
      </c>
    </row>
    <row r="102" spans="2:8">
      <c r="B102" s="46" t="s">
        <v>895</v>
      </c>
      <c r="C102" s="46" t="s">
        <v>1017</v>
      </c>
      <c r="D102" s="46" t="s">
        <v>1006</v>
      </c>
      <c r="E102" s="45" t="s">
        <v>32</v>
      </c>
      <c r="F102" s="37">
        <v>0</v>
      </c>
      <c r="G102" s="37">
        <v>2500</v>
      </c>
      <c r="H102" s="37">
        <v>3000</v>
      </c>
    </row>
    <row r="103" spans="2:8">
      <c r="B103" s="46" t="s">
        <v>1038</v>
      </c>
      <c r="C103" s="46" t="s">
        <v>1017</v>
      </c>
      <c r="D103" s="46" t="s">
        <v>1006</v>
      </c>
      <c r="E103" s="45" t="s">
        <v>218</v>
      </c>
      <c r="F103" s="37">
        <v>130000</v>
      </c>
      <c r="G103" s="37">
        <v>151735</v>
      </c>
      <c r="H103" s="37">
        <v>150000</v>
      </c>
    </row>
    <row r="104" spans="2:8">
      <c r="B104" s="46" t="s">
        <v>742</v>
      </c>
      <c r="C104" s="46" t="s">
        <v>1017</v>
      </c>
      <c r="D104" s="46" t="s">
        <v>1006</v>
      </c>
      <c r="E104" s="45" t="s">
        <v>33</v>
      </c>
      <c r="F104" s="37">
        <v>0</v>
      </c>
      <c r="G104" s="37">
        <v>0</v>
      </c>
      <c r="H104" s="37">
        <v>0</v>
      </c>
    </row>
    <row r="105" spans="2:8">
      <c r="B105" s="46" t="s">
        <v>887</v>
      </c>
      <c r="C105" s="46" t="s">
        <v>1017</v>
      </c>
      <c r="D105" s="46" t="s">
        <v>1006</v>
      </c>
      <c r="E105" s="45" t="s">
        <v>34</v>
      </c>
      <c r="F105" s="37">
        <v>0</v>
      </c>
      <c r="G105" s="37">
        <v>0</v>
      </c>
      <c r="H105" s="37">
        <v>0</v>
      </c>
    </row>
    <row r="106" spans="2:8">
      <c r="B106" s="46" t="s">
        <v>890</v>
      </c>
      <c r="C106" s="46" t="s">
        <v>1017</v>
      </c>
      <c r="D106" s="46" t="s">
        <v>1006</v>
      </c>
      <c r="E106" s="45" t="s">
        <v>18</v>
      </c>
      <c r="F106" s="37">
        <v>36000</v>
      </c>
      <c r="G106" s="37">
        <v>88657.8</v>
      </c>
      <c r="H106" s="37">
        <v>90000</v>
      </c>
    </row>
    <row r="107" spans="2:8">
      <c r="B107" s="46" t="s">
        <v>1039</v>
      </c>
      <c r="C107" s="46" t="s">
        <v>1017</v>
      </c>
      <c r="D107" s="46" t="s">
        <v>1006</v>
      </c>
      <c r="E107" s="45" t="s">
        <v>219</v>
      </c>
      <c r="F107" s="37">
        <v>0</v>
      </c>
      <c r="G107" s="37">
        <v>0</v>
      </c>
      <c r="H107" s="37">
        <v>0</v>
      </c>
    </row>
    <row r="108" spans="2:8">
      <c r="B108" s="46" t="s">
        <v>946</v>
      </c>
      <c r="C108" s="46" t="s">
        <v>1017</v>
      </c>
      <c r="D108" s="46" t="s">
        <v>1006</v>
      </c>
      <c r="E108" s="45" t="s">
        <v>220</v>
      </c>
      <c r="F108" s="37">
        <v>0</v>
      </c>
      <c r="G108" s="37">
        <v>0</v>
      </c>
      <c r="H108" s="37">
        <v>0</v>
      </c>
    </row>
    <row r="109" spans="2:8">
      <c r="B109" s="46" t="s">
        <v>798</v>
      </c>
      <c r="C109" s="46" t="s">
        <v>1017</v>
      </c>
      <c r="D109" s="46" t="s">
        <v>1006</v>
      </c>
      <c r="E109" s="45" t="s">
        <v>19</v>
      </c>
      <c r="F109" s="37">
        <v>0</v>
      </c>
      <c r="G109" s="37">
        <v>0</v>
      </c>
      <c r="H109" s="37">
        <v>0</v>
      </c>
    </row>
    <row r="110" spans="2:8">
      <c r="B110" s="46" t="s">
        <v>889</v>
      </c>
      <c r="C110" s="46" t="s">
        <v>1040</v>
      </c>
      <c r="D110" s="46" t="s">
        <v>1006</v>
      </c>
      <c r="E110" s="45" t="s">
        <v>221</v>
      </c>
      <c r="F110" s="37">
        <v>350000</v>
      </c>
      <c r="G110" s="37">
        <v>321673.03000000003</v>
      </c>
      <c r="H110" s="37">
        <v>350000</v>
      </c>
    </row>
    <row r="111" spans="2:8">
      <c r="B111" s="46" t="s">
        <v>732</v>
      </c>
      <c r="C111" s="46" t="s">
        <v>1018</v>
      </c>
      <c r="D111" s="46" t="s">
        <v>1006</v>
      </c>
      <c r="E111" s="45" t="s">
        <v>223</v>
      </c>
      <c r="F111" s="37">
        <v>0</v>
      </c>
      <c r="G111" s="37">
        <v>0</v>
      </c>
      <c r="H111" s="37">
        <v>0</v>
      </c>
    </row>
    <row r="112" spans="2:8">
      <c r="B112" s="46" t="s">
        <v>893</v>
      </c>
      <c r="C112" s="46" t="s">
        <v>1018</v>
      </c>
      <c r="D112" s="46" t="s">
        <v>1006</v>
      </c>
      <c r="E112" s="45" t="s">
        <v>224</v>
      </c>
      <c r="F112" s="37">
        <v>0</v>
      </c>
      <c r="G112" s="37">
        <v>0</v>
      </c>
      <c r="H112" s="37">
        <v>0</v>
      </c>
    </row>
    <row r="113" spans="2:8">
      <c r="B113" s="46" t="s">
        <v>939</v>
      </c>
      <c r="C113" s="46" t="s">
        <v>1018</v>
      </c>
      <c r="D113" s="46" t="s">
        <v>1006</v>
      </c>
      <c r="E113" s="45" t="s">
        <v>225</v>
      </c>
      <c r="F113" s="37">
        <v>40000</v>
      </c>
      <c r="G113" s="37">
        <v>89329.8</v>
      </c>
      <c r="H113" s="37">
        <v>40000</v>
      </c>
    </row>
    <row r="114" spans="2:8">
      <c r="B114" s="46" t="s">
        <v>940</v>
      </c>
      <c r="C114" s="46" t="s">
        <v>1018</v>
      </c>
      <c r="D114" s="46" t="s">
        <v>1006</v>
      </c>
      <c r="E114" s="45" t="s">
        <v>226</v>
      </c>
      <c r="F114" s="37">
        <v>0</v>
      </c>
      <c r="G114" s="37">
        <v>0</v>
      </c>
      <c r="H114" s="37">
        <v>0</v>
      </c>
    </row>
    <row r="115" spans="2:8">
      <c r="B115" s="46" t="s">
        <v>1036</v>
      </c>
      <c r="C115" s="46" t="s">
        <v>1018</v>
      </c>
      <c r="D115" s="46" t="s">
        <v>1006</v>
      </c>
      <c r="E115" s="45" t="s">
        <v>173</v>
      </c>
      <c r="F115" s="37">
        <v>0</v>
      </c>
      <c r="G115" s="37">
        <v>0</v>
      </c>
      <c r="H115" s="37">
        <v>0</v>
      </c>
    </row>
    <row r="116" spans="2:8">
      <c r="B116" s="46" t="s">
        <v>885</v>
      </c>
      <c r="C116" s="46" t="s">
        <v>1018</v>
      </c>
      <c r="D116" s="46" t="s">
        <v>1006</v>
      </c>
      <c r="E116" s="45" t="s">
        <v>227</v>
      </c>
      <c r="F116" s="37">
        <v>3000</v>
      </c>
      <c r="G116" s="37">
        <v>524.24</v>
      </c>
      <c r="H116" s="37">
        <v>3000</v>
      </c>
    </row>
    <row r="117" spans="2:8">
      <c r="B117" s="46" t="s">
        <v>886</v>
      </c>
      <c r="C117" s="46" t="s">
        <v>1018</v>
      </c>
      <c r="D117" s="46" t="s">
        <v>1006</v>
      </c>
      <c r="E117" s="45" t="s">
        <v>228</v>
      </c>
      <c r="F117" s="37">
        <v>5000</v>
      </c>
      <c r="G117" s="37">
        <v>965</v>
      </c>
      <c r="H117" s="37">
        <v>5000</v>
      </c>
    </row>
    <row r="118" spans="2:8">
      <c r="B118" s="46" t="s">
        <v>895</v>
      </c>
      <c r="C118" s="46" t="s">
        <v>1018</v>
      </c>
      <c r="D118" s="46" t="s">
        <v>1006</v>
      </c>
      <c r="E118" s="45" t="s">
        <v>229</v>
      </c>
      <c r="F118" s="37">
        <v>0</v>
      </c>
      <c r="G118" s="37">
        <v>0</v>
      </c>
      <c r="H118" s="37">
        <v>0</v>
      </c>
    </row>
    <row r="119" spans="2:8">
      <c r="B119" s="46" t="s">
        <v>742</v>
      </c>
      <c r="C119" s="46" t="s">
        <v>1018</v>
      </c>
      <c r="D119" s="46" t="s">
        <v>1006</v>
      </c>
      <c r="E119" s="45" t="s">
        <v>230</v>
      </c>
      <c r="F119" s="37">
        <v>0</v>
      </c>
      <c r="G119" s="37">
        <v>0</v>
      </c>
      <c r="H119" s="37">
        <v>0</v>
      </c>
    </row>
    <row r="120" spans="2:8">
      <c r="B120" s="46" t="s">
        <v>887</v>
      </c>
      <c r="C120" s="46" t="s">
        <v>1018</v>
      </c>
      <c r="D120" s="46" t="s">
        <v>1006</v>
      </c>
      <c r="E120" s="45" t="s">
        <v>231</v>
      </c>
      <c r="F120" s="37">
        <v>230000</v>
      </c>
      <c r="G120" s="37">
        <v>249330.13</v>
      </c>
      <c r="H120" s="37">
        <v>250000</v>
      </c>
    </row>
    <row r="121" spans="2:8">
      <c r="B121" s="46" t="s">
        <v>890</v>
      </c>
      <c r="C121" s="46" t="s">
        <v>1018</v>
      </c>
      <c r="D121" s="46" t="s">
        <v>1006</v>
      </c>
      <c r="E121" s="45" t="s">
        <v>58</v>
      </c>
      <c r="F121" s="37">
        <v>0</v>
      </c>
      <c r="G121" s="37">
        <v>0</v>
      </c>
      <c r="H121" s="37">
        <v>0</v>
      </c>
    </row>
    <row r="122" spans="2:8">
      <c r="B122" s="46" t="s">
        <v>946</v>
      </c>
      <c r="C122" s="46" t="s">
        <v>1018</v>
      </c>
      <c r="D122" s="46" t="s">
        <v>1006</v>
      </c>
      <c r="E122" s="45" t="s">
        <v>232</v>
      </c>
      <c r="F122" s="37">
        <v>0</v>
      </c>
      <c r="G122" s="37">
        <v>44160</v>
      </c>
      <c r="H122" s="37">
        <v>0</v>
      </c>
    </row>
    <row r="123" spans="2:8">
      <c r="B123" s="46" t="s">
        <v>798</v>
      </c>
      <c r="C123" s="46" t="s">
        <v>1018</v>
      </c>
      <c r="D123" s="46" t="s">
        <v>1006</v>
      </c>
      <c r="E123" s="45" t="s">
        <v>19</v>
      </c>
      <c r="F123" s="37">
        <v>0</v>
      </c>
      <c r="G123" s="37">
        <v>0</v>
      </c>
      <c r="H123" s="37">
        <v>0</v>
      </c>
    </row>
    <row r="124" spans="2:8">
      <c r="B124" s="46" t="s">
        <v>732</v>
      </c>
      <c r="C124" s="46" t="s">
        <v>1019</v>
      </c>
      <c r="D124" s="46" t="s">
        <v>1006</v>
      </c>
      <c r="E124" s="45" t="s">
        <v>234</v>
      </c>
      <c r="F124" s="37">
        <v>0</v>
      </c>
      <c r="G124" s="37">
        <v>0</v>
      </c>
      <c r="H124" s="37">
        <v>0</v>
      </c>
    </row>
    <row r="125" spans="2:8">
      <c r="B125" s="46" t="s">
        <v>893</v>
      </c>
      <c r="C125" s="46" t="s">
        <v>1019</v>
      </c>
      <c r="D125" s="46" t="s">
        <v>1006</v>
      </c>
      <c r="E125" s="45" t="s">
        <v>235</v>
      </c>
      <c r="F125" s="37">
        <v>46000</v>
      </c>
      <c r="G125" s="37">
        <v>0</v>
      </c>
      <c r="H125" s="37">
        <v>50000</v>
      </c>
    </row>
    <row r="126" spans="2:8">
      <c r="B126" s="46" t="s">
        <v>939</v>
      </c>
      <c r="C126" s="46" t="s">
        <v>1019</v>
      </c>
      <c r="D126" s="46" t="s">
        <v>1006</v>
      </c>
      <c r="E126" s="45" t="s">
        <v>236</v>
      </c>
      <c r="F126" s="37">
        <v>50000</v>
      </c>
      <c r="G126" s="37">
        <v>90756</v>
      </c>
      <c r="H126" s="37">
        <v>50000</v>
      </c>
    </row>
    <row r="127" spans="2:8">
      <c r="B127" s="46" t="s">
        <v>940</v>
      </c>
      <c r="C127" s="46" t="s">
        <v>1019</v>
      </c>
      <c r="D127" s="46" t="s">
        <v>1006</v>
      </c>
      <c r="E127" s="45" t="s">
        <v>237</v>
      </c>
      <c r="F127" s="37">
        <v>0</v>
      </c>
      <c r="G127" s="37">
        <v>0</v>
      </c>
      <c r="H127" s="37">
        <v>0</v>
      </c>
    </row>
    <row r="128" spans="2:8">
      <c r="B128" s="46" t="s">
        <v>1036</v>
      </c>
      <c r="C128" s="46" t="s">
        <v>1019</v>
      </c>
      <c r="D128" s="46" t="s">
        <v>1006</v>
      </c>
      <c r="E128" s="45" t="s">
        <v>173</v>
      </c>
      <c r="F128" s="37">
        <v>0</v>
      </c>
      <c r="G128" s="37">
        <v>0</v>
      </c>
      <c r="H128" s="37">
        <v>0</v>
      </c>
    </row>
    <row r="129" spans="2:8">
      <c r="B129" s="46" t="s">
        <v>1041</v>
      </c>
      <c r="C129" s="46" t="s">
        <v>1019</v>
      </c>
      <c r="D129" s="46" t="s">
        <v>1006</v>
      </c>
      <c r="E129" s="45" t="s">
        <v>238</v>
      </c>
      <c r="F129" s="37">
        <v>0</v>
      </c>
      <c r="G129" s="37">
        <v>800</v>
      </c>
      <c r="H129" s="37">
        <v>0</v>
      </c>
    </row>
    <row r="130" spans="2:8">
      <c r="B130" s="46" t="s">
        <v>885</v>
      </c>
      <c r="C130" s="46" t="s">
        <v>1019</v>
      </c>
      <c r="D130" s="46" t="s">
        <v>1006</v>
      </c>
      <c r="E130" s="45" t="s">
        <v>239</v>
      </c>
      <c r="F130" s="37">
        <v>12000</v>
      </c>
      <c r="G130" s="37">
        <v>20844.68</v>
      </c>
      <c r="H130" s="37">
        <v>20000</v>
      </c>
    </row>
    <row r="131" spans="2:8">
      <c r="B131" s="46" t="s">
        <v>886</v>
      </c>
      <c r="C131" s="46" t="s">
        <v>1019</v>
      </c>
      <c r="D131" s="46" t="s">
        <v>1006</v>
      </c>
      <c r="E131" s="45" t="s">
        <v>240</v>
      </c>
      <c r="F131" s="37">
        <v>2000</v>
      </c>
      <c r="G131" s="37">
        <v>7817</v>
      </c>
      <c r="H131" s="37">
        <v>2000</v>
      </c>
    </row>
    <row r="132" spans="2:8">
      <c r="B132" s="46" t="s">
        <v>895</v>
      </c>
      <c r="C132" s="46" t="s">
        <v>1019</v>
      </c>
      <c r="D132" s="46" t="s">
        <v>1006</v>
      </c>
      <c r="E132" s="45" t="s">
        <v>241</v>
      </c>
      <c r="F132" s="37">
        <v>0</v>
      </c>
      <c r="G132" s="37">
        <v>0</v>
      </c>
      <c r="H132" s="37">
        <v>0</v>
      </c>
    </row>
    <row r="133" spans="2:8">
      <c r="B133" s="46" t="s">
        <v>742</v>
      </c>
      <c r="C133" s="46" t="s">
        <v>1019</v>
      </c>
      <c r="D133" s="46" t="s">
        <v>1006</v>
      </c>
      <c r="E133" s="45" t="s">
        <v>242</v>
      </c>
      <c r="F133" s="37">
        <v>0</v>
      </c>
      <c r="G133" s="37">
        <v>0</v>
      </c>
      <c r="H133" s="37">
        <v>0</v>
      </c>
    </row>
    <row r="134" spans="2:8">
      <c r="B134" s="46" t="s">
        <v>887</v>
      </c>
      <c r="C134" s="46" t="s">
        <v>1019</v>
      </c>
      <c r="D134" s="46" t="s">
        <v>1006</v>
      </c>
      <c r="E134" s="45" t="s">
        <v>243</v>
      </c>
      <c r="F134" s="37">
        <v>270000</v>
      </c>
      <c r="G134" s="37">
        <v>371685.82</v>
      </c>
      <c r="H134" s="37">
        <v>300000</v>
      </c>
    </row>
    <row r="135" spans="2:8">
      <c r="B135" s="46" t="s">
        <v>889</v>
      </c>
      <c r="C135" s="46" t="s">
        <v>1019</v>
      </c>
      <c r="D135" s="46" t="s">
        <v>1006</v>
      </c>
      <c r="E135" s="45" t="s">
        <v>244</v>
      </c>
      <c r="F135" s="37">
        <v>100000</v>
      </c>
      <c r="G135" s="37">
        <v>2160</v>
      </c>
      <c r="H135" s="37">
        <v>70000</v>
      </c>
    </row>
    <row r="136" spans="2:8">
      <c r="B136" s="46" t="s">
        <v>890</v>
      </c>
      <c r="C136" s="46" t="s">
        <v>1019</v>
      </c>
      <c r="D136" s="46" t="s">
        <v>1006</v>
      </c>
      <c r="E136" s="45" t="s">
        <v>245</v>
      </c>
      <c r="F136" s="37">
        <v>0</v>
      </c>
      <c r="G136" s="37">
        <v>0</v>
      </c>
      <c r="H136" s="37">
        <v>0</v>
      </c>
    </row>
    <row r="137" spans="2:8">
      <c r="B137" s="46" t="s">
        <v>946</v>
      </c>
      <c r="C137" s="46" t="s">
        <v>1019</v>
      </c>
      <c r="D137" s="46" t="s">
        <v>1006</v>
      </c>
      <c r="E137" s="45" t="s">
        <v>246</v>
      </c>
      <c r="F137" s="37">
        <v>0</v>
      </c>
      <c r="G137" s="37">
        <v>50000</v>
      </c>
      <c r="H137" s="37">
        <v>25000</v>
      </c>
    </row>
    <row r="138" spans="2:8">
      <c r="B138" s="46" t="s">
        <v>878</v>
      </c>
      <c r="C138" s="46" t="s">
        <v>1020</v>
      </c>
      <c r="D138" s="46" t="s">
        <v>1006</v>
      </c>
      <c r="E138" s="45" t="s">
        <v>249</v>
      </c>
      <c r="F138" s="37">
        <v>0</v>
      </c>
      <c r="G138" s="37">
        <v>0</v>
      </c>
      <c r="H138" s="37">
        <v>5000</v>
      </c>
    </row>
    <row r="139" spans="2:8">
      <c r="B139" s="46" t="s">
        <v>798</v>
      </c>
      <c r="C139" s="46" t="s">
        <v>1020</v>
      </c>
      <c r="D139" s="46" t="s">
        <v>1006</v>
      </c>
      <c r="E139" s="45" t="s">
        <v>250</v>
      </c>
      <c r="F139" s="37">
        <v>1000</v>
      </c>
      <c r="G139" s="37">
        <v>17711.689999999999</v>
      </c>
      <c r="H139" s="37">
        <v>2000</v>
      </c>
    </row>
    <row r="140" spans="2:8">
      <c r="B140" s="46" t="s">
        <v>887</v>
      </c>
      <c r="C140" s="46" t="s">
        <v>1042</v>
      </c>
      <c r="D140" s="46" t="s">
        <v>1006</v>
      </c>
      <c r="E140" s="45" t="s">
        <v>251</v>
      </c>
      <c r="F140" s="37">
        <v>6000</v>
      </c>
      <c r="G140" s="37">
        <v>10527.5</v>
      </c>
      <c r="H140" s="37">
        <v>10000</v>
      </c>
    </row>
    <row r="141" spans="2:8">
      <c r="B141" s="46" t="s">
        <v>895</v>
      </c>
      <c r="C141" s="46" t="s">
        <v>1043</v>
      </c>
      <c r="D141" s="46" t="s">
        <v>1006</v>
      </c>
      <c r="E141" s="45" t="s">
        <v>253</v>
      </c>
      <c r="F141" s="37">
        <v>0</v>
      </c>
      <c r="G141" s="37">
        <v>0</v>
      </c>
      <c r="H141" s="37">
        <v>0</v>
      </c>
    </row>
    <row r="142" spans="2:8">
      <c r="B142" s="46" t="s">
        <v>949</v>
      </c>
      <c r="C142" s="46" t="s">
        <v>1044</v>
      </c>
      <c r="D142" s="46" t="s">
        <v>1006</v>
      </c>
      <c r="E142" s="45" t="s">
        <v>254</v>
      </c>
      <c r="F142" s="37">
        <v>180000</v>
      </c>
      <c r="G142" s="37">
        <v>153860</v>
      </c>
      <c r="H142" s="37">
        <v>230000</v>
      </c>
    </row>
    <row r="143" spans="2:8">
      <c r="B143" s="46" t="s">
        <v>890</v>
      </c>
      <c r="C143" s="46" t="s">
        <v>1045</v>
      </c>
      <c r="D143" s="46" t="s">
        <v>1006</v>
      </c>
      <c r="E143" s="45" t="s">
        <v>255</v>
      </c>
      <c r="F143" s="37">
        <v>80000</v>
      </c>
      <c r="G143" s="37">
        <v>56416.84</v>
      </c>
      <c r="H143" s="37">
        <v>80000</v>
      </c>
    </row>
    <row r="144" spans="2:8">
      <c r="B144" s="46" t="s">
        <v>798</v>
      </c>
      <c r="C144" s="46" t="s">
        <v>1045</v>
      </c>
      <c r="D144" s="46" t="s">
        <v>1006</v>
      </c>
      <c r="E144" s="45" t="s">
        <v>256</v>
      </c>
      <c r="F144" s="37">
        <v>0</v>
      </c>
      <c r="G144" s="37">
        <v>0</v>
      </c>
      <c r="H144" s="37">
        <v>0</v>
      </c>
    </row>
    <row r="145" spans="2:8">
      <c r="B145" s="46" t="s">
        <v>946</v>
      </c>
      <c r="C145" s="46" t="s">
        <v>1022</v>
      </c>
      <c r="D145" s="46" t="s">
        <v>1006</v>
      </c>
      <c r="E145" s="45" t="s">
        <v>258</v>
      </c>
      <c r="F145" s="37">
        <v>0</v>
      </c>
      <c r="G145" s="37">
        <v>0</v>
      </c>
      <c r="H145" s="37">
        <v>0</v>
      </c>
    </row>
    <row r="146" spans="2:8">
      <c r="B146" s="46" t="s">
        <v>890</v>
      </c>
      <c r="C146" s="46" t="s">
        <v>1046</v>
      </c>
      <c r="D146" s="46" t="s">
        <v>1006</v>
      </c>
      <c r="E146" s="45" t="s">
        <v>259</v>
      </c>
      <c r="F146" s="37">
        <v>0</v>
      </c>
      <c r="G146" s="37">
        <v>0</v>
      </c>
      <c r="H146" s="37">
        <v>0</v>
      </c>
    </row>
    <row r="147" spans="2:8">
      <c r="B147" s="46" t="s">
        <v>890</v>
      </c>
      <c r="C147" s="46" t="s">
        <v>1023</v>
      </c>
      <c r="D147" s="46" t="s">
        <v>1006</v>
      </c>
      <c r="E147" s="45" t="s">
        <v>260</v>
      </c>
      <c r="F147" s="37">
        <v>0</v>
      </c>
      <c r="G147" s="37">
        <v>0</v>
      </c>
      <c r="H147" s="37">
        <v>0</v>
      </c>
    </row>
    <row r="148" spans="2:8">
      <c r="B148" s="46" t="s">
        <v>893</v>
      </c>
      <c r="C148" s="46" t="s">
        <v>1024</v>
      </c>
      <c r="D148" s="46" t="s">
        <v>1006</v>
      </c>
      <c r="E148" s="45" t="s">
        <v>262</v>
      </c>
      <c r="F148" s="37">
        <v>0</v>
      </c>
      <c r="G148" s="37">
        <v>0</v>
      </c>
      <c r="H148" s="37">
        <v>0</v>
      </c>
    </row>
    <row r="149" spans="2:8">
      <c r="B149" s="46" t="s">
        <v>939</v>
      </c>
      <c r="C149" s="46" t="s">
        <v>1024</v>
      </c>
      <c r="D149" s="46" t="s">
        <v>1006</v>
      </c>
      <c r="E149" s="45" t="s">
        <v>263</v>
      </c>
      <c r="F149" s="37">
        <v>0</v>
      </c>
      <c r="G149" s="37">
        <v>0</v>
      </c>
      <c r="H149" s="37">
        <v>0</v>
      </c>
    </row>
    <row r="150" spans="2:8">
      <c r="B150" s="46" t="s">
        <v>890</v>
      </c>
      <c r="C150" s="46" t="s">
        <v>1024</v>
      </c>
      <c r="D150" s="46" t="s">
        <v>1006</v>
      </c>
      <c r="E150" s="45" t="s">
        <v>264</v>
      </c>
      <c r="F150" s="37">
        <v>0</v>
      </c>
      <c r="G150" s="37">
        <v>0</v>
      </c>
      <c r="H150" s="37">
        <v>0</v>
      </c>
    </row>
    <row r="151" spans="2:8">
      <c r="B151" s="46" t="s">
        <v>895</v>
      </c>
      <c r="C151" s="46" t="s">
        <v>1025</v>
      </c>
      <c r="D151" s="46" t="s">
        <v>1006</v>
      </c>
      <c r="E151" s="45" t="s">
        <v>266</v>
      </c>
      <c r="F151" s="37">
        <v>0</v>
      </c>
      <c r="G151" s="37">
        <v>0</v>
      </c>
      <c r="H151" s="37">
        <v>2000</v>
      </c>
    </row>
    <row r="152" spans="2:8">
      <c r="B152" s="46" t="s">
        <v>890</v>
      </c>
      <c r="C152" s="46" t="s">
        <v>1025</v>
      </c>
      <c r="D152" s="46" t="s">
        <v>1006</v>
      </c>
      <c r="E152" s="45" t="s">
        <v>267</v>
      </c>
      <c r="F152" s="37">
        <v>0</v>
      </c>
      <c r="G152" s="37">
        <v>0</v>
      </c>
      <c r="H152" s="37">
        <v>5000</v>
      </c>
    </row>
    <row r="153" spans="2:8">
      <c r="B153" s="46" t="s">
        <v>733</v>
      </c>
      <c r="C153" s="46" t="s">
        <v>1026</v>
      </c>
      <c r="D153" s="46" t="s">
        <v>1006</v>
      </c>
      <c r="E153" s="45" t="s">
        <v>269</v>
      </c>
      <c r="F153" s="37">
        <v>1650000</v>
      </c>
      <c r="G153" s="37">
        <v>1828764.83</v>
      </c>
      <c r="H153" s="37">
        <v>2000000</v>
      </c>
    </row>
    <row r="154" spans="2:8">
      <c r="B154" s="46" t="s">
        <v>733</v>
      </c>
      <c r="C154" s="46" t="s">
        <v>1028</v>
      </c>
      <c r="D154" s="46" t="s">
        <v>1006</v>
      </c>
      <c r="E154" s="45" t="s">
        <v>271</v>
      </c>
      <c r="F154" s="37">
        <v>0</v>
      </c>
      <c r="G154" s="37">
        <v>0</v>
      </c>
      <c r="H154" s="37">
        <v>0</v>
      </c>
    </row>
    <row r="155" spans="2:8">
      <c r="B155" s="46" t="s">
        <v>890</v>
      </c>
      <c r="C155" s="46" t="s">
        <v>1028</v>
      </c>
      <c r="D155" s="46" t="s">
        <v>1006</v>
      </c>
      <c r="E155" s="45" t="s">
        <v>272</v>
      </c>
      <c r="F155" s="37">
        <v>40000</v>
      </c>
      <c r="G155" s="37">
        <v>0</v>
      </c>
      <c r="H155" s="37">
        <v>40000</v>
      </c>
    </row>
    <row r="156" spans="2:8">
      <c r="B156" s="46" t="s">
        <v>735</v>
      </c>
      <c r="C156" s="46" t="s">
        <v>1028</v>
      </c>
      <c r="D156" s="46" t="s">
        <v>1006</v>
      </c>
      <c r="E156" s="45" t="s">
        <v>273</v>
      </c>
      <c r="F156" s="37">
        <v>440000</v>
      </c>
      <c r="G156" s="37">
        <v>1108175.3500000001</v>
      </c>
      <c r="H156" s="37">
        <v>1330000</v>
      </c>
    </row>
    <row r="158" spans="2:8" ht="15" thickBot="1">
      <c r="B158" s="40" t="s">
        <v>1047</v>
      </c>
      <c r="C158" s="43"/>
      <c r="D158" s="43"/>
      <c r="E158" s="43"/>
      <c r="F158" s="42">
        <f>SUM(F5:F157)</f>
        <v>9116000</v>
      </c>
      <c r="G158" s="42">
        <f>SUM(G5:G157)</f>
        <v>11049215.460000001</v>
      </c>
      <c r="H158" s="42">
        <f>SUM(H5:H157)</f>
        <v>11013000</v>
      </c>
    </row>
  </sheetData>
  <pageMargins left="0.7" right="0.7" top="0.75" bottom="0.75" header="0.3" footer="0.3"/>
  <pageSetup paperSize="9" scale="98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2:H13"/>
  <sheetViews>
    <sheetView rightToLeft="1" workbookViewId="0">
      <selection activeCell="M30" sqref="M30"/>
    </sheetView>
  </sheetViews>
  <sheetFormatPr defaultRowHeight="14.25"/>
  <cols>
    <col min="1" max="1" width="3.375" customWidth="1"/>
    <col min="2" max="2" width="4.625" bestFit="1" customWidth="1"/>
    <col min="3" max="3" width="6.875" bestFit="1" customWidth="1"/>
    <col min="4" max="4" width="6.375" customWidth="1"/>
    <col min="5" max="5" width="17.875" bestFit="1" customWidth="1"/>
    <col min="6" max="8" width="11.125" bestFit="1" customWidth="1"/>
  </cols>
  <sheetData>
    <row r="2" spans="2:8" ht="15">
      <c r="B2" s="1" t="s">
        <v>627</v>
      </c>
    </row>
    <row r="4" spans="2:8" ht="30">
      <c r="B4" s="41" t="s">
        <v>596</v>
      </c>
      <c r="C4" s="41" t="s">
        <v>597</v>
      </c>
      <c r="D4" s="41" t="s">
        <v>598</v>
      </c>
      <c r="E4" s="41" t="s">
        <v>1</v>
      </c>
      <c r="F4" s="41" t="s">
        <v>418</v>
      </c>
      <c r="G4" s="41" t="s">
        <v>419</v>
      </c>
      <c r="H4" s="41" t="s">
        <v>416</v>
      </c>
    </row>
    <row r="5" spans="2:8">
      <c r="B5" s="46" t="s">
        <v>989</v>
      </c>
      <c r="C5" s="46" t="s">
        <v>1048</v>
      </c>
      <c r="D5" s="46" t="s">
        <v>1049</v>
      </c>
      <c r="E5" s="45" t="s">
        <v>309</v>
      </c>
      <c r="F5" s="37">
        <v>1532000</v>
      </c>
      <c r="G5" s="37">
        <v>1475098.19</v>
      </c>
      <c r="H5" s="37">
        <v>1600000</v>
      </c>
    </row>
    <row r="6" spans="2:8">
      <c r="B6" s="46" t="s">
        <v>991</v>
      </c>
      <c r="C6" s="46" t="s">
        <v>1048</v>
      </c>
      <c r="D6" s="46" t="s">
        <v>1049</v>
      </c>
      <c r="E6" s="45" t="s">
        <v>25</v>
      </c>
      <c r="F6" s="37">
        <v>0</v>
      </c>
      <c r="G6" s="37">
        <v>8719.6</v>
      </c>
      <c r="H6" s="37">
        <v>0</v>
      </c>
    </row>
    <row r="7" spans="2:8">
      <c r="B7" s="46" t="s">
        <v>989</v>
      </c>
      <c r="C7" s="46" t="s">
        <v>1050</v>
      </c>
      <c r="D7" s="46" t="s">
        <v>1049</v>
      </c>
      <c r="E7" s="45" t="s">
        <v>326</v>
      </c>
      <c r="F7" s="37">
        <v>70000</v>
      </c>
      <c r="G7" s="37">
        <v>108473.09</v>
      </c>
      <c r="H7" s="37">
        <v>0</v>
      </c>
    </row>
    <row r="8" spans="2:8">
      <c r="B8" s="46" t="s">
        <v>989</v>
      </c>
      <c r="C8" s="46" t="s">
        <v>1051</v>
      </c>
      <c r="D8" s="46" t="s">
        <v>1049</v>
      </c>
      <c r="E8" s="45" t="s">
        <v>341</v>
      </c>
      <c r="F8" s="37">
        <v>57000</v>
      </c>
      <c r="G8" s="37">
        <v>66509.759999999995</v>
      </c>
      <c r="H8" s="37">
        <v>70000</v>
      </c>
    </row>
    <row r="9" spans="2:8">
      <c r="B9" s="46" t="s">
        <v>991</v>
      </c>
      <c r="C9" s="46" t="s">
        <v>1051</v>
      </c>
      <c r="D9" s="46" t="s">
        <v>1049</v>
      </c>
      <c r="E9" s="45" t="s">
        <v>25</v>
      </c>
      <c r="F9" s="37">
        <v>0</v>
      </c>
      <c r="G9" s="37">
        <v>0</v>
      </c>
      <c r="H9" s="37">
        <v>0</v>
      </c>
    </row>
    <row r="10" spans="2:8">
      <c r="B10" s="46" t="s">
        <v>989</v>
      </c>
      <c r="C10" s="46" t="s">
        <v>1052</v>
      </c>
      <c r="D10" s="46" t="s">
        <v>1049</v>
      </c>
      <c r="E10" s="45" t="s">
        <v>347</v>
      </c>
      <c r="F10" s="37">
        <v>0</v>
      </c>
      <c r="G10" s="37">
        <v>0</v>
      </c>
      <c r="H10" s="37">
        <v>0</v>
      </c>
    </row>
    <row r="11" spans="2:8">
      <c r="B11" s="46" t="s">
        <v>989</v>
      </c>
      <c r="C11" s="46" t="s">
        <v>1053</v>
      </c>
      <c r="D11" s="46" t="s">
        <v>1049</v>
      </c>
      <c r="E11" s="45" t="s">
        <v>355</v>
      </c>
      <c r="F11" s="37">
        <v>201000</v>
      </c>
      <c r="G11" s="37">
        <v>185371.14</v>
      </c>
      <c r="H11" s="37">
        <v>0</v>
      </c>
    </row>
    <row r="13" spans="2:8" ht="15" thickBot="1">
      <c r="B13" s="40" t="s">
        <v>627</v>
      </c>
      <c r="C13" s="43"/>
      <c r="D13" s="43"/>
      <c r="E13" s="43"/>
      <c r="F13" s="42">
        <f>SUM(F5:F12)</f>
        <v>1860000</v>
      </c>
      <c r="G13" s="42">
        <f>SUM(G5:G12)</f>
        <v>1844171.7800000003</v>
      </c>
      <c r="H13" s="42">
        <f>SUM(H5:H12)</f>
        <v>1670000</v>
      </c>
    </row>
  </sheetData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2:H90"/>
  <sheetViews>
    <sheetView rightToLeft="1" topLeftCell="A76" workbookViewId="0">
      <selection activeCell="M30" sqref="M30"/>
    </sheetView>
  </sheetViews>
  <sheetFormatPr defaultRowHeight="14.25"/>
  <cols>
    <col min="1" max="1" width="3.625" customWidth="1"/>
    <col min="2" max="2" width="4.625" bestFit="1" customWidth="1"/>
    <col min="3" max="3" width="6.875" bestFit="1" customWidth="1"/>
    <col min="4" max="4" width="5.625" customWidth="1"/>
    <col min="5" max="5" width="22.25" bestFit="1" customWidth="1"/>
    <col min="6" max="8" width="10.875" bestFit="1" customWidth="1"/>
  </cols>
  <sheetData>
    <row r="2" spans="2:8" ht="15">
      <c r="B2" s="1" t="s">
        <v>628</v>
      </c>
    </row>
    <row r="4" spans="2:8" ht="30">
      <c r="B4" s="41" t="s">
        <v>596</v>
      </c>
      <c r="C4" s="41" t="s">
        <v>597</v>
      </c>
      <c r="D4" s="41" t="s">
        <v>598</v>
      </c>
      <c r="E4" s="41" t="s">
        <v>1</v>
      </c>
      <c r="F4" s="41" t="s">
        <v>418</v>
      </c>
      <c r="G4" s="41" t="s">
        <v>419</v>
      </c>
      <c r="H4" s="41" t="s">
        <v>416</v>
      </c>
    </row>
    <row r="5" spans="2:8">
      <c r="B5" s="46" t="s">
        <v>732</v>
      </c>
      <c r="C5" s="46" t="s">
        <v>1054</v>
      </c>
      <c r="D5" s="46" t="s">
        <v>1049</v>
      </c>
      <c r="E5" s="45" t="s">
        <v>307</v>
      </c>
      <c r="F5" s="37">
        <v>12000</v>
      </c>
      <c r="G5" s="37">
        <v>2145</v>
      </c>
      <c r="H5" s="37">
        <v>5000</v>
      </c>
    </row>
    <row r="6" spans="2:8">
      <c r="B6" s="46" t="s">
        <v>893</v>
      </c>
      <c r="C6" s="46" t="s">
        <v>1054</v>
      </c>
      <c r="D6" s="46" t="s">
        <v>1049</v>
      </c>
      <c r="E6" s="45" t="s">
        <v>308</v>
      </c>
      <c r="F6" s="37">
        <v>0</v>
      </c>
      <c r="G6" s="37">
        <v>0</v>
      </c>
      <c r="H6" s="37">
        <v>0</v>
      </c>
    </row>
    <row r="7" spans="2:8">
      <c r="B7" s="46" t="s">
        <v>880</v>
      </c>
      <c r="C7" s="46" t="s">
        <v>1054</v>
      </c>
      <c r="D7" s="46" t="s">
        <v>1049</v>
      </c>
      <c r="E7" s="45" t="s">
        <v>28</v>
      </c>
      <c r="F7" s="37">
        <v>10000</v>
      </c>
      <c r="G7" s="37">
        <v>1540</v>
      </c>
      <c r="H7" s="37">
        <v>2000</v>
      </c>
    </row>
    <row r="8" spans="2:8">
      <c r="B8" s="46" t="s">
        <v>890</v>
      </c>
      <c r="C8" s="46" t="s">
        <v>1054</v>
      </c>
      <c r="D8" s="46" t="s">
        <v>1049</v>
      </c>
      <c r="E8" s="45" t="s">
        <v>18</v>
      </c>
      <c r="F8" s="37">
        <v>11000</v>
      </c>
      <c r="G8" s="37">
        <v>8244.31</v>
      </c>
      <c r="H8" s="37">
        <v>8000</v>
      </c>
    </row>
    <row r="9" spans="2:8">
      <c r="B9" s="46" t="s">
        <v>970</v>
      </c>
      <c r="C9" s="46" t="s">
        <v>1055</v>
      </c>
      <c r="D9" s="46" t="s">
        <v>1049</v>
      </c>
      <c r="E9" s="45" t="s">
        <v>310</v>
      </c>
      <c r="F9" s="37">
        <v>35000</v>
      </c>
      <c r="G9" s="37">
        <v>0</v>
      </c>
      <c r="H9" s="37">
        <v>0</v>
      </c>
    </row>
    <row r="10" spans="2:8">
      <c r="B10" s="46" t="s">
        <v>739</v>
      </c>
      <c r="C10" s="46" t="s">
        <v>1056</v>
      </c>
      <c r="D10" s="46" t="s">
        <v>1049</v>
      </c>
      <c r="E10" s="45" t="s">
        <v>311</v>
      </c>
      <c r="F10" s="37">
        <v>108000</v>
      </c>
      <c r="G10" s="37">
        <v>108000</v>
      </c>
      <c r="H10" s="37">
        <v>108000</v>
      </c>
    </row>
    <row r="11" spans="2:8">
      <c r="B11" s="46" t="s">
        <v>732</v>
      </c>
      <c r="C11" s="46" t="s">
        <v>1056</v>
      </c>
      <c r="D11" s="46" t="s">
        <v>1049</v>
      </c>
      <c r="E11" s="45" t="s">
        <v>141</v>
      </c>
      <c r="F11" s="37">
        <v>0</v>
      </c>
      <c r="G11" s="37">
        <v>0</v>
      </c>
      <c r="H11" s="37">
        <v>0</v>
      </c>
    </row>
    <row r="12" spans="2:8">
      <c r="B12" s="46" t="s">
        <v>893</v>
      </c>
      <c r="C12" s="46" t="s">
        <v>1056</v>
      </c>
      <c r="D12" s="46" t="s">
        <v>1049</v>
      </c>
      <c r="E12" s="45" t="s">
        <v>26</v>
      </c>
      <c r="F12" s="37">
        <v>0</v>
      </c>
      <c r="G12" s="37">
        <v>0</v>
      </c>
      <c r="H12" s="37">
        <v>15000</v>
      </c>
    </row>
    <row r="13" spans="2:8">
      <c r="B13" s="46" t="s">
        <v>885</v>
      </c>
      <c r="C13" s="46" t="s">
        <v>1056</v>
      </c>
      <c r="D13" s="46" t="s">
        <v>1049</v>
      </c>
      <c r="E13" s="45" t="s">
        <v>104</v>
      </c>
      <c r="F13" s="37">
        <v>6000</v>
      </c>
      <c r="G13" s="37">
        <v>4737.8999999999996</v>
      </c>
      <c r="H13" s="37">
        <v>5000</v>
      </c>
    </row>
    <row r="14" spans="2:8">
      <c r="B14" s="46" t="s">
        <v>886</v>
      </c>
      <c r="C14" s="46" t="s">
        <v>1056</v>
      </c>
      <c r="D14" s="46" t="s">
        <v>1049</v>
      </c>
      <c r="E14" s="45" t="s">
        <v>312</v>
      </c>
      <c r="F14" s="37">
        <v>0</v>
      </c>
      <c r="G14" s="37">
        <v>16044.2</v>
      </c>
      <c r="H14" s="37">
        <v>15000</v>
      </c>
    </row>
    <row r="15" spans="2:8">
      <c r="B15" s="46" t="s">
        <v>907</v>
      </c>
      <c r="C15" s="46" t="s">
        <v>1056</v>
      </c>
      <c r="D15" s="46" t="s">
        <v>1049</v>
      </c>
      <c r="E15" s="45" t="s">
        <v>313</v>
      </c>
      <c r="F15" s="37">
        <v>0</v>
      </c>
      <c r="G15" s="37">
        <v>4485.57</v>
      </c>
      <c r="H15" s="37">
        <v>5000</v>
      </c>
    </row>
    <row r="16" spans="2:8">
      <c r="B16" s="46" t="s">
        <v>895</v>
      </c>
      <c r="C16" s="46" t="s">
        <v>1056</v>
      </c>
      <c r="D16" s="46" t="s">
        <v>1049</v>
      </c>
      <c r="E16" s="45" t="s">
        <v>32</v>
      </c>
      <c r="F16" s="37">
        <v>0</v>
      </c>
      <c r="G16" s="37">
        <v>0</v>
      </c>
      <c r="H16" s="37">
        <v>0</v>
      </c>
    </row>
    <row r="17" spans="2:8">
      <c r="B17" s="46" t="s">
        <v>887</v>
      </c>
      <c r="C17" s="46" t="s">
        <v>1056</v>
      </c>
      <c r="D17" s="46" t="s">
        <v>1049</v>
      </c>
      <c r="E17" s="45" t="s">
        <v>62</v>
      </c>
      <c r="F17" s="37">
        <v>0</v>
      </c>
      <c r="G17" s="37">
        <v>0</v>
      </c>
      <c r="H17" s="37">
        <v>0</v>
      </c>
    </row>
    <row r="18" spans="2:8">
      <c r="B18" s="46" t="s">
        <v>890</v>
      </c>
      <c r="C18" s="46" t="s">
        <v>1056</v>
      </c>
      <c r="D18" s="46" t="s">
        <v>1049</v>
      </c>
      <c r="E18" s="45" t="s">
        <v>18</v>
      </c>
      <c r="F18" s="37">
        <v>0</v>
      </c>
      <c r="G18" s="37">
        <v>600</v>
      </c>
      <c r="H18" s="37">
        <v>0</v>
      </c>
    </row>
    <row r="19" spans="2:8">
      <c r="B19" s="46" t="s">
        <v>798</v>
      </c>
      <c r="C19" s="46" t="s">
        <v>1056</v>
      </c>
      <c r="D19" s="46" t="s">
        <v>1049</v>
      </c>
      <c r="E19" s="45" t="s">
        <v>314</v>
      </c>
      <c r="F19" s="37">
        <v>0</v>
      </c>
      <c r="G19" s="37">
        <v>9600</v>
      </c>
      <c r="H19" s="37">
        <v>5000</v>
      </c>
    </row>
    <row r="20" spans="2:8">
      <c r="B20" s="46" t="s">
        <v>970</v>
      </c>
      <c r="C20" s="46" t="s">
        <v>1057</v>
      </c>
      <c r="D20" s="46" t="s">
        <v>1049</v>
      </c>
      <c r="E20" s="45" t="s">
        <v>315</v>
      </c>
      <c r="F20" s="37">
        <v>77000</v>
      </c>
      <c r="G20" s="37">
        <v>268088</v>
      </c>
      <c r="H20" s="37">
        <v>270000</v>
      </c>
    </row>
    <row r="21" spans="2:8">
      <c r="B21" s="46" t="s">
        <v>890</v>
      </c>
      <c r="C21" s="46" t="s">
        <v>1058</v>
      </c>
      <c r="D21" s="46" t="s">
        <v>1049</v>
      </c>
      <c r="E21" s="45" t="s">
        <v>316</v>
      </c>
      <c r="F21" s="37">
        <v>0</v>
      </c>
      <c r="G21" s="37">
        <v>0</v>
      </c>
      <c r="H21" s="37">
        <v>0</v>
      </c>
    </row>
    <row r="22" spans="2:8">
      <c r="B22" s="46" t="s">
        <v>970</v>
      </c>
      <c r="C22" s="46" t="s">
        <v>1058</v>
      </c>
      <c r="D22" s="46" t="s">
        <v>1049</v>
      </c>
      <c r="E22" s="45" t="s">
        <v>317</v>
      </c>
      <c r="F22" s="37">
        <v>0</v>
      </c>
      <c r="G22" s="37">
        <v>0</v>
      </c>
      <c r="H22" s="37">
        <v>0</v>
      </c>
    </row>
    <row r="23" spans="2:8">
      <c r="B23" s="46" t="s">
        <v>733</v>
      </c>
      <c r="C23" s="46" t="s">
        <v>1059</v>
      </c>
      <c r="D23" s="46" t="s">
        <v>1049</v>
      </c>
      <c r="E23" s="45" t="s">
        <v>318</v>
      </c>
      <c r="F23" s="37">
        <v>0</v>
      </c>
      <c r="G23" s="37">
        <v>0</v>
      </c>
      <c r="H23" s="37">
        <v>0</v>
      </c>
    </row>
    <row r="24" spans="2:8">
      <c r="B24" s="46" t="s">
        <v>970</v>
      </c>
      <c r="C24" s="46" t="s">
        <v>1059</v>
      </c>
      <c r="D24" s="46" t="s">
        <v>1049</v>
      </c>
      <c r="E24" s="45" t="s">
        <v>319</v>
      </c>
      <c r="F24" s="37">
        <v>8000</v>
      </c>
      <c r="G24" s="37">
        <v>0</v>
      </c>
      <c r="H24" s="37">
        <v>8000</v>
      </c>
    </row>
    <row r="25" spans="2:8">
      <c r="B25" s="46" t="s">
        <v>733</v>
      </c>
      <c r="C25" s="46" t="s">
        <v>1060</v>
      </c>
      <c r="D25" s="46" t="s">
        <v>1049</v>
      </c>
      <c r="E25" s="45" t="s">
        <v>320</v>
      </c>
      <c r="F25" s="37">
        <v>0</v>
      </c>
      <c r="G25" s="37">
        <v>0</v>
      </c>
      <c r="H25" s="37">
        <v>0</v>
      </c>
    </row>
    <row r="26" spans="2:8">
      <c r="B26" s="46" t="s">
        <v>890</v>
      </c>
      <c r="C26" s="46" t="s">
        <v>1060</v>
      </c>
      <c r="D26" s="46" t="s">
        <v>1049</v>
      </c>
      <c r="E26" s="45" t="s">
        <v>321</v>
      </c>
      <c r="F26" s="37">
        <v>0</v>
      </c>
      <c r="G26" s="37">
        <v>0</v>
      </c>
      <c r="H26" s="37">
        <v>0</v>
      </c>
    </row>
    <row r="27" spans="2:8">
      <c r="B27" s="46" t="s">
        <v>970</v>
      </c>
      <c r="C27" s="46" t="s">
        <v>1060</v>
      </c>
      <c r="D27" s="46" t="s">
        <v>1049</v>
      </c>
      <c r="E27" s="45" t="s">
        <v>322</v>
      </c>
      <c r="F27" s="37">
        <v>0</v>
      </c>
      <c r="G27" s="37">
        <v>0</v>
      </c>
      <c r="H27" s="37">
        <v>0</v>
      </c>
    </row>
    <row r="28" spans="2:8">
      <c r="B28" s="46" t="s">
        <v>970</v>
      </c>
      <c r="C28" s="46" t="s">
        <v>1061</v>
      </c>
      <c r="D28" s="46" t="s">
        <v>1049</v>
      </c>
      <c r="E28" s="45" t="s">
        <v>323</v>
      </c>
      <c r="F28" s="37">
        <v>79000</v>
      </c>
      <c r="G28" s="37">
        <v>22950</v>
      </c>
      <c r="H28" s="37">
        <v>25000</v>
      </c>
    </row>
    <row r="29" spans="2:8">
      <c r="B29" s="46" t="s">
        <v>970</v>
      </c>
      <c r="C29" s="46" t="s">
        <v>1062</v>
      </c>
      <c r="D29" s="46" t="s">
        <v>1049</v>
      </c>
      <c r="E29" s="45" t="s">
        <v>324</v>
      </c>
      <c r="F29" s="37">
        <v>0</v>
      </c>
      <c r="G29" s="37">
        <v>0</v>
      </c>
      <c r="H29" s="37">
        <v>0</v>
      </c>
    </row>
    <row r="30" spans="2:8">
      <c r="B30" s="46" t="s">
        <v>970</v>
      </c>
      <c r="C30" s="46" t="s">
        <v>1063</v>
      </c>
      <c r="D30" s="46" t="s">
        <v>1049</v>
      </c>
      <c r="E30" s="45" t="s">
        <v>325</v>
      </c>
      <c r="F30" s="37">
        <v>0</v>
      </c>
      <c r="G30" s="37">
        <v>0</v>
      </c>
      <c r="H30" s="37">
        <v>0</v>
      </c>
    </row>
    <row r="31" spans="2:8">
      <c r="B31" s="46" t="s">
        <v>970</v>
      </c>
      <c r="C31" s="46" t="s">
        <v>1050</v>
      </c>
      <c r="D31" s="46" t="s">
        <v>1049</v>
      </c>
      <c r="E31" s="45" t="s">
        <v>327</v>
      </c>
      <c r="F31" s="37">
        <v>0</v>
      </c>
      <c r="G31" s="37">
        <v>0</v>
      </c>
      <c r="H31" s="37">
        <v>0</v>
      </c>
    </row>
    <row r="32" spans="2:8">
      <c r="B32" s="46" t="s">
        <v>970</v>
      </c>
      <c r="C32" s="46" t="s">
        <v>1064</v>
      </c>
      <c r="D32" s="46" t="s">
        <v>1049</v>
      </c>
      <c r="E32" s="45" t="s">
        <v>328</v>
      </c>
      <c r="F32" s="37">
        <v>0</v>
      </c>
      <c r="G32" s="37">
        <v>213280</v>
      </c>
      <c r="H32" s="37">
        <v>215000</v>
      </c>
    </row>
    <row r="33" spans="2:8">
      <c r="B33" s="46" t="s">
        <v>887</v>
      </c>
      <c r="C33" s="46" t="s">
        <v>1065</v>
      </c>
      <c r="D33" s="46" t="s">
        <v>1049</v>
      </c>
      <c r="E33" s="45" t="s">
        <v>34</v>
      </c>
      <c r="F33" s="37">
        <v>0</v>
      </c>
      <c r="G33" s="37">
        <v>1500</v>
      </c>
      <c r="H33" s="37">
        <v>2000</v>
      </c>
    </row>
    <row r="34" spans="2:8">
      <c r="B34" s="46" t="s">
        <v>970</v>
      </c>
      <c r="C34" s="46" t="s">
        <v>1065</v>
      </c>
      <c r="D34" s="46" t="s">
        <v>1049</v>
      </c>
      <c r="E34" s="45" t="s">
        <v>329</v>
      </c>
      <c r="F34" s="37">
        <v>889000</v>
      </c>
      <c r="G34" s="37">
        <v>1037704</v>
      </c>
      <c r="H34" s="37">
        <v>1040000</v>
      </c>
    </row>
    <row r="35" spans="2:8">
      <c r="B35" s="46" t="s">
        <v>895</v>
      </c>
      <c r="C35" s="46" t="s">
        <v>1066</v>
      </c>
      <c r="D35" s="46" t="s">
        <v>1049</v>
      </c>
      <c r="E35" s="45" t="s">
        <v>330</v>
      </c>
      <c r="F35" s="37">
        <v>0</v>
      </c>
      <c r="G35" s="37">
        <v>1182</v>
      </c>
      <c r="H35" s="37">
        <v>2000</v>
      </c>
    </row>
    <row r="36" spans="2:8">
      <c r="B36" s="46" t="s">
        <v>1038</v>
      </c>
      <c r="C36" s="46" t="s">
        <v>1066</v>
      </c>
      <c r="D36" s="46" t="s">
        <v>1049</v>
      </c>
      <c r="E36" s="45" t="s">
        <v>331</v>
      </c>
      <c r="F36" s="37">
        <v>211000</v>
      </c>
      <c r="G36" s="37">
        <v>2304</v>
      </c>
      <c r="H36" s="37">
        <v>3000</v>
      </c>
    </row>
    <row r="37" spans="2:8">
      <c r="B37" s="46" t="s">
        <v>887</v>
      </c>
      <c r="C37" s="46" t="s">
        <v>1066</v>
      </c>
      <c r="D37" s="46" t="s">
        <v>1049</v>
      </c>
      <c r="E37" s="45" t="s">
        <v>332</v>
      </c>
      <c r="F37" s="37">
        <v>0</v>
      </c>
      <c r="G37" s="37">
        <v>0</v>
      </c>
      <c r="H37" s="37">
        <v>0</v>
      </c>
    </row>
    <row r="38" spans="2:8">
      <c r="B38" s="46" t="s">
        <v>890</v>
      </c>
      <c r="C38" s="46" t="s">
        <v>1066</v>
      </c>
      <c r="D38" s="46" t="s">
        <v>1049</v>
      </c>
      <c r="E38" s="45" t="s">
        <v>333</v>
      </c>
      <c r="F38" s="37">
        <v>0</v>
      </c>
      <c r="G38" s="37">
        <v>5000</v>
      </c>
      <c r="H38" s="37">
        <v>5000</v>
      </c>
    </row>
    <row r="39" spans="2:8">
      <c r="B39" s="46" t="s">
        <v>970</v>
      </c>
      <c r="C39" s="46" t="s">
        <v>1067</v>
      </c>
      <c r="D39" s="46" t="s">
        <v>1049</v>
      </c>
      <c r="E39" s="45" t="s">
        <v>335</v>
      </c>
      <c r="F39" s="37">
        <v>2448000</v>
      </c>
      <c r="G39" s="37">
        <v>2392874</v>
      </c>
      <c r="H39" s="37">
        <v>2400000</v>
      </c>
    </row>
    <row r="40" spans="2:8">
      <c r="B40" s="46" t="s">
        <v>878</v>
      </c>
      <c r="C40" s="46" t="s">
        <v>1068</v>
      </c>
      <c r="D40" s="46" t="s">
        <v>1049</v>
      </c>
      <c r="E40" s="45" t="s">
        <v>336</v>
      </c>
      <c r="F40" s="37">
        <v>0</v>
      </c>
      <c r="G40" s="37">
        <v>0</v>
      </c>
      <c r="H40" s="37">
        <v>0</v>
      </c>
    </row>
    <row r="41" spans="2:8">
      <c r="B41" s="46" t="s">
        <v>887</v>
      </c>
      <c r="C41" s="46" t="s">
        <v>1068</v>
      </c>
      <c r="D41" s="46" t="s">
        <v>1049</v>
      </c>
      <c r="E41" s="45" t="s">
        <v>337</v>
      </c>
      <c r="F41" s="37">
        <v>0</v>
      </c>
      <c r="G41" s="37">
        <v>0</v>
      </c>
      <c r="H41" s="37">
        <v>0</v>
      </c>
    </row>
    <row r="42" spans="2:8">
      <c r="B42" s="46" t="s">
        <v>970</v>
      </c>
      <c r="C42" s="46" t="s">
        <v>1068</v>
      </c>
      <c r="D42" s="46" t="s">
        <v>1049</v>
      </c>
      <c r="E42" s="45" t="s">
        <v>338</v>
      </c>
      <c r="F42" s="37">
        <v>771000</v>
      </c>
      <c r="G42" s="37">
        <v>1372955</v>
      </c>
      <c r="H42" s="37">
        <v>1375000</v>
      </c>
    </row>
    <row r="43" spans="2:8">
      <c r="B43" s="46" t="s">
        <v>798</v>
      </c>
      <c r="C43" s="46" t="s">
        <v>1068</v>
      </c>
      <c r="D43" s="46" t="s">
        <v>1049</v>
      </c>
      <c r="E43" s="45" t="s">
        <v>339</v>
      </c>
      <c r="F43" s="37">
        <v>0</v>
      </c>
      <c r="G43" s="37">
        <v>0</v>
      </c>
      <c r="H43" s="37">
        <v>0</v>
      </c>
    </row>
    <row r="44" spans="2:8">
      <c r="B44" s="46" t="s">
        <v>970</v>
      </c>
      <c r="C44" s="46" t="s">
        <v>1069</v>
      </c>
      <c r="D44" s="46" t="s">
        <v>1049</v>
      </c>
      <c r="E44" s="45" t="s">
        <v>340</v>
      </c>
      <c r="F44" s="37">
        <v>134000</v>
      </c>
      <c r="G44" s="37">
        <v>0</v>
      </c>
      <c r="H44" s="37">
        <v>0</v>
      </c>
    </row>
    <row r="45" spans="2:8">
      <c r="B45" s="46" t="s">
        <v>893</v>
      </c>
      <c r="C45" s="46" t="s">
        <v>1051</v>
      </c>
      <c r="D45" s="46" t="s">
        <v>1049</v>
      </c>
      <c r="E45" s="45" t="s">
        <v>342</v>
      </c>
      <c r="F45" s="37">
        <v>0</v>
      </c>
      <c r="G45" s="37">
        <v>0</v>
      </c>
      <c r="H45" s="37">
        <v>0</v>
      </c>
    </row>
    <row r="46" spans="2:8">
      <c r="B46" s="46" t="s">
        <v>939</v>
      </c>
      <c r="C46" s="46" t="s">
        <v>1051</v>
      </c>
      <c r="D46" s="46" t="s">
        <v>1049</v>
      </c>
      <c r="E46" s="45" t="s">
        <v>343</v>
      </c>
      <c r="F46" s="37">
        <v>1000</v>
      </c>
      <c r="G46" s="37">
        <v>2286.1</v>
      </c>
      <c r="H46" s="37">
        <v>3000</v>
      </c>
    </row>
    <row r="47" spans="2:8">
      <c r="B47" s="46" t="s">
        <v>940</v>
      </c>
      <c r="C47" s="46" t="s">
        <v>1051</v>
      </c>
      <c r="D47" s="46" t="s">
        <v>1049</v>
      </c>
      <c r="E47" s="45" t="s">
        <v>344</v>
      </c>
      <c r="F47" s="37">
        <v>0</v>
      </c>
      <c r="G47" s="37">
        <v>0</v>
      </c>
      <c r="H47" s="37">
        <v>0</v>
      </c>
    </row>
    <row r="48" spans="2:8">
      <c r="B48" s="46" t="s">
        <v>885</v>
      </c>
      <c r="C48" s="46" t="s">
        <v>1051</v>
      </c>
      <c r="D48" s="46" t="s">
        <v>1049</v>
      </c>
      <c r="E48" s="45" t="s">
        <v>217</v>
      </c>
      <c r="F48" s="37">
        <v>1000</v>
      </c>
      <c r="G48" s="37">
        <v>718.41</v>
      </c>
      <c r="H48" s="37">
        <v>1000</v>
      </c>
    </row>
    <row r="49" spans="2:8">
      <c r="B49" s="46" t="s">
        <v>970</v>
      </c>
      <c r="C49" s="46" t="s">
        <v>1070</v>
      </c>
      <c r="D49" s="46" t="s">
        <v>1049</v>
      </c>
      <c r="E49" s="45" t="s">
        <v>345</v>
      </c>
      <c r="F49" s="37">
        <v>25000</v>
      </c>
      <c r="G49" s="37">
        <v>27051</v>
      </c>
      <c r="H49" s="37">
        <v>27000</v>
      </c>
    </row>
    <row r="50" spans="2:8">
      <c r="B50" s="46" t="s">
        <v>970</v>
      </c>
      <c r="C50" s="46" t="s">
        <v>1071</v>
      </c>
      <c r="D50" s="46" t="s">
        <v>1049</v>
      </c>
      <c r="E50" s="45" t="s">
        <v>346</v>
      </c>
      <c r="F50" s="37">
        <v>0</v>
      </c>
      <c r="G50" s="37">
        <v>0</v>
      </c>
      <c r="H50" s="37">
        <v>0</v>
      </c>
    </row>
    <row r="51" spans="2:8">
      <c r="B51" s="46" t="s">
        <v>970</v>
      </c>
      <c r="C51" s="46" t="s">
        <v>1052</v>
      </c>
      <c r="D51" s="46" t="s">
        <v>1049</v>
      </c>
      <c r="E51" s="45" t="s">
        <v>348</v>
      </c>
      <c r="F51" s="37">
        <v>0</v>
      </c>
      <c r="G51" s="37">
        <v>0</v>
      </c>
      <c r="H51" s="37">
        <v>0</v>
      </c>
    </row>
    <row r="52" spans="2:8">
      <c r="B52" s="46" t="s">
        <v>970</v>
      </c>
      <c r="C52" s="46" t="s">
        <v>1072</v>
      </c>
      <c r="D52" s="46" t="s">
        <v>1049</v>
      </c>
      <c r="E52" s="45" t="s">
        <v>349</v>
      </c>
      <c r="F52" s="37">
        <v>45000</v>
      </c>
      <c r="G52" s="37">
        <v>73393.03</v>
      </c>
      <c r="H52" s="37">
        <v>75000</v>
      </c>
    </row>
    <row r="53" spans="2:8">
      <c r="B53" s="46" t="s">
        <v>970</v>
      </c>
      <c r="C53" s="46" t="s">
        <v>1073</v>
      </c>
      <c r="D53" s="46" t="s">
        <v>1049</v>
      </c>
      <c r="E53" s="45" t="s">
        <v>350</v>
      </c>
      <c r="F53" s="37">
        <v>3057000</v>
      </c>
      <c r="G53" s="37">
        <v>4004791</v>
      </c>
      <c r="H53" s="37">
        <v>4005000</v>
      </c>
    </row>
    <row r="54" spans="2:8">
      <c r="B54" s="46" t="s">
        <v>970</v>
      </c>
      <c r="C54" s="46" t="s">
        <v>1074</v>
      </c>
      <c r="D54" s="46" t="s">
        <v>1049</v>
      </c>
      <c r="E54" s="45" t="s">
        <v>351</v>
      </c>
      <c r="F54" s="37">
        <v>0</v>
      </c>
      <c r="G54" s="37">
        <v>8766</v>
      </c>
      <c r="H54" s="37">
        <v>9000</v>
      </c>
    </row>
    <row r="55" spans="2:8">
      <c r="B55" s="46" t="s">
        <v>970</v>
      </c>
      <c r="C55" s="46" t="s">
        <v>1075</v>
      </c>
      <c r="D55" s="46" t="s">
        <v>1049</v>
      </c>
      <c r="E55" s="45" t="s">
        <v>352</v>
      </c>
      <c r="F55" s="37">
        <v>0</v>
      </c>
      <c r="G55" s="37">
        <v>8772</v>
      </c>
      <c r="H55" s="37">
        <v>9000</v>
      </c>
    </row>
    <row r="56" spans="2:8">
      <c r="B56" s="46" t="s">
        <v>970</v>
      </c>
      <c r="C56" s="46" t="s">
        <v>1076</v>
      </c>
      <c r="D56" s="46" t="s">
        <v>1049</v>
      </c>
      <c r="E56" s="45" t="s">
        <v>353</v>
      </c>
      <c r="F56" s="37">
        <v>0</v>
      </c>
      <c r="G56" s="37">
        <v>0</v>
      </c>
      <c r="H56" s="37">
        <v>0</v>
      </c>
    </row>
    <row r="57" spans="2:8">
      <c r="B57" s="46" t="s">
        <v>970</v>
      </c>
      <c r="C57" s="46" t="s">
        <v>1077</v>
      </c>
      <c r="D57" s="46" t="s">
        <v>1049</v>
      </c>
      <c r="E57" s="45" t="s">
        <v>357</v>
      </c>
      <c r="F57" s="37">
        <v>68000</v>
      </c>
      <c r="G57" s="37">
        <v>0</v>
      </c>
      <c r="H57" s="37">
        <v>68000</v>
      </c>
    </row>
    <row r="58" spans="2:8">
      <c r="B58" s="46" t="s">
        <v>970</v>
      </c>
      <c r="C58" s="46" t="s">
        <v>1078</v>
      </c>
      <c r="D58" s="46" t="s">
        <v>1049</v>
      </c>
      <c r="E58" s="45" t="s">
        <v>358</v>
      </c>
      <c r="F58" s="37">
        <v>656000</v>
      </c>
      <c r="G58" s="37">
        <v>212602.03</v>
      </c>
      <c r="H58" s="37">
        <v>215000</v>
      </c>
    </row>
    <row r="59" spans="2:8">
      <c r="B59" s="46" t="s">
        <v>970</v>
      </c>
      <c r="C59" s="46" t="s">
        <v>1079</v>
      </c>
      <c r="D59" s="46" t="s">
        <v>1049</v>
      </c>
      <c r="E59" s="45" t="s">
        <v>359</v>
      </c>
      <c r="F59" s="37">
        <v>73000</v>
      </c>
      <c r="G59" s="37">
        <v>147533.03</v>
      </c>
      <c r="H59" s="37">
        <v>150000</v>
      </c>
    </row>
    <row r="60" spans="2:8">
      <c r="B60" s="46" t="s">
        <v>970</v>
      </c>
      <c r="C60" s="46" t="s">
        <v>1080</v>
      </c>
      <c r="D60" s="46" t="s">
        <v>1049</v>
      </c>
      <c r="E60" s="45" t="s">
        <v>360</v>
      </c>
      <c r="F60" s="37">
        <v>0</v>
      </c>
      <c r="G60" s="37">
        <v>0</v>
      </c>
      <c r="H60" s="37">
        <v>0</v>
      </c>
    </row>
    <row r="61" spans="2:8">
      <c r="B61" s="46" t="s">
        <v>970</v>
      </c>
      <c r="C61" s="46" t="s">
        <v>1081</v>
      </c>
      <c r="D61" s="46" t="s">
        <v>1049</v>
      </c>
      <c r="E61" s="45" t="s">
        <v>361</v>
      </c>
      <c r="F61" s="37">
        <v>18000</v>
      </c>
      <c r="G61" s="37">
        <v>0</v>
      </c>
      <c r="H61" s="37">
        <v>18000</v>
      </c>
    </row>
    <row r="62" spans="2:8">
      <c r="B62" s="46" t="s">
        <v>970</v>
      </c>
      <c r="C62" s="46" t="s">
        <v>1082</v>
      </c>
      <c r="D62" s="46" t="s">
        <v>1049</v>
      </c>
      <c r="E62" s="45" t="s">
        <v>362</v>
      </c>
      <c r="F62" s="37">
        <v>0</v>
      </c>
      <c r="G62" s="37">
        <v>10234.02</v>
      </c>
      <c r="H62" s="37">
        <v>11000</v>
      </c>
    </row>
    <row r="63" spans="2:8">
      <c r="B63" s="46" t="s">
        <v>970</v>
      </c>
      <c r="C63" s="46" t="s">
        <v>1083</v>
      </c>
      <c r="D63" s="46" t="s">
        <v>1049</v>
      </c>
      <c r="E63" s="45" t="s">
        <v>363</v>
      </c>
      <c r="F63" s="37">
        <v>68000</v>
      </c>
      <c r="G63" s="37">
        <v>86201</v>
      </c>
      <c r="H63" s="37">
        <v>87000</v>
      </c>
    </row>
    <row r="64" spans="2:8">
      <c r="B64" s="46" t="s">
        <v>970</v>
      </c>
      <c r="C64" s="46" t="s">
        <v>1084</v>
      </c>
      <c r="D64" s="46" t="s">
        <v>1049</v>
      </c>
      <c r="E64" s="45" t="s">
        <v>364</v>
      </c>
      <c r="F64" s="37">
        <v>90000</v>
      </c>
      <c r="G64" s="37">
        <v>134953</v>
      </c>
      <c r="H64" s="37">
        <v>135000</v>
      </c>
    </row>
    <row r="65" spans="2:8">
      <c r="B65" s="46" t="s">
        <v>970</v>
      </c>
      <c r="C65" s="46" t="s">
        <v>1085</v>
      </c>
      <c r="D65" s="46" t="s">
        <v>1049</v>
      </c>
      <c r="E65" s="45" t="s">
        <v>365</v>
      </c>
      <c r="F65" s="37">
        <v>90000</v>
      </c>
      <c r="G65" s="37">
        <v>0</v>
      </c>
      <c r="H65" s="37">
        <v>0</v>
      </c>
    </row>
    <row r="66" spans="2:8">
      <c r="B66" s="46" t="s">
        <v>970</v>
      </c>
      <c r="C66" s="46" t="s">
        <v>1086</v>
      </c>
      <c r="D66" s="46" t="s">
        <v>1049</v>
      </c>
      <c r="E66" s="45" t="s">
        <v>366</v>
      </c>
      <c r="F66" s="37">
        <v>0</v>
      </c>
      <c r="G66" s="37">
        <v>0</v>
      </c>
      <c r="H66" s="37">
        <v>0</v>
      </c>
    </row>
    <row r="67" spans="2:8">
      <c r="B67" s="46" t="s">
        <v>970</v>
      </c>
      <c r="C67" s="46" t="s">
        <v>1087</v>
      </c>
      <c r="D67" s="46" t="s">
        <v>1049</v>
      </c>
      <c r="E67" s="45" t="s">
        <v>367</v>
      </c>
      <c r="F67" s="37">
        <v>10000</v>
      </c>
      <c r="G67" s="37">
        <v>7537.01</v>
      </c>
      <c r="H67" s="37">
        <v>10000</v>
      </c>
    </row>
    <row r="68" spans="2:8">
      <c r="B68" s="46" t="s">
        <v>970</v>
      </c>
      <c r="C68" s="46" t="s">
        <v>1088</v>
      </c>
      <c r="D68" s="46" t="s">
        <v>1049</v>
      </c>
      <c r="E68" s="45" t="s">
        <v>368</v>
      </c>
      <c r="F68" s="37">
        <v>0</v>
      </c>
      <c r="G68" s="37">
        <v>0</v>
      </c>
      <c r="H68" s="37">
        <v>0</v>
      </c>
    </row>
    <row r="69" spans="2:8">
      <c r="B69" s="46" t="s">
        <v>970</v>
      </c>
      <c r="C69" s="46" t="s">
        <v>1089</v>
      </c>
      <c r="D69" s="46" t="s">
        <v>1049</v>
      </c>
      <c r="E69" s="45" t="s">
        <v>364</v>
      </c>
      <c r="F69" s="37">
        <v>0</v>
      </c>
      <c r="G69" s="37">
        <v>0</v>
      </c>
      <c r="H69" s="37">
        <v>0</v>
      </c>
    </row>
    <row r="70" spans="2:8">
      <c r="B70" s="46" t="s">
        <v>970</v>
      </c>
      <c r="C70" s="46" t="s">
        <v>1090</v>
      </c>
      <c r="D70" s="46" t="s">
        <v>1049</v>
      </c>
      <c r="E70" s="45" t="s">
        <v>369</v>
      </c>
      <c r="F70" s="37">
        <v>0</v>
      </c>
      <c r="G70" s="37">
        <v>63891</v>
      </c>
      <c r="H70" s="37">
        <v>65000</v>
      </c>
    </row>
    <row r="71" spans="2:8">
      <c r="B71" s="46" t="s">
        <v>970</v>
      </c>
      <c r="C71" s="46" t="s">
        <v>1091</v>
      </c>
      <c r="D71" s="46" t="s">
        <v>1049</v>
      </c>
      <c r="E71" s="45" t="s">
        <v>370</v>
      </c>
      <c r="F71" s="37">
        <v>32000</v>
      </c>
      <c r="G71" s="37">
        <v>39948</v>
      </c>
      <c r="H71" s="37">
        <v>40000</v>
      </c>
    </row>
    <row r="72" spans="2:8">
      <c r="B72" s="46" t="s">
        <v>970</v>
      </c>
      <c r="C72" s="46" t="s">
        <v>1092</v>
      </c>
      <c r="D72" s="46" t="s">
        <v>1049</v>
      </c>
      <c r="E72" s="45" t="s">
        <v>371</v>
      </c>
      <c r="F72" s="37">
        <v>5000</v>
      </c>
      <c r="G72" s="37">
        <v>0</v>
      </c>
      <c r="H72" s="37">
        <v>0</v>
      </c>
    </row>
    <row r="73" spans="2:8">
      <c r="B73" s="46" t="s">
        <v>970</v>
      </c>
      <c r="C73" s="46" t="s">
        <v>1093</v>
      </c>
      <c r="D73" s="46" t="s">
        <v>1049</v>
      </c>
      <c r="E73" s="45" t="s">
        <v>372</v>
      </c>
      <c r="F73" s="37">
        <v>313000</v>
      </c>
      <c r="G73" s="37">
        <v>737425</v>
      </c>
      <c r="H73" s="37">
        <v>740000</v>
      </c>
    </row>
    <row r="74" spans="2:8">
      <c r="B74" s="46" t="s">
        <v>970</v>
      </c>
      <c r="C74" s="46" t="s">
        <v>1094</v>
      </c>
      <c r="D74" s="46" t="s">
        <v>1049</v>
      </c>
      <c r="E74" s="45" t="s">
        <v>373</v>
      </c>
      <c r="F74" s="37">
        <v>0</v>
      </c>
      <c r="G74" s="37">
        <v>0</v>
      </c>
      <c r="H74" s="37">
        <v>0</v>
      </c>
    </row>
    <row r="75" spans="2:8">
      <c r="B75" s="46" t="s">
        <v>970</v>
      </c>
      <c r="C75" s="46" t="s">
        <v>1095</v>
      </c>
      <c r="D75" s="46" t="s">
        <v>1049</v>
      </c>
      <c r="E75" s="45" t="s">
        <v>374</v>
      </c>
      <c r="F75" s="37">
        <v>301000</v>
      </c>
      <c r="G75" s="37">
        <v>307789</v>
      </c>
      <c r="H75" s="37">
        <v>310000</v>
      </c>
    </row>
    <row r="76" spans="2:8">
      <c r="B76" s="46" t="s">
        <v>970</v>
      </c>
      <c r="C76" s="46" t="s">
        <v>1096</v>
      </c>
      <c r="D76" s="46" t="s">
        <v>1049</v>
      </c>
      <c r="E76" s="45" t="s">
        <v>375</v>
      </c>
      <c r="F76" s="37">
        <v>83000</v>
      </c>
      <c r="G76" s="37">
        <v>108058</v>
      </c>
      <c r="H76" s="37">
        <v>109000</v>
      </c>
    </row>
    <row r="77" spans="2:8">
      <c r="B77" s="46" t="s">
        <v>970</v>
      </c>
      <c r="C77" s="46" t="s">
        <v>1097</v>
      </c>
      <c r="D77" s="46" t="s">
        <v>1049</v>
      </c>
      <c r="E77" s="45" t="s">
        <v>376</v>
      </c>
      <c r="F77" s="37">
        <v>93000</v>
      </c>
      <c r="G77" s="37">
        <v>60870</v>
      </c>
      <c r="H77" s="37">
        <v>62000</v>
      </c>
    </row>
    <row r="78" spans="2:8">
      <c r="B78" s="46" t="s">
        <v>733</v>
      </c>
      <c r="C78" s="46" t="s">
        <v>1098</v>
      </c>
      <c r="D78" s="46" t="s">
        <v>1049</v>
      </c>
      <c r="E78" s="45" t="s">
        <v>378</v>
      </c>
      <c r="F78" s="37">
        <v>10000</v>
      </c>
      <c r="G78" s="37">
        <v>0</v>
      </c>
      <c r="H78" s="37">
        <v>0</v>
      </c>
    </row>
    <row r="79" spans="2:8">
      <c r="B79" s="46" t="s">
        <v>890</v>
      </c>
      <c r="C79" s="46" t="s">
        <v>1098</v>
      </c>
      <c r="D79" s="46" t="s">
        <v>1049</v>
      </c>
      <c r="E79" s="45" t="s">
        <v>379</v>
      </c>
      <c r="F79" s="37">
        <v>0</v>
      </c>
      <c r="G79" s="37">
        <v>0</v>
      </c>
      <c r="H79" s="37">
        <v>2000</v>
      </c>
    </row>
    <row r="80" spans="2:8">
      <c r="B80" s="46" t="s">
        <v>970</v>
      </c>
      <c r="C80" s="46" t="s">
        <v>1098</v>
      </c>
      <c r="D80" s="46" t="s">
        <v>1049</v>
      </c>
      <c r="E80" s="45" t="s">
        <v>380</v>
      </c>
      <c r="F80" s="37">
        <v>149000</v>
      </c>
      <c r="G80" s="37">
        <v>52085</v>
      </c>
      <c r="H80" s="37">
        <v>52000</v>
      </c>
    </row>
    <row r="81" spans="2:8">
      <c r="B81" s="46" t="s">
        <v>970</v>
      </c>
      <c r="C81" s="46" t="s">
        <v>1099</v>
      </c>
      <c r="D81" s="46" t="s">
        <v>1049</v>
      </c>
      <c r="E81" s="45" t="s">
        <v>382</v>
      </c>
      <c r="F81" s="37">
        <v>0</v>
      </c>
      <c r="G81" s="37">
        <v>112545</v>
      </c>
      <c r="H81" s="37">
        <v>113000</v>
      </c>
    </row>
    <row r="82" spans="2:8">
      <c r="B82" s="46" t="s">
        <v>970</v>
      </c>
      <c r="C82" s="46" t="s">
        <v>1100</v>
      </c>
      <c r="D82" s="46" t="s">
        <v>1049</v>
      </c>
      <c r="E82" s="45" t="s">
        <v>383</v>
      </c>
      <c r="F82" s="37">
        <v>13000</v>
      </c>
      <c r="G82" s="37">
        <v>32823</v>
      </c>
      <c r="H82" s="37">
        <v>33000</v>
      </c>
    </row>
    <row r="83" spans="2:8">
      <c r="B83" s="46" t="s">
        <v>970</v>
      </c>
      <c r="C83" s="46" t="s">
        <v>1101</v>
      </c>
      <c r="D83" s="46" t="s">
        <v>1049</v>
      </c>
      <c r="E83" s="45" t="s">
        <v>386</v>
      </c>
      <c r="F83" s="37">
        <v>120000</v>
      </c>
      <c r="G83" s="37">
        <v>119902</v>
      </c>
      <c r="H83" s="37">
        <v>120000</v>
      </c>
    </row>
    <row r="84" spans="2:8">
      <c r="B84" s="46" t="s">
        <v>970</v>
      </c>
      <c r="C84" s="46" t="s">
        <v>1102</v>
      </c>
      <c r="D84" s="46" t="s">
        <v>1049</v>
      </c>
      <c r="E84" s="45" t="s">
        <v>387</v>
      </c>
      <c r="F84" s="37">
        <v>1000</v>
      </c>
      <c r="G84" s="37">
        <v>0</v>
      </c>
      <c r="H84" s="37">
        <v>1000</v>
      </c>
    </row>
    <row r="85" spans="2:8">
      <c r="B85" s="46" t="s">
        <v>970</v>
      </c>
      <c r="C85" s="46" t="s">
        <v>1103</v>
      </c>
      <c r="D85" s="46" t="s">
        <v>1049</v>
      </c>
      <c r="E85" s="45" t="s">
        <v>388</v>
      </c>
      <c r="F85" s="37">
        <v>58000</v>
      </c>
      <c r="G85" s="37">
        <v>34407</v>
      </c>
      <c r="H85" s="37">
        <v>35000</v>
      </c>
    </row>
    <row r="86" spans="2:8">
      <c r="B86" s="46" t="s">
        <v>890</v>
      </c>
      <c r="C86" s="46" t="s">
        <v>1104</v>
      </c>
      <c r="D86" s="46" t="s">
        <v>1049</v>
      </c>
      <c r="E86" s="45" t="s">
        <v>389</v>
      </c>
      <c r="F86" s="37">
        <v>0</v>
      </c>
      <c r="G86" s="37">
        <v>0</v>
      </c>
      <c r="H86" s="37">
        <v>0</v>
      </c>
    </row>
    <row r="87" spans="2:8">
      <c r="B87" s="46" t="s">
        <v>970</v>
      </c>
      <c r="C87" s="46" t="s">
        <v>1105</v>
      </c>
      <c r="D87" s="46" t="s">
        <v>1049</v>
      </c>
      <c r="E87" s="45" t="s">
        <v>390</v>
      </c>
      <c r="F87" s="37">
        <v>110000</v>
      </c>
      <c r="G87" s="37">
        <v>0</v>
      </c>
      <c r="H87" s="37">
        <v>0</v>
      </c>
    </row>
    <row r="88" spans="2:8">
      <c r="B88" s="46" t="s">
        <v>1106</v>
      </c>
      <c r="C88" s="46" t="s">
        <v>1105</v>
      </c>
      <c r="D88" s="46" t="s">
        <v>1049</v>
      </c>
      <c r="E88" s="45" t="s">
        <v>392</v>
      </c>
      <c r="F88" s="37">
        <v>0</v>
      </c>
      <c r="G88" s="37">
        <v>0</v>
      </c>
      <c r="H88" s="37">
        <v>0</v>
      </c>
    </row>
    <row r="90" spans="2:8">
      <c r="F90" s="17">
        <f>SUM(F5:F89)</f>
        <v>10289000</v>
      </c>
      <c r="G90" s="17">
        <f>SUM(G5:G89)</f>
        <v>11867814.609999998</v>
      </c>
      <c r="H90" s="17">
        <f>SUM(H5:H89)</f>
        <v>12018000</v>
      </c>
    </row>
  </sheetData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2:H19"/>
  <sheetViews>
    <sheetView rightToLeft="1" workbookViewId="0">
      <selection activeCell="M30" sqref="M30"/>
    </sheetView>
  </sheetViews>
  <sheetFormatPr defaultRowHeight="14.25"/>
  <cols>
    <col min="1" max="1" width="2.625" customWidth="1"/>
    <col min="2" max="2" width="6.625" customWidth="1"/>
    <col min="4" max="4" width="6.375" customWidth="1"/>
    <col min="5" max="5" width="18.375" bestFit="1" customWidth="1"/>
    <col min="6" max="8" width="11.125" bestFit="1" customWidth="1"/>
  </cols>
  <sheetData>
    <row r="2" spans="2:8" ht="15">
      <c r="B2" s="1" t="s">
        <v>1119</v>
      </c>
    </row>
    <row r="4" spans="2:8" ht="30">
      <c r="B4" s="41" t="s">
        <v>596</v>
      </c>
      <c r="C4" s="41" t="s">
        <v>597</v>
      </c>
      <c r="D4" s="41" t="s">
        <v>598</v>
      </c>
      <c r="E4" s="41" t="s">
        <v>1</v>
      </c>
      <c r="F4" s="41" t="s">
        <v>418</v>
      </c>
      <c r="G4" s="41" t="s">
        <v>419</v>
      </c>
      <c r="H4" s="41" t="s">
        <v>416</v>
      </c>
    </row>
    <row r="5" spans="2:8">
      <c r="B5" s="46" t="s">
        <v>1107</v>
      </c>
      <c r="C5" s="46" t="s">
        <v>1108</v>
      </c>
      <c r="D5" s="46" t="s">
        <v>1109</v>
      </c>
      <c r="E5" s="45" t="s">
        <v>64</v>
      </c>
      <c r="F5" s="37">
        <v>210000</v>
      </c>
      <c r="G5" s="37">
        <v>210606.59</v>
      </c>
      <c r="H5" s="37">
        <v>210000</v>
      </c>
    </row>
    <row r="6" spans="2:8">
      <c r="B6" s="46" t="s">
        <v>1110</v>
      </c>
      <c r="C6" s="46" t="s">
        <v>1111</v>
      </c>
      <c r="D6" s="46" t="s">
        <v>1109</v>
      </c>
      <c r="E6" s="45" t="s">
        <v>65</v>
      </c>
      <c r="F6" s="37">
        <v>500000</v>
      </c>
      <c r="G6" s="37">
        <v>344655.49</v>
      </c>
      <c r="H6" s="37">
        <v>400000</v>
      </c>
    </row>
    <row r="7" spans="2:8">
      <c r="B7" s="46" t="s">
        <v>1112</v>
      </c>
      <c r="C7" s="46" t="s">
        <v>1111</v>
      </c>
      <c r="D7" s="46" t="s">
        <v>1109</v>
      </c>
      <c r="E7" s="45" t="s">
        <v>66</v>
      </c>
      <c r="F7" s="37">
        <v>0</v>
      </c>
      <c r="G7" s="37">
        <v>0</v>
      </c>
      <c r="H7" s="37">
        <v>0</v>
      </c>
    </row>
    <row r="8" spans="2:8">
      <c r="B8" s="46" t="s">
        <v>1113</v>
      </c>
      <c r="C8" s="46" t="s">
        <v>1111</v>
      </c>
      <c r="D8" s="46" t="s">
        <v>1109</v>
      </c>
      <c r="E8" s="45" t="s">
        <v>67</v>
      </c>
      <c r="F8" s="37">
        <v>550000</v>
      </c>
      <c r="G8" s="37">
        <v>1369391</v>
      </c>
      <c r="H8" s="37">
        <v>1000000</v>
      </c>
    </row>
    <row r="9" spans="2:8">
      <c r="B9" s="46" t="s">
        <v>737</v>
      </c>
      <c r="C9" s="46" t="s">
        <v>1115</v>
      </c>
      <c r="D9" s="46" t="s">
        <v>1114</v>
      </c>
      <c r="E9" s="45" t="s">
        <v>70</v>
      </c>
      <c r="F9" s="37">
        <v>2275000</v>
      </c>
      <c r="G9" s="37">
        <v>2295677.16</v>
      </c>
      <c r="H9" s="37">
        <v>2300000</v>
      </c>
    </row>
    <row r="10" spans="2:8">
      <c r="B10" s="46" t="s">
        <v>1116</v>
      </c>
      <c r="C10" s="46" t="s">
        <v>1115</v>
      </c>
      <c r="D10" s="46" t="s">
        <v>1114</v>
      </c>
      <c r="E10" s="45" t="s">
        <v>71</v>
      </c>
      <c r="F10" s="37">
        <v>1000000</v>
      </c>
      <c r="G10" s="37">
        <v>866100.28</v>
      </c>
      <c r="H10" s="37">
        <v>900000</v>
      </c>
    </row>
    <row r="11" spans="2:8">
      <c r="B11" s="46" t="s">
        <v>1117</v>
      </c>
      <c r="C11" s="46" t="s">
        <v>1115</v>
      </c>
      <c r="D11" s="46" t="s">
        <v>1114</v>
      </c>
      <c r="E11" s="45" t="s">
        <v>72</v>
      </c>
      <c r="F11" s="37">
        <v>359000</v>
      </c>
      <c r="G11" s="37">
        <v>382720.42</v>
      </c>
      <c r="H11" s="37">
        <v>390000</v>
      </c>
    </row>
    <row r="12" spans="2:8">
      <c r="B12" s="46" t="s">
        <v>737</v>
      </c>
      <c r="C12" s="46" t="s">
        <v>1118</v>
      </c>
      <c r="D12" s="46" t="s">
        <v>1114</v>
      </c>
      <c r="E12" s="45" t="s">
        <v>73</v>
      </c>
      <c r="F12" s="37">
        <v>300000</v>
      </c>
      <c r="G12" s="37">
        <v>0</v>
      </c>
      <c r="H12" s="37">
        <v>0</v>
      </c>
    </row>
    <row r="13" spans="2:8">
      <c r="B13" s="46" t="s">
        <v>1116</v>
      </c>
      <c r="C13" s="46" t="s">
        <v>1118</v>
      </c>
      <c r="D13" s="46" t="s">
        <v>1114</v>
      </c>
      <c r="E13" s="45" t="s">
        <v>74</v>
      </c>
      <c r="F13" s="37">
        <v>3000</v>
      </c>
      <c r="G13" s="37">
        <v>0</v>
      </c>
      <c r="H13" s="37">
        <v>0</v>
      </c>
    </row>
    <row r="14" spans="2:8">
      <c r="B14" s="46" t="s">
        <v>1117</v>
      </c>
      <c r="C14" s="46" t="s">
        <v>1118</v>
      </c>
      <c r="D14" s="46" t="s">
        <v>1114</v>
      </c>
      <c r="E14" s="45" t="s">
        <v>75</v>
      </c>
      <c r="F14" s="37">
        <v>21000</v>
      </c>
      <c r="G14" s="37">
        <v>0</v>
      </c>
      <c r="H14" s="37">
        <v>0</v>
      </c>
    </row>
    <row r="15" spans="2:8">
      <c r="B15" s="46" t="s">
        <v>737</v>
      </c>
      <c r="C15" s="46" t="s">
        <v>983</v>
      </c>
      <c r="D15" s="46" t="s">
        <v>984</v>
      </c>
      <c r="E15" s="45" t="s">
        <v>402</v>
      </c>
      <c r="F15" s="37">
        <v>643000</v>
      </c>
      <c r="G15" s="37">
        <v>757154.89</v>
      </c>
      <c r="H15" s="37">
        <v>760000</v>
      </c>
    </row>
    <row r="16" spans="2:8">
      <c r="B16" s="46" t="s">
        <v>1116</v>
      </c>
      <c r="C16" s="46" t="s">
        <v>983</v>
      </c>
      <c r="D16" s="46" t="s">
        <v>984</v>
      </c>
      <c r="E16" s="45" t="s">
        <v>403</v>
      </c>
      <c r="F16" s="37">
        <v>309000</v>
      </c>
      <c r="G16" s="37">
        <v>265294.83</v>
      </c>
      <c r="H16" s="37">
        <v>270000</v>
      </c>
    </row>
    <row r="17" spans="2:8">
      <c r="B17" s="46" t="s">
        <v>1117</v>
      </c>
      <c r="C17" s="46" t="s">
        <v>983</v>
      </c>
      <c r="D17" s="46" t="s">
        <v>984</v>
      </c>
      <c r="E17" s="45" t="s">
        <v>404</v>
      </c>
      <c r="F17" s="37">
        <v>212000</v>
      </c>
      <c r="G17" s="37">
        <v>242494.24</v>
      </c>
      <c r="H17" s="37">
        <v>245000</v>
      </c>
    </row>
    <row r="19" spans="2:8" ht="15" thickBot="1">
      <c r="B19" s="40" t="s">
        <v>1120</v>
      </c>
      <c r="C19" s="43"/>
      <c r="D19" s="43"/>
      <c r="E19" s="43"/>
      <c r="F19" s="42">
        <f>SUM(F5:F18)</f>
        <v>6382000</v>
      </c>
      <c r="G19" s="42">
        <f>SUM(G5:G18)</f>
        <v>6734094.9000000004</v>
      </c>
      <c r="H19" s="42">
        <f>SUM(H5:H18)</f>
        <v>6475000</v>
      </c>
    </row>
  </sheetData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2:H11"/>
  <sheetViews>
    <sheetView rightToLeft="1" topLeftCell="A4" workbookViewId="0">
      <selection activeCell="M30" sqref="M30"/>
    </sheetView>
  </sheetViews>
  <sheetFormatPr defaultRowHeight="14.25"/>
  <cols>
    <col min="1" max="1" width="4.125" customWidth="1"/>
    <col min="2" max="2" width="6" customWidth="1"/>
    <col min="3" max="3" width="6.875" bestFit="1" customWidth="1"/>
    <col min="4" max="4" width="6.125" customWidth="1"/>
    <col min="5" max="5" width="20.125" bestFit="1" customWidth="1"/>
    <col min="6" max="8" width="11.125" bestFit="1" customWidth="1"/>
  </cols>
  <sheetData>
    <row r="2" spans="2:8" ht="15">
      <c r="B2" s="1" t="s">
        <v>730</v>
      </c>
    </row>
    <row r="4" spans="2:8" ht="30">
      <c r="B4" s="41" t="s">
        <v>596</v>
      </c>
      <c r="C4" s="41" t="s">
        <v>597</v>
      </c>
      <c r="D4" s="41" t="s">
        <v>598</v>
      </c>
      <c r="E4" s="41" t="s">
        <v>1</v>
      </c>
      <c r="F4" s="41" t="s">
        <v>418</v>
      </c>
      <c r="G4" s="41" t="s">
        <v>419</v>
      </c>
      <c r="H4" s="41" t="s">
        <v>416</v>
      </c>
    </row>
    <row r="5" spans="2:8">
      <c r="B5" s="46" t="s">
        <v>890</v>
      </c>
      <c r="C5" s="46" t="s">
        <v>1123</v>
      </c>
      <c r="D5" s="46" t="s">
        <v>987</v>
      </c>
      <c r="E5" s="45" t="s">
        <v>410</v>
      </c>
      <c r="F5" s="37">
        <v>0</v>
      </c>
      <c r="G5" s="37">
        <v>190114</v>
      </c>
      <c r="H5" s="37">
        <v>374000</v>
      </c>
    </row>
    <row r="6" spans="2:8">
      <c r="B6" s="46" t="s">
        <v>1124</v>
      </c>
      <c r="C6" s="46" t="s">
        <v>1125</v>
      </c>
      <c r="D6" s="46" t="s">
        <v>987</v>
      </c>
      <c r="E6" s="45" t="s">
        <v>411</v>
      </c>
      <c r="F6" s="37">
        <v>3000000</v>
      </c>
      <c r="G6" s="37">
        <v>3490523.85</v>
      </c>
      <c r="H6" s="37">
        <v>3500000</v>
      </c>
    </row>
    <row r="7" spans="2:8">
      <c r="B7" s="46" t="s">
        <v>781</v>
      </c>
      <c r="C7" s="46" t="s">
        <v>1126</v>
      </c>
      <c r="D7" s="46" t="s">
        <v>987</v>
      </c>
      <c r="E7" s="45" t="s">
        <v>415</v>
      </c>
      <c r="F7" s="37">
        <v>0</v>
      </c>
      <c r="G7" s="37">
        <v>1395000</v>
      </c>
      <c r="H7" s="37">
        <v>0</v>
      </c>
    </row>
    <row r="8" spans="2:8">
      <c r="B8" s="46" t="s">
        <v>781</v>
      </c>
      <c r="C8" s="46" t="s">
        <v>1127</v>
      </c>
      <c r="D8" s="46">
        <v>99</v>
      </c>
      <c r="E8" s="45" t="s">
        <v>1122</v>
      </c>
      <c r="F8" s="37">
        <v>0</v>
      </c>
      <c r="G8" s="37">
        <v>3200000</v>
      </c>
      <c r="H8" s="37">
        <v>0</v>
      </c>
    </row>
    <row r="9" spans="2:8">
      <c r="B9" s="46" t="s">
        <v>776</v>
      </c>
      <c r="C9" s="46" t="s">
        <v>1127</v>
      </c>
      <c r="D9" s="46">
        <v>99</v>
      </c>
      <c r="E9" s="45" t="s">
        <v>1121</v>
      </c>
      <c r="F9" s="37">
        <v>2235000</v>
      </c>
      <c r="G9" s="37">
        <v>0</v>
      </c>
      <c r="H9" s="37">
        <v>0</v>
      </c>
    </row>
    <row r="11" spans="2:8" ht="15" thickBot="1">
      <c r="B11" s="40" t="s">
        <v>729</v>
      </c>
      <c r="C11" s="43"/>
      <c r="D11" s="43"/>
      <c r="E11" s="43"/>
      <c r="F11" s="42">
        <f>SUM(F5:F10)</f>
        <v>5235000</v>
      </c>
      <c r="G11" s="42">
        <f>SUM(G5:G10)</f>
        <v>8275637.8499999996</v>
      </c>
      <c r="H11" s="42">
        <f>SUM(H5:H10)</f>
        <v>3874000</v>
      </c>
    </row>
  </sheetData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filterMode="1"/>
  <dimension ref="A1:G1035"/>
  <sheetViews>
    <sheetView rightToLeft="1" topLeftCell="A360" workbookViewId="0">
      <selection activeCell="D1030" sqref="A1030:D1030"/>
    </sheetView>
  </sheetViews>
  <sheetFormatPr defaultColWidth="9" defaultRowHeight="14.25"/>
  <cols>
    <col min="1" max="1" width="10.875" bestFit="1" customWidth="1"/>
    <col min="2" max="2" width="25.625" bestFit="1" customWidth="1"/>
    <col min="3" max="4" width="14.125" style="169" bestFit="1" customWidth="1"/>
    <col min="5" max="5" width="13.25" bestFit="1" customWidth="1"/>
    <col min="6" max="6" width="12.375" bestFit="1" customWidth="1"/>
    <col min="7" max="7" width="16.625" bestFit="1" customWidth="1"/>
  </cols>
  <sheetData>
    <row r="1" spans="1:5" ht="15">
      <c r="A1" s="167" t="s">
        <v>0</v>
      </c>
      <c r="B1" s="167" t="s">
        <v>1</v>
      </c>
      <c r="C1" s="168" t="s">
        <v>1666</v>
      </c>
      <c r="D1" s="168" t="s">
        <v>1667</v>
      </c>
      <c r="E1" s="167" t="s">
        <v>1885</v>
      </c>
    </row>
    <row r="2" spans="1:5">
      <c r="A2">
        <v>1111000100</v>
      </c>
      <c r="B2" t="s">
        <v>426</v>
      </c>
      <c r="C2" s="169">
        <v>-4498200</v>
      </c>
      <c r="D2" s="169">
        <v>-2227700.6</v>
      </c>
      <c r="E2">
        <f>VLOOKUP(A:A,הכנסות!B:B,1,0)</f>
        <v>1111000100</v>
      </c>
    </row>
    <row r="3" spans="1:5">
      <c r="A3">
        <v>1111000102</v>
      </c>
      <c r="B3" t="s">
        <v>1668</v>
      </c>
      <c r="C3" s="169">
        <v>0</v>
      </c>
      <c r="D3" s="169">
        <v>-4000</v>
      </c>
      <c r="E3" t="e">
        <f>VLOOKUP(A:A,הכנסות!B:B,1,0)</f>
        <v>#N/A</v>
      </c>
    </row>
    <row r="4" spans="1:5">
      <c r="A4">
        <v>1111000109</v>
      </c>
      <c r="B4" t="s">
        <v>1669</v>
      </c>
      <c r="C4" s="169">
        <v>0</v>
      </c>
      <c r="D4" s="169">
        <v>0</v>
      </c>
      <c r="E4" t="e">
        <f>VLOOKUP(A:A,הכנסות!B:B,1,0)</f>
        <v>#N/A</v>
      </c>
    </row>
    <row r="5" spans="1:5">
      <c r="A5">
        <v>1111000110</v>
      </c>
      <c r="B5" t="s">
        <v>1670</v>
      </c>
      <c r="C5" s="169">
        <v>0</v>
      </c>
      <c r="D5" s="169">
        <v>-177496.97</v>
      </c>
      <c r="E5" t="e">
        <f>VLOOKUP(A:A,הכנסות!B:B,1,0)</f>
        <v>#N/A</v>
      </c>
    </row>
    <row r="6" spans="1:5">
      <c r="A6">
        <v>1111000114</v>
      </c>
      <c r="B6" t="s">
        <v>1671</v>
      </c>
      <c r="C6" s="169">
        <v>0</v>
      </c>
      <c r="D6" s="169">
        <v>-133</v>
      </c>
      <c r="E6">
        <f>VLOOKUP(A:A,הכנסות!B:B,1,0)</f>
        <v>1111000114</v>
      </c>
    </row>
    <row r="7" spans="1:5">
      <c r="A7">
        <v>1111000120</v>
      </c>
      <c r="B7" t="s">
        <v>1672</v>
      </c>
      <c r="C7" s="169">
        <v>0</v>
      </c>
      <c r="D7" s="169">
        <v>0</v>
      </c>
      <c r="E7" t="e">
        <f>VLOOKUP(A:A,הכנסות!B:B,1,0)</f>
        <v>#N/A</v>
      </c>
    </row>
    <row r="8" spans="1:5">
      <c r="A8">
        <v>1111000123</v>
      </c>
      <c r="B8" t="s">
        <v>1673</v>
      </c>
      <c r="C8" s="169">
        <v>0</v>
      </c>
      <c r="D8" s="169">
        <v>0</v>
      </c>
      <c r="E8" t="e">
        <f>VLOOKUP(A:A,הכנסות!B:B,1,0)</f>
        <v>#N/A</v>
      </c>
    </row>
    <row r="9" spans="1:5">
      <c r="A9">
        <v>1111000137</v>
      </c>
      <c r="B9" t="s">
        <v>1674</v>
      </c>
      <c r="C9" s="169">
        <v>0</v>
      </c>
      <c r="D9" s="169">
        <v>0</v>
      </c>
      <c r="E9" t="e">
        <f>VLOOKUP(A:A,הכנסות!B:B,1,0)</f>
        <v>#N/A</v>
      </c>
    </row>
    <row r="10" spans="1:5">
      <c r="A10">
        <v>1111000140</v>
      </c>
      <c r="B10" t="s">
        <v>1675</v>
      </c>
      <c r="C10" s="169">
        <v>0</v>
      </c>
      <c r="D10" s="169">
        <v>0</v>
      </c>
      <c r="E10" t="e">
        <f>VLOOKUP(A:A,הכנסות!B:B,1,0)</f>
        <v>#N/A</v>
      </c>
    </row>
    <row r="11" spans="1:5">
      <c r="A11">
        <v>1111000196</v>
      </c>
      <c r="B11" t="s">
        <v>1676</v>
      </c>
      <c r="C11" s="169">
        <v>0</v>
      </c>
      <c r="D11" s="169">
        <v>0</v>
      </c>
      <c r="E11" t="e">
        <f>VLOOKUP(A:A,הכנסות!B:B,1,0)</f>
        <v>#N/A</v>
      </c>
    </row>
    <row r="12" spans="1:5">
      <c r="A12">
        <v>1111000500</v>
      </c>
      <c r="B12" t="s">
        <v>1677</v>
      </c>
      <c r="C12" s="169">
        <v>0</v>
      </c>
      <c r="D12" s="169">
        <v>-35173</v>
      </c>
      <c r="E12" t="e">
        <f>VLOOKUP(A:A,הכנסות!B:B,1,0)</f>
        <v>#N/A</v>
      </c>
    </row>
    <row r="13" spans="1:5">
      <c r="A13">
        <v>1111000600</v>
      </c>
      <c r="B13" t="s">
        <v>1678</v>
      </c>
      <c r="C13" s="169">
        <v>0</v>
      </c>
      <c r="D13" s="169">
        <v>0</v>
      </c>
      <c r="E13" t="e">
        <f>VLOOKUP(A:A,הכנסות!B:B,1,0)</f>
        <v>#N/A</v>
      </c>
    </row>
    <row r="14" spans="1:5">
      <c r="A14">
        <v>1111000700</v>
      </c>
      <c r="B14" t="s">
        <v>1679</v>
      </c>
      <c r="C14" s="169">
        <v>0</v>
      </c>
      <c r="D14" s="169">
        <v>-110907.2</v>
      </c>
      <c r="E14" t="e">
        <f>VLOOKUP(A:A,הכנסות!B:B,1,0)</f>
        <v>#N/A</v>
      </c>
    </row>
    <row r="15" spans="1:5">
      <c r="A15">
        <v>1111000899</v>
      </c>
      <c r="B15" t="s">
        <v>1680</v>
      </c>
      <c r="C15" s="169">
        <v>0</v>
      </c>
      <c r="D15" s="169">
        <v>0</v>
      </c>
      <c r="E15" t="e">
        <f>VLOOKUP(A:A,הכנסות!B:B,1,0)</f>
        <v>#N/A</v>
      </c>
    </row>
    <row r="16" spans="1:5">
      <c r="A16">
        <v>1111000915</v>
      </c>
      <c r="B16" t="s">
        <v>1681</v>
      </c>
      <c r="C16" s="169">
        <v>0</v>
      </c>
      <c r="D16" s="169">
        <v>0</v>
      </c>
      <c r="E16" t="e">
        <f>VLOOKUP(A:A,הכנסות!B:B,1,0)</f>
        <v>#N/A</v>
      </c>
    </row>
    <row r="17" spans="1:5">
      <c r="A17">
        <v>1111000922</v>
      </c>
      <c r="B17" t="s">
        <v>1682</v>
      </c>
      <c r="C17" s="169">
        <v>0</v>
      </c>
      <c r="D17" s="169">
        <v>0</v>
      </c>
      <c r="E17" t="e">
        <f>VLOOKUP(A:A,הכנסות!B:B,1,0)</f>
        <v>#N/A</v>
      </c>
    </row>
    <row r="18" spans="1:5">
      <c r="A18">
        <v>1111200100</v>
      </c>
      <c r="B18" t="s">
        <v>427</v>
      </c>
      <c r="C18" s="169">
        <v>-874650</v>
      </c>
      <c r="D18" s="169">
        <v>-1229962.5</v>
      </c>
      <c r="E18">
        <f>VLOOKUP(A:A,הכנסות!B:B,1,0)</f>
        <v>1111200100</v>
      </c>
    </row>
    <row r="19" spans="1:5">
      <c r="A19">
        <v>1116000100</v>
      </c>
      <c r="B19" t="s">
        <v>428</v>
      </c>
      <c r="C19" s="169">
        <v>-3332000</v>
      </c>
      <c r="D19" s="169">
        <v>-3536485.83</v>
      </c>
      <c r="E19">
        <f>VLOOKUP(A:A,הכנסות!B:B,1,0)</f>
        <v>1116000100</v>
      </c>
    </row>
    <row r="20" spans="1:5">
      <c r="A20">
        <v>1121000290</v>
      </c>
      <c r="B20" t="s">
        <v>429</v>
      </c>
      <c r="C20" s="169">
        <v>0</v>
      </c>
      <c r="D20" s="169">
        <v>0</v>
      </c>
      <c r="E20" t="e">
        <f>VLOOKUP(A:A,הכנסות!B:B,1,0)</f>
        <v>#N/A</v>
      </c>
    </row>
    <row r="21" spans="1:5">
      <c r="A21">
        <v>1121000291</v>
      </c>
      <c r="B21" t="s">
        <v>430</v>
      </c>
      <c r="C21" s="169">
        <v>-33320</v>
      </c>
      <c r="D21" s="169">
        <v>-41400</v>
      </c>
      <c r="E21">
        <f>VLOOKUP(A:A,הכנסות!B:B,1,0)</f>
        <v>1121000291</v>
      </c>
    </row>
    <row r="22" spans="1:5">
      <c r="A22">
        <v>1191000910</v>
      </c>
      <c r="B22" t="s">
        <v>431</v>
      </c>
      <c r="C22" s="169">
        <v>-10172880</v>
      </c>
      <c r="D22" s="169">
        <v>-12499385.42</v>
      </c>
      <c r="E22">
        <f>VLOOKUP(A:A,הכנסות!B:B,1,0)</f>
        <v>1191000910</v>
      </c>
    </row>
    <row r="23" spans="1:5">
      <c r="A23">
        <v>1192000910</v>
      </c>
      <c r="B23" t="s">
        <v>432</v>
      </c>
      <c r="C23" s="169">
        <v>-731710</v>
      </c>
      <c r="D23" s="169">
        <v>-611665</v>
      </c>
      <c r="E23">
        <f>VLOOKUP(A:A,הכנסות!B:B,1,0)</f>
        <v>1192000910</v>
      </c>
    </row>
    <row r="24" spans="1:5">
      <c r="A24">
        <v>1192010910</v>
      </c>
      <c r="B24" t="s">
        <v>433</v>
      </c>
      <c r="C24" s="169">
        <v>-1795210</v>
      </c>
      <c r="D24" s="169">
        <v>-594449.57999999996</v>
      </c>
      <c r="E24">
        <f>VLOOKUP(A:A,הכנסות!B:B,1,0)</f>
        <v>1192010910</v>
      </c>
    </row>
    <row r="25" spans="1:5">
      <c r="A25">
        <v>1196000910</v>
      </c>
      <c r="B25" t="s">
        <v>434</v>
      </c>
      <c r="C25" s="169">
        <v>-371520</v>
      </c>
      <c r="D25" s="169">
        <v>0</v>
      </c>
      <c r="E25">
        <f>VLOOKUP(A:A,הכנסות!B:B,1,0)</f>
        <v>1196000910</v>
      </c>
    </row>
    <row r="26" spans="1:5">
      <c r="A26">
        <v>1197000910</v>
      </c>
      <c r="B26" t="s">
        <v>435</v>
      </c>
      <c r="C26" s="169">
        <v>0</v>
      </c>
      <c r="D26" s="169">
        <v>0</v>
      </c>
      <c r="E26" t="e">
        <f>VLOOKUP(A:A,הכנסות!B:B,1,0)</f>
        <v>#N/A</v>
      </c>
    </row>
    <row r="27" spans="1:5">
      <c r="A27">
        <v>1212300220</v>
      </c>
      <c r="B27" t="s">
        <v>436</v>
      </c>
      <c r="C27" s="169">
        <v>-18740</v>
      </c>
      <c r="D27" s="169">
        <v>-301.48</v>
      </c>
      <c r="E27">
        <f>VLOOKUP(A:A,הכנסות!B:B,1,0)</f>
        <v>1212300220</v>
      </c>
    </row>
    <row r="28" spans="1:5">
      <c r="A28">
        <v>1215300990</v>
      </c>
      <c r="B28" t="s">
        <v>437</v>
      </c>
      <c r="C28" s="169">
        <v>0</v>
      </c>
      <c r="D28" s="169">
        <v>0</v>
      </c>
      <c r="E28" t="e">
        <f>VLOOKUP(A:A,הכנסות!B:B,1,0)</f>
        <v>#N/A</v>
      </c>
    </row>
    <row r="29" spans="1:5">
      <c r="A29">
        <v>1224000970</v>
      </c>
      <c r="B29" t="s">
        <v>92</v>
      </c>
      <c r="C29" s="169">
        <v>-202420</v>
      </c>
      <c r="D29" s="169">
        <v>0</v>
      </c>
      <c r="E29">
        <f>VLOOKUP(A:A,הכנסות!B:B,1,0)</f>
        <v>1224000970</v>
      </c>
    </row>
    <row r="30" spans="1:5">
      <c r="A30">
        <v>1232100420</v>
      </c>
      <c r="B30" t="s">
        <v>438</v>
      </c>
      <c r="C30" s="169">
        <v>0</v>
      </c>
      <c r="D30" s="169">
        <v>0</v>
      </c>
      <c r="E30" t="e">
        <f>VLOOKUP(A:A,הכנסות!B:B,1,0)</f>
        <v>#N/A</v>
      </c>
    </row>
    <row r="31" spans="1:5">
      <c r="A31">
        <v>1233100220</v>
      </c>
      <c r="B31" t="s">
        <v>439</v>
      </c>
      <c r="C31" s="169">
        <v>0</v>
      </c>
      <c r="D31" s="169">
        <v>0</v>
      </c>
      <c r="E31" t="e">
        <f>VLOOKUP(A:A,הכנסות!B:B,1,0)</f>
        <v>#N/A</v>
      </c>
    </row>
    <row r="32" spans="1:5">
      <c r="A32">
        <v>1233100710</v>
      </c>
      <c r="B32" t="s">
        <v>440</v>
      </c>
      <c r="C32" s="169">
        <v>-416500</v>
      </c>
      <c r="D32" s="169">
        <v>0</v>
      </c>
      <c r="E32">
        <f>VLOOKUP(A:A,הכנסות!B:B,1,0)</f>
        <v>1233100710</v>
      </c>
    </row>
    <row r="33" spans="1:5">
      <c r="A33">
        <v>1233400290</v>
      </c>
      <c r="B33" t="s">
        <v>441</v>
      </c>
      <c r="C33" s="169">
        <v>0</v>
      </c>
      <c r="D33" s="169">
        <v>0</v>
      </c>
      <c r="E33" t="e">
        <f>VLOOKUP(A:A,הכנסות!B:B,1,0)</f>
        <v>#N/A</v>
      </c>
    </row>
    <row r="34" spans="1:5">
      <c r="A34">
        <v>1233400710</v>
      </c>
      <c r="B34" t="s">
        <v>442</v>
      </c>
      <c r="C34" s="169">
        <v>0</v>
      </c>
      <c r="D34" s="169">
        <v>0</v>
      </c>
      <c r="E34" t="e">
        <f>VLOOKUP(A:A,הכנסות!B:B,1,0)</f>
        <v>#N/A</v>
      </c>
    </row>
    <row r="35" spans="1:5">
      <c r="A35">
        <v>1233400790</v>
      </c>
      <c r="B35" t="s">
        <v>443</v>
      </c>
      <c r="C35" s="169">
        <v>0</v>
      </c>
      <c r="D35" s="169">
        <v>0</v>
      </c>
      <c r="E35" t="e">
        <f>VLOOKUP(A:A,הכנסות!B:B,1,0)</f>
        <v>#N/A</v>
      </c>
    </row>
    <row r="36" spans="1:5">
      <c r="A36">
        <v>1233410290</v>
      </c>
      <c r="B36" t="s">
        <v>444</v>
      </c>
      <c r="C36" s="169">
        <v>-583100</v>
      </c>
      <c r="D36" s="169">
        <v>-250000</v>
      </c>
      <c r="E36">
        <f>VLOOKUP(A:A,הכנסות!B:B,1,0)</f>
        <v>1233410290</v>
      </c>
    </row>
    <row r="37" spans="1:5">
      <c r="A37">
        <v>1242200810</v>
      </c>
      <c r="B37" t="s">
        <v>445</v>
      </c>
      <c r="C37" s="169">
        <v>0</v>
      </c>
      <c r="D37" s="169">
        <v>0</v>
      </c>
      <c r="E37" t="e">
        <f>VLOOKUP(A:A,הכנסות!B:B,1,0)</f>
        <v>#N/A</v>
      </c>
    </row>
    <row r="38" spans="1:5">
      <c r="A38">
        <v>1244000990</v>
      </c>
      <c r="B38" t="s">
        <v>94</v>
      </c>
      <c r="C38" s="169">
        <v>-16660</v>
      </c>
      <c r="D38" s="169">
        <v>0</v>
      </c>
      <c r="E38">
        <f>VLOOKUP(A:A,הכנסות!B:B,1,0)</f>
        <v>1244000990</v>
      </c>
    </row>
    <row r="39" spans="1:5">
      <c r="A39">
        <v>1269000690</v>
      </c>
      <c r="B39" t="s">
        <v>446</v>
      </c>
      <c r="C39" s="169">
        <v>-124950</v>
      </c>
      <c r="D39" s="169">
        <v>-95514.87</v>
      </c>
      <c r="E39">
        <f>VLOOKUP(A:A,הכנסות!B:B,1,0)</f>
        <v>1269000690</v>
      </c>
    </row>
    <row r="40" spans="1:5">
      <c r="A40">
        <v>1269000691</v>
      </c>
      <c r="B40" t="s">
        <v>447</v>
      </c>
      <c r="C40" s="169">
        <v>-830</v>
      </c>
      <c r="D40" s="169">
        <v>-522.5</v>
      </c>
      <c r="E40">
        <f>VLOOKUP(A:A,הכנסות!B:B,1,0)</f>
        <v>1269000691</v>
      </c>
    </row>
    <row r="41" spans="1:5">
      <c r="A41">
        <v>1269000692</v>
      </c>
      <c r="B41" t="s">
        <v>1683</v>
      </c>
      <c r="C41" s="169">
        <v>0</v>
      </c>
      <c r="D41" s="169">
        <v>-11000</v>
      </c>
      <c r="E41">
        <f>VLOOKUP(A:A,הכנסות!B:B,1,0)</f>
        <v>1269000692</v>
      </c>
    </row>
    <row r="42" spans="1:5">
      <c r="A42">
        <v>1269000694</v>
      </c>
      <c r="B42" t="s">
        <v>1684</v>
      </c>
      <c r="C42" s="169">
        <v>0</v>
      </c>
      <c r="D42" s="169">
        <v>-383.79</v>
      </c>
      <c r="E42">
        <f>VLOOKUP(A:A,הכנסות!B:B,1,0)</f>
        <v>1269000694</v>
      </c>
    </row>
    <row r="43" spans="1:5">
      <c r="A43">
        <v>1311000740</v>
      </c>
      <c r="B43" t="s">
        <v>448</v>
      </c>
      <c r="C43" s="169">
        <v>0</v>
      </c>
      <c r="D43" s="169">
        <v>0</v>
      </c>
      <c r="E43" t="e">
        <f>VLOOKUP(A:A,הכנסות!B:B,1,0)</f>
        <v>#N/A</v>
      </c>
    </row>
    <row r="44" spans="1:5">
      <c r="A44">
        <v>1311000920</v>
      </c>
      <c r="B44" t="s">
        <v>449</v>
      </c>
      <c r="C44" s="169">
        <v>0</v>
      </c>
      <c r="D44" s="169">
        <v>0</v>
      </c>
      <c r="E44" t="e">
        <f>VLOOKUP(A:A,הכנסות!B:B,1,0)</f>
        <v>#N/A</v>
      </c>
    </row>
    <row r="45" spans="1:5">
      <c r="A45">
        <v>1311020920</v>
      </c>
      <c r="B45" t="s">
        <v>139</v>
      </c>
      <c r="C45" s="169">
        <v>-108290</v>
      </c>
      <c r="D45" s="169">
        <v>0</v>
      </c>
      <c r="E45">
        <f>VLOOKUP(A:A,הכנסות!B:B,1,0)</f>
        <v>1311020920</v>
      </c>
    </row>
    <row r="46" spans="1:5">
      <c r="A46">
        <v>1312000920</v>
      </c>
      <c r="B46" t="s">
        <v>450</v>
      </c>
      <c r="C46" s="169">
        <v>-83300</v>
      </c>
      <c r="D46" s="169">
        <v>0</v>
      </c>
      <c r="E46">
        <f>VLOOKUP(A:A,הכנסות!B:B,1,0)</f>
        <v>1312000920</v>
      </c>
    </row>
    <row r="47" spans="1:5">
      <c r="A47">
        <v>1312200410</v>
      </c>
      <c r="B47" t="s">
        <v>142</v>
      </c>
      <c r="C47" s="169">
        <v>0</v>
      </c>
      <c r="D47" s="169">
        <v>0</v>
      </c>
      <c r="E47">
        <f>VLOOKUP(A:A,הכנסות!B:B,1,0)</f>
        <v>1312200410</v>
      </c>
    </row>
    <row r="48" spans="1:5">
      <c r="A48">
        <v>1312200920</v>
      </c>
      <c r="B48" t="s">
        <v>451</v>
      </c>
      <c r="C48" s="169">
        <v>-58310</v>
      </c>
      <c r="D48" s="169">
        <v>0</v>
      </c>
      <c r="E48">
        <f>VLOOKUP(A:A,הכנסות!B:B,1,0)</f>
        <v>1312200920</v>
      </c>
    </row>
    <row r="49" spans="1:5">
      <c r="A49">
        <v>1312201920</v>
      </c>
      <c r="B49" t="s">
        <v>452</v>
      </c>
      <c r="C49" s="169">
        <v>-2174130</v>
      </c>
      <c r="D49" s="169">
        <v>-2676112.91</v>
      </c>
      <c r="E49">
        <f>VLOOKUP(A:A,הכנסות!B:B,1,0)</f>
        <v>1312201920</v>
      </c>
    </row>
    <row r="50" spans="1:5">
      <c r="A50">
        <v>1312201923</v>
      </c>
      <c r="B50" t="s">
        <v>1685</v>
      </c>
      <c r="C50" s="169">
        <v>0</v>
      </c>
      <c r="D50" s="169">
        <v>-89.1</v>
      </c>
      <c r="E50" t="e">
        <f>VLOOKUP(A:A,הכנסות!B:B,1,0)</f>
        <v>#N/A</v>
      </c>
    </row>
    <row r="51" spans="1:5">
      <c r="A51">
        <v>1312202920</v>
      </c>
      <c r="B51" t="s">
        <v>1686</v>
      </c>
      <c r="C51" s="169">
        <v>-228390</v>
      </c>
      <c r="D51" s="169">
        <v>-48000</v>
      </c>
      <c r="E51">
        <f>VLOOKUP(A:A,הכנסות!B:B,1,0)</f>
        <v>1312202920</v>
      </c>
    </row>
    <row r="52" spans="1:5">
      <c r="A52">
        <v>1312203920</v>
      </c>
      <c r="B52" t="s">
        <v>1687</v>
      </c>
      <c r="C52" s="169">
        <v>0</v>
      </c>
      <c r="D52" s="169">
        <v>0</v>
      </c>
      <c r="E52" t="e">
        <f>VLOOKUP(A:A,הכנסות!B:B,1,0)</f>
        <v>#N/A</v>
      </c>
    </row>
    <row r="53" spans="1:5">
      <c r="A53">
        <v>1312300410</v>
      </c>
      <c r="B53" t="s">
        <v>453</v>
      </c>
      <c r="C53" s="169">
        <v>-30820</v>
      </c>
      <c r="D53" s="169">
        <v>0</v>
      </c>
      <c r="E53">
        <f>VLOOKUP(A:A,הכנסות!B:B,1,0)</f>
        <v>1312300410</v>
      </c>
    </row>
    <row r="54" spans="1:5">
      <c r="A54">
        <v>1312300920</v>
      </c>
      <c r="B54" t="s">
        <v>454</v>
      </c>
      <c r="C54" s="169">
        <v>-2057510</v>
      </c>
      <c r="D54" s="169">
        <v>-4050657.88</v>
      </c>
      <c r="E54">
        <f>VLOOKUP(A:A,הכנסות!B:B,1,0)</f>
        <v>1312300920</v>
      </c>
    </row>
    <row r="55" spans="1:5">
      <c r="A55">
        <v>1312300923</v>
      </c>
      <c r="B55" t="s">
        <v>455</v>
      </c>
      <c r="C55" s="169">
        <v>0</v>
      </c>
      <c r="D55" s="169">
        <v>0</v>
      </c>
      <c r="E55" t="e">
        <f>VLOOKUP(A:A,הכנסות!B:B,1,0)</f>
        <v>#N/A</v>
      </c>
    </row>
    <row r="56" spans="1:5">
      <c r="A56">
        <v>1312300929</v>
      </c>
      <c r="B56" t="s">
        <v>456</v>
      </c>
      <c r="C56" s="169">
        <v>0</v>
      </c>
      <c r="D56" s="169">
        <v>0</v>
      </c>
      <c r="E56" t="e">
        <f>VLOOKUP(A:A,הכנסות!B:B,1,0)</f>
        <v>#N/A</v>
      </c>
    </row>
    <row r="57" spans="1:5">
      <c r="A57">
        <v>1312310920</v>
      </c>
      <c r="B57" t="s">
        <v>1628</v>
      </c>
      <c r="C57" s="169">
        <v>-1332800</v>
      </c>
      <c r="D57" s="169">
        <v>0</v>
      </c>
      <c r="E57">
        <f>VLOOKUP(A:A,הכנסות!B:B,1,0)</f>
        <v>1312310920</v>
      </c>
    </row>
    <row r="58" spans="1:5">
      <c r="A58" s="172">
        <v>1312311920</v>
      </c>
      <c r="B58" s="172" t="s">
        <v>1886</v>
      </c>
      <c r="C58" s="173">
        <v>0</v>
      </c>
      <c r="D58" s="173">
        <v>-451028</v>
      </c>
      <c r="E58">
        <f>VLOOKUP(A:A,הכנסות!B:B,1,0)</f>
        <v>1312311920</v>
      </c>
    </row>
    <row r="59" spans="1:5">
      <c r="A59">
        <v>1313200410</v>
      </c>
      <c r="B59" t="s">
        <v>457</v>
      </c>
      <c r="C59" s="169">
        <v>-8330</v>
      </c>
      <c r="D59" s="169">
        <v>0</v>
      </c>
      <c r="E59">
        <f>VLOOKUP(A:A,הכנסות!B:B,1,0)</f>
        <v>1313200410</v>
      </c>
    </row>
    <row r="60" spans="1:5">
      <c r="A60">
        <v>1313200920</v>
      </c>
      <c r="B60" t="s">
        <v>458</v>
      </c>
      <c r="C60" s="169">
        <v>-83300</v>
      </c>
      <c r="D60" s="169">
        <v>-114910.31</v>
      </c>
      <c r="E60">
        <f>VLOOKUP(A:A,הכנסות!B:B,1,0)</f>
        <v>1313200920</v>
      </c>
    </row>
    <row r="61" spans="1:5">
      <c r="A61">
        <v>1313200921</v>
      </c>
      <c r="B61" t="s">
        <v>459</v>
      </c>
      <c r="C61" s="169">
        <v>-1874250</v>
      </c>
      <c r="D61" s="169">
        <v>-1939886.07</v>
      </c>
      <c r="E61">
        <f>VLOOKUP(A:A,הכנסות!B:B,1,0)</f>
        <v>1313200921</v>
      </c>
    </row>
    <row r="62" spans="1:5">
      <c r="A62">
        <v>1313200922</v>
      </c>
      <c r="B62" t="s">
        <v>455</v>
      </c>
      <c r="C62" s="169">
        <v>-159940</v>
      </c>
      <c r="D62" s="169">
        <v>-225602.41</v>
      </c>
      <c r="E62">
        <f>VLOOKUP(A:A,הכנסות!B:B,1,0)</f>
        <v>1313200922</v>
      </c>
    </row>
    <row r="63" spans="1:5">
      <c r="A63">
        <v>1313200925</v>
      </c>
      <c r="B63" t="s">
        <v>460</v>
      </c>
      <c r="C63" s="169">
        <v>0</v>
      </c>
      <c r="D63" s="169">
        <v>-74174.710000000006</v>
      </c>
      <c r="E63">
        <f>VLOOKUP(A:A,הכנסות!B:B,1,0)</f>
        <v>1313200925</v>
      </c>
    </row>
    <row r="64" spans="1:5">
      <c r="A64">
        <v>1313200927</v>
      </c>
      <c r="B64" t="s">
        <v>461</v>
      </c>
      <c r="C64" s="169">
        <v>0</v>
      </c>
      <c r="D64" s="169">
        <v>0</v>
      </c>
      <c r="E64" t="e">
        <f>VLOOKUP(A:A,הכנסות!B:B,1,0)</f>
        <v>#N/A</v>
      </c>
    </row>
    <row r="65" spans="1:5">
      <c r="A65">
        <v>1313200990</v>
      </c>
      <c r="B65" t="s">
        <v>1650</v>
      </c>
      <c r="C65" s="169">
        <v>-249900</v>
      </c>
      <c r="D65" s="169">
        <v>-96995</v>
      </c>
      <c r="E65">
        <f>VLOOKUP(A:A,הכנסות!B:B,1,0)</f>
        <v>1313200990</v>
      </c>
    </row>
    <row r="66" spans="1:5">
      <c r="A66">
        <v>1313201920</v>
      </c>
      <c r="B66" t="s">
        <v>1688</v>
      </c>
      <c r="C66" s="169">
        <v>-63310</v>
      </c>
      <c r="D66" s="169">
        <v>0</v>
      </c>
      <c r="E66">
        <f>VLOOKUP(A:A,הכנסות!B:B,1,0)</f>
        <v>1313201920</v>
      </c>
    </row>
    <row r="67" spans="1:5">
      <c r="A67">
        <v>1313210420</v>
      </c>
      <c r="B67" t="s">
        <v>462</v>
      </c>
      <c r="C67" s="169">
        <v>0</v>
      </c>
      <c r="D67" s="169">
        <v>0</v>
      </c>
      <c r="E67" t="e">
        <f>VLOOKUP(A:A,הכנסות!B:B,1,0)</f>
        <v>#N/A</v>
      </c>
    </row>
    <row r="68" spans="1:5">
      <c r="A68">
        <v>1313210920</v>
      </c>
      <c r="B68" t="s">
        <v>463</v>
      </c>
      <c r="C68" s="169">
        <v>0</v>
      </c>
      <c r="D68" s="169">
        <v>0</v>
      </c>
      <c r="E68" t="e">
        <f>VLOOKUP(A:A,הכנסות!B:B,1,0)</f>
        <v>#N/A</v>
      </c>
    </row>
    <row r="69" spans="1:5">
      <c r="A69">
        <v>1313210921</v>
      </c>
      <c r="B69" t="s">
        <v>464</v>
      </c>
      <c r="C69" s="169">
        <v>-66640</v>
      </c>
      <c r="D69" s="169">
        <v>0</v>
      </c>
      <c r="E69">
        <f>VLOOKUP(A:A,הכנסות!B:B,1,0)</f>
        <v>1313210921</v>
      </c>
    </row>
    <row r="70" spans="1:5">
      <c r="A70">
        <v>1313210922</v>
      </c>
      <c r="B70" t="s">
        <v>465</v>
      </c>
      <c r="C70" s="169">
        <v>-14160</v>
      </c>
      <c r="D70" s="169">
        <v>0</v>
      </c>
      <c r="E70">
        <f>VLOOKUP(A:A,הכנסות!B:B,1,0)</f>
        <v>1313210922</v>
      </c>
    </row>
    <row r="71" spans="1:5">
      <c r="A71">
        <v>1313210923</v>
      </c>
      <c r="B71" t="s">
        <v>466</v>
      </c>
      <c r="C71" s="169">
        <v>0</v>
      </c>
      <c r="D71" s="169">
        <v>0</v>
      </c>
      <c r="E71" t="e">
        <f>VLOOKUP(A:A,הכנסות!B:B,1,0)</f>
        <v>#N/A</v>
      </c>
    </row>
    <row r="72" spans="1:5">
      <c r="A72">
        <v>1313210924</v>
      </c>
      <c r="B72" t="s">
        <v>467</v>
      </c>
      <c r="C72" s="169">
        <v>-14990</v>
      </c>
      <c r="D72" s="169">
        <v>0</v>
      </c>
      <c r="E72">
        <f>VLOOKUP(A:A,הכנסות!B:B,1,0)</f>
        <v>1313210924</v>
      </c>
    </row>
    <row r="73" spans="1:5">
      <c r="A73">
        <v>1313210925</v>
      </c>
      <c r="B73" t="s">
        <v>468</v>
      </c>
      <c r="C73" s="169">
        <v>-257400</v>
      </c>
      <c r="D73" s="169">
        <v>0</v>
      </c>
      <c r="E73">
        <f>VLOOKUP(A:A,הכנסות!B:B,1,0)</f>
        <v>1313210925</v>
      </c>
    </row>
    <row r="74" spans="1:5">
      <c r="A74">
        <v>1313210926</v>
      </c>
      <c r="B74" t="s">
        <v>469</v>
      </c>
      <c r="C74" s="169">
        <v>0</v>
      </c>
      <c r="D74" s="169">
        <v>0</v>
      </c>
      <c r="E74">
        <f>VLOOKUP(A:A,הכנסות!B:B,1,0)</f>
        <v>1313210926</v>
      </c>
    </row>
    <row r="75" spans="1:5">
      <c r="A75">
        <v>1313210927</v>
      </c>
      <c r="B75" t="s">
        <v>1689</v>
      </c>
      <c r="C75" s="169">
        <v>0</v>
      </c>
      <c r="D75" s="169">
        <v>0</v>
      </c>
      <c r="E75" t="e">
        <f>VLOOKUP(A:A,הכנסות!B:B,1,0)</f>
        <v>#N/A</v>
      </c>
    </row>
    <row r="76" spans="1:5">
      <c r="A76">
        <v>1313210928</v>
      </c>
      <c r="B76" t="s">
        <v>1690</v>
      </c>
      <c r="C76" s="169">
        <v>0</v>
      </c>
      <c r="D76" s="169">
        <v>4691.66</v>
      </c>
      <c r="E76" t="e">
        <f>VLOOKUP(A:A,הכנסות!B:B,1,0)</f>
        <v>#N/A</v>
      </c>
    </row>
    <row r="77" spans="1:5">
      <c r="A77">
        <v>1313210929</v>
      </c>
      <c r="B77" t="s">
        <v>470</v>
      </c>
      <c r="C77" s="169">
        <v>-133280</v>
      </c>
      <c r="D77" s="169">
        <v>-96376.14</v>
      </c>
      <c r="E77">
        <f>VLOOKUP(A:A,הכנסות!B:B,1,0)</f>
        <v>1313210929</v>
      </c>
    </row>
    <row r="78" spans="1:5">
      <c r="A78">
        <v>1313220420</v>
      </c>
      <c r="B78" t="s">
        <v>471</v>
      </c>
      <c r="C78" s="169">
        <v>0</v>
      </c>
      <c r="D78" s="169">
        <v>-540</v>
      </c>
      <c r="E78">
        <f>VLOOKUP(A:A,הכנסות!B:B,1,0)</f>
        <v>1313220420</v>
      </c>
    </row>
    <row r="79" spans="1:5">
      <c r="A79">
        <v>1313220740</v>
      </c>
      <c r="B79" t="s">
        <v>472</v>
      </c>
      <c r="C79" s="169">
        <v>0</v>
      </c>
      <c r="D79" s="169">
        <v>0</v>
      </c>
      <c r="E79" t="e">
        <f>VLOOKUP(A:A,הכנסות!B:B,1,0)</f>
        <v>#N/A</v>
      </c>
    </row>
    <row r="80" spans="1:5">
      <c r="A80">
        <v>1313220920</v>
      </c>
      <c r="B80" t="s">
        <v>473</v>
      </c>
      <c r="C80" s="169">
        <v>0</v>
      </c>
      <c r="D80" s="169">
        <v>0</v>
      </c>
      <c r="E80" t="e">
        <f>VLOOKUP(A:A,הכנסות!B:B,1,0)</f>
        <v>#N/A</v>
      </c>
    </row>
    <row r="81" spans="1:5">
      <c r="A81">
        <v>1313220921</v>
      </c>
      <c r="B81" t="s">
        <v>474</v>
      </c>
      <c r="C81" s="169">
        <v>-66640</v>
      </c>
      <c r="D81" s="169">
        <v>-283915.14</v>
      </c>
      <c r="E81">
        <f>VLOOKUP(A:A,הכנסות!B:B,1,0)</f>
        <v>1313220921</v>
      </c>
    </row>
    <row r="82" spans="1:5">
      <c r="A82">
        <v>1313220922</v>
      </c>
      <c r="B82" t="s">
        <v>475</v>
      </c>
      <c r="C82" s="169">
        <v>-14160</v>
      </c>
      <c r="D82" s="169">
        <v>0</v>
      </c>
      <c r="E82">
        <f>VLOOKUP(A:A,הכנסות!B:B,1,0)</f>
        <v>1313220922</v>
      </c>
    </row>
    <row r="83" spans="1:5">
      <c r="A83">
        <v>1313220923</v>
      </c>
      <c r="B83" t="s">
        <v>476</v>
      </c>
      <c r="C83" s="169">
        <v>0</v>
      </c>
      <c r="D83" s="169">
        <v>0</v>
      </c>
      <c r="E83" t="e">
        <f>VLOOKUP(A:A,הכנסות!B:B,1,0)</f>
        <v>#N/A</v>
      </c>
    </row>
    <row r="84" spans="1:5">
      <c r="A84">
        <v>1313220924</v>
      </c>
      <c r="B84" t="s">
        <v>477</v>
      </c>
      <c r="C84" s="169">
        <v>0</v>
      </c>
      <c r="D84" s="169">
        <v>0</v>
      </c>
      <c r="E84" t="e">
        <f>VLOOKUP(A:A,הכנסות!B:B,1,0)</f>
        <v>#N/A</v>
      </c>
    </row>
    <row r="85" spans="1:5">
      <c r="A85">
        <v>1313220925</v>
      </c>
      <c r="B85" t="s">
        <v>478</v>
      </c>
      <c r="C85" s="169">
        <v>-237410</v>
      </c>
      <c r="D85" s="169">
        <v>0</v>
      </c>
      <c r="E85">
        <f>VLOOKUP(A:A,הכנסות!B:B,1,0)</f>
        <v>1313220925</v>
      </c>
    </row>
    <row r="86" spans="1:5">
      <c r="A86">
        <v>1313220926</v>
      </c>
      <c r="B86" t="s">
        <v>469</v>
      </c>
      <c r="C86" s="169">
        <v>0</v>
      </c>
      <c r="D86" s="169">
        <v>0</v>
      </c>
      <c r="E86" t="e">
        <f>VLOOKUP(A:A,הכנסות!B:B,1,0)</f>
        <v>#N/A</v>
      </c>
    </row>
    <row r="87" spans="1:5">
      <c r="A87">
        <v>1313220929</v>
      </c>
      <c r="B87" t="s">
        <v>479</v>
      </c>
      <c r="C87" s="169">
        <v>-45820</v>
      </c>
      <c r="D87" s="169">
        <v>-219371.92</v>
      </c>
      <c r="E87">
        <f>VLOOKUP(A:A,הכנסות!B:B,1,0)</f>
        <v>1313220929</v>
      </c>
    </row>
    <row r="88" spans="1:5">
      <c r="A88">
        <v>1313230420</v>
      </c>
      <c r="B88" t="s">
        <v>480</v>
      </c>
      <c r="C88" s="169">
        <v>0</v>
      </c>
      <c r="D88" s="169">
        <v>-1620</v>
      </c>
      <c r="E88">
        <f>VLOOKUP(A:A,הכנסות!B:B,1,0)</f>
        <v>1313230420</v>
      </c>
    </row>
    <row r="89" spans="1:5">
      <c r="A89">
        <v>1313230920</v>
      </c>
      <c r="B89" t="s">
        <v>481</v>
      </c>
      <c r="C89" s="169">
        <v>0</v>
      </c>
      <c r="D89" s="169">
        <v>0</v>
      </c>
      <c r="E89" t="e">
        <f>VLOOKUP(A:A,הכנסות!B:B,1,0)</f>
        <v>#N/A</v>
      </c>
    </row>
    <row r="90" spans="1:5">
      <c r="A90">
        <v>1313230921</v>
      </c>
      <c r="B90" t="s">
        <v>482</v>
      </c>
      <c r="C90" s="169">
        <v>-66640</v>
      </c>
      <c r="D90" s="169">
        <v>0</v>
      </c>
      <c r="E90">
        <f>VLOOKUP(A:A,הכנסות!B:B,1,0)</f>
        <v>1313230921</v>
      </c>
    </row>
    <row r="91" spans="1:5">
      <c r="A91">
        <v>1313230922</v>
      </c>
      <c r="B91" t="s">
        <v>483</v>
      </c>
      <c r="C91" s="169">
        <v>-14160</v>
      </c>
      <c r="D91" s="169">
        <v>0</v>
      </c>
      <c r="E91">
        <f>VLOOKUP(A:A,הכנסות!B:B,1,0)</f>
        <v>1313230922</v>
      </c>
    </row>
    <row r="92" spans="1:5">
      <c r="A92">
        <v>1313230923</v>
      </c>
      <c r="B92" t="s">
        <v>484</v>
      </c>
      <c r="C92" s="169">
        <v>0</v>
      </c>
      <c r="D92" s="169">
        <v>0</v>
      </c>
      <c r="E92" t="e">
        <f>VLOOKUP(A:A,הכנסות!B:B,1,0)</f>
        <v>#N/A</v>
      </c>
    </row>
    <row r="93" spans="1:5">
      <c r="A93">
        <v>1313230924</v>
      </c>
      <c r="B93" t="s">
        <v>485</v>
      </c>
      <c r="C93" s="169">
        <v>0</v>
      </c>
      <c r="D93" s="169">
        <v>0</v>
      </c>
      <c r="E93" t="e">
        <f>VLOOKUP(A:A,הכנסות!B:B,1,0)</f>
        <v>#N/A</v>
      </c>
    </row>
    <row r="94" spans="1:5">
      <c r="A94">
        <v>1313230925</v>
      </c>
      <c r="B94" t="s">
        <v>486</v>
      </c>
      <c r="C94" s="169">
        <v>-433160</v>
      </c>
      <c r="D94" s="169">
        <v>-1100155.93</v>
      </c>
      <c r="E94">
        <f>VLOOKUP(A:A,הכנסות!B:B,1,0)</f>
        <v>1313230925</v>
      </c>
    </row>
    <row r="95" spans="1:5">
      <c r="A95">
        <v>1313230926</v>
      </c>
      <c r="B95" t="s">
        <v>469</v>
      </c>
      <c r="C95" s="169">
        <v>0</v>
      </c>
      <c r="D95" s="169">
        <v>0</v>
      </c>
      <c r="E95">
        <f>VLOOKUP(A:A,הכנסות!B:B,1,0)</f>
        <v>1313230926</v>
      </c>
    </row>
    <row r="96" spans="1:5">
      <c r="A96">
        <v>1313230929</v>
      </c>
      <c r="B96" t="s">
        <v>487</v>
      </c>
      <c r="C96" s="169">
        <v>-33320</v>
      </c>
      <c r="D96" s="169">
        <v>0</v>
      </c>
      <c r="E96">
        <f>VLOOKUP(A:A,הכנסות!B:B,1,0)</f>
        <v>1313230929</v>
      </c>
    </row>
    <row r="97" spans="1:5">
      <c r="A97">
        <v>1313240920</v>
      </c>
      <c r="B97" t="s">
        <v>488</v>
      </c>
      <c r="C97" s="169">
        <v>0</v>
      </c>
      <c r="D97" s="169">
        <v>0</v>
      </c>
      <c r="E97" t="e">
        <f>VLOOKUP(A:A,הכנסות!B:B,1,0)</f>
        <v>#N/A</v>
      </c>
    </row>
    <row r="98" spans="1:5">
      <c r="A98">
        <v>1313240921</v>
      </c>
      <c r="B98" t="s">
        <v>489</v>
      </c>
      <c r="C98" s="169">
        <v>-33320</v>
      </c>
      <c r="D98" s="169">
        <v>0</v>
      </c>
      <c r="E98">
        <f>VLOOKUP(A:A,הכנסות!B:B,1,0)</f>
        <v>1313240921</v>
      </c>
    </row>
    <row r="99" spans="1:5">
      <c r="A99">
        <v>1313240922</v>
      </c>
      <c r="B99" t="s">
        <v>490</v>
      </c>
      <c r="C99" s="169">
        <v>-10830</v>
      </c>
      <c r="D99" s="169">
        <v>0</v>
      </c>
      <c r="E99">
        <f>VLOOKUP(A:A,הכנסות!B:B,1,0)</f>
        <v>1313240922</v>
      </c>
    </row>
    <row r="100" spans="1:5">
      <c r="A100">
        <v>1313300210</v>
      </c>
      <c r="B100" t="s">
        <v>491</v>
      </c>
      <c r="C100" s="169">
        <v>0</v>
      </c>
      <c r="D100" s="169">
        <v>-20890.75</v>
      </c>
      <c r="E100">
        <f>VLOOKUP(A:A,הכנסות!B:B,1,0)</f>
        <v>1313300210</v>
      </c>
    </row>
    <row r="101" spans="1:5">
      <c r="A101">
        <v>1313300690</v>
      </c>
      <c r="B101" t="s">
        <v>492</v>
      </c>
      <c r="C101" s="169">
        <v>0</v>
      </c>
      <c r="D101" s="169">
        <v>0</v>
      </c>
      <c r="E101" t="e">
        <f>VLOOKUP(A:A,הכנסות!B:B,1,0)</f>
        <v>#N/A</v>
      </c>
    </row>
    <row r="102" spans="1:5">
      <c r="A102">
        <v>1313300790</v>
      </c>
      <c r="B102" t="s">
        <v>493</v>
      </c>
      <c r="C102" s="169">
        <v>0</v>
      </c>
      <c r="D102" s="169">
        <v>0</v>
      </c>
      <c r="E102" t="e">
        <f>VLOOKUP(A:A,הכנסות!B:B,1,0)</f>
        <v>#N/A</v>
      </c>
    </row>
    <row r="103" spans="1:5">
      <c r="A103">
        <v>1313300920</v>
      </c>
      <c r="B103" t="s">
        <v>494</v>
      </c>
      <c r="C103" s="169">
        <v>-62480</v>
      </c>
      <c r="D103" s="169">
        <v>-187846.25</v>
      </c>
      <c r="E103">
        <f>VLOOKUP(A:A,הכנסות!B:B,1,0)</f>
        <v>1313300920</v>
      </c>
    </row>
    <row r="104" spans="1:5">
      <c r="A104">
        <v>1313300921</v>
      </c>
      <c r="B104" t="s">
        <v>495</v>
      </c>
      <c r="C104" s="169">
        <v>-54150</v>
      </c>
      <c r="D104" s="169">
        <v>0</v>
      </c>
      <c r="E104">
        <f>VLOOKUP(A:A,הכנסות!B:B,1,0)</f>
        <v>1313300921</v>
      </c>
    </row>
    <row r="105" spans="1:5">
      <c r="A105">
        <v>1313300922</v>
      </c>
      <c r="B105" t="s">
        <v>496</v>
      </c>
      <c r="C105" s="169">
        <v>-14160</v>
      </c>
      <c r="D105" s="169">
        <v>0</v>
      </c>
      <c r="E105">
        <f>VLOOKUP(A:A,הכנסות!B:B,1,0)</f>
        <v>1313300922</v>
      </c>
    </row>
    <row r="106" spans="1:5">
      <c r="A106">
        <v>1313300923</v>
      </c>
      <c r="B106" t="s">
        <v>497</v>
      </c>
      <c r="C106" s="169">
        <v>0</v>
      </c>
      <c r="D106" s="169">
        <v>0</v>
      </c>
      <c r="E106">
        <f>VLOOKUP(A:A,הכנסות!B:B,1,0)</f>
        <v>1313300923</v>
      </c>
    </row>
    <row r="107" spans="1:5">
      <c r="A107">
        <v>1313300924</v>
      </c>
      <c r="B107" t="s">
        <v>498</v>
      </c>
      <c r="C107" s="169">
        <v>0</v>
      </c>
      <c r="D107" s="169">
        <v>0</v>
      </c>
      <c r="E107">
        <f>VLOOKUP(A:A,הכנסות!B:B,1,0)</f>
        <v>1313300924</v>
      </c>
    </row>
    <row r="108" spans="1:5">
      <c r="A108">
        <v>1313300925</v>
      </c>
      <c r="B108" t="s">
        <v>499</v>
      </c>
      <c r="C108" s="169">
        <v>-316540</v>
      </c>
      <c r="D108" s="169">
        <v>-134076.5</v>
      </c>
      <c r="E108">
        <f>VLOOKUP(A:A,הכנסות!B:B,1,0)</f>
        <v>1313300925</v>
      </c>
    </row>
    <row r="109" spans="1:5">
      <c r="A109">
        <v>1313300926</v>
      </c>
      <c r="B109" t="s">
        <v>500</v>
      </c>
      <c r="C109" s="169">
        <v>0</v>
      </c>
      <c r="D109" s="169">
        <v>0</v>
      </c>
      <c r="E109" t="e">
        <f>VLOOKUP(A:A,הכנסות!B:B,1,0)</f>
        <v>#N/A</v>
      </c>
    </row>
    <row r="110" spans="1:5">
      <c r="A110">
        <v>1313300929</v>
      </c>
      <c r="B110" t="s">
        <v>501</v>
      </c>
      <c r="C110" s="169">
        <v>-133280</v>
      </c>
      <c r="D110" s="169">
        <v>-33953.4</v>
      </c>
      <c r="E110">
        <f>VLOOKUP(A:A,הכנסות!B:B,1,0)</f>
        <v>1313300929</v>
      </c>
    </row>
    <row r="111" spans="1:5">
      <c r="A111">
        <v>1313600420</v>
      </c>
      <c r="B111" t="s">
        <v>1691</v>
      </c>
      <c r="C111" s="169">
        <v>0</v>
      </c>
      <c r="D111" s="169">
        <v>-8859.92</v>
      </c>
      <c r="E111">
        <f>VLOOKUP(A:A,הכנסות!B:B,1,0)</f>
        <v>1313600420</v>
      </c>
    </row>
    <row r="112" spans="1:5">
      <c r="A112">
        <v>1313800920</v>
      </c>
      <c r="B112" t="s">
        <v>1692</v>
      </c>
      <c r="C112" s="169">
        <v>-499800</v>
      </c>
      <c r="D112" s="169">
        <v>-625416</v>
      </c>
      <c r="E112">
        <f>VLOOKUP(A:A,הכנסות!B:B,1,0)</f>
        <v>1313800920</v>
      </c>
    </row>
    <row r="113" spans="1:5">
      <c r="A113">
        <v>1314000420</v>
      </c>
      <c r="B113" t="s">
        <v>480</v>
      </c>
      <c r="C113" s="169">
        <v>0</v>
      </c>
      <c r="D113" s="169">
        <v>0</v>
      </c>
      <c r="E113">
        <f>VLOOKUP(A:A,הכנסות!B:B,1,0)</f>
        <v>1314000420</v>
      </c>
    </row>
    <row r="114" spans="1:5">
      <c r="A114">
        <v>1314000920</v>
      </c>
      <c r="B114" t="s">
        <v>502</v>
      </c>
      <c r="C114" s="169">
        <v>-1749300</v>
      </c>
      <c r="D114" s="169">
        <v>-1780215.18</v>
      </c>
      <c r="E114">
        <f>VLOOKUP(A:A,הכנסות!B:B,1,0)</f>
        <v>1314000920</v>
      </c>
    </row>
    <row r="115" spans="1:5">
      <c r="A115">
        <v>1314000921</v>
      </c>
      <c r="B115" t="s">
        <v>503</v>
      </c>
      <c r="C115" s="169">
        <v>0</v>
      </c>
      <c r="D115" s="169">
        <v>0</v>
      </c>
      <c r="E115" t="e">
        <f>VLOOKUP(A:A,הכנסות!B:B,1,0)</f>
        <v>#N/A</v>
      </c>
    </row>
    <row r="116" spans="1:5">
      <c r="A116">
        <v>1314000922</v>
      </c>
      <c r="B116" t="s">
        <v>504</v>
      </c>
      <c r="C116" s="169">
        <v>0</v>
      </c>
      <c r="D116" s="169">
        <v>0</v>
      </c>
      <c r="E116">
        <f>VLOOKUP(A:A,הכנסות!B:B,1,0)</f>
        <v>1314000922</v>
      </c>
    </row>
    <row r="117" spans="1:5">
      <c r="A117">
        <v>1314000923</v>
      </c>
      <c r="B117" t="s">
        <v>505</v>
      </c>
      <c r="C117" s="169">
        <v>0</v>
      </c>
      <c r="D117" s="169">
        <v>0</v>
      </c>
      <c r="E117" t="e">
        <f>VLOOKUP(A:A,הכנסות!B:B,1,0)</f>
        <v>#N/A</v>
      </c>
    </row>
    <row r="118" spans="1:5">
      <c r="A118">
        <v>1314000924</v>
      </c>
      <c r="B118" t="s">
        <v>506</v>
      </c>
      <c r="C118" s="169">
        <v>-24990</v>
      </c>
      <c r="D118" s="169">
        <v>-59113.93</v>
      </c>
      <c r="E118">
        <f>VLOOKUP(A:A,הכנסות!B:B,1,0)</f>
        <v>1314000924</v>
      </c>
    </row>
    <row r="119" spans="1:5">
      <c r="A119">
        <v>1314001920</v>
      </c>
      <c r="B119" t="s">
        <v>507</v>
      </c>
      <c r="C119" s="169">
        <v>0</v>
      </c>
      <c r="D119" s="169">
        <v>0</v>
      </c>
      <c r="E119" t="e">
        <f>VLOOKUP(A:A,הכנסות!B:B,1,0)</f>
        <v>#N/A</v>
      </c>
    </row>
    <row r="120" spans="1:5">
      <c r="A120">
        <v>1315200490</v>
      </c>
      <c r="B120" t="s">
        <v>508</v>
      </c>
      <c r="C120" s="169">
        <v>0</v>
      </c>
      <c r="D120" s="169">
        <v>0</v>
      </c>
      <c r="E120">
        <f>VLOOKUP(A:A,הכנסות!B:B,1,0)</f>
        <v>1315200490</v>
      </c>
    </row>
    <row r="121" spans="1:5">
      <c r="A121">
        <v>1315200920</v>
      </c>
      <c r="B121" t="s">
        <v>509</v>
      </c>
      <c r="C121" s="169">
        <v>-2690590</v>
      </c>
      <c r="D121" s="169">
        <v>-3377960.02</v>
      </c>
      <c r="E121">
        <f>VLOOKUP(A:A,הכנסות!B:B,1,0)</f>
        <v>1315200920</v>
      </c>
    </row>
    <row r="122" spans="1:5">
      <c r="A122">
        <v>1315200921</v>
      </c>
      <c r="B122" t="s">
        <v>510</v>
      </c>
      <c r="C122" s="169">
        <v>-3330</v>
      </c>
      <c r="D122" s="169">
        <v>-2698.78</v>
      </c>
      <c r="E122">
        <f>VLOOKUP(A:A,הכנסות!B:B,1,0)</f>
        <v>1315200921</v>
      </c>
    </row>
    <row r="123" spans="1:5">
      <c r="A123">
        <v>1315200922</v>
      </c>
      <c r="B123" t="s">
        <v>511</v>
      </c>
      <c r="C123" s="169">
        <v>-12500</v>
      </c>
      <c r="D123" s="169">
        <v>-11064.8</v>
      </c>
      <c r="E123">
        <f>VLOOKUP(A:A,הכנסות!B:B,1,0)</f>
        <v>1315200922</v>
      </c>
    </row>
    <row r="124" spans="1:5">
      <c r="A124">
        <v>1315200923</v>
      </c>
      <c r="B124" t="s">
        <v>512</v>
      </c>
      <c r="C124" s="169">
        <v>-49980</v>
      </c>
      <c r="D124" s="169">
        <v>0</v>
      </c>
      <c r="E124">
        <f>VLOOKUP(A:A,הכנסות!B:B,1,0)</f>
        <v>1315200923</v>
      </c>
    </row>
    <row r="125" spans="1:5">
      <c r="A125">
        <v>1315200924</v>
      </c>
      <c r="B125" t="s">
        <v>506</v>
      </c>
      <c r="C125" s="169">
        <v>-4170</v>
      </c>
      <c r="D125" s="169">
        <v>207.9</v>
      </c>
      <c r="E125">
        <f>VLOOKUP(A:A,הכנסות!B:B,1,0)</f>
        <v>1315200924</v>
      </c>
    </row>
    <row r="126" spans="1:5">
      <c r="A126">
        <v>1315200925</v>
      </c>
      <c r="B126" t="s">
        <v>513</v>
      </c>
      <c r="C126" s="169">
        <v>-354030</v>
      </c>
      <c r="D126" s="169">
        <v>-349736.93</v>
      </c>
      <c r="E126">
        <f>VLOOKUP(A:A,הכנסות!B:B,1,0)</f>
        <v>1315200925</v>
      </c>
    </row>
    <row r="127" spans="1:5">
      <c r="A127">
        <v>1315200926</v>
      </c>
      <c r="B127" t="s">
        <v>514</v>
      </c>
      <c r="C127" s="169">
        <v>-10000</v>
      </c>
      <c r="D127" s="169">
        <v>-2694.6</v>
      </c>
      <c r="E127">
        <f>VLOOKUP(A:A,הכנסות!B:B,1,0)</f>
        <v>1315200926</v>
      </c>
    </row>
    <row r="128" spans="1:5">
      <c r="A128">
        <v>1315200927</v>
      </c>
      <c r="B128" t="s">
        <v>455</v>
      </c>
      <c r="C128" s="169">
        <v>0</v>
      </c>
      <c r="D128" s="169">
        <v>0</v>
      </c>
      <c r="E128">
        <f>VLOOKUP(A:A,הכנסות!B:B,1,0)</f>
        <v>1315200927</v>
      </c>
    </row>
    <row r="129" spans="1:5">
      <c r="A129">
        <v>1315200928</v>
      </c>
      <c r="B129" t="s">
        <v>515</v>
      </c>
      <c r="C129" s="169">
        <v>-1670</v>
      </c>
      <c r="D129" s="169">
        <v>60</v>
      </c>
      <c r="E129">
        <f>VLOOKUP(A:A,הכנסות!B:B,1,0)</f>
        <v>1315200928</v>
      </c>
    </row>
    <row r="130" spans="1:5">
      <c r="A130">
        <v>1315200929</v>
      </c>
      <c r="B130" t="s">
        <v>516</v>
      </c>
      <c r="C130" s="169">
        <v>0</v>
      </c>
      <c r="D130" s="169">
        <v>0</v>
      </c>
      <c r="E130">
        <f>VLOOKUP(A:A,הכנסות!B:B,1,0)</f>
        <v>1315200929</v>
      </c>
    </row>
    <row r="131" spans="1:5">
      <c r="A131">
        <v>1315201920</v>
      </c>
      <c r="B131" t="s">
        <v>517</v>
      </c>
      <c r="C131" s="169">
        <v>-4723110</v>
      </c>
      <c r="D131" s="169">
        <v>-4527490.8600000003</v>
      </c>
      <c r="E131">
        <f>VLOOKUP(A:A,הכנסות!B:B,1,0)</f>
        <v>1315201920</v>
      </c>
    </row>
    <row r="132" spans="1:5">
      <c r="A132">
        <v>1315201921</v>
      </c>
      <c r="B132" t="s">
        <v>461</v>
      </c>
      <c r="C132" s="169">
        <v>0</v>
      </c>
      <c r="D132" s="169">
        <v>0</v>
      </c>
      <c r="E132">
        <f>VLOOKUP(A:A,הכנסות!B:B,1,0)</f>
        <v>1315201921</v>
      </c>
    </row>
    <row r="133" spans="1:5">
      <c r="A133">
        <v>1315202920</v>
      </c>
      <c r="B133" t="s">
        <v>518</v>
      </c>
      <c r="C133" s="169">
        <v>-272390</v>
      </c>
      <c r="D133" s="169">
        <v>-306387.21000000002</v>
      </c>
      <c r="E133">
        <f>VLOOKUP(A:A,הכנסות!B:B,1,0)</f>
        <v>1315202920</v>
      </c>
    </row>
    <row r="134" spans="1:5">
      <c r="A134">
        <v>1315203920</v>
      </c>
      <c r="B134" t="s">
        <v>519</v>
      </c>
      <c r="C134" s="169">
        <v>-5830</v>
      </c>
      <c r="D134" s="169">
        <v>-48382.8</v>
      </c>
      <c r="E134">
        <f>VLOOKUP(A:A,הכנסות!B:B,1,0)</f>
        <v>1315203920</v>
      </c>
    </row>
    <row r="135" spans="1:5">
      <c r="A135">
        <v>1315204920</v>
      </c>
      <c r="B135" t="s">
        <v>520</v>
      </c>
      <c r="C135" s="169">
        <v>0</v>
      </c>
      <c r="D135" s="169">
        <v>0</v>
      </c>
      <c r="E135">
        <f>VLOOKUP(A:A,הכנסות!B:B,1,0)</f>
        <v>1315204920</v>
      </c>
    </row>
    <row r="136" spans="1:5">
      <c r="A136">
        <v>1315205920</v>
      </c>
      <c r="B136" t="s">
        <v>521</v>
      </c>
      <c r="C136" s="169">
        <v>0</v>
      </c>
      <c r="D136" s="169">
        <v>0</v>
      </c>
      <c r="E136" t="e">
        <f>VLOOKUP(A:A,הכנסות!B:B,1,0)</f>
        <v>#N/A</v>
      </c>
    </row>
    <row r="137" spans="1:5">
      <c r="A137">
        <v>1315206920</v>
      </c>
      <c r="B137" t="s">
        <v>522</v>
      </c>
      <c r="C137" s="169">
        <v>-34990</v>
      </c>
      <c r="D137" s="169">
        <v>0</v>
      </c>
      <c r="E137">
        <f>VLOOKUP(A:A,הכנסות!B:B,1,0)</f>
        <v>1315206920</v>
      </c>
    </row>
    <row r="138" spans="1:5">
      <c r="A138">
        <v>1315207420</v>
      </c>
      <c r="B138" t="s">
        <v>480</v>
      </c>
      <c r="C138" s="169">
        <v>0</v>
      </c>
      <c r="D138" s="169">
        <v>0</v>
      </c>
      <c r="E138" t="e">
        <f>VLOOKUP(A:A,הכנסות!B:B,1,0)</f>
        <v>#N/A</v>
      </c>
    </row>
    <row r="139" spans="1:5">
      <c r="A139">
        <v>1315208920</v>
      </c>
      <c r="B139" t="s">
        <v>523</v>
      </c>
      <c r="C139" s="169">
        <v>0</v>
      </c>
      <c r="D139" s="169">
        <v>0</v>
      </c>
      <c r="E139" t="e">
        <f>VLOOKUP(A:A,הכנסות!B:B,1,0)</f>
        <v>#N/A</v>
      </c>
    </row>
    <row r="140" spans="1:5">
      <c r="A140">
        <v>1317100990</v>
      </c>
      <c r="B140" t="s">
        <v>524</v>
      </c>
      <c r="C140" s="169">
        <v>-283220</v>
      </c>
      <c r="D140" s="169">
        <v>-373526.11</v>
      </c>
      <c r="E140">
        <f>VLOOKUP(A:A,הכנסות!B:B,1,0)</f>
        <v>1317100990</v>
      </c>
    </row>
    <row r="141" spans="1:5">
      <c r="A141">
        <v>1317301920</v>
      </c>
      <c r="B141" t="s">
        <v>525</v>
      </c>
      <c r="C141" s="169">
        <v>-584770</v>
      </c>
      <c r="D141" s="169">
        <v>-614557.79</v>
      </c>
      <c r="E141">
        <f>VLOOKUP(A:A,הכנסות!B:B,1,0)</f>
        <v>1317301920</v>
      </c>
    </row>
    <row r="142" spans="1:5">
      <c r="A142">
        <v>1317302920</v>
      </c>
      <c r="B142" t="s">
        <v>526</v>
      </c>
      <c r="C142" s="169">
        <v>-45820</v>
      </c>
      <c r="D142" s="169">
        <v>-33643.199999999997</v>
      </c>
      <c r="E142">
        <f>VLOOKUP(A:A,הכנסות!B:B,1,0)</f>
        <v>1317302920</v>
      </c>
    </row>
    <row r="143" spans="1:5">
      <c r="A143">
        <v>1317610920</v>
      </c>
      <c r="B143" t="s">
        <v>527</v>
      </c>
      <c r="C143" s="169">
        <v>-166600</v>
      </c>
      <c r="D143" s="169">
        <v>-150000</v>
      </c>
      <c r="E143">
        <f>VLOOKUP(A:A,הכנסות!B:B,1,0)</f>
        <v>1317610920</v>
      </c>
    </row>
    <row r="144" spans="1:5">
      <c r="A144">
        <v>1317610921</v>
      </c>
      <c r="B144" t="s">
        <v>528</v>
      </c>
      <c r="C144" s="169">
        <v>0</v>
      </c>
      <c r="D144" s="169">
        <v>0</v>
      </c>
      <c r="E144" t="e">
        <f>VLOOKUP(A:A,הכנסות!B:B,1,0)</f>
        <v>#N/A</v>
      </c>
    </row>
    <row r="145" spans="1:5">
      <c r="A145">
        <v>1317610980</v>
      </c>
      <c r="B145" t="s">
        <v>529</v>
      </c>
      <c r="C145" s="169">
        <v>0</v>
      </c>
      <c r="D145" s="169">
        <v>0</v>
      </c>
      <c r="E145" t="e">
        <f>VLOOKUP(A:A,הכנסות!B:B,1,0)</f>
        <v>#N/A</v>
      </c>
    </row>
    <row r="146" spans="1:5">
      <c r="A146">
        <v>1317620420</v>
      </c>
      <c r="B146" t="s">
        <v>530</v>
      </c>
      <c r="C146" s="169">
        <v>0</v>
      </c>
      <c r="D146" s="169">
        <v>0</v>
      </c>
      <c r="E146" t="e">
        <f>VLOOKUP(A:A,הכנסות!B:B,1,0)</f>
        <v>#N/A</v>
      </c>
    </row>
    <row r="147" spans="1:5">
      <c r="A147">
        <v>1317620920</v>
      </c>
      <c r="B147" t="s">
        <v>391</v>
      </c>
      <c r="C147" s="169">
        <v>0</v>
      </c>
      <c r="D147" s="169">
        <v>-7644</v>
      </c>
      <c r="E147">
        <f>VLOOKUP(A:A,הכנסות!B:B,1,0)</f>
        <v>1317620920</v>
      </c>
    </row>
    <row r="148" spans="1:5">
      <c r="A148">
        <v>1317630920</v>
      </c>
      <c r="B148" t="s">
        <v>531</v>
      </c>
      <c r="C148" s="169">
        <v>0</v>
      </c>
      <c r="D148" s="169">
        <v>0</v>
      </c>
      <c r="E148" t="e">
        <f>VLOOKUP(A:A,הכנסות!B:B,1,0)</f>
        <v>#N/A</v>
      </c>
    </row>
    <row r="149" spans="1:5">
      <c r="A149">
        <v>1317700410</v>
      </c>
      <c r="B149" t="s">
        <v>532</v>
      </c>
      <c r="C149" s="169">
        <v>0</v>
      </c>
      <c r="D149" s="169">
        <v>0</v>
      </c>
      <c r="E149" t="e">
        <f>VLOOKUP(A:A,הכנסות!B:B,1,0)</f>
        <v>#N/A</v>
      </c>
    </row>
    <row r="150" spans="1:5">
      <c r="A150">
        <v>1317700920</v>
      </c>
      <c r="B150" t="s">
        <v>533</v>
      </c>
      <c r="C150" s="169">
        <v>0</v>
      </c>
      <c r="D150" s="169">
        <v>0</v>
      </c>
      <c r="E150" t="e">
        <f>VLOOKUP(A:A,הכנסות!B:B,1,0)</f>
        <v>#N/A</v>
      </c>
    </row>
    <row r="151" spans="1:5">
      <c r="A151">
        <v>1317701920</v>
      </c>
      <c r="B151" t="s">
        <v>534</v>
      </c>
      <c r="C151" s="169">
        <v>0</v>
      </c>
      <c r="D151" s="169">
        <v>0</v>
      </c>
      <c r="E151" t="e">
        <f>VLOOKUP(A:A,הכנסות!B:B,1,0)</f>
        <v>#N/A</v>
      </c>
    </row>
    <row r="152" spans="1:5">
      <c r="A152">
        <v>1317710920</v>
      </c>
      <c r="B152" t="s">
        <v>535</v>
      </c>
      <c r="C152" s="169">
        <v>-131610</v>
      </c>
      <c r="D152" s="169">
        <v>-145825.43</v>
      </c>
      <c r="E152">
        <f>VLOOKUP(A:A,הכנסות!B:B,1,0)</f>
        <v>1317710920</v>
      </c>
    </row>
    <row r="153" spans="1:5">
      <c r="A153">
        <v>1317720920</v>
      </c>
      <c r="B153" t="s">
        <v>1662</v>
      </c>
      <c r="C153" s="169">
        <v>0</v>
      </c>
      <c r="D153" s="169">
        <v>-41728</v>
      </c>
      <c r="E153">
        <f>VLOOKUP(A:A,הכנסות!B:B,1,0)</f>
        <v>1317720920</v>
      </c>
    </row>
    <row r="154" spans="1:5">
      <c r="A154">
        <v>1317800420</v>
      </c>
      <c r="B154" t="s">
        <v>536</v>
      </c>
      <c r="C154" s="169">
        <v>0</v>
      </c>
      <c r="D154" s="169">
        <v>0</v>
      </c>
      <c r="E154" t="e">
        <f>VLOOKUP(A:A,הכנסות!B:B,1,0)</f>
        <v>#N/A</v>
      </c>
    </row>
    <row r="155" spans="1:5">
      <c r="A155">
        <v>1317800920</v>
      </c>
      <c r="B155" t="s">
        <v>269</v>
      </c>
      <c r="C155" s="169">
        <v>0</v>
      </c>
      <c r="D155" s="169">
        <v>-12819.47</v>
      </c>
      <c r="E155">
        <f>VLOOKUP(A:A,הכנסות!B:B,1,0)</f>
        <v>1317800920</v>
      </c>
    </row>
    <row r="156" spans="1:5">
      <c r="A156">
        <v>1317810920</v>
      </c>
      <c r="B156" t="s">
        <v>537</v>
      </c>
      <c r="C156" s="169">
        <v>-1166200</v>
      </c>
      <c r="D156" s="169">
        <v>-693570.87</v>
      </c>
      <c r="E156">
        <f>VLOOKUP(A:A,הכנסות!B:B,1,0)</f>
        <v>1317810920</v>
      </c>
    </row>
    <row r="157" spans="1:5">
      <c r="A157">
        <v>1317820690</v>
      </c>
      <c r="B157" t="s">
        <v>538</v>
      </c>
      <c r="C157" s="169">
        <v>-1107890</v>
      </c>
      <c r="D157" s="169">
        <v>-700000</v>
      </c>
      <c r="E157">
        <f>VLOOKUP(A:A,הכנסות!B:B,1,0)</f>
        <v>1317820690</v>
      </c>
    </row>
    <row r="158" spans="1:5">
      <c r="A158">
        <v>1317820920</v>
      </c>
      <c r="B158" t="s">
        <v>539</v>
      </c>
      <c r="C158" s="169">
        <v>-512300</v>
      </c>
      <c r="D158" s="169">
        <v>0</v>
      </c>
      <c r="E158">
        <f>VLOOKUP(A:A,הכנסות!B:B,1,0)</f>
        <v>1317820920</v>
      </c>
    </row>
    <row r="159" spans="1:5">
      <c r="A159">
        <v>1317900920</v>
      </c>
      <c r="B159" t="s">
        <v>540</v>
      </c>
      <c r="C159" s="169">
        <v>0</v>
      </c>
      <c r="D159" s="169">
        <v>0</v>
      </c>
      <c r="E159" t="e">
        <f>VLOOKUP(A:A,הכנסות!B:B,1,0)</f>
        <v>#N/A</v>
      </c>
    </row>
    <row r="160" spans="1:5">
      <c r="A160">
        <v>1319100920</v>
      </c>
      <c r="B160" t="s">
        <v>1693</v>
      </c>
      <c r="C160" s="169">
        <v>-450620</v>
      </c>
      <c r="D160" s="169">
        <v>-173471</v>
      </c>
      <c r="E160">
        <f>VLOOKUP(A:A,הכנסות!B:B,1,0)</f>
        <v>1319100920</v>
      </c>
    </row>
    <row r="161" spans="1:5">
      <c r="A161">
        <v>1324000740</v>
      </c>
      <c r="B161" t="s">
        <v>1694</v>
      </c>
      <c r="C161" s="169">
        <v>0</v>
      </c>
      <c r="D161" s="169">
        <v>0</v>
      </c>
      <c r="E161" t="e">
        <f>VLOOKUP(A:A,הכנסות!B:B,1,0)</f>
        <v>#N/A</v>
      </c>
    </row>
    <row r="162" spans="1:5">
      <c r="A162">
        <v>1324000760</v>
      </c>
      <c r="B162" t="s">
        <v>1695</v>
      </c>
      <c r="C162" s="169">
        <v>0</v>
      </c>
      <c r="D162" s="169">
        <v>0</v>
      </c>
      <c r="E162" t="e">
        <f>VLOOKUP(A:A,הכנסות!B:B,1,0)</f>
        <v>#N/A</v>
      </c>
    </row>
    <row r="163" spans="1:5">
      <c r="A163">
        <v>1324000920</v>
      </c>
      <c r="B163" t="s">
        <v>1696</v>
      </c>
      <c r="C163" s="169">
        <v>-41650</v>
      </c>
      <c r="D163" s="169">
        <v>0</v>
      </c>
      <c r="E163">
        <f>VLOOKUP(A:A,הכנסות!B:B,1,0)</f>
        <v>1324000920</v>
      </c>
    </row>
    <row r="164" spans="1:5">
      <c r="A164">
        <v>1328300790</v>
      </c>
      <c r="B164" t="s">
        <v>1697</v>
      </c>
      <c r="C164" s="169">
        <v>0</v>
      </c>
      <c r="D164" s="169">
        <v>0</v>
      </c>
      <c r="E164" t="e">
        <f>VLOOKUP(A:A,הכנסות!B:B,1,0)</f>
        <v>#N/A</v>
      </c>
    </row>
    <row r="165" spans="1:5">
      <c r="A165">
        <v>1328300920</v>
      </c>
      <c r="B165" t="s">
        <v>1698</v>
      </c>
      <c r="C165" s="169">
        <v>0</v>
      </c>
      <c r="D165" s="169">
        <v>0</v>
      </c>
      <c r="E165">
        <f>VLOOKUP(A:A,הכנסות!B:B,1,0)</f>
        <v>1328300920</v>
      </c>
    </row>
    <row r="166" spans="1:5">
      <c r="A166">
        <v>1328400420</v>
      </c>
      <c r="B166" t="s">
        <v>541</v>
      </c>
      <c r="C166" s="169">
        <v>0</v>
      </c>
      <c r="D166" s="169">
        <v>0</v>
      </c>
      <c r="E166" t="e">
        <f>VLOOKUP(A:A,הכנסות!B:B,1,0)</f>
        <v>#N/A</v>
      </c>
    </row>
    <row r="167" spans="1:5">
      <c r="A167">
        <v>1328500920</v>
      </c>
      <c r="B167" t="s">
        <v>1658</v>
      </c>
      <c r="C167" s="169">
        <v>-738180</v>
      </c>
      <c r="D167" s="169">
        <v>-577233.19999999995</v>
      </c>
      <c r="E167">
        <f>VLOOKUP(A:A,הכנסות!B:B,1,0)</f>
        <v>1328500920</v>
      </c>
    </row>
    <row r="168" spans="1:5">
      <c r="A168">
        <v>1329000420</v>
      </c>
      <c r="B168" t="s">
        <v>1699</v>
      </c>
      <c r="C168" s="169">
        <v>-4170</v>
      </c>
      <c r="D168" s="169">
        <v>0</v>
      </c>
      <c r="E168">
        <f>VLOOKUP(A:A,הכנסות!B:B,1,0)</f>
        <v>1329000420</v>
      </c>
    </row>
    <row r="169" spans="1:5">
      <c r="A169">
        <v>1329100790</v>
      </c>
      <c r="B169" t="s">
        <v>542</v>
      </c>
      <c r="C169" s="169">
        <v>0</v>
      </c>
      <c r="D169" s="169">
        <v>0</v>
      </c>
      <c r="E169" t="e">
        <f>VLOOKUP(A:A,הכנסות!B:B,1,0)</f>
        <v>#N/A</v>
      </c>
    </row>
    <row r="170" spans="1:5">
      <c r="A170">
        <v>1329200420</v>
      </c>
      <c r="B170" t="s">
        <v>543</v>
      </c>
      <c r="C170" s="169">
        <v>-1670</v>
      </c>
      <c r="D170" s="169">
        <v>0</v>
      </c>
      <c r="E170">
        <f>VLOOKUP(A:A,הכנסות!B:B,1,0)</f>
        <v>1329200420</v>
      </c>
    </row>
    <row r="171" spans="1:5">
      <c r="A171">
        <v>1329200650</v>
      </c>
      <c r="B171" t="s">
        <v>1700</v>
      </c>
      <c r="C171" s="169">
        <v>0</v>
      </c>
      <c r="D171" s="169">
        <v>-54800</v>
      </c>
      <c r="E171">
        <f>VLOOKUP(A:A,הכנסות!B:B,1,0)</f>
        <v>1329200650</v>
      </c>
    </row>
    <row r="172" spans="1:5">
      <c r="A172">
        <v>1329200990</v>
      </c>
      <c r="B172" t="s">
        <v>544</v>
      </c>
      <c r="C172" s="169">
        <v>0</v>
      </c>
      <c r="D172" s="169">
        <v>0</v>
      </c>
      <c r="E172">
        <f>VLOOKUP(A:A,הכנסות!B:B,1,0)</f>
        <v>1329200990</v>
      </c>
    </row>
    <row r="173" spans="1:5">
      <c r="A173">
        <v>1332300940</v>
      </c>
      <c r="B173" t="s">
        <v>545</v>
      </c>
      <c r="C173" s="169">
        <v>0</v>
      </c>
      <c r="D173" s="169">
        <v>-18735</v>
      </c>
      <c r="E173">
        <f>VLOOKUP(A:A,הכנסות!B:B,1,0)</f>
        <v>1332300940</v>
      </c>
    </row>
    <row r="174" spans="1:5">
      <c r="A174">
        <v>1332400940</v>
      </c>
      <c r="B174" t="s">
        <v>546</v>
      </c>
      <c r="C174" s="169">
        <v>0</v>
      </c>
      <c r="D174" s="169">
        <v>0</v>
      </c>
      <c r="E174" t="e">
        <f>VLOOKUP(A:A,הכנסות!B:B,1,0)</f>
        <v>#N/A</v>
      </c>
    </row>
    <row r="175" spans="1:5">
      <c r="A175">
        <v>1341000420</v>
      </c>
      <c r="B175" t="s">
        <v>547</v>
      </c>
      <c r="C175" s="169">
        <v>-5830</v>
      </c>
      <c r="D175" s="169">
        <v>-220</v>
      </c>
      <c r="E175">
        <f>VLOOKUP(A:A,הכנסות!B:B,1,0)</f>
        <v>1341000420</v>
      </c>
    </row>
    <row r="176" spans="1:5">
      <c r="A176">
        <v>1341001930</v>
      </c>
      <c r="B176" t="s">
        <v>548</v>
      </c>
      <c r="C176" s="169">
        <v>-946290</v>
      </c>
      <c r="D176" s="169">
        <v>-1012668</v>
      </c>
      <c r="E176">
        <f>VLOOKUP(A:A,הכנסות!B:B,1,0)</f>
        <v>1341001930</v>
      </c>
    </row>
    <row r="177" spans="1:5">
      <c r="A177">
        <v>1341002930</v>
      </c>
      <c r="B177" t="s">
        <v>549</v>
      </c>
      <c r="C177" s="169">
        <v>-39150</v>
      </c>
      <c r="D177" s="169">
        <v>-26154</v>
      </c>
      <c r="E177">
        <f>VLOOKUP(A:A,הכנסות!B:B,1,0)</f>
        <v>1341002930</v>
      </c>
    </row>
    <row r="178" spans="1:5">
      <c r="A178">
        <v>1341003930</v>
      </c>
      <c r="B178" t="s">
        <v>1701</v>
      </c>
      <c r="C178" s="169">
        <v>0</v>
      </c>
      <c r="D178" s="169">
        <v>0</v>
      </c>
      <c r="E178" t="e">
        <f>VLOOKUP(A:A,הכנסות!B:B,1,0)</f>
        <v>#N/A</v>
      </c>
    </row>
    <row r="179" spans="1:5">
      <c r="A179">
        <v>1341004930</v>
      </c>
      <c r="B179" t="s">
        <v>1702</v>
      </c>
      <c r="C179" s="169">
        <v>0</v>
      </c>
      <c r="D179" s="169">
        <v>0</v>
      </c>
      <c r="E179" t="e">
        <f>VLOOKUP(A:A,הכנסות!B:B,1,0)</f>
        <v>#N/A</v>
      </c>
    </row>
    <row r="180" spans="1:5">
      <c r="A180">
        <v>1342201420</v>
      </c>
      <c r="B180" t="s">
        <v>315</v>
      </c>
      <c r="C180" s="169">
        <v>0</v>
      </c>
      <c r="D180" s="169">
        <v>0</v>
      </c>
      <c r="E180" t="e">
        <f>VLOOKUP(A:A,הכנסות!B:B,1,0)</f>
        <v>#N/A</v>
      </c>
    </row>
    <row r="181" spans="1:5">
      <c r="A181">
        <v>1342201930</v>
      </c>
      <c r="B181" t="s">
        <v>1703</v>
      </c>
      <c r="C181" s="169">
        <v>0</v>
      </c>
      <c r="D181" s="169">
        <v>0</v>
      </c>
      <c r="E181">
        <f>VLOOKUP(A:A,הכנסות!B:B,1,0)</f>
        <v>1342201930</v>
      </c>
    </row>
    <row r="182" spans="1:5">
      <c r="A182">
        <v>1342202420</v>
      </c>
      <c r="B182" t="s">
        <v>1704</v>
      </c>
      <c r="C182" s="169">
        <v>0</v>
      </c>
      <c r="D182" s="169">
        <v>0</v>
      </c>
      <c r="E182" t="e">
        <f>VLOOKUP(A:A,הכנסות!B:B,1,0)</f>
        <v>#N/A</v>
      </c>
    </row>
    <row r="183" spans="1:5">
      <c r="A183">
        <v>1342202930</v>
      </c>
      <c r="B183" t="s">
        <v>550</v>
      </c>
      <c r="C183" s="169">
        <v>-118700</v>
      </c>
      <c r="D183" s="169">
        <v>-68392</v>
      </c>
      <c r="E183">
        <f>VLOOKUP(A:A,הכנסות!B:B,1,0)</f>
        <v>1342202930</v>
      </c>
    </row>
    <row r="184" spans="1:5">
      <c r="A184">
        <v>1342203420</v>
      </c>
      <c r="B184" t="s">
        <v>317</v>
      </c>
      <c r="C184" s="169">
        <v>0</v>
      </c>
      <c r="D184" s="169">
        <v>0</v>
      </c>
      <c r="E184" t="e">
        <f>VLOOKUP(A:A,הכנסות!B:B,1,0)</f>
        <v>#N/A</v>
      </c>
    </row>
    <row r="185" spans="1:5">
      <c r="A185">
        <v>1342203930</v>
      </c>
      <c r="B185" t="s">
        <v>317</v>
      </c>
      <c r="C185" s="169">
        <v>0</v>
      </c>
      <c r="D185" s="169">
        <v>0</v>
      </c>
      <c r="E185" t="e">
        <f>VLOOKUP(A:A,הכנסות!B:B,1,0)</f>
        <v>#N/A</v>
      </c>
    </row>
    <row r="186" spans="1:5">
      <c r="A186">
        <v>1342204930</v>
      </c>
      <c r="B186" t="s">
        <v>551</v>
      </c>
      <c r="C186" s="169">
        <v>0</v>
      </c>
      <c r="D186" s="169">
        <v>0</v>
      </c>
      <c r="E186" t="e">
        <f>VLOOKUP(A:A,הכנסות!B:B,1,0)</f>
        <v>#N/A</v>
      </c>
    </row>
    <row r="187" spans="1:5">
      <c r="A187">
        <v>1342205930</v>
      </c>
      <c r="B187" t="s">
        <v>322</v>
      </c>
      <c r="C187" s="169">
        <v>0</v>
      </c>
      <c r="D187" s="169">
        <v>0</v>
      </c>
      <c r="E187" t="e">
        <f>VLOOKUP(A:A,הכנסות!B:B,1,0)</f>
        <v>#N/A</v>
      </c>
    </row>
    <row r="188" spans="1:5">
      <c r="A188">
        <v>1342206930</v>
      </c>
      <c r="B188" t="s">
        <v>323</v>
      </c>
      <c r="C188" s="169">
        <v>-76640</v>
      </c>
      <c r="D188" s="169">
        <v>-34552</v>
      </c>
      <c r="E188">
        <f>VLOOKUP(A:A,הכנסות!B:B,1,0)</f>
        <v>1342206930</v>
      </c>
    </row>
    <row r="189" spans="1:5">
      <c r="A189">
        <v>1342207930</v>
      </c>
      <c r="B189" t="s">
        <v>383</v>
      </c>
      <c r="C189" s="169">
        <v>0</v>
      </c>
      <c r="D189" s="169">
        <v>0</v>
      </c>
      <c r="E189" t="e">
        <f>VLOOKUP(A:A,הכנסות!B:B,1,0)</f>
        <v>#N/A</v>
      </c>
    </row>
    <row r="190" spans="1:5">
      <c r="A190">
        <v>1342401930</v>
      </c>
      <c r="B190" t="s">
        <v>324</v>
      </c>
      <c r="C190" s="169">
        <v>-11660</v>
      </c>
      <c r="D190" s="169">
        <v>0</v>
      </c>
      <c r="E190">
        <f>VLOOKUP(A:A,הכנסות!B:B,1,0)</f>
        <v>1342401930</v>
      </c>
    </row>
    <row r="191" spans="1:5">
      <c r="A191">
        <v>1342402930</v>
      </c>
      <c r="B191" t="s">
        <v>325</v>
      </c>
      <c r="C191" s="169">
        <v>0</v>
      </c>
      <c r="D191" s="169">
        <v>0</v>
      </c>
      <c r="E191">
        <f>VLOOKUP(A:A,הכנסות!B:B,1,0)</f>
        <v>1342402930</v>
      </c>
    </row>
    <row r="192" spans="1:5">
      <c r="A192">
        <v>1343501930</v>
      </c>
      <c r="B192" t="s">
        <v>552</v>
      </c>
      <c r="C192" s="169">
        <v>0</v>
      </c>
      <c r="D192" s="169">
        <v>0</v>
      </c>
      <c r="E192" t="e">
        <f>VLOOKUP(A:A,הכנסות!B:B,1,0)</f>
        <v>#N/A</v>
      </c>
    </row>
    <row r="193" spans="1:5">
      <c r="A193">
        <v>1343502930</v>
      </c>
      <c r="B193" t="s">
        <v>553</v>
      </c>
      <c r="C193" s="169">
        <v>-79970</v>
      </c>
      <c r="D193" s="169">
        <v>-80435</v>
      </c>
      <c r="E193">
        <f>VLOOKUP(A:A,הכנסות!B:B,1,0)</f>
        <v>1343502930</v>
      </c>
    </row>
    <row r="194" spans="1:5">
      <c r="A194">
        <v>1343503420</v>
      </c>
      <c r="B194" t="s">
        <v>329</v>
      </c>
      <c r="C194" s="169">
        <v>0</v>
      </c>
      <c r="D194" s="169">
        <v>0</v>
      </c>
      <c r="E194" t="e">
        <f>VLOOKUP(A:A,הכנסות!B:B,1,0)</f>
        <v>#N/A</v>
      </c>
    </row>
    <row r="195" spans="1:5">
      <c r="A195">
        <v>1343503930</v>
      </c>
      <c r="B195" t="s">
        <v>329</v>
      </c>
      <c r="C195" s="169">
        <v>-528960</v>
      </c>
      <c r="D195" s="169">
        <v>-532684</v>
      </c>
      <c r="E195">
        <f>VLOOKUP(A:A,הכנסות!B:B,1,0)</f>
        <v>1343503930</v>
      </c>
    </row>
    <row r="196" spans="1:5">
      <c r="A196">
        <v>1343504420</v>
      </c>
      <c r="B196" t="s">
        <v>334</v>
      </c>
      <c r="C196" s="169">
        <v>0</v>
      </c>
      <c r="D196" s="169">
        <v>0</v>
      </c>
      <c r="E196">
        <f>VLOOKUP(A:A,הכנסות!B:B,1,0)</f>
        <v>1343504420</v>
      </c>
    </row>
    <row r="197" spans="1:5">
      <c r="A197">
        <v>1343504930</v>
      </c>
      <c r="B197" t="s">
        <v>334</v>
      </c>
      <c r="C197" s="169">
        <v>-57480</v>
      </c>
      <c r="D197" s="169">
        <v>-119093</v>
      </c>
      <c r="E197">
        <f>VLOOKUP(A:A,הכנסות!B:B,1,0)</f>
        <v>1343504930</v>
      </c>
    </row>
    <row r="198" spans="1:5">
      <c r="A198">
        <v>1343504932</v>
      </c>
      <c r="B198" t="s">
        <v>327</v>
      </c>
      <c r="C198" s="169">
        <v>0</v>
      </c>
      <c r="D198" s="169">
        <v>0</v>
      </c>
      <c r="E198" t="e">
        <f>VLOOKUP(A:A,הכנסות!B:B,1,0)</f>
        <v>#N/A</v>
      </c>
    </row>
    <row r="199" spans="1:5">
      <c r="A199">
        <v>1343504990</v>
      </c>
      <c r="B199" t="s">
        <v>1705</v>
      </c>
      <c r="C199" s="169">
        <v>0</v>
      </c>
      <c r="D199" s="169">
        <v>0</v>
      </c>
      <c r="E199" t="e">
        <f>VLOOKUP(A:A,הכנסות!B:B,1,0)</f>
        <v>#N/A</v>
      </c>
    </row>
    <row r="200" spans="1:5">
      <c r="A200">
        <v>1343800930</v>
      </c>
      <c r="B200" t="s">
        <v>1706</v>
      </c>
      <c r="C200" s="169">
        <v>0</v>
      </c>
      <c r="D200" s="169">
        <v>0</v>
      </c>
      <c r="E200" t="e">
        <f>VLOOKUP(A:A,הכנסות!B:B,1,0)</f>
        <v>#N/A</v>
      </c>
    </row>
    <row r="201" spans="1:5">
      <c r="A201">
        <v>1343801420</v>
      </c>
      <c r="B201" t="s">
        <v>335</v>
      </c>
      <c r="C201" s="169">
        <v>0</v>
      </c>
      <c r="D201" s="169">
        <v>0</v>
      </c>
      <c r="E201" t="e">
        <f>VLOOKUP(A:A,הכנסות!B:B,1,0)</f>
        <v>#N/A</v>
      </c>
    </row>
    <row r="202" spans="1:5">
      <c r="A202">
        <v>1343801930</v>
      </c>
      <c r="B202" t="s">
        <v>335</v>
      </c>
      <c r="C202" s="169">
        <v>-1730140</v>
      </c>
      <c r="D202" s="169">
        <v>-1981189</v>
      </c>
      <c r="E202">
        <f>VLOOKUP(A:A,הכנסות!B:B,1,0)</f>
        <v>1343801930</v>
      </c>
    </row>
    <row r="203" spans="1:5">
      <c r="A203">
        <v>1343900930</v>
      </c>
      <c r="B203" t="s">
        <v>1636</v>
      </c>
      <c r="C203" s="169">
        <v>-581020</v>
      </c>
      <c r="D203" s="169">
        <v>0</v>
      </c>
      <c r="E203">
        <f>VLOOKUP(A:A,הכנסות!B:B,1,0)</f>
        <v>1343900930</v>
      </c>
    </row>
    <row r="204" spans="1:5">
      <c r="A204">
        <v>1343901930</v>
      </c>
      <c r="B204" t="s">
        <v>338</v>
      </c>
      <c r="C204" s="169">
        <v>-876320</v>
      </c>
      <c r="D204" s="169">
        <v>-877141</v>
      </c>
      <c r="E204">
        <f>VLOOKUP(A:A,הכנסות!B:B,1,0)</f>
        <v>1343901930</v>
      </c>
    </row>
    <row r="205" spans="1:5">
      <c r="A205">
        <v>1343901932</v>
      </c>
      <c r="B205" t="s">
        <v>554</v>
      </c>
      <c r="C205" s="169">
        <v>-85380</v>
      </c>
      <c r="D205" s="169">
        <v>-83947</v>
      </c>
      <c r="E205">
        <f>VLOOKUP(A:A,הכנסות!B:B,1,0)</f>
        <v>1343901932</v>
      </c>
    </row>
    <row r="206" spans="1:5">
      <c r="A206">
        <v>1344300930</v>
      </c>
      <c r="B206" t="s">
        <v>340</v>
      </c>
      <c r="C206" s="169">
        <v>0</v>
      </c>
      <c r="D206" s="169">
        <v>0</v>
      </c>
      <c r="E206">
        <f>VLOOKUP(A:A,הכנסות!B:B,1,0)</f>
        <v>1344300930</v>
      </c>
    </row>
    <row r="207" spans="1:5">
      <c r="A207">
        <v>1344400430</v>
      </c>
      <c r="B207" t="s">
        <v>1707</v>
      </c>
      <c r="C207" s="169">
        <v>0</v>
      </c>
      <c r="D207" s="169">
        <v>0</v>
      </c>
      <c r="E207" t="e">
        <f>VLOOKUP(A:A,הכנסות!B:B,1,0)</f>
        <v>#N/A</v>
      </c>
    </row>
    <row r="208" spans="1:5">
      <c r="A208">
        <v>1344401420</v>
      </c>
      <c r="B208" t="s">
        <v>1708</v>
      </c>
      <c r="C208" s="169">
        <v>0</v>
      </c>
      <c r="D208" s="169">
        <v>0</v>
      </c>
      <c r="E208" t="e">
        <f>VLOOKUP(A:A,הכנסות!B:B,1,0)</f>
        <v>#N/A</v>
      </c>
    </row>
    <row r="209" spans="1:5">
      <c r="A209">
        <v>1344401930</v>
      </c>
      <c r="B209" t="s">
        <v>1709</v>
      </c>
      <c r="C209" s="169">
        <v>0</v>
      </c>
      <c r="D209" s="169">
        <v>0</v>
      </c>
      <c r="E209" t="e">
        <f>VLOOKUP(A:A,הכנסות!B:B,1,0)</f>
        <v>#N/A</v>
      </c>
    </row>
    <row r="210" spans="1:5">
      <c r="A210">
        <v>1344402420</v>
      </c>
      <c r="B210" t="s">
        <v>345</v>
      </c>
      <c r="C210" s="169">
        <v>0</v>
      </c>
      <c r="D210" s="169">
        <v>0</v>
      </c>
      <c r="E210">
        <f>VLOOKUP(A:A,הכנסות!B:B,1,0)</f>
        <v>1344402420</v>
      </c>
    </row>
    <row r="211" spans="1:5">
      <c r="A211">
        <v>1344402930</v>
      </c>
      <c r="B211" t="s">
        <v>345</v>
      </c>
      <c r="C211" s="169">
        <v>-8330</v>
      </c>
      <c r="D211" s="169">
        <v>-557</v>
      </c>
      <c r="E211">
        <f>VLOOKUP(A:A,הכנסות!B:B,1,0)</f>
        <v>1344402930</v>
      </c>
    </row>
    <row r="212" spans="1:5">
      <c r="A212">
        <v>1344403930</v>
      </c>
      <c r="B212" t="s">
        <v>555</v>
      </c>
      <c r="C212" s="169">
        <v>0</v>
      </c>
      <c r="D212" s="169">
        <v>0</v>
      </c>
      <c r="E212" t="e">
        <f>VLOOKUP(A:A,הכנסות!B:B,1,0)</f>
        <v>#N/A</v>
      </c>
    </row>
    <row r="213" spans="1:5">
      <c r="A213">
        <v>1344500930</v>
      </c>
      <c r="B213" t="s">
        <v>348</v>
      </c>
      <c r="C213" s="169">
        <v>-138280</v>
      </c>
      <c r="D213" s="169">
        <v>-133860</v>
      </c>
      <c r="E213">
        <f>VLOOKUP(A:A,הכנסות!B:B,1,0)</f>
        <v>1344500930</v>
      </c>
    </row>
    <row r="214" spans="1:5">
      <c r="A214">
        <v>1345100930</v>
      </c>
      <c r="B214" t="s">
        <v>349</v>
      </c>
      <c r="C214" s="169">
        <v>0</v>
      </c>
      <c r="D214" s="169">
        <v>0</v>
      </c>
      <c r="E214">
        <f>VLOOKUP(A:A,הכנסות!B:B,1,0)</f>
        <v>1345100930</v>
      </c>
    </row>
    <row r="215" spans="1:5">
      <c r="A215">
        <v>1345101420</v>
      </c>
      <c r="B215" t="s">
        <v>350</v>
      </c>
      <c r="C215" s="169">
        <v>0</v>
      </c>
      <c r="D215" s="169">
        <v>0</v>
      </c>
      <c r="E215" t="e">
        <f>VLOOKUP(A:A,הכנסות!B:B,1,0)</f>
        <v>#N/A</v>
      </c>
    </row>
    <row r="216" spans="1:5">
      <c r="A216">
        <v>1345101930</v>
      </c>
      <c r="B216" t="s">
        <v>350</v>
      </c>
      <c r="C216" s="169">
        <v>-3386980</v>
      </c>
      <c r="D216" s="169">
        <v>-3024791</v>
      </c>
      <c r="E216">
        <f>VLOOKUP(A:A,הכנסות!B:B,1,0)</f>
        <v>1345101930</v>
      </c>
    </row>
    <row r="217" spans="1:5">
      <c r="A217">
        <v>1345102930</v>
      </c>
      <c r="B217" t="s">
        <v>351</v>
      </c>
      <c r="C217" s="169">
        <v>-4170</v>
      </c>
      <c r="D217" s="169">
        <v>-7442</v>
      </c>
      <c r="E217">
        <f>VLOOKUP(A:A,הכנסות!B:B,1,0)</f>
        <v>1345102930</v>
      </c>
    </row>
    <row r="218" spans="1:5">
      <c r="A218">
        <v>1345103930</v>
      </c>
      <c r="B218" t="s">
        <v>352</v>
      </c>
      <c r="C218" s="169">
        <v>-19160</v>
      </c>
      <c r="D218" s="169">
        <v>-9566</v>
      </c>
      <c r="E218">
        <f>VLOOKUP(A:A,הכנסות!B:B,1,0)</f>
        <v>1345103930</v>
      </c>
    </row>
    <row r="219" spans="1:5">
      <c r="A219">
        <v>1345104930</v>
      </c>
      <c r="B219" t="s">
        <v>353</v>
      </c>
      <c r="C219" s="169">
        <v>0</v>
      </c>
      <c r="D219" s="169">
        <v>0</v>
      </c>
      <c r="E219" t="e">
        <f>VLOOKUP(A:A,הכנסות!B:B,1,0)</f>
        <v>#N/A</v>
      </c>
    </row>
    <row r="220" spans="1:5">
      <c r="A220">
        <v>1345200930</v>
      </c>
      <c r="B220" t="s">
        <v>354</v>
      </c>
      <c r="C220" s="169">
        <v>-214080</v>
      </c>
      <c r="D220" s="169">
        <v>-226251</v>
      </c>
      <c r="E220">
        <f>VLOOKUP(A:A,הכנסות!B:B,1,0)</f>
        <v>1345200930</v>
      </c>
    </row>
    <row r="221" spans="1:5">
      <c r="A221">
        <v>1345201420</v>
      </c>
      <c r="B221" t="s">
        <v>356</v>
      </c>
      <c r="C221" s="169">
        <v>0</v>
      </c>
      <c r="D221" s="169">
        <v>0</v>
      </c>
      <c r="E221" t="e">
        <f>VLOOKUP(A:A,הכנסות!B:B,1,0)</f>
        <v>#N/A</v>
      </c>
    </row>
    <row r="222" spans="1:5">
      <c r="A222">
        <v>1345201930</v>
      </c>
      <c r="B222" t="s">
        <v>356</v>
      </c>
      <c r="C222" s="169">
        <v>-522290</v>
      </c>
      <c r="D222" s="169">
        <v>-447184</v>
      </c>
      <c r="E222">
        <f>VLOOKUP(A:A,הכנסות!B:B,1,0)</f>
        <v>1345201930</v>
      </c>
    </row>
    <row r="223" spans="1:5">
      <c r="A223">
        <v>1345201931</v>
      </c>
      <c r="B223" t="s">
        <v>556</v>
      </c>
      <c r="C223" s="169">
        <v>0</v>
      </c>
      <c r="D223" s="169">
        <v>0</v>
      </c>
      <c r="E223" t="e">
        <f>VLOOKUP(A:A,הכנסות!B:B,1,0)</f>
        <v>#N/A</v>
      </c>
    </row>
    <row r="224" spans="1:5">
      <c r="A224">
        <v>1345202930</v>
      </c>
      <c r="B224" t="s">
        <v>357</v>
      </c>
      <c r="C224" s="169">
        <v>-59980</v>
      </c>
      <c r="D224" s="169">
        <v>-54525</v>
      </c>
      <c r="E224">
        <f>VLOOKUP(A:A,הכנסות!B:B,1,0)</f>
        <v>1345202930</v>
      </c>
    </row>
    <row r="225" spans="1:5">
      <c r="A225">
        <v>1345202931</v>
      </c>
      <c r="B225" t="s">
        <v>557</v>
      </c>
      <c r="C225" s="169">
        <v>0</v>
      </c>
      <c r="D225" s="169">
        <v>0</v>
      </c>
      <c r="E225" t="e">
        <f>VLOOKUP(A:A,הכנסות!B:B,1,0)</f>
        <v>#N/A</v>
      </c>
    </row>
    <row r="226" spans="1:5">
      <c r="A226">
        <v>1345203930</v>
      </c>
      <c r="B226" t="s">
        <v>558</v>
      </c>
      <c r="C226" s="169">
        <v>0</v>
      </c>
      <c r="D226" s="169">
        <v>0</v>
      </c>
      <c r="E226">
        <f>VLOOKUP(A:A,הכנסות!B:B,1,0)</f>
        <v>1345203930</v>
      </c>
    </row>
    <row r="227" spans="1:5">
      <c r="A227">
        <v>1345301930</v>
      </c>
      <c r="B227" t="s">
        <v>361</v>
      </c>
      <c r="C227" s="169">
        <v>-5000</v>
      </c>
      <c r="D227" s="169">
        <v>0</v>
      </c>
      <c r="E227">
        <f>VLOOKUP(A:A,הכנסות!B:B,1,0)</f>
        <v>1345301930</v>
      </c>
    </row>
    <row r="228" spans="1:5">
      <c r="A228">
        <v>1345302420</v>
      </c>
      <c r="B228" t="s">
        <v>362</v>
      </c>
      <c r="C228" s="169">
        <v>0</v>
      </c>
      <c r="D228" s="169">
        <v>0</v>
      </c>
      <c r="E228" t="e">
        <f>VLOOKUP(A:A,הכנסות!B:B,1,0)</f>
        <v>#N/A</v>
      </c>
    </row>
    <row r="229" spans="1:5">
      <c r="A229">
        <v>1345302930</v>
      </c>
      <c r="B229" t="s">
        <v>362</v>
      </c>
      <c r="C229" s="169">
        <v>-6250</v>
      </c>
      <c r="D229" s="169">
        <v>-18623</v>
      </c>
      <c r="E229">
        <f>VLOOKUP(A:A,הכנסות!B:B,1,0)</f>
        <v>1345302930</v>
      </c>
    </row>
    <row r="230" spans="1:5">
      <c r="A230">
        <v>1345303930</v>
      </c>
      <c r="B230" t="s">
        <v>559</v>
      </c>
      <c r="C230" s="169">
        <v>-114950</v>
      </c>
      <c r="D230" s="169">
        <v>27662</v>
      </c>
      <c r="E230">
        <f>VLOOKUP(A:A,הכנסות!B:B,1,0)</f>
        <v>1345303930</v>
      </c>
    </row>
    <row r="231" spans="1:5">
      <c r="A231">
        <v>1346301930</v>
      </c>
      <c r="B231" t="s">
        <v>560</v>
      </c>
      <c r="C231" s="169">
        <v>0</v>
      </c>
      <c r="D231" s="169">
        <v>0</v>
      </c>
      <c r="E231" t="e">
        <f>VLOOKUP(A:A,הכנסות!B:B,1,0)</f>
        <v>#N/A</v>
      </c>
    </row>
    <row r="232" spans="1:5">
      <c r="A232">
        <v>1346302930</v>
      </c>
      <c r="B232" t="s">
        <v>561</v>
      </c>
      <c r="C232" s="169">
        <v>0</v>
      </c>
      <c r="D232" s="169">
        <v>-665</v>
      </c>
      <c r="E232">
        <f>VLOOKUP(A:A,הכנסות!B:B,1,0)</f>
        <v>1346302930</v>
      </c>
    </row>
    <row r="233" spans="1:5">
      <c r="A233">
        <v>1346401930</v>
      </c>
      <c r="B233" t="s">
        <v>562</v>
      </c>
      <c r="C233" s="169">
        <v>0</v>
      </c>
      <c r="D233" s="169">
        <v>0</v>
      </c>
      <c r="E233">
        <f>VLOOKUP(A:A,הכנסות!B:B,1,0)</f>
        <v>1346401930</v>
      </c>
    </row>
    <row r="234" spans="1:5">
      <c r="A234">
        <v>1346402930</v>
      </c>
      <c r="B234" t="s">
        <v>368</v>
      </c>
      <c r="C234" s="169">
        <v>0</v>
      </c>
      <c r="D234" s="169">
        <v>0</v>
      </c>
      <c r="E234" t="e">
        <f>VLOOKUP(A:A,הכנסות!B:B,1,0)</f>
        <v>#N/A</v>
      </c>
    </row>
    <row r="235" spans="1:5">
      <c r="A235">
        <v>1346500930</v>
      </c>
      <c r="B235" t="s">
        <v>364</v>
      </c>
      <c r="C235" s="169">
        <v>0</v>
      </c>
      <c r="D235" s="169">
        <v>-98600</v>
      </c>
      <c r="E235">
        <f>VLOOKUP(A:A,הכנסות!B:B,1,0)</f>
        <v>1346500930</v>
      </c>
    </row>
    <row r="236" spans="1:5">
      <c r="A236">
        <v>1346501420</v>
      </c>
      <c r="B236" t="s">
        <v>563</v>
      </c>
      <c r="C236" s="169">
        <v>0</v>
      </c>
      <c r="D236" s="169">
        <v>-32942</v>
      </c>
      <c r="E236">
        <f>VLOOKUP(A:A,הכנסות!B:B,1,0)</f>
        <v>1346501420</v>
      </c>
    </row>
    <row r="237" spans="1:5">
      <c r="A237">
        <v>1346501930</v>
      </c>
      <c r="B237" t="s">
        <v>563</v>
      </c>
      <c r="C237" s="169">
        <v>-41650</v>
      </c>
      <c r="D237" s="169">
        <v>-4282</v>
      </c>
      <c r="E237">
        <f>VLOOKUP(A:A,הכנסות!B:B,1,0)</f>
        <v>1346501930</v>
      </c>
    </row>
    <row r="238" spans="1:5">
      <c r="A238">
        <v>1346601930</v>
      </c>
      <c r="B238" t="s">
        <v>370</v>
      </c>
      <c r="C238" s="169">
        <v>-28320</v>
      </c>
      <c r="D238" s="169">
        <v>-20649</v>
      </c>
      <c r="E238">
        <f>VLOOKUP(A:A,הכנסות!B:B,1,0)</f>
        <v>1346601930</v>
      </c>
    </row>
    <row r="239" spans="1:5">
      <c r="A239">
        <v>1346602930</v>
      </c>
      <c r="B239" t="s">
        <v>371</v>
      </c>
      <c r="C239" s="169">
        <v>0</v>
      </c>
      <c r="D239" s="169">
        <v>0</v>
      </c>
      <c r="E239">
        <f>VLOOKUP(A:A,הכנסות!B:B,1,0)</f>
        <v>1346602930</v>
      </c>
    </row>
    <row r="240" spans="1:5">
      <c r="A240">
        <v>1346603930</v>
      </c>
      <c r="B240" t="s">
        <v>1710</v>
      </c>
      <c r="C240" s="169">
        <v>0</v>
      </c>
      <c r="D240" s="169">
        <v>-11723</v>
      </c>
      <c r="E240">
        <f>VLOOKUP(A:A,הכנסות!B:B,1,0)</f>
        <v>1346603930</v>
      </c>
    </row>
    <row r="241" spans="1:5">
      <c r="A241">
        <v>1346701930</v>
      </c>
      <c r="B241" t="s">
        <v>564</v>
      </c>
      <c r="C241" s="169">
        <v>-304050</v>
      </c>
      <c r="D241" s="169">
        <v>-234215</v>
      </c>
      <c r="E241">
        <f>VLOOKUP(A:A,הכנסות!B:B,1,0)</f>
        <v>1346701930</v>
      </c>
    </row>
    <row r="242" spans="1:5">
      <c r="A242">
        <v>1346702930</v>
      </c>
      <c r="B242" t="s">
        <v>373</v>
      </c>
      <c r="C242" s="169">
        <v>0</v>
      </c>
      <c r="D242" s="169">
        <v>0</v>
      </c>
      <c r="E242">
        <f>VLOOKUP(A:A,הכנסות!B:B,1,0)</f>
        <v>1346702930</v>
      </c>
    </row>
    <row r="243" spans="1:5">
      <c r="A243">
        <v>1346703930</v>
      </c>
      <c r="B243" t="s">
        <v>374</v>
      </c>
      <c r="C243" s="169">
        <v>-204090</v>
      </c>
      <c r="D243" s="169">
        <v>-234985</v>
      </c>
      <c r="E243">
        <f>VLOOKUP(A:A,הכנסות!B:B,1,0)</f>
        <v>1346703930</v>
      </c>
    </row>
    <row r="244" spans="1:5">
      <c r="A244">
        <v>1346704930</v>
      </c>
      <c r="B244" t="s">
        <v>375</v>
      </c>
      <c r="C244" s="169">
        <v>-74970</v>
      </c>
      <c r="D244" s="169">
        <v>-59808</v>
      </c>
      <c r="E244">
        <f>VLOOKUP(A:A,הכנסות!B:B,1,0)</f>
        <v>1346704930</v>
      </c>
    </row>
    <row r="245" spans="1:5">
      <c r="A245">
        <v>1346800930</v>
      </c>
      <c r="B245" t="s">
        <v>565</v>
      </c>
      <c r="C245" s="169">
        <v>0</v>
      </c>
      <c r="D245" s="169">
        <v>0</v>
      </c>
      <c r="E245" t="e">
        <f>VLOOKUP(A:A,הכנסות!B:B,1,0)</f>
        <v>#N/A</v>
      </c>
    </row>
    <row r="246" spans="1:5">
      <c r="A246">
        <v>1346801930</v>
      </c>
      <c r="B246" t="s">
        <v>376</v>
      </c>
      <c r="C246" s="169">
        <v>-22490</v>
      </c>
      <c r="D246" s="169">
        <v>-9132</v>
      </c>
      <c r="E246">
        <f>VLOOKUP(A:A,הכנסות!B:B,1,0)</f>
        <v>1346801930</v>
      </c>
    </row>
    <row r="247" spans="1:5">
      <c r="A247">
        <v>1346802930</v>
      </c>
      <c r="B247" t="s">
        <v>377</v>
      </c>
      <c r="C247" s="169">
        <v>0</v>
      </c>
      <c r="D247" s="169">
        <v>0</v>
      </c>
      <c r="E247" t="e">
        <f>VLOOKUP(A:A,הכנסות!B:B,1,0)</f>
        <v>#N/A</v>
      </c>
    </row>
    <row r="248" spans="1:5">
      <c r="A248">
        <v>1347100930</v>
      </c>
      <c r="B248" t="s">
        <v>566</v>
      </c>
      <c r="C248" s="169">
        <v>0</v>
      </c>
      <c r="D248" s="169">
        <v>0</v>
      </c>
      <c r="E248" t="e">
        <f>VLOOKUP(A:A,הכנסות!B:B,1,0)</f>
        <v>#N/A</v>
      </c>
    </row>
    <row r="249" spans="1:5">
      <c r="A249">
        <v>1347101930</v>
      </c>
      <c r="B249" t="s">
        <v>567</v>
      </c>
      <c r="C249" s="169">
        <v>-830</v>
      </c>
      <c r="D249" s="169">
        <v>-450</v>
      </c>
      <c r="E249">
        <f>VLOOKUP(A:A,הכנסות!B:B,1,0)</f>
        <v>1347101930</v>
      </c>
    </row>
    <row r="250" spans="1:5">
      <c r="A250">
        <v>1347102930</v>
      </c>
      <c r="B250" t="s">
        <v>381</v>
      </c>
      <c r="C250" s="169">
        <v>0</v>
      </c>
      <c r="D250" s="169">
        <v>0</v>
      </c>
      <c r="E250">
        <f>VLOOKUP(A:A,הכנסות!B:B,1,0)</f>
        <v>1347102930</v>
      </c>
    </row>
    <row r="251" spans="1:5">
      <c r="A251">
        <v>1347103930</v>
      </c>
      <c r="B251" t="s">
        <v>382</v>
      </c>
      <c r="C251" s="169">
        <v>-179100</v>
      </c>
      <c r="D251" s="169">
        <v>-95623</v>
      </c>
      <c r="E251">
        <f>VLOOKUP(A:A,הכנסות!B:B,1,0)</f>
        <v>1347103930</v>
      </c>
    </row>
    <row r="252" spans="1:5">
      <c r="A252">
        <v>1347104930</v>
      </c>
      <c r="B252" t="s">
        <v>383</v>
      </c>
      <c r="C252" s="169">
        <v>-55810</v>
      </c>
      <c r="D252" s="169">
        <v>-22883</v>
      </c>
      <c r="E252">
        <f>VLOOKUP(A:A,הכנסות!B:B,1,0)</f>
        <v>1347104930</v>
      </c>
    </row>
    <row r="253" spans="1:5">
      <c r="A253">
        <v>1347105930</v>
      </c>
      <c r="B253" t="s">
        <v>568</v>
      </c>
      <c r="C253" s="169">
        <v>0</v>
      </c>
      <c r="D253" s="169">
        <v>0</v>
      </c>
      <c r="E253" t="e">
        <f>VLOOKUP(A:A,הכנסות!B:B,1,0)</f>
        <v>#N/A</v>
      </c>
    </row>
    <row r="254" spans="1:5">
      <c r="A254">
        <v>1347106930</v>
      </c>
      <c r="B254" t="s">
        <v>384</v>
      </c>
      <c r="C254" s="169">
        <v>0</v>
      </c>
      <c r="D254" s="169">
        <v>0</v>
      </c>
      <c r="E254" t="e">
        <f>VLOOKUP(A:A,הכנסות!B:B,1,0)</f>
        <v>#N/A</v>
      </c>
    </row>
    <row r="255" spans="1:5">
      <c r="A255">
        <v>1347201930</v>
      </c>
      <c r="B255" t="s">
        <v>385</v>
      </c>
      <c r="C255" s="169">
        <v>0</v>
      </c>
      <c r="D255" s="169">
        <v>-5138</v>
      </c>
      <c r="E255">
        <f>VLOOKUP(A:A,הכנסות!B:B,1,0)</f>
        <v>1347201930</v>
      </c>
    </row>
    <row r="256" spans="1:5">
      <c r="A256">
        <v>1347202930</v>
      </c>
      <c r="B256" t="s">
        <v>569</v>
      </c>
      <c r="C256" s="169">
        <v>-96630</v>
      </c>
      <c r="D256" s="169">
        <v>-64688</v>
      </c>
      <c r="E256">
        <f>VLOOKUP(A:A,הכנסות!B:B,1,0)</f>
        <v>1347202930</v>
      </c>
    </row>
    <row r="257" spans="1:5">
      <c r="A257">
        <v>1347301930</v>
      </c>
      <c r="B257" t="s">
        <v>570</v>
      </c>
      <c r="C257" s="169">
        <v>-44980</v>
      </c>
      <c r="D257" s="169">
        <v>-48338</v>
      </c>
      <c r="E257">
        <f>VLOOKUP(A:A,הכנסות!B:B,1,0)</f>
        <v>1347301930</v>
      </c>
    </row>
    <row r="258" spans="1:5">
      <c r="A258">
        <v>1347302930</v>
      </c>
      <c r="B258" t="s">
        <v>387</v>
      </c>
      <c r="C258" s="169">
        <v>0</v>
      </c>
      <c r="D258" s="169">
        <v>0</v>
      </c>
      <c r="E258" t="e">
        <f>VLOOKUP(A:A,הכנסות!B:B,1,0)</f>
        <v>#N/A</v>
      </c>
    </row>
    <row r="259" spans="1:5">
      <c r="A259">
        <v>1347400930</v>
      </c>
      <c r="B259" t="s">
        <v>571</v>
      </c>
      <c r="C259" s="169">
        <v>0</v>
      </c>
      <c r="D259" s="169">
        <v>0</v>
      </c>
      <c r="E259">
        <f>VLOOKUP(A:A,הכנסות!B:B,1,0)</f>
        <v>1347400930</v>
      </c>
    </row>
    <row r="260" spans="1:5">
      <c r="A260">
        <v>1347500930</v>
      </c>
      <c r="B260" t="s">
        <v>1639</v>
      </c>
      <c r="C260" s="169">
        <v>-291550</v>
      </c>
      <c r="D260" s="169">
        <v>-10605</v>
      </c>
      <c r="E260">
        <f>VLOOKUP(A:A,הכנסות!B:B,1,0)</f>
        <v>1347500930</v>
      </c>
    </row>
    <row r="261" spans="1:5">
      <c r="A261">
        <v>1348500930</v>
      </c>
      <c r="B261" t="s">
        <v>1637</v>
      </c>
      <c r="C261" s="169">
        <v>-749700</v>
      </c>
      <c r="D261" s="169">
        <v>-149878</v>
      </c>
      <c r="E261">
        <f>VLOOKUP(A:A,הכנסות!B:B,1,0)</f>
        <v>1348500930</v>
      </c>
    </row>
    <row r="262" spans="1:5">
      <c r="A262">
        <v>1348501420</v>
      </c>
      <c r="B262" t="s">
        <v>572</v>
      </c>
      <c r="C262" s="169">
        <v>0</v>
      </c>
      <c r="D262" s="169">
        <v>0</v>
      </c>
      <c r="E262" t="e">
        <f>VLOOKUP(A:A,הכנסות!B:B,1,0)</f>
        <v>#N/A</v>
      </c>
    </row>
    <row r="263" spans="1:5">
      <c r="A263">
        <v>1348501930</v>
      </c>
      <c r="B263" t="s">
        <v>573</v>
      </c>
      <c r="C263" s="169">
        <v>0</v>
      </c>
      <c r="D263" s="169">
        <v>0</v>
      </c>
      <c r="E263">
        <f>VLOOKUP(A:A,הכנסות!B:B,1,0)</f>
        <v>1348501930</v>
      </c>
    </row>
    <row r="264" spans="1:5">
      <c r="A264">
        <v>1348502930</v>
      </c>
      <c r="B264" t="s">
        <v>390</v>
      </c>
      <c r="C264" s="169">
        <v>0</v>
      </c>
      <c r="D264" s="169">
        <v>0</v>
      </c>
      <c r="E264" t="e">
        <f>VLOOKUP(A:A,הכנסות!B:B,1,0)</f>
        <v>#N/A</v>
      </c>
    </row>
    <row r="265" spans="1:5">
      <c r="A265">
        <v>1353000690</v>
      </c>
      <c r="B265" t="s">
        <v>1711</v>
      </c>
      <c r="C265" s="169">
        <v>0</v>
      </c>
      <c r="D265" s="169">
        <v>0</v>
      </c>
      <c r="E265" t="e">
        <f>VLOOKUP(A:A,הכנסות!B:B,1,0)</f>
        <v>#N/A</v>
      </c>
    </row>
    <row r="266" spans="1:5">
      <c r="A266">
        <v>1353000990</v>
      </c>
      <c r="B266" t="s">
        <v>1712</v>
      </c>
      <c r="C266" s="169">
        <v>0</v>
      </c>
      <c r="D266" s="169">
        <v>0</v>
      </c>
      <c r="E266" t="e">
        <f>VLOOKUP(A:A,הכנסות!B:B,1,0)</f>
        <v>#N/A</v>
      </c>
    </row>
    <row r="267" spans="1:5">
      <c r="A267">
        <v>1370000990</v>
      </c>
      <c r="B267" t="s">
        <v>1713</v>
      </c>
      <c r="C267" s="169">
        <v>0</v>
      </c>
      <c r="D267" s="169">
        <v>0</v>
      </c>
      <c r="E267" t="e">
        <f>VLOOKUP(A:A,הכנסות!B:B,1,0)</f>
        <v>#N/A</v>
      </c>
    </row>
    <row r="268" spans="1:5">
      <c r="A268">
        <v>1379000990</v>
      </c>
      <c r="B268" t="s">
        <v>1714</v>
      </c>
      <c r="C268" s="169">
        <v>0</v>
      </c>
      <c r="D268" s="169">
        <v>0</v>
      </c>
      <c r="E268" t="e">
        <f>VLOOKUP(A:A,הכנסות!B:B,1,0)</f>
        <v>#N/A</v>
      </c>
    </row>
    <row r="269" spans="1:5">
      <c r="A269">
        <v>1413100210</v>
      </c>
      <c r="B269" t="s">
        <v>574</v>
      </c>
      <c r="C269" s="169">
        <v>-437330</v>
      </c>
      <c r="D269" s="169">
        <v>-827597.4</v>
      </c>
      <c r="E269">
        <f>VLOOKUP(A:A,הכנסות!B:B,1,0)</f>
        <v>1413100210</v>
      </c>
    </row>
    <row r="270" spans="1:5">
      <c r="A270">
        <v>1413110210</v>
      </c>
      <c r="B270" t="s">
        <v>575</v>
      </c>
      <c r="C270" s="169">
        <v>-1249500</v>
      </c>
      <c r="D270" s="169">
        <v>-1597207.9</v>
      </c>
      <c r="E270">
        <f>VLOOKUP(A:A,הכנסות!B:B,1,0)</f>
        <v>1413110210</v>
      </c>
    </row>
    <row r="271" spans="1:5">
      <c r="A271">
        <v>1413200220</v>
      </c>
      <c r="B271" t="s">
        <v>576</v>
      </c>
      <c r="C271" s="169">
        <v>-83300</v>
      </c>
      <c r="D271" s="169">
        <v>-65908.179999999993</v>
      </c>
      <c r="E271">
        <f>VLOOKUP(A:A,הכנסות!B:B,1,0)</f>
        <v>1413200220</v>
      </c>
    </row>
    <row r="272" spans="1:5">
      <c r="A272">
        <v>1413300690</v>
      </c>
      <c r="B272" t="s">
        <v>1715</v>
      </c>
      <c r="C272" s="169">
        <v>0</v>
      </c>
      <c r="D272" s="169">
        <v>0</v>
      </c>
      <c r="E272" t="e">
        <f>VLOOKUP(A:A,הכנסות!B:B,1,0)</f>
        <v>#N/A</v>
      </c>
    </row>
    <row r="273" spans="1:6">
      <c r="A273">
        <v>1413300810</v>
      </c>
      <c r="B273" t="s">
        <v>577</v>
      </c>
      <c r="C273" s="169">
        <v>-208250</v>
      </c>
      <c r="D273" s="169">
        <v>-173778.7</v>
      </c>
      <c r="E273">
        <f>VLOOKUP(A:A,הכנסות!B:B,1,0)</f>
        <v>1413300810</v>
      </c>
    </row>
    <row r="274" spans="1:6">
      <c r="A274">
        <v>1414300810</v>
      </c>
      <c r="B274" t="s">
        <v>578</v>
      </c>
      <c r="C274" s="169">
        <v>0</v>
      </c>
      <c r="D274" s="169">
        <v>0</v>
      </c>
      <c r="E274">
        <f>VLOOKUP(A:A,הכנסות!B:B,1,0)</f>
        <v>1414300810</v>
      </c>
    </row>
    <row r="275" spans="1:6">
      <c r="A275">
        <v>1433000290</v>
      </c>
      <c r="B275" t="s">
        <v>579</v>
      </c>
      <c r="C275" s="169">
        <v>0</v>
      </c>
      <c r="D275" s="169">
        <v>-350</v>
      </c>
      <c r="E275">
        <f>VLOOKUP(A:A,הכנסות!B:B,1,0)</f>
        <v>1433000290</v>
      </c>
    </row>
    <row r="276" spans="1:6">
      <c r="A276">
        <v>1438000410</v>
      </c>
      <c r="B276" t="s">
        <v>580</v>
      </c>
      <c r="C276" s="169">
        <v>0</v>
      </c>
      <c r="D276" s="169">
        <v>0</v>
      </c>
      <c r="E276">
        <f>VLOOKUP(A:A,הכנסות!B:B,1,0)</f>
        <v>1438000410</v>
      </c>
    </row>
    <row r="277" spans="1:6">
      <c r="A277">
        <v>1472000210</v>
      </c>
      <c r="B277" t="s">
        <v>581</v>
      </c>
      <c r="C277" s="169">
        <v>-416500</v>
      </c>
      <c r="D277" s="169">
        <v>-299088.3</v>
      </c>
      <c r="E277">
        <f>VLOOKUP(A:A,הכנסות!B:B,1,0)</f>
        <v>1472000210</v>
      </c>
    </row>
    <row r="278" spans="1:6">
      <c r="A278">
        <v>1472000810</v>
      </c>
      <c r="B278" t="s">
        <v>582</v>
      </c>
      <c r="C278" s="169">
        <v>-249900</v>
      </c>
      <c r="D278" s="169">
        <v>-329658.90000000002</v>
      </c>
      <c r="E278">
        <f>VLOOKUP(A:A,הכנסות!B:B,1,0)</f>
        <v>1472000810</v>
      </c>
    </row>
    <row r="279" spans="1:6">
      <c r="A279">
        <v>1511000661</v>
      </c>
      <c r="B279" t="s">
        <v>1716</v>
      </c>
      <c r="C279" s="169">
        <v>0</v>
      </c>
      <c r="D279" s="169">
        <v>0</v>
      </c>
      <c r="E279">
        <f>VLOOKUP(A:A,הכנסות!B:B,1,0)</f>
        <v>1511000661</v>
      </c>
    </row>
    <row r="280" spans="1:6">
      <c r="A280">
        <v>1513000540</v>
      </c>
      <c r="B280" t="s">
        <v>1717</v>
      </c>
      <c r="C280" s="169">
        <v>0</v>
      </c>
      <c r="D280" s="169">
        <v>0</v>
      </c>
      <c r="E280" t="e">
        <f>VLOOKUP(A:A,הכנסות!B:B,1,0)</f>
        <v>#N/A</v>
      </c>
    </row>
    <row r="281" spans="1:6">
      <c r="A281">
        <v>1513000690</v>
      </c>
      <c r="B281" t="s">
        <v>1718</v>
      </c>
      <c r="C281" s="169">
        <v>0</v>
      </c>
      <c r="D281" s="169">
        <v>0</v>
      </c>
      <c r="E281">
        <f>VLOOKUP(A:A,הכנסות!B:B,1,0)</f>
        <v>1513000690</v>
      </c>
    </row>
    <row r="282" spans="1:6">
      <c r="A282">
        <v>1599000790</v>
      </c>
      <c r="B282" t="s">
        <v>1719</v>
      </c>
      <c r="C282" s="169">
        <v>0</v>
      </c>
      <c r="D282" s="169">
        <v>0</v>
      </c>
      <c r="E282" t="e">
        <f>VLOOKUP(A:A,הכנסות!B:B,1,0)</f>
        <v>#N/A</v>
      </c>
    </row>
    <row r="283" spans="1:6">
      <c r="A283">
        <v>1599100910</v>
      </c>
      <c r="B283" t="s">
        <v>583</v>
      </c>
      <c r="C283" s="169">
        <v>0</v>
      </c>
      <c r="D283" s="169">
        <v>0</v>
      </c>
      <c r="E283">
        <f>VLOOKUP(A:A,הכנסות!B:B,1,0)</f>
        <v>1599100910</v>
      </c>
    </row>
    <row r="284" spans="1:6">
      <c r="A284">
        <v>1599200910</v>
      </c>
      <c r="B284" t="s">
        <v>1720</v>
      </c>
      <c r="C284" s="169">
        <v>0</v>
      </c>
      <c r="D284" s="169">
        <v>0</v>
      </c>
      <c r="E284" t="e">
        <f>VLOOKUP(A:A,הכנסות!B:B,1,0)</f>
        <v>#N/A</v>
      </c>
    </row>
    <row r="285" spans="1:6">
      <c r="A285" s="178">
        <v>1599900790</v>
      </c>
      <c r="B285" s="178" t="s">
        <v>584</v>
      </c>
      <c r="C285" s="179">
        <v>0</v>
      </c>
      <c r="D285" s="179">
        <v>0</v>
      </c>
      <c r="E285" s="178">
        <f>VLOOKUP(A:A,הכנסות!B:B,1,0)</f>
        <v>1599900790</v>
      </c>
      <c r="F285" s="178"/>
    </row>
    <row r="286" spans="1:6">
      <c r="D286" s="169">
        <f>SUM(D2:D285)</f>
        <v>-60985105.079999998</v>
      </c>
    </row>
    <row r="290" spans="1:7" ht="15">
      <c r="A290" s="167" t="s">
        <v>0</v>
      </c>
      <c r="B290" s="167" t="s">
        <v>1</v>
      </c>
      <c r="C290" s="168" t="s">
        <v>1666</v>
      </c>
      <c r="D290" s="168" t="s">
        <v>1667</v>
      </c>
      <c r="E290" s="167" t="s">
        <v>1885</v>
      </c>
    </row>
    <row r="291" spans="1:7">
      <c r="A291">
        <v>1611100110</v>
      </c>
      <c r="B291" t="s">
        <v>3</v>
      </c>
      <c r="C291" s="169">
        <v>833000</v>
      </c>
      <c r="D291" s="169">
        <v>771990.61</v>
      </c>
      <c r="E291">
        <f>VLOOKUP(A:A,הוצאות!B:B,1,0)</f>
        <v>1611100110</v>
      </c>
      <c r="F291" s="156">
        <f>VLOOKUP(A:A,הוצאות!B:O,14,0)</f>
        <v>771990.61</v>
      </c>
      <c r="G291" s="180">
        <f>D291-F291</f>
        <v>0</v>
      </c>
    </row>
    <row r="292" spans="1:7">
      <c r="A292">
        <v>1611100511</v>
      </c>
      <c r="B292" t="s">
        <v>4</v>
      </c>
      <c r="C292" s="169">
        <v>21660</v>
      </c>
      <c r="D292" s="169">
        <v>19804.29</v>
      </c>
      <c r="E292">
        <f>VLOOKUP(A:A,הוצאות!B:B,1,0)</f>
        <v>1611100511</v>
      </c>
      <c r="F292" s="156">
        <f>VLOOKUP(A:A,הוצאות!B:O,14,0)</f>
        <v>19804.29</v>
      </c>
      <c r="G292" s="180">
        <f t="shared" ref="G292:G355" si="0">D292-F292</f>
        <v>0</v>
      </c>
    </row>
    <row r="293" spans="1:7">
      <c r="A293">
        <v>1611100514</v>
      </c>
      <c r="B293" t="s">
        <v>5</v>
      </c>
      <c r="C293" s="169">
        <v>8330</v>
      </c>
      <c r="D293" s="169">
        <v>0</v>
      </c>
      <c r="E293">
        <f>VLOOKUP(A:A,הוצאות!B:B,1,0)</f>
        <v>1611100514</v>
      </c>
      <c r="F293" s="156">
        <f>VLOOKUP(A:A,הוצאות!B:O,14,0)</f>
        <v>0</v>
      </c>
      <c r="G293" s="180">
        <f t="shared" si="0"/>
        <v>0</v>
      </c>
    </row>
    <row r="294" spans="1:7">
      <c r="A294">
        <v>1611100521</v>
      </c>
      <c r="B294" t="s">
        <v>6</v>
      </c>
      <c r="C294" s="169">
        <v>24990</v>
      </c>
      <c r="D294" s="169">
        <v>1700</v>
      </c>
      <c r="E294">
        <f>VLOOKUP(A:A,הוצאות!B:B,1,0)</f>
        <v>1611100521</v>
      </c>
      <c r="F294" s="156">
        <f>VLOOKUP(A:A,הוצאות!B:O,14,0)</f>
        <v>1700</v>
      </c>
      <c r="G294" s="180">
        <f t="shared" si="0"/>
        <v>0</v>
      </c>
    </row>
    <row r="295" spans="1:7">
      <c r="A295">
        <v>1611100522</v>
      </c>
      <c r="B295" t="s">
        <v>7</v>
      </c>
      <c r="C295" s="169">
        <v>0</v>
      </c>
      <c r="D295" s="169">
        <v>0</v>
      </c>
      <c r="E295">
        <f>VLOOKUP(A:A,הוצאות!B:B,1,0)</f>
        <v>1611100522</v>
      </c>
      <c r="F295" s="156">
        <f>VLOOKUP(A:A,הוצאות!B:O,14,0)</f>
        <v>0</v>
      </c>
      <c r="G295" s="180">
        <f t="shared" si="0"/>
        <v>0</v>
      </c>
    </row>
    <row r="296" spans="1:7">
      <c r="A296">
        <v>1611100523</v>
      </c>
      <c r="B296" t="s">
        <v>8</v>
      </c>
      <c r="C296" s="169">
        <v>1670</v>
      </c>
      <c r="D296" s="169">
        <v>0</v>
      </c>
      <c r="E296">
        <f>VLOOKUP(A:A,הוצאות!B:B,1,0)</f>
        <v>1611100523</v>
      </c>
      <c r="F296" s="156">
        <f>VLOOKUP(A:A,הוצאות!B:O,14,0)</f>
        <v>0</v>
      </c>
      <c r="G296" s="180">
        <f t="shared" si="0"/>
        <v>0</v>
      </c>
    </row>
    <row r="297" spans="1:7">
      <c r="A297">
        <v>1611100530</v>
      </c>
      <c r="B297" t="s">
        <v>9</v>
      </c>
      <c r="C297" s="169">
        <v>49980</v>
      </c>
      <c r="D297" s="169">
        <v>53262.400000000001</v>
      </c>
      <c r="E297">
        <f>VLOOKUP(A:A,הוצאות!B:B,1,0)</f>
        <v>1611100530</v>
      </c>
      <c r="F297" s="156">
        <f>VLOOKUP(A:A,הוצאות!B:O,14,0)</f>
        <v>53262.400000000001</v>
      </c>
      <c r="G297" s="180">
        <f t="shared" si="0"/>
        <v>0</v>
      </c>
    </row>
    <row r="298" spans="1:7">
      <c r="A298">
        <v>1611100531</v>
      </c>
      <c r="B298" t="s">
        <v>10</v>
      </c>
      <c r="C298" s="169">
        <v>29160</v>
      </c>
      <c r="D298" s="169">
        <v>12729.79</v>
      </c>
      <c r="E298">
        <f>VLOOKUP(A:A,הוצאות!B:B,1,0)</f>
        <v>1611100531</v>
      </c>
      <c r="F298" s="156">
        <f>VLOOKUP(A:A,הוצאות!B:O,14,0)</f>
        <v>12729.79</v>
      </c>
      <c r="G298" s="180">
        <f t="shared" si="0"/>
        <v>0</v>
      </c>
    </row>
    <row r="299" spans="1:7">
      <c r="A299">
        <v>1611100532</v>
      </c>
      <c r="B299" t="s">
        <v>11</v>
      </c>
      <c r="C299" s="169">
        <v>0</v>
      </c>
      <c r="D299" s="169">
        <v>0</v>
      </c>
      <c r="E299" t="e">
        <f>VLOOKUP(A:A,הוצאות!B:B,1,0)</f>
        <v>#N/A</v>
      </c>
      <c r="F299" s="156" t="e">
        <f>VLOOKUP(A:A,הוצאות!B:O,14,0)</f>
        <v>#N/A</v>
      </c>
      <c r="G299" s="180" t="e">
        <f t="shared" si="0"/>
        <v>#N/A</v>
      </c>
    </row>
    <row r="300" spans="1:7">
      <c r="A300">
        <v>1611100533</v>
      </c>
      <c r="B300" t="s">
        <v>12</v>
      </c>
      <c r="C300" s="169">
        <v>0</v>
      </c>
      <c r="D300" s="169">
        <v>0</v>
      </c>
      <c r="E300" t="e">
        <f>VLOOKUP(A:A,הוצאות!B:B,1,0)</f>
        <v>#N/A</v>
      </c>
      <c r="F300" s="156" t="e">
        <f>VLOOKUP(A:A,הוצאות!B:O,14,0)</f>
        <v>#N/A</v>
      </c>
      <c r="G300" s="180" t="e">
        <f t="shared" si="0"/>
        <v>#N/A</v>
      </c>
    </row>
    <row r="301" spans="1:7">
      <c r="A301">
        <v>1611100540</v>
      </c>
      <c r="B301" t="s">
        <v>13</v>
      </c>
      <c r="C301" s="169">
        <v>0</v>
      </c>
      <c r="D301" s="169">
        <v>0</v>
      </c>
      <c r="E301" t="e">
        <f>VLOOKUP(A:A,הוצאות!B:B,1,0)</f>
        <v>#N/A</v>
      </c>
      <c r="F301" s="156" t="e">
        <f>VLOOKUP(A:A,הוצאות!B:O,14,0)</f>
        <v>#N/A</v>
      </c>
      <c r="G301" s="180" t="e">
        <f t="shared" si="0"/>
        <v>#N/A</v>
      </c>
    </row>
    <row r="302" spans="1:7">
      <c r="A302">
        <v>1611100560</v>
      </c>
      <c r="B302" t="s">
        <v>14</v>
      </c>
      <c r="C302" s="169">
        <v>6660</v>
      </c>
      <c r="D302" s="169">
        <v>9371</v>
      </c>
      <c r="E302">
        <f>VLOOKUP(A:A,הוצאות!B:B,1,0)</f>
        <v>1611100560</v>
      </c>
      <c r="F302" s="156">
        <f>VLOOKUP(A:A,הוצאות!B:O,14,0)</f>
        <v>9371</v>
      </c>
      <c r="G302" s="180">
        <f t="shared" si="0"/>
        <v>0</v>
      </c>
    </row>
    <row r="303" spans="1:7">
      <c r="A303">
        <v>1611100750</v>
      </c>
      <c r="B303" t="s">
        <v>15</v>
      </c>
      <c r="C303" s="169">
        <v>0</v>
      </c>
      <c r="D303" s="169">
        <v>0</v>
      </c>
      <c r="E303" t="e">
        <f>VLOOKUP(A:A,הוצאות!B:B,1,0)</f>
        <v>#N/A</v>
      </c>
      <c r="F303" s="156" t="e">
        <f>VLOOKUP(A:A,הוצאות!B:O,14,0)</f>
        <v>#N/A</v>
      </c>
      <c r="G303" s="180" t="e">
        <f t="shared" si="0"/>
        <v>#N/A</v>
      </c>
    </row>
    <row r="304" spans="1:7">
      <c r="A304">
        <v>1611100751</v>
      </c>
      <c r="B304" t="s">
        <v>16</v>
      </c>
      <c r="C304" s="169">
        <v>0</v>
      </c>
      <c r="D304" s="169">
        <v>0</v>
      </c>
      <c r="E304" t="e">
        <f>VLOOKUP(A:A,הוצאות!B:B,1,0)</f>
        <v>#N/A</v>
      </c>
      <c r="F304" s="156" t="e">
        <f>VLOOKUP(A:A,הוצאות!B:O,14,0)</f>
        <v>#N/A</v>
      </c>
      <c r="G304" s="180" t="e">
        <f t="shared" si="0"/>
        <v>#N/A</v>
      </c>
    </row>
    <row r="305" spans="1:7">
      <c r="A305">
        <v>1611100760</v>
      </c>
      <c r="B305" t="s">
        <v>17</v>
      </c>
      <c r="C305" s="169">
        <v>0</v>
      </c>
      <c r="D305" s="169">
        <v>0</v>
      </c>
      <c r="E305" t="e">
        <f>VLOOKUP(A:A,הוצאות!B:B,1,0)</f>
        <v>#N/A</v>
      </c>
      <c r="F305" s="156" t="e">
        <f>VLOOKUP(A:A,הוצאות!B:O,14,0)</f>
        <v>#N/A</v>
      </c>
      <c r="G305" s="180" t="e">
        <f t="shared" si="0"/>
        <v>#N/A</v>
      </c>
    </row>
    <row r="306" spans="1:7">
      <c r="A306">
        <v>1611100780</v>
      </c>
      <c r="B306" t="s">
        <v>18</v>
      </c>
      <c r="C306" s="169">
        <v>8330</v>
      </c>
      <c r="D306" s="169">
        <v>9821.4</v>
      </c>
      <c r="E306">
        <f>VLOOKUP(A:A,הוצאות!B:B,1,0)</f>
        <v>1611100780</v>
      </c>
      <c r="F306" s="156">
        <f>VLOOKUP(A:A,הוצאות!B:O,14,0)</f>
        <v>9821.4</v>
      </c>
      <c r="G306" s="180">
        <f t="shared" si="0"/>
        <v>0</v>
      </c>
    </row>
    <row r="307" spans="1:7">
      <c r="A307">
        <v>1611100930</v>
      </c>
      <c r="B307" t="s">
        <v>19</v>
      </c>
      <c r="C307" s="169">
        <v>0</v>
      </c>
      <c r="D307" s="169">
        <v>0</v>
      </c>
      <c r="E307" t="e">
        <f>VLOOKUP(A:A,הוצאות!B:B,1,0)</f>
        <v>#N/A</v>
      </c>
      <c r="F307" s="156" t="e">
        <f>VLOOKUP(A:A,הוצאות!B:O,14,0)</f>
        <v>#N/A</v>
      </c>
      <c r="G307" s="180" t="e">
        <f t="shared" si="0"/>
        <v>#N/A</v>
      </c>
    </row>
    <row r="308" spans="1:7">
      <c r="A308">
        <v>1611110110</v>
      </c>
      <c r="B308" t="s">
        <v>20</v>
      </c>
      <c r="C308" s="169">
        <v>274890</v>
      </c>
      <c r="D308" s="169">
        <v>0</v>
      </c>
      <c r="E308">
        <f>VLOOKUP(A:A,הוצאות!B:B,1,0)</f>
        <v>1611110110</v>
      </c>
      <c r="F308" s="156">
        <f>VLOOKUP(A:A,הוצאות!B:O,14,0)</f>
        <v>0</v>
      </c>
      <c r="G308" s="180">
        <f t="shared" si="0"/>
        <v>0</v>
      </c>
    </row>
    <row r="309" spans="1:7" hidden="1">
      <c r="A309">
        <v>1611200780</v>
      </c>
      <c r="B309" t="s">
        <v>1721</v>
      </c>
      <c r="C309" s="169">
        <v>0</v>
      </c>
      <c r="D309" s="169">
        <v>0</v>
      </c>
      <c r="E309" t="e">
        <f>VLOOKUP(A:A,הוצאות!B:B,1,0)</f>
        <v>#N/A</v>
      </c>
      <c r="F309" s="156" t="e">
        <f>VLOOKUP(A:A,הוצאות!B:O,14,0)</f>
        <v>#N/A</v>
      </c>
      <c r="G309" s="180" t="e">
        <f t="shared" si="0"/>
        <v>#N/A</v>
      </c>
    </row>
    <row r="310" spans="1:7" hidden="1">
      <c r="A310">
        <v>1611300780</v>
      </c>
      <c r="B310" t="s">
        <v>1722</v>
      </c>
      <c r="C310" s="169">
        <v>0</v>
      </c>
      <c r="D310" s="169">
        <v>0</v>
      </c>
      <c r="E310" t="e">
        <f>VLOOKUP(A:A,הוצאות!B:B,1,0)</f>
        <v>#N/A</v>
      </c>
      <c r="F310" s="156" t="e">
        <f>VLOOKUP(A:A,הוצאות!B:O,14,0)</f>
        <v>#N/A</v>
      </c>
      <c r="G310" s="180" t="e">
        <f t="shared" si="0"/>
        <v>#N/A</v>
      </c>
    </row>
    <row r="311" spans="1:7">
      <c r="A311">
        <v>1612000523</v>
      </c>
      <c r="B311" t="s">
        <v>21</v>
      </c>
      <c r="C311" s="169">
        <v>1670</v>
      </c>
      <c r="D311" s="169">
        <v>1150</v>
      </c>
      <c r="E311">
        <f>VLOOKUP(A:A,הוצאות!B:B,1,0)</f>
        <v>1612000523</v>
      </c>
      <c r="F311" s="156">
        <f>VLOOKUP(A:A,הוצאות!B:O,14,0)</f>
        <v>1150</v>
      </c>
      <c r="G311" s="180">
        <f t="shared" si="0"/>
        <v>0</v>
      </c>
    </row>
    <row r="312" spans="1:7">
      <c r="A312">
        <v>1612000550</v>
      </c>
      <c r="B312" t="s">
        <v>22</v>
      </c>
      <c r="C312" s="169">
        <v>0</v>
      </c>
      <c r="D312" s="169">
        <v>0</v>
      </c>
      <c r="E312">
        <f>VLOOKUP(A:A,הוצאות!B:B,1,0)</f>
        <v>1612000550</v>
      </c>
      <c r="F312" s="156">
        <f>VLOOKUP(A:A,הוצאות!B:O,14,0)</f>
        <v>0</v>
      </c>
      <c r="G312" s="180">
        <f t="shared" si="0"/>
        <v>0</v>
      </c>
    </row>
    <row r="313" spans="1:7">
      <c r="A313">
        <v>1612000930</v>
      </c>
      <c r="B313" t="s">
        <v>23</v>
      </c>
      <c r="C313" s="169">
        <v>0</v>
      </c>
      <c r="D313" s="169">
        <v>0</v>
      </c>
      <c r="E313">
        <f>VLOOKUP(A:A,הוצאות!B:B,1,0)</f>
        <v>1612000930</v>
      </c>
      <c r="F313" s="156">
        <f>VLOOKUP(A:A,הוצאות!B:O,14,0)</f>
        <v>0</v>
      </c>
      <c r="G313" s="180">
        <f t="shared" si="0"/>
        <v>0</v>
      </c>
    </row>
    <row r="314" spans="1:7">
      <c r="A314">
        <v>1613000110</v>
      </c>
      <c r="B314" t="s">
        <v>24</v>
      </c>
      <c r="C314" s="169">
        <v>616420</v>
      </c>
      <c r="D314" s="169">
        <v>532110.85</v>
      </c>
      <c r="E314">
        <f>VLOOKUP(A:A,הוצאות!B:B,1,0)</f>
        <v>1613000110</v>
      </c>
      <c r="F314" s="156">
        <f>VLOOKUP(A:A,הוצאות!B:O,14,0)</f>
        <v>532110.85</v>
      </c>
      <c r="G314" s="180">
        <f t="shared" si="0"/>
        <v>0</v>
      </c>
    </row>
    <row r="315" spans="1:7">
      <c r="A315">
        <v>1613000320</v>
      </c>
      <c r="B315" t="s">
        <v>25</v>
      </c>
      <c r="C315" s="169">
        <v>0</v>
      </c>
      <c r="D315" s="169">
        <v>0</v>
      </c>
      <c r="E315">
        <f>VLOOKUP(A:A,הוצאות!B:B,1,0)</f>
        <v>1613000320</v>
      </c>
      <c r="F315" s="156">
        <f>VLOOKUP(A:A,הוצאות!B:O,14,0)</f>
        <v>0</v>
      </c>
      <c r="G315" s="180">
        <f t="shared" si="0"/>
        <v>0</v>
      </c>
    </row>
    <row r="316" spans="1:7">
      <c r="A316">
        <v>1613000431</v>
      </c>
      <c r="B316" t="s">
        <v>26</v>
      </c>
      <c r="C316" s="169">
        <v>13330</v>
      </c>
      <c r="D316" s="169">
        <v>5845.15</v>
      </c>
      <c r="E316">
        <f>VLOOKUP(A:A,הוצאות!B:B,1,0)</f>
        <v>1613000431</v>
      </c>
      <c r="F316" s="156">
        <f>VLOOKUP(A:A,הוצאות!B:O,14,0)</f>
        <v>5845.15</v>
      </c>
      <c r="G316" s="180">
        <f t="shared" si="0"/>
        <v>0</v>
      </c>
    </row>
    <row r="317" spans="1:7">
      <c r="A317">
        <v>1613000511</v>
      </c>
      <c r="B317" t="s">
        <v>27</v>
      </c>
      <c r="C317" s="169">
        <v>8330</v>
      </c>
      <c r="D317" s="169">
        <v>0</v>
      </c>
      <c r="E317">
        <f>VLOOKUP(A:A,הוצאות!B:B,1,0)</f>
        <v>1613000511</v>
      </c>
      <c r="F317" s="156">
        <f>VLOOKUP(A:A,הוצאות!B:O,14,0)</f>
        <v>0</v>
      </c>
      <c r="G317" s="180">
        <f t="shared" si="0"/>
        <v>0</v>
      </c>
    </row>
    <row r="318" spans="1:7">
      <c r="A318">
        <v>1613000522</v>
      </c>
      <c r="B318" t="s">
        <v>7</v>
      </c>
      <c r="C318" s="169">
        <v>0</v>
      </c>
      <c r="D318" s="169">
        <v>0</v>
      </c>
      <c r="E318" t="e">
        <f>VLOOKUP(A:A,הוצאות!B:B,1,0)</f>
        <v>#N/A</v>
      </c>
      <c r="F318" s="156" t="e">
        <f>VLOOKUP(A:A,הוצאות!B:O,14,0)</f>
        <v>#N/A</v>
      </c>
      <c r="G318" s="180" t="e">
        <f t="shared" si="0"/>
        <v>#N/A</v>
      </c>
    </row>
    <row r="319" spans="1:7">
      <c r="A319">
        <v>1613000523</v>
      </c>
      <c r="B319" t="s">
        <v>28</v>
      </c>
      <c r="C319" s="169">
        <v>4170</v>
      </c>
      <c r="D319" s="169">
        <v>790.8</v>
      </c>
      <c r="E319">
        <f>VLOOKUP(A:A,הוצאות!B:B,1,0)</f>
        <v>1613000523</v>
      </c>
      <c r="F319" s="156">
        <f>VLOOKUP(A:A,הוצאות!B:O,14,0)</f>
        <v>790.8</v>
      </c>
      <c r="G319" s="180">
        <f t="shared" si="0"/>
        <v>0</v>
      </c>
    </row>
    <row r="320" spans="1:7">
      <c r="A320">
        <v>1613000540</v>
      </c>
      <c r="B320" t="s">
        <v>29</v>
      </c>
      <c r="C320" s="169">
        <v>83300</v>
      </c>
      <c r="D320" s="169">
        <v>124281.34</v>
      </c>
      <c r="E320">
        <f>VLOOKUP(A:A,הוצאות!B:B,1,0)</f>
        <v>1613000540</v>
      </c>
      <c r="F320" s="156">
        <f>VLOOKUP(A:A,הוצאות!B:O,14,0)</f>
        <v>124281.34</v>
      </c>
      <c r="G320" s="180">
        <f t="shared" si="0"/>
        <v>0</v>
      </c>
    </row>
    <row r="321" spans="1:7">
      <c r="A321">
        <v>1613000550</v>
      </c>
      <c r="B321" t="s">
        <v>30</v>
      </c>
      <c r="C321" s="169">
        <v>33320</v>
      </c>
      <c r="D321" s="169">
        <v>59721.95</v>
      </c>
      <c r="E321">
        <f>VLOOKUP(A:A,הוצאות!B:B,1,0)</f>
        <v>1613000550</v>
      </c>
      <c r="F321" s="156">
        <f>VLOOKUP(A:A,הוצאות!B:O,14,0)</f>
        <v>59721.95</v>
      </c>
      <c r="G321" s="180">
        <f t="shared" si="0"/>
        <v>0</v>
      </c>
    </row>
    <row r="322" spans="1:7">
      <c r="A322">
        <v>1613000560</v>
      </c>
      <c r="B322" t="s">
        <v>1723</v>
      </c>
      <c r="C322" s="169">
        <v>37490</v>
      </c>
      <c r="D322" s="169">
        <v>37859</v>
      </c>
      <c r="E322">
        <f>VLOOKUP(A:A,הוצאות!B:B,1,0)</f>
        <v>1613000560</v>
      </c>
      <c r="F322" s="156">
        <f>VLOOKUP(A:A,הוצאות!B:O,14,0)</f>
        <v>37859</v>
      </c>
      <c r="G322" s="180">
        <f t="shared" si="0"/>
        <v>0</v>
      </c>
    </row>
    <row r="323" spans="1:7">
      <c r="A323">
        <v>1613000710</v>
      </c>
      <c r="B323" t="s">
        <v>31</v>
      </c>
      <c r="C323" s="169">
        <v>6660</v>
      </c>
      <c r="D323" s="169">
        <v>0</v>
      </c>
      <c r="E323">
        <f>VLOOKUP(A:A,הוצאות!B:B,1,0)</f>
        <v>1613000710</v>
      </c>
      <c r="F323" s="156">
        <f>VLOOKUP(A:A,הוצאות!B:O,14,0)</f>
        <v>0</v>
      </c>
      <c r="G323" s="180">
        <f t="shared" si="0"/>
        <v>0</v>
      </c>
    </row>
    <row r="324" spans="1:7">
      <c r="A324">
        <v>1613000720</v>
      </c>
      <c r="B324" t="s">
        <v>32</v>
      </c>
      <c r="C324" s="169">
        <v>0</v>
      </c>
      <c r="D324" s="169">
        <v>0</v>
      </c>
      <c r="E324">
        <f>VLOOKUP(A:A,הוצאות!B:B,1,0)</f>
        <v>1613000720</v>
      </c>
      <c r="F324" s="156">
        <f>VLOOKUP(A:A,הוצאות!B:O,14,0)</f>
        <v>0</v>
      </c>
      <c r="G324" s="180">
        <f t="shared" si="0"/>
        <v>0</v>
      </c>
    </row>
    <row r="325" spans="1:7">
      <c r="A325">
        <v>1613000740</v>
      </c>
      <c r="B325" t="s">
        <v>33</v>
      </c>
      <c r="C325" s="169">
        <v>0</v>
      </c>
      <c r="D325" s="169">
        <v>0</v>
      </c>
      <c r="E325">
        <f>VLOOKUP(A:A,הוצאות!B:B,1,0)</f>
        <v>1613000740</v>
      </c>
      <c r="F325" s="156">
        <f>VLOOKUP(A:A,הוצאות!B:O,14,0)</f>
        <v>0</v>
      </c>
      <c r="G325" s="180">
        <f t="shared" si="0"/>
        <v>0</v>
      </c>
    </row>
    <row r="326" spans="1:7">
      <c r="A326">
        <v>1613000750</v>
      </c>
      <c r="B326" t="s">
        <v>34</v>
      </c>
      <c r="C326" s="169">
        <v>64140</v>
      </c>
      <c r="D326" s="169">
        <v>72911.899999999994</v>
      </c>
      <c r="E326">
        <f>VLOOKUP(A:A,הוצאות!B:B,1,0)</f>
        <v>1613000750</v>
      </c>
      <c r="F326" s="156">
        <f>VLOOKUP(A:A,הוצאות!B:O,14,0)</f>
        <v>72911.899999999994</v>
      </c>
      <c r="G326" s="180">
        <f t="shared" si="0"/>
        <v>0</v>
      </c>
    </row>
    <row r="327" spans="1:7">
      <c r="A327">
        <v>1613000780</v>
      </c>
      <c r="B327" t="s">
        <v>18</v>
      </c>
      <c r="C327" s="169">
        <v>20830</v>
      </c>
      <c r="D327" s="169">
        <v>11400</v>
      </c>
      <c r="E327">
        <f>VLOOKUP(A:A,הוצאות!B:B,1,0)</f>
        <v>1613000780</v>
      </c>
      <c r="F327" s="156">
        <f>VLOOKUP(A:A,הוצאות!B:O,14,0)</f>
        <v>11400</v>
      </c>
      <c r="G327" s="180">
        <f t="shared" si="0"/>
        <v>0</v>
      </c>
    </row>
    <row r="328" spans="1:7">
      <c r="A328">
        <v>1613000810</v>
      </c>
      <c r="B328" t="s">
        <v>35</v>
      </c>
      <c r="C328" s="169">
        <v>0</v>
      </c>
      <c r="D328" s="169">
        <v>0</v>
      </c>
      <c r="E328" t="e">
        <f>VLOOKUP(A:A,הוצאות!B:B,1,0)</f>
        <v>#N/A</v>
      </c>
      <c r="F328" s="156" t="e">
        <f>VLOOKUP(A:A,הוצאות!B:O,14,0)</f>
        <v>#N/A</v>
      </c>
      <c r="G328" s="180" t="e">
        <f t="shared" si="0"/>
        <v>#N/A</v>
      </c>
    </row>
    <row r="329" spans="1:7">
      <c r="A329">
        <v>1613000830</v>
      </c>
      <c r="B329" t="s">
        <v>36</v>
      </c>
      <c r="C329" s="169">
        <v>0</v>
      </c>
      <c r="D329" s="169">
        <v>0</v>
      </c>
      <c r="E329" t="e">
        <f>VLOOKUP(A:A,הוצאות!B:B,1,0)</f>
        <v>#N/A</v>
      </c>
      <c r="F329" s="156" t="e">
        <f>VLOOKUP(A:A,הוצאות!B:O,14,0)</f>
        <v>#N/A</v>
      </c>
      <c r="G329" s="180" t="e">
        <f t="shared" si="0"/>
        <v>#N/A</v>
      </c>
    </row>
    <row r="330" spans="1:7">
      <c r="A330">
        <v>1613000970</v>
      </c>
      <c r="B330" t="s">
        <v>37</v>
      </c>
      <c r="C330" s="169">
        <v>0</v>
      </c>
      <c r="D330" s="169">
        <v>0</v>
      </c>
      <c r="E330" t="e">
        <f>VLOOKUP(A:A,הוצאות!B:B,1,0)</f>
        <v>#N/A</v>
      </c>
      <c r="F330" s="156" t="e">
        <f>VLOOKUP(A:A,הוצאות!B:O,14,0)</f>
        <v>#N/A</v>
      </c>
      <c r="G330" s="180" t="e">
        <f t="shared" si="0"/>
        <v>#N/A</v>
      </c>
    </row>
    <row r="331" spans="1:7">
      <c r="A331">
        <v>1613100110</v>
      </c>
      <c r="B331" t="s">
        <v>1659</v>
      </c>
      <c r="C331" s="169">
        <v>58310</v>
      </c>
      <c r="D331" s="169">
        <v>0</v>
      </c>
      <c r="E331">
        <f>VLOOKUP(A:A,הוצאות!B:B,1,0)</f>
        <v>1613100110</v>
      </c>
      <c r="F331" s="156">
        <f>VLOOKUP(A:A,הוצאות!B:O,14,0)</f>
        <v>0</v>
      </c>
      <c r="G331" s="180">
        <f t="shared" si="0"/>
        <v>0</v>
      </c>
    </row>
    <row r="332" spans="1:7">
      <c r="A332">
        <v>1615000110</v>
      </c>
      <c r="B332" t="s">
        <v>38</v>
      </c>
      <c r="C332" s="169">
        <v>255730</v>
      </c>
      <c r="D332" s="169">
        <v>157716.97</v>
      </c>
      <c r="E332">
        <f>VLOOKUP(A:A,הוצאות!B:B,1,0)</f>
        <v>1615000110</v>
      </c>
      <c r="F332" s="156">
        <f>VLOOKUP(A:A,הוצאות!B:O,14,0)</f>
        <v>157716.97</v>
      </c>
      <c r="G332" s="180">
        <f t="shared" si="0"/>
        <v>0</v>
      </c>
    </row>
    <row r="333" spans="1:7">
      <c r="A333">
        <v>1615000760</v>
      </c>
      <c r="B333" t="s">
        <v>39</v>
      </c>
      <c r="C333" s="169">
        <v>0</v>
      </c>
      <c r="D333" s="169">
        <v>0</v>
      </c>
      <c r="E333">
        <f>VLOOKUP(A:A,הוצאות!B:B,1,0)</f>
        <v>1615000760</v>
      </c>
      <c r="F333" s="156">
        <f>VLOOKUP(A:A,הוצאות!B:O,14,0)</f>
        <v>0</v>
      </c>
      <c r="G333" s="180">
        <f t="shared" si="0"/>
        <v>0</v>
      </c>
    </row>
    <row r="334" spans="1:7">
      <c r="A334">
        <v>1615100110</v>
      </c>
      <c r="B334" t="s">
        <v>1643</v>
      </c>
      <c r="C334" s="169">
        <v>116620</v>
      </c>
      <c r="D334" s="169">
        <v>0</v>
      </c>
      <c r="E334" t="e">
        <f>VLOOKUP(A:A,הוצאות!B:B,1,0)</f>
        <v>#N/A</v>
      </c>
      <c r="F334" s="156" t="e">
        <f>VLOOKUP(A:A,הוצאות!B:O,14,0)</f>
        <v>#N/A</v>
      </c>
      <c r="G334" s="180" t="e">
        <f t="shared" si="0"/>
        <v>#N/A</v>
      </c>
    </row>
    <row r="335" spans="1:7">
      <c r="A335">
        <v>1615200110</v>
      </c>
      <c r="B335" t="s">
        <v>1644</v>
      </c>
      <c r="C335" s="169">
        <v>33320</v>
      </c>
      <c r="D335" s="169">
        <v>0</v>
      </c>
      <c r="E335">
        <f>VLOOKUP(A:A,הוצאות!B:B,1,0)</f>
        <v>1615200110</v>
      </c>
      <c r="F335" s="156">
        <f>VLOOKUP(A:A,הוצאות!B:O,14,0)</f>
        <v>0</v>
      </c>
      <c r="G335" s="180">
        <f t="shared" si="0"/>
        <v>0</v>
      </c>
    </row>
    <row r="336" spans="1:7">
      <c r="A336">
        <v>1616000521</v>
      </c>
      <c r="B336" t="s">
        <v>40</v>
      </c>
      <c r="C336" s="169">
        <v>124950</v>
      </c>
      <c r="D336" s="169">
        <v>88230</v>
      </c>
      <c r="E336">
        <f>VLOOKUP(A:A,הוצאות!B:B,1,0)</f>
        <v>1616000521</v>
      </c>
      <c r="F336" s="156">
        <f>VLOOKUP(A:A,הוצאות!B:O,14,0)</f>
        <v>88230</v>
      </c>
      <c r="G336" s="180">
        <f t="shared" si="0"/>
        <v>0</v>
      </c>
    </row>
    <row r="337" spans="1:7">
      <c r="A337">
        <v>1616100521</v>
      </c>
      <c r="B337" t="s">
        <v>41</v>
      </c>
      <c r="C337" s="169">
        <v>0</v>
      </c>
      <c r="D337" s="169">
        <v>0</v>
      </c>
      <c r="E337" t="e">
        <f>VLOOKUP(A:A,הוצאות!B:B,1,0)</f>
        <v>#N/A</v>
      </c>
      <c r="F337" s="156" t="e">
        <f>VLOOKUP(A:A,הוצאות!B:O,14,0)</f>
        <v>#N/A</v>
      </c>
      <c r="G337" s="180" t="e">
        <f t="shared" si="0"/>
        <v>#N/A</v>
      </c>
    </row>
    <row r="338" spans="1:7">
      <c r="A338">
        <v>1617000581</v>
      </c>
      <c r="B338" t="s">
        <v>42</v>
      </c>
      <c r="C338" s="169">
        <v>24990</v>
      </c>
      <c r="D338" s="169">
        <v>0</v>
      </c>
      <c r="E338">
        <f>VLOOKUP(A:A,הוצאות!B:B,1,0)</f>
        <v>1617000581</v>
      </c>
      <c r="F338" s="156">
        <f>VLOOKUP(A:A,הוצאות!B:O,14,0)</f>
        <v>0</v>
      </c>
      <c r="G338" s="180">
        <f t="shared" si="0"/>
        <v>0</v>
      </c>
    </row>
    <row r="339" spans="1:7">
      <c r="A339">
        <v>1617000582</v>
      </c>
      <c r="B339" t="s">
        <v>43</v>
      </c>
      <c r="C339" s="169">
        <v>49980</v>
      </c>
      <c r="D339" s="169">
        <v>20779.91</v>
      </c>
      <c r="E339">
        <f>VLOOKUP(A:A,הוצאות!B:B,1,0)</f>
        <v>1617000582</v>
      </c>
      <c r="F339" s="156">
        <f>VLOOKUP(A:A,הוצאות!B:O,14,0)</f>
        <v>20779.91</v>
      </c>
      <c r="G339" s="180">
        <f t="shared" si="0"/>
        <v>0</v>
      </c>
    </row>
    <row r="340" spans="1:7">
      <c r="A340">
        <v>1617000750</v>
      </c>
      <c r="B340" t="s">
        <v>44</v>
      </c>
      <c r="C340" s="169">
        <v>187430</v>
      </c>
      <c r="D340" s="169">
        <v>227078</v>
      </c>
      <c r="E340">
        <f>VLOOKUP(A:A,הוצאות!B:B,1,0)</f>
        <v>1617000750</v>
      </c>
      <c r="F340" s="156">
        <f>VLOOKUP(A:A,הוצאות!B:O,14,0)</f>
        <v>227078</v>
      </c>
      <c r="G340" s="180">
        <f t="shared" si="0"/>
        <v>0</v>
      </c>
    </row>
    <row r="341" spans="1:7">
      <c r="A341">
        <v>1617000751</v>
      </c>
      <c r="B341" t="s">
        <v>45</v>
      </c>
      <c r="C341" s="169">
        <v>116620</v>
      </c>
      <c r="D341" s="169">
        <v>0</v>
      </c>
      <c r="E341">
        <f>VLOOKUP(A:A,הוצאות!B:B,1,0)</f>
        <v>1617000751</v>
      </c>
      <c r="F341" s="156">
        <f>VLOOKUP(A:A,הוצאות!B:O,14,0)</f>
        <v>0</v>
      </c>
      <c r="G341" s="180">
        <f t="shared" si="0"/>
        <v>0</v>
      </c>
    </row>
    <row r="342" spans="1:7">
      <c r="A342">
        <v>1619000780</v>
      </c>
      <c r="B342" t="s">
        <v>46</v>
      </c>
      <c r="C342" s="169">
        <v>0</v>
      </c>
      <c r="D342" s="169">
        <v>0</v>
      </c>
      <c r="E342">
        <f>VLOOKUP(A:A,הוצאות!B:B,1,0)</f>
        <v>1619000780</v>
      </c>
      <c r="F342" s="156">
        <f>VLOOKUP(A:A,הוצאות!B:O,14,0)</f>
        <v>0</v>
      </c>
      <c r="G342" s="180">
        <f t="shared" si="0"/>
        <v>0</v>
      </c>
    </row>
    <row r="343" spans="1:7">
      <c r="A343">
        <v>1619999399</v>
      </c>
      <c r="B343" t="s">
        <v>47</v>
      </c>
      <c r="C343" s="169">
        <v>0</v>
      </c>
      <c r="D343" s="169">
        <v>0</v>
      </c>
      <c r="E343" t="e">
        <f>VLOOKUP(A:A,הוצאות!B:B,1,0)</f>
        <v>#N/A</v>
      </c>
      <c r="F343" s="156" t="e">
        <f>VLOOKUP(A:A,הוצאות!B:O,14,0)</f>
        <v>#N/A</v>
      </c>
      <c r="G343" s="180" t="e">
        <f t="shared" si="0"/>
        <v>#N/A</v>
      </c>
    </row>
    <row r="344" spans="1:7">
      <c r="A344">
        <v>1621200110</v>
      </c>
      <c r="B344" t="s">
        <v>48</v>
      </c>
      <c r="C344" s="169">
        <v>49980</v>
      </c>
      <c r="D344" s="169">
        <v>39629.89</v>
      </c>
      <c r="E344">
        <f>VLOOKUP(A:A,הוצאות!B:B,1,0)</f>
        <v>1621200110</v>
      </c>
      <c r="F344" s="156">
        <f>VLOOKUP(A:A,הוצאות!B:O,14,0)</f>
        <v>39629.89</v>
      </c>
      <c r="G344" s="180">
        <f t="shared" si="0"/>
        <v>0</v>
      </c>
    </row>
    <row r="345" spans="1:7">
      <c r="A345">
        <v>1621300110</v>
      </c>
      <c r="B345" t="s">
        <v>49</v>
      </c>
      <c r="C345" s="169">
        <v>374850</v>
      </c>
      <c r="D345" s="169">
        <v>482206.92</v>
      </c>
      <c r="E345">
        <f>VLOOKUP(A:A,הוצאות!B:B,1,0)</f>
        <v>1621300110</v>
      </c>
      <c r="F345" s="156">
        <f>VLOOKUP(A:A,הוצאות!B:O,14,0)</f>
        <v>482206.92</v>
      </c>
      <c r="G345" s="180">
        <f t="shared" si="0"/>
        <v>0</v>
      </c>
    </row>
    <row r="346" spans="1:7">
      <c r="A346">
        <v>1621300521</v>
      </c>
      <c r="B346" t="s">
        <v>6</v>
      </c>
      <c r="C346" s="169">
        <v>2920</v>
      </c>
      <c r="D346" s="169">
        <v>3450</v>
      </c>
      <c r="E346">
        <f>VLOOKUP(A:A,הוצאות!B:B,1,0)</f>
        <v>1621300521</v>
      </c>
      <c r="F346" s="156">
        <f>VLOOKUP(A:A,הוצאות!B:O,14,0)</f>
        <v>3450</v>
      </c>
      <c r="G346" s="180">
        <f t="shared" si="0"/>
        <v>0</v>
      </c>
    </row>
    <row r="347" spans="1:7">
      <c r="A347">
        <v>1621300523</v>
      </c>
      <c r="B347" t="s">
        <v>28</v>
      </c>
      <c r="C347" s="169">
        <v>1250</v>
      </c>
      <c r="D347" s="169">
        <v>0</v>
      </c>
      <c r="E347">
        <f>VLOOKUP(A:A,הוצאות!B:B,1,0)</f>
        <v>1621300523</v>
      </c>
      <c r="F347" s="156">
        <f>VLOOKUP(A:A,הוצאות!B:O,14,0)</f>
        <v>0</v>
      </c>
      <c r="G347" s="180">
        <f t="shared" si="0"/>
        <v>0</v>
      </c>
    </row>
    <row r="348" spans="1:7">
      <c r="A348">
        <v>1621300540</v>
      </c>
      <c r="B348" t="s">
        <v>50</v>
      </c>
      <c r="C348" s="169">
        <v>0</v>
      </c>
      <c r="D348" s="169">
        <v>1419.42</v>
      </c>
      <c r="E348">
        <f>VLOOKUP(A:A,הוצאות!B:B,1,0)</f>
        <v>1621300540</v>
      </c>
      <c r="F348" s="156">
        <f>VLOOKUP(A:A,הוצאות!B:O,14,0)</f>
        <v>1419.42</v>
      </c>
      <c r="G348" s="180">
        <f t="shared" si="0"/>
        <v>0</v>
      </c>
    </row>
    <row r="349" spans="1:7">
      <c r="A349">
        <v>1621300550</v>
      </c>
      <c r="B349" t="s">
        <v>51</v>
      </c>
      <c r="C349" s="169">
        <v>0</v>
      </c>
      <c r="D349" s="169">
        <v>0</v>
      </c>
      <c r="E349" t="e">
        <f>VLOOKUP(A:A,הוצאות!B:B,1,0)</f>
        <v>#N/A</v>
      </c>
      <c r="F349" s="156" t="e">
        <f>VLOOKUP(A:A,הוצאות!B:O,14,0)</f>
        <v>#N/A</v>
      </c>
      <c r="G349" s="180" t="e">
        <f t="shared" si="0"/>
        <v>#N/A</v>
      </c>
    </row>
    <row r="350" spans="1:7">
      <c r="A350">
        <v>1621300560</v>
      </c>
      <c r="B350" t="s">
        <v>52</v>
      </c>
      <c r="C350" s="169">
        <v>5580</v>
      </c>
      <c r="D350" s="169">
        <v>3500</v>
      </c>
      <c r="E350">
        <f>VLOOKUP(A:A,הוצאות!B:B,1,0)</f>
        <v>1621300560</v>
      </c>
      <c r="F350" s="156">
        <f>VLOOKUP(A:A,הוצאות!B:O,14,0)</f>
        <v>3500</v>
      </c>
      <c r="G350" s="180">
        <f t="shared" si="0"/>
        <v>0</v>
      </c>
    </row>
    <row r="351" spans="1:7">
      <c r="A351">
        <v>1621300570</v>
      </c>
      <c r="B351" t="s">
        <v>53</v>
      </c>
      <c r="C351" s="169">
        <v>274890</v>
      </c>
      <c r="D351" s="169">
        <v>248362.39</v>
      </c>
      <c r="E351">
        <f>VLOOKUP(A:A,הוצאות!B:B,1,0)</f>
        <v>1621300570</v>
      </c>
      <c r="F351" s="156">
        <f>VLOOKUP(A:A,הוצאות!B:O,14,0)</f>
        <v>248362.39</v>
      </c>
      <c r="G351" s="180">
        <f t="shared" si="0"/>
        <v>0</v>
      </c>
    </row>
    <row r="352" spans="1:7">
      <c r="A352">
        <v>1621300571</v>
      </c>
      <c r="B352" t="s">
        <v>54</v>
      </c>
      <c r="C352" s="169">
        <v>0</v>
      </c>
      <c r="D352" s="169">
        <v>0</v>
      </c>
      <c r="E352">
        <f>VLOOKUP(A:A,הוצאות!B:B,1,0)</f>
        <v>1621300571</v>
      </c>
      <c r="F352" s="156">
        <f>VLOOKUP(A:A,הוצאות!B:O,14,0)</f>
        <v>0</v>
      </c>
      <c r="G352" s="180">
        <f t="shared" si="0"/>
        <v>0</v>
      </c>
    </row>
    <row r="353" spans="1:7">
      <c r="A353">
        <v>1621300750</v>
      </c>
      <c r="B353" t="s">
        <v>55</v>
      </c>
      <c r="C353" s="169">
        <v>0</v>
      </c>
      <c r="D353" s="169">
        <v>206140</v>
      </c>
      <c r="E353">
        <f>VLOOKUP(A:A,הוצאות!B:B,1,0)</f>
        <v>1621300750</v>
      </c>
      <c r="F353" s="156">
        <f>VLOOKUP(A:A,הוצאות!B:O,14,0)</f>
        <v>0</v>
      </c>
      <c r="G353" s="180">
        <f t="shared" si="0"/>
        <v>206140</v>
      </c>
    </row>
    <row r="354" spans="1:7">
      <c r="A354">
        <v>1621300751</v>
      </c>
      <c r="B354" t="s">
        <v>56</v>
      </c>
      <c r="C354" s="169">
        <v>399840</v>
      </c>
      <c r="D354" s="169">
        <v>331974</v>
      </c>
      <c r="E354">
        <f>VLOOKUP(A:A,הוצאות!B:B,1,0)</f>
        <v>1621300751</v>
      </c>
      <c r="F354" s="156">
        <f>VLOOKUP(A:A,הוצאות!B:O,14,0)</f>
        <v>331974</v>
      </c>
      <c r="G354" s="180">
        <f t="shared" si="0"/>
        <v>0</v>
      </c>
    </row>
    <row r="355" spans="1:7">
      <c r="A355">
        <v>1621300752</v>
      </c>
      <c r="B355" t="s">
        <v>57</v>
      </c>
      <c r="C355" s="169">
        <v>0</v>
      </c>
      <c r="D355" s="169">
        <v>0</v>
      </c>
      <c r="E355" t="e">
        <f>VLOOKUP(A:A,הוצאות!B:B,1,0)</f>
        <v>#N/A</v>
      </c>
      <c r="F355" s="156" t="e">
        <f>VLOOKUP(A:A,הוצאות!B:O,14,0)</f>
        <v>#N/A</v>
      </c>
      <c r="G355" s="180" t="e">
        <f t="shared" si="0"/>
        <v>#N/A</v>
      </c>
    </row>
    <row r="356" spans="1:7">
      <c r="A356">
        <v>1621300780</v>
      </c>
      <c r="B356" t="s">
        <v>58</v>
      </c>
      <c r="C356" s="169">
        <v>0</v>
      </c>
      <c r="D356" s="169">
        <v>11897.6</v>
      </c>
      <c r="E356">
        <f>VLOOKUP(A:A,הוצאות!B:B,1,0)</f>
        <v>1621300780</v>
      </c>
      <c r="F356" s="156">
        <f>VLOOKUP(A:A,הוצאות!B:O,14,0)</f>
        <v>11897.6</v>
      </c>
      <c r="G356" s="180">
        <f t="shared" ref="G356:G419" si="1">D356-F356</f>
        <v>0</v>
      </c>
    </row>
    <row r="357" spans="1:7">
      <c r="A357">
        <v>1621300930</v>
      </c>
      <c r="B357" t="s">
        <v>19</v>
      </c>
      <c r="C357" s="169">
        <v>5000</v>
      </c>
      <c r="D357" s="169">
        <v>0</v>
      </c>
      <c r="E357">
        <f>VLOOKUP(A:A,הוצאות!B:B,1,0)</f>
        <v>1621300930</v>
      </c>
      <c r="F357" s="156">
        <f>VLOOKUP(A:A,הוצאות!B:O,14,0)</f>
        <v>0</v>
      </c>
      <c r="G357" s="180">
        <f t="shared" si="1"/>
        <v>0</v>
      </c>
    </row>
    <row r="358" spans="1:7">
      <c r="A358">
        <v>1623000110</v>
      </c>
      <c r="B358" t="s">
        <v>59</v>
      </c>
      <c r="C358" s="169">
        <v>189090</v>
      </c>
      <c r="D358" s="169">
        <v>191650.18</v>
      </c>
      <c r="E358">
        <f>VLOOKUP(A:A,הוצאות!B:B,1,0)</f>
        <v>1623000110</v>
      </c>
      <c r="F358" s="156">
        <f>VLOOKUP(A:A,הוצאות!B:O,14,0)</f>
        <v>191650.18</v>
      </c>
      <c r="G358" s="180">
        <f t="shared" si="1"/>
        <v>0</v>
      </c>
    </row>
    <row r="359" spans="1:7">
      <c r="A359">
        <v>1623000320</v>
      </c>
      <c r="B359" t="s">
        <v>25</v>
      </c>
      <c r="C359" s="169">
        <v>0</v>
      </c>
      <c r="D359" s="169">
        <v>0</v>
      </c>
      <c r="E359">
        <f>VLOOKUP(A:A,הוצאות!B:B,1,0)</f>
        <v>1623000320</v>
      </c>
      <c r="F359" s="156">
        <f>VLOOKUP(A:A,הוצאות!B:O,14,0)</f>
        <v>0</v>
      </c>
      <c r="G359" s="180">
        <f t="shared" si="1"/>
        <v>0</v>
      </c>
    </row>
    <row r="360" spans="1:7">
      <c r="A360">
        <v>1623000540</v>
      </c>
      <c r="B360" t="s">
        <v>50</v>
      </c>
      <c r="C360" s="169">
        <v>0</v>
      </c>
      <c r="D360" s="169">
        <v>0</v>
      </c>
      <c r="E360" t="e">
        <f>VLOOKUP(A:A,הוצאות!B:B,1,0)</f>
        <v>#N/A</v>
      </c>
      <c r="F360" s="156" t="e">
        <f>VLOOKUP(A:A,הוצאות!B:O,14,0)</f>
        <v>#N/A</v>
      </c>
      <c r="G360" s="180" t="e">
        <f t="shared" si="1"/>
        <v>#N/A</v>
      </c>
    </row>
    <row r="361" spans="1:7">
      <c r="A361">
        <v>1623000550</v>
      </c>
      <c r="B361" t="s">
        <v>51</v>
      </c>
      <c r="C361" s="169">
        <v>0</v>
      </c>
      <c r="D361" s="169">
        <v>0</v>
      </c>
      <c r="E361" t="e">
        <f>VLOOKUP(A:A,הוצאות!B:B,1,0)</f>
        <v>#N/A</v>
      </c>
      <c r="F361" s="156" t="e">
        <f>VLOOKUP(A:A,הוצאות!B:O,14,0)</f>
        <v>#N/A</v>
      </c>
      <c r="G361" s="180" t="e">
        <f t="shared" si="1"/>
        <v>#N/A</v>
      </c>
    </row>
    <row r="362" spans="1:7">
      <c r="A362">
        <v>1623000560</v>
      </c>
      <c r="B362" t="s">
        <v>1724</v>
      </c>
      <c r="C362" s="169">
        <v>6660</v>
      </c>
      <c r="D362" s="169">
        <v>7615</v>
      </c>
      <c r="E362">
        <f>VLOOKUP(A:A,הוצאות!B:B,1,0)</f>
        <v>1623000560</v>
      </c>
      <c r="F362" s="156">
        <f>VLOOKUP(A:A,הוצאות!B:O,14,0)</f>
        <v>7615</v>
      </c>
      <c r="G362" s="180">
        <f t="shared" si="1"/>
        <v>0</v>
      </c>
    </row>
    <row r="363" spans="1:7">
      <c r="A363">
        <v>1623000570</v>
      </c>
      <c r="B363" t="s">
        <v>60</v>
      </c>
      <c r="C363" s="169">
        <v>0</v>
      </c>
      <c r="D363" s="169">
        <v>0</v>
      </c>
      <c r="E363" t="e">
        <f>VLOOKUP(A:A,הוצאות!B:B,1,0)</f>
        <v>#N/A</v>
      </c>
      <c r="F363" s="156" t="e">
        <f>VLOOKUP(A:A,הוצאות!B:O,14,0)</f>
        <v>#N/A</v>
      </c>
      <c r="G363" s="180" t="e">
        <f t="shared" si="1"/>
        <v>#N/A</v>
      </c>
    </row>
    <row r="364" spans="1:7">
      <c r="A364">
        <v>1623000582</v>
      </c>
      <c r="B364" t="s">
        <v>61</v>
      </c>
      <c r="C364" s="169">
        <v>0</v>
      </c>
      <c r="D364" s="169">
        <v>0</v>
      </c>
      <c r="E364">
        <f>VLOOKUP(A:A,הוצאות!B:B,1,0)</f>
        <v>1623000582</v>
      </c>
      <c r="F364" s="156">
        <f>VLOOKUP(A:A,הוצאות!B:O,14,0)</f>
        <v>0</v>
      </c>
      <c r="G364" s="180">
        <f t="shared" si="1"/>
        <v>0</v>
      </c>
    </row>
    <row r="365" spans="1:7">
      <c r="A365">
        <v>1623000750</v>
      </c>
      <c r="B365" t="s">
        <v>62</v>
      </c>
      <c r="C365" s="169">
        <v>354030</v>
      </c>
      <c r="D365" s="169">
        <v>293202.32</v>
      </c>
      <c r="E365">
        <f>VLOOKUP(A:A,הוצאות!B:B,1,0)</f>
        <v>1623000750</v>
      </c>
      <c r="F365" s="156">
        <f>VLOOKUP(A:A,הוצאות!B:O,14,0)</f>
        <v>293202.32</v>
      </c>
      <c r="G365" s="180">
        <f t="shared" si="1"/>
        <v>0</v>
      </c>
    </row>
    <row r="366" spans="1:7">
      <c r="A366">
        <v>1623000751</v>
      </c>
      <c r="B366" t="s">
        <v>63</v>
      </c>
      <c r="C366" s="169">
        <v>0</v>
      </c>
      <c r="D366" s="169">
        <v>0</v>
      </c>
      <c r="E366">
        <f>VLOOKUP(A:A,הוצאות!B:B,1,0)</f>
        <v>1623000751</v>
      </c>
      <c r="F366" s="156">
        <f>VLOOKUP(A:A,הוצאות!B:O,14,0)</f>
        <v>0</v>
      </c>
      <c r="G366" s="180">
        <f t="shared" si="1"/>
        <v>0</v>
      </c>
    </row>
    <row r="367" spans="1:7">
      <c r="A367">
        <v>1623000780</v>
      </c>
      <c r="B367" t="s">
        <v>58</v>
      </c>
      <c r="C367" s="169">
        <v>0</v>
      </c>
      <c r="D367" s="169">
        <v>0</v>
      </c>
      <c r="E367" t="e">
        <f>VLOOKUP(A:A,הוצאות!B:B,1,0)</f>
        <v>#N/A</v>
      </c>
      <c r="F367" s="156" t="e">
        <f>VLOOKUP(A:A,הוצאות!B:O,14,0)</f>
        <v>#N/A</v>
      </c>
      <c r="G367" s="180" t="e">
        <f t="shared" si="1"/>
        <v>#N/A</v>
      </c>
    </row>
    <row r="368" spans="1:7">
      <c r="A368">
        <v>1623000930</v>
      </c>
      <c r="B368" t="s">
        <v>19</v>
      </c>
      <c r="C368" s="169">
        <v>1670</v>
      </c>
      <c r="D368" s="169">
        <v>0</v>
      </c>
      <c r="E368">
        <f>VLOOKUP(A:A,הוצאות!B:B,1,0)</f>
        <v>1623000930</v>
      </c>
      <c r="F368" s="156">
        <f>VLOOKUP(A:A,הוצאות!B:O,14,0)</f>
        <v>0</v>
      </c>
      <c r="G368" s="180">
        <f t="shared" si="1"/>
        <v>0</v>
      </c>
    </row>
    <row r="369" spans="1:7">
      <c r="A369">
        <v>1629999399</v>
      </c>
      <c r="B369" t="s">
        <v>47</v>
      </c>
      <c r="C369" s="169">
        <v>0</v>
      </c>
      <c r="D369" s="169">
        <v>0</v>
      </c>
      <c r="E369">
        <f>VLOOKUP(A:A,הוצאות!B:B,1,0)</f>
        <v>1629999399</v>
      </c>
      <c r="F369" s="156">
        <f>VLOOKUP(A:A,הוצאות!B:O,14,0)</f>
        <v>0</v>
      </c>
      <c r="G369" s="180">
        <f t="shared" si="1"/>
        <v>0</v>
      </c>
    </row>
    <row r="370" spans="1:7">
      <c r="A370">
        <v>1631000610</v>
      </c>
      <c r="B370" t="s">
        <v>64</v>
      </c>
      <c r="C370" s="169">
        <v>174930</v>
      </c>
      <c r="D370" s="169">
        <v>71954.570000000007</v>
      </c>
      <c r="E370">
        <f>VLOOKUP(A:A,הוצאות!B:B,1,0)</f>
        <v>1631000610</v>
      </c>
      <c r="F370" s="156">
        <f>VLOOKUP(A:A,הוצאות!B:O,14,0)</f>
        <v>71954.570000000007</v>
      </c>
      <c r="G370" s="180">
        <f t="shared" si="1"/>
        <v>0</v>
      </c>
    </row>
    <row r="371" spans="1:7">
      <c r="A371">
        <v>1632000620</v>
      </c>
      <c r="B371" t="s">
        <v>65</v>
      </c>
      <c r="C371" s="169">
        <v>249900</v>
      </c>
      <c r="D371" s="169">
        <v>67381.48</v>
      </c>
      <c r="E371">
        <f>VLOOKUP(A:A,הוצאות!B:B,1,0)</f>
        <v>1632000620</v>
      </c>
      <c r="F371" s="156">
        <f>VLOOKUP(A:A,הוצאות!B:O,14,0)</f>
        <v>67381.48</v>
      </c>
      <c r="G371" s="180">
        <f t="shared" si="1"/>
        <v>0</v>
      </c>
    </row>
    <row r="372" spans="1:7">
      <c r="A372">
        <v>1632000640</v>
      </c>
      <c r="B372" t="s">
        <v>66</v>
      </c>
      <c r="C372" s="169">
        <v>0</v>
      </c>
      <c r="D372" s="169">
        <v>0</v>
      </c>
      <c r="E372" t="e">
        <f>VLOOKUP(A:A,הוצאות!B:B,1,0)</f>
        <v>#N/A</v>
      </c>
      <c r="F372" s="156" t="e">
        <f>VLOOKUP(A:A,הוצאות!B:O,14,0)</f>
        <v>#N/A</v>
      </c>
      <c r="G372" s="180" t="e">
        <f t="shared" si="1"/>
        <v>#N/A</v>
      </c>
    </row>
    <row r="373" spans="1:7">
      <c r="A373">
        <v>1632000650</v>
      </c>
      <c r="B373" t="s">
        <v>67</v>
      </c>
      <c r="C373" s="169">
        <v>249900</v>
      </c>
      <c r="D373" s="169">
        <v>892349.97</v>
      </c>
      <c r="E373">
        <f>VLOOKUP(A:A,הוצאות!B:B,1,0)</f>
        <v>1632000650</v>
      </c>
      <c r="F373" s="156">
        <f>VLOOKUP(A:A,הוצאות!B:O,14,0)</f>
        <v>892349.97</v>
      </c>
      <c r="G373" s="180">
        <f t="shared" si="1"/>
        <v>0</v>
      </c>
    </row>
    <row r="374" spans="1:7">
      <c r="A374">
        <v>1632000660</v>
      </c>
      <c r="B374" t="s">
        <v>68</v>
      </c>
      <c r="C374" s="169">
        <v>0</v>
      </c>
      <c r="D374" s="169">
        <v>0</v>
      </c>
      <c r="E374" t="e">
        <f>VLOOKUP(A:A,הוצאות!B:B,1,0)</f>
        <v>#N/A</v>
      </c>
      <c r="F374" s="156" t="e">
        <f>VLOOKUP(A:A,הוצאות!B:O,14,0)</f>
        <v>#N/A</v>
      </c>
      <c r="G374" s="180" t="e">
        <f t="shared" si="1"/>
        <v>#N/A</v>
      </c>
    </row>
    <row r="375" spans="1:7">
      <c r="A375">
        <v>1640000690</v>
      </c>
      <c r="B375" t="s">
        <v>69</v>
      </c>
      <c r="C375" s="169">
        <v>0</v>
      </c>
      <c r="D375" s="169">
        <v>0</v>
      </c>
      <c r="E375" t="e">
        <f>VLOOKUP(A:A,הוצאות!B:B,1,0)</f>
        <v>#N/A</v>
      </c>
      <c r="F375" s="156" t="e">
        <f>VLOOKUP(A:A,הוצאות!B:O,14,0)</f>
        <v>#N/A</v>
      </c>
      <c r="G375" s="180" t="e">
        <f t="shared" si="1"/>
        <v>#N/A</v>
      </c>
    </row>
    <row r="376" spans="1:7">
      <c r="A376">
        <v>1648000691</v>
      </c>
      <c r="B376" t="s">
        <v>70</v>
      </c>
      <c r="C376" s="169">
        <v>1915900</v>
      </c>
      <c r="D376" s="169">
        <v>1111111.1200000001</v>
      </c>
      <c r="E376">
        <f>VLOOKUP(A:A,הוצאות!B:B,1,0)</f>
        <v>1648000691</v>
      </c>
      <c r="F376" s="156">
        <f>VLOOKUP(A:A,הוצאות!B:O,14,0)</f>
        <v>1111111.1200000001</v>
      </c>
      <c r="G376" s="180">
        <f t="shared" si="1"/>
        <v>0</v>
      </c>
    </row>
    <row r="377" spans="1:7">
      <c r="A377">
        <v>1648000692</v>
      </c>
      <c r="B377" t="s">
        <v>71</v>
      </c>
      <c r="C377" s="169">
        <v>666400</v>
      </c>
      <c r="D377" s="169">
        <v>842010.67</v>
      </c>
      <c r="E377">
        <f>VLOOKUP(A:A,הוצאות!B:B,1,0)</f>
        <v>1648000692</v>
      </c>
      <c r="F377" s="156">
        <f>VLOOKUP(A:A,הוצאות!B:O,14,0)</f>
        <v>723882.67</v>
      </c>
      <c r="G377" s="180">
        <f t="shared" si="1"/>
        <v>118128</v>
      </c>
    </row>
    <row r="378" spans="1:7">
      <c r="A378">
        <v>1648000693</v>
      </c>
      <c r="B378" t="s">
        <v>72</v>
      </c>
      <c r="C378" s="169">
        <v>333200</v>
      </c>
      <c r="D378" s="169">
        <v>104092.02</v>
      </c>
      <c r="E378">
        <f>VLOOKUP(A:A,הוצאות!B:B,1,0)</f>
        <v>1648000693</v>
      </c>
      <c r="F378" s="156">
        <f>VLOOKUP(A:A,הוצאות!B:O,14,0)</f>
        <v>104092.02</v>
      </c>
      <c r="G378" s="180">
        <f t="shared" si="1"/>
        <v>0</v>
      </c>
    </row>
    <row r="379" spans="1:7">
      <c r="A379">
        <v>1649100691</v>
      </c>
      <c r="B379" t="s">
        <v>73</v>
      </c>
      <c r="C379" s="169">
        <v>0</v>
      </c>
      <c r="D379" s="169">
        <v>0</v>
      </c>
      <c r="E379" t="e">
        <f>VLOOKUP(A:A,הוצאות!B:B,1,0)</f>
        <v>#N/A</v>
      </c>
      <c r="F379" s="156" t="e">
        <f>VLOOKUP(A:A,הוצאות!B:O,14,0)</f>
        <v>#N/A</v>
      </c>
      <c r="G379" s="180" t="e">
        <f t="shared" si="1"/>
        <v>#N/A</v>
      </c>
    </row>
    <row r="380" spans="1:7">
      <c r="A380">
        <v>1649100692</v>
      </c>
      <c r="B380" t="s">
        <v>74</v>
      </c>
      <c r="C380" s="169">
        <v>0</v>
      </c>
      <c r="D380" s="169">
        <v>-118127.76</v>
      </c>
      <c r="E380" t="e">
        <f>VLOOKUP(A:A,הוצאות!B:B,1,0)</f>
        <v>#N/A</v>
      </c>
      <c r="F380" s="156" t="e">
        <f>VLOOKUP(A:A,הוצאות!B:O,14,0)</f>
        <v>#N/A</v>
      </c>
      <c r="G380" s="180" t="e">
        <f t="shared" si="1"/>
        <v>#N/A</v>
      </c>
    </row>
    <row r="381" spans="1:7">
      <c r="A381">
        <v>1649100693</v>
      </c>
      <c r="B381" t="s">
        <v>75</v>
      </c>
      <c r="C381" s="169">
        <v>0</v>
      </c>
      <c r="D381" s="169">
        <v>0</v>
      </c>
      <c r="E381" t="e">
        <f>VLOOKUP(A:A,הוצאות!B:B,1,0)</f>
        <v>#N/A</v>
      </c>
      <c r="F381" s="156" t="e">
        <f>VLOOKUP(A:A,הוצאות!B:O,14,0)</f>
        <v>#N/A</v>
      </c>
      <c r="G381" s="180" t="e">
        <f t="shared" si="1"/>
        <v>#N/A</v>
      </c>
    </row>
    <row r="382" spans="1:7">
      <c r="A382">
        <v>1649200691</v>
      </c>
      <c r="B382" t="s">
        <v>76</v>
      </c>
      <c r="C382" s="169">
        <v>0</v>
      </c>
      <c r="D382" s="169">
        <v>0</v>
      </c>
      <c r="E382" t="e">
        <f>VLOOKUP(A:A,הוצאות!B:B,1,0)</f>
        <v>#N/A</v>
      </c>
      <c r="F382" s="156" t="e">
        <f>VLOOKUP(A:A,הוצאות!B:O,14,0)</f>
        <v>#N/A</v>
      </c>
      <c r="G382" s="180" t="e">
        <f t="shared" si="1"/>
        <v>#N/A</v>
      </c>
    </row>
    <row r="383" spans="1:7">
      <c r="A383">
        <v>1649200692</v>
      </c>
      <c r="B383" t="s">
        <v>77</v>
      </c>
      <c r="C383" s="169">
        <v>0</v>
      </c>
      <c r="D383" s="169">
        <v>0</v>
      </c>
      <c r="E383" t="e">
        <f>VLOOKUP(A:A,הוצאות!B:B,1,0)</f>
        <v>#N/A</v>
      </c>
      <c r="F383" s="156" t="e">
        <f>VLOOKUP(A:A,הוצאות!B:O,14,0)</f>
        <v>#N/A</v>
      </c>
      <c r="G383" s="180" t="e">
        <f t="shared" si="1"/>
        <v>#N/A</v>
      </c>
    </row>
    <row r="384" spans="1:7">
      <c r="A384">
        <v>1649200693</v>
      </c>
      <c r="B384" t="s">
        <v>78</v>
      </c>
      <c r="C384" s="169">
        <v>0</v>
      </c>
      <c r="D384" s="169">
        <v>0</v>
      </c>
      <c r="E384" t="e">
        <f>VLOOKUP(A:A,הוצאות!B:B,1,0)</f>
        <v>#N/A</v>
      </c>
      <c r="F384" s="156" t="e">
        <f>VLOOKUP(A:A,הוצאות!B:O,14,0)</f>
        <v>#N/A</v>
      </c>
      <c r="G384" s="180" t="e">
        <f t="shared" si="1"/>
        <v>#N/A</v>
      </c>
    </row>
    <row r="385" spans="1:7" hidden="1">
      <c r="A385">
        <v>1711000110</v>
      </c>
      <c r="B385" t="s">
        <v>1725</v>
      </c>
      <c r="C385" s="169">
        <v>0</v>
      </c>
      <c r="D385" s="169">
        <v>0</v>
      </c>
      <c r="E385" t="e">
        <f>VLOOKUP(A:A,הוצאות!B:B,1,0)</f>
        <v>#N/A</v>
      </c>
      <c r="F385" s="156" t="e">
        <f>VLOOKUP(A:A,הוצאות!B:O,14,0)</f>
        <v>#N/A</v>
      </c>
      <c r="G385" s="180" t="e">
        <f t="shared" si="1"/>
        <v>#N/A</v>
      </c>
    </row>
    <row r="386" spans="1:7" hidden="1">
      <c r="A386">
        <v>1711000523</v>
      </c>
      <c r="B386" t="s">
        <v>1726</v>
      </c>
      <c r="C386" s="169">
        <v>0</v>
      </c>
      <c r="D386" s="169">
        <v>0</v>
      </c>
      <c r="E386">
        <f>VLOOKUP(A:A,הוצאות!B:B,1,0)</f>
        <v>1711000523</v>
      </c>
      <c r="F386" s="156">
        <f>VLOOKUP(A:A,הוצאות!B:O,14,0)</f>
        <v>0</v>
      </c>
      <c r="G386" s="180">
        <f t="shared" si="1"/>
        <v>0</v>
      </c>
    </row>
    <row r="387" spans="1:7" hidden="1">
      <c r="A387">
        <v>1711000540</v>
      </c>
      <c r="B387" t="s">
        <v>1727</v>
      </c>
      <c r="C387" s="169">
        <v>0</v>
      </c>
      <c r="D387" s="169">
        <v>0</v>
      </c>
      <c r="E387" t="e">
        <f>VLOOKUP(A:A,הוצאות!B:B,1,0)</f>
        <v>#N/A</v>
      </c>
      <c r="F387" s="156" t="e">
        <f>VLOOKUP(A:A,הוצאות!B:O,14,0)</f>
        <v>#N/A</v>
      </c>
      <c r="G387" s="180" t="e">
        <f t="shared" si="1"/>
        <v>#N/A</v>
      </c>
    </row>
    <row r="388" spans="1:7" hidden="1">
      <c r="A388">
        <v>1712200110</v>
      </c>
      <c r="B388" t="s">
        <v>1728</v>
      </c>
      <c r="C388" s="169">
        <v>0</v>
      </c>
      <c r="D388" s="169">
        <v>0</v>
      </c>
      <c r="E388" t="e">
        <f>VLOOKUP(A:A,הוצאות!B:B,1,0)</f>
        <v>#N/A</v>
      </c>
      <c r="F388" s="156" t="e">
        <f>VLOOKUP(A:A,הוצאות!B:O,14,0)</f>
        <v>#N/A</v>
      </c>
      <c r="G388" s="180" t="e">
        <f t="shared" si="1"/>
        <v>#N/A</v>
      </c>
    </row>
    <row r="389" spans="1:7">
      <c r="A389" s="170">
        <v>1712200540</v>
      </c>
      <c r="B389" s="170" t="s">
        <v>1727</v>
      </c>
      <c r="C389" s="171">
        <v>4170</v>
      </c>
      <c r="D389" s="171">
        <v>0</v>
      </c>
      <c r="E389" s="170" t="e">
        <f>VLOOKUP(A:A,הוצאות!B:B,1,0)</f>
        <v>#N/A</v>
      </c>
      <c r="F389" s="156" t="e">
        <f>VLOOKUP(A:A,הוצאות!B:O,14,0)</f>
        <v>#N/A</v>
      </c>
      <c r="G389" s="180" t="e">
        <f t="shared" si="1"/>
        <v>#N/A</v>
      </c>
    </row>
    <row r="390" spans="1:7" hidden="1">
      <c r="A390">
        <v>1712200541</v>
      </c>
      <c r="B390" t="s">
        <v>1727</v>
      </c>
      <c r="C390" s="169">
        <v>0</v>
      </c>
      <c r="D390" s="169">
        <v>0</v>
      </c>
      <c r="E390" t="e">
        <f>VLOOKUP(A:A,הוצאות!B:B,1,0)</f>
        <v>#N/A</v>
      </c>
      <c r="F390" s="156" t="e">
        <f>VLOOKUP(A:A,הוצאות!B:O,14,0)</f>
        <v>#N/A</v>
      </c>
      <c r="G390" s="180" t="e">
        <f t="shared" si="1"/>
        <v>#N/A</v>
      </c>
    </row>
    <row r="391" spans="1:7" hidden="1">
      <c r="A391">
        <v>1712200731</v>
      </c>
      <c r="B391" t="s">
        <v>1729</v>
      </c>
      <c r="C391" s="169">
        <v>0</v>
      </c>
      <c r="D391" s="169">
        <v>0</v>
      </c>
      <c r="E391" t="e">
        <f>VLOOKUP(A:A,הוצאות!B:B,1,0)</f>
        <v>#N/A</v>
      </c>
      <c r="F391" s="156" t="e">
        <f>VLOOKUP(A:A,הוצאות!B:O,14,0)</f>
        <v>#N/A</v>
      </c>
      <c r="G391" s="180" t="e">
        <f t="shared" si="1"/>
        <v>#N/A</v>
      </c>
    </row>
    <row r="392" spans="1:7" hidden="1">
      <c r="A392">
        <v>1712200732</v>
      </c>
      <c r="B392" t="s">
        <v>1730</v>
      </c>
      <c r="C392" s="169">
        <v>0</v>
      </c>
      <c r="D392" s="169">
        <v>0</v>
      </c>
      <c r="E392" t="e">
        <f>VLOOKUP(A:A,הוצאות!B:B,1,0)</f>
        <v>#N/A</v>
      </c>
      <c r="F392" s="156" t="e">
        <f>VLOOKUP(A:A,הוצאות!B:O,14,0)</f>
        <v>#N/A</v>
      </c>
      <c r="G392" s="180" t="e">
        <f t="shared" si="1"/>
        <v>#N/A</v>
      </c>
    </row>
    <row r="393" spans="1:7" hidden="1">
      <c r="A393">
        <v>1712200733</v>
      </c>
      <c r="B393" t="s">
        <v>1731</v>
      </c>
      <c r="C393" s="169">
        <v>0</v>
      </c>
      <c r="D393" s="169">
        <v>0</v>
      </c>
      <c r="E393" t="e">
        <f>VLOOKUP(A:A,הוצאות!B:B,1,0)</f>
        <v>#N/A</v>
      </c>
      <c r="F393" s="156" t="e">
        <f>VLOOKUP(A:A,הוצאות!B:O,14,0)</f>
        <v>#N/A</v>
      </c>
      <c r="G393" s="180" t="e">
        <f t="shared" si="1"/>
        <v>#N/A</v>
      </c>
    </row>
    <row r="394" spans="1:7">
      <c r="A394">
        <v>1712200740</v>
      </c>
      <c r="B394" t="s">
        <v>33</v>
      </c>
      <c r="C394" s="169">
        <v>2000</v>
      </c>
      <c r="D394" s="169">
        <v>1900</v>
      </c>
      <c r="E394">
        <f>VLOOKUP(A:A,הוצאות!B:B,1,0)</f>
        <v>1712200740</v>
      </c>
      <c r="F394" s="156">
        <f>VLOOKUP(A:A,הוצאות!B:O,14,0)</f>
        <v>1900</v>
      </c>
      <c r="G394" s="180">
        <f t="shared" si="1"/>
        <v>0</v>
      </c>
    </row>
    <row r="395" spans="1:7">
      <c r="A395">
        <v>1712200750</v>
      </c>
      <c r="B395" t="s">
        <v>62</v>
      </c>
      <c r="C395" s="169">
        <v>416500</v>
      </c>
      <c r="D395" s="169">
        <v>517174.25</v>
      </c>
      <c r="E395">
        <f>VLOOKUP(A:A,הוצאות!B:B,1,0)</f>
        <v>1712200750</v>
      </c>
      <c r="F395" s="156">
        <f>VLOOKUP(A:A,הוצאות!B:O,14,0)</f>
        <v>517174.25</v>
      </c>
      <c r="G395" s="180">
        <f t="shared" si="1"/>
        <v>0</v>
      </c>
    </row>
    <row r="396" spans="1:7">
      <c r="A396">
        <v>1712200751</v>
      </c>
      <c r="B396" t="s">
        <v>79</v>
      </c>
      <c r="C396" s="169">
        <v>83300</v>
      </c>
      <c r="D396" s="169">
        <v>0</v>
      </c>
      <c r="E396">
        <f>VLOOKUP(A:A,הוצאות!B:B,1,0)</f>
        <v>1712200751</v>
      </c>
      <c r="F396" s="156">
        <f>VLOOKUP(A:A,הוצאות!B:O,14,0)</f>
        <v>0</v>
      </c>
      <c r="G396" s="180">
        <f t="shared" si="1"/>
        <v>0</v>
      </c>
    </row>
    <row r="397" spans="1:7">
      <c r="A397">
        <v>1712200780</v>
      </c>
      <c r="B397" t="s">
        <v>18</v>
      </c>
      <c r="C397" s="169">
        <v>0</v>
      </c>
      <c r="D397" s="169">
        <v>0</v>
      </c>
      <c r="E397">
        <f>VLOOKUP(A:A,הוצאות!B:B,1,0)</f>
        <v>1712200780</v>
      </c>
      <c r="F397" s="156">
        <f>VLOOKUP(A:A,הוצאות!B:O,14,0)</f>
        <v>0</v>
      </c>
      <c r="G397" s="180">
        <f t="shared" si="1"/>
        <v>0</v>
      </c>
    </row>
    <row r="398" spans="1:7">
      <c r="A398">
        <v>1712300740</v>
      </c>
      <c r="B398" t="s">
        <v>33</v>
      </c>
      <c r="C398" s="169">
        <v>0</v>
      </c>
      <c r="D398" s="169">
        <v>0</v>
      </c>
      <c r="E398" t="e">
        <f>VLOOKUP(A:A,הוצאות!B:B,1,0)</f>
        <v>#N/A</v>
      </c>
      <c r="F398" s="156" t="e">
        <f>VLOOKUP(A:A,הוצאות!B:O,14,0)</f>
        <v>#N/A</v>
      </c>
      <c r="G398" s="180" t="e">
        <f t="shared" si="1"/>
        <v>#N/A</v>
      </c>
    </row>
    <row r="399" spans="1:7">
      <c r="A399">
        <v>1712300750</v>
      </c>
      <c r="B399" t="s">
        <v>62</v>
      </c>
      <c r="C399" s="169">
        <v>0</v>
      </c>
      <c r="D399" s="169">
        <v>0</v>
      </c>
      <c r="E399" t="e">
        <f>VLOOKUP(A:A,הוצאות!B:B,1,0)</f>
        <v>#N/A</v>
      </c>
      <c r="F399" s="156" t="e">
        <f>VLOOKUP(A:A,הוצאות!B:O,14,0)</f>
        <v>#N/A</v>
      </c>
      <c r="G399" s="180" t="e">
        <f t="shared" si="1"/>
        <v>#N/A</v>
      </c>
    </row>
    <row r="400" spans="1:7">
      <c r="A400">
        <v>1712300751</v>
      </c>
      <c r="B400" t="s">
        <v>80</v>
      </c>
      <c r="C400" s="169">
        <v>2582300</v>
      </c>
      <c r="D400" s="169">
        <v>3204466.75</v>
      </c>
      <c r="E400">
        <f>VLOOKUP(A:A,הוצאות!B:B,1,0)</f>
        <v>1712300751</v>
      </c>
      <c r="F400" s="156">
        <f>VLOOKUP(A:A,הוצאות!B:O,14,0)</f>
        <v>3204466.75</v>
      </c>
      <c r="G400" s="180">
        <f t="shared" si="1"/>
        <v>0</v>
      </c>
    </row>
    <row r="401" spans="1:7">
      <c r="A401">
        <v>1712300930</v>
      </c>
      <c r="B401" t="s">
        <v>81</v>
      </c>
      <c r="C401" s="169">
        <v>0</v>
      </c>
      <c r="D401" s="169">
        <v>0</v>
      </c>
      <c r="E401" t="e">
        <f>VLOOKUP(A:A,הוצאות!B:B,1,0)</f>
        <v>#N/A</v>
      </c>
      <c r="F401" s="156" t="e">
        <f>VLOOKUP(A:A,הוצאות!B:O,14,0)</f>
        <v>#N/A</v>
      </c>
      <c r="G401" s="180" t="e">
        <f t="shared" si="1"/>
        <v>#N/A</v>
      </c>
    </row>
    <row r="402" spans="1:7">
      <c r="A402">
        <v>1713000110</v>
      </c>
      <c r="B402" t="s">
        <v>82</v>
      </c>
      <c r="C402" s="169">
        <v>105790</v>
      </c>
      <c r="D402" s="169">
        <v>105338.51</v>
      </c>
      <c r="E402">
        <f>VLOOKUP(A:A,הוצאות!B:B,1,0)</f>
        <v>1713000110</v>
      </c>
      <c r="F402" s="156">
        <f>VLOOKUP(A:A,הוצאות!B:O,14,0)</f>
        <v>105338.51</v>
      </c>
      <c r="G402" s="180">
        <f t="shared" si="1"/>
        <v>0</v>
      </c>
    </row>
    <row r="403" spans="1:7" hidden="1">
      <c r="A403">
        <v>1713000320</v>
      </c>
      <c r="B403" t="s">
        <v>1732</v>
      </c>
      <c r="C403" s="169">
        <v>0</v>
      </c>
      <c r="D403" s="169">
        <v>0</v>
      </c>
      <c r="E403">
        <f>VLOOKUP(A:A,הוצאות!B:B,1,0)</f>
        <v>1713000320</v>
      </c>
      <c r="F403" s="156">
        <f>VLOOKUP(A:A,הוצאות!B:O,14,0)</f>
        <v>0</v>
      </c>
      <c r="G403" s="180">
        <f t="shared" si="1"/>
        <v>0</v>
      </c>
    </row>
    <row r="404" spans="1:7" hidden="1">
      <c r="A404">
        <v>1713000540</v>
      </c>
      <c r="B404" t="s">
        <v>50</v>
      </c>
      <c r="C404" s="169">
        <v>0</v>
      </c>
      <c r="D404" s="169">
        <v>0</v>
      </c>
      <c r="E404" t="e">
        <f>VLOOKUP(A:A,הוצאות!B:B,1,0)</f>
        <v>#N/A</v>
      </c>
      <c r="F404" s="156" t="e">
        <f>VLOOKUP(A:A,הוצאות!B:O,14,0)</f>
        <v>#N/A</v>
      </c>
      <c r="G404" s="180" t="e">
        <f t="shared" si="1"/>
        <v>#N/A</v>
      </c>
    </row>
    <row r="405" spans="1:7" hidden="1">
      <c r="A405">
        <v>1713000720</v>
      </c>
      <c r="B405" t="s">
        <v>32</v>
      </c>
      <c r="C405" s="169">
        <v>0</v>
      </c>
      <c r="D405" s="169">
        <v>0</v>
      </c>
      <c r="E405" t="e">
        <f>VLOOKUP(A:A,הוצאות!B:B,1,0)</f>
        <v>#N/A</v>
      </c>
      <c r="F405" s="156" t="e">
        <f>VLOOKUP(A:A,הוצאות!B:O,14,0)</f>
        <v>#N/A</v>
      </c>
      <c r="G405" s="180" t="e">
        <f t="shared" si="1"/>
        <v>#N/A</v>
      </c>
    </row>
    <row r="406" spans="1:7" hidden="1">
      <c r="A406">
        <v>1713000750</v>
      </c>
      <c r="B406" t="s">
        <v>1733</v>
      </c>
      <c r="C406" s="169">
        <v>0</v>
      </c>
      <c r="D406" s="169">
        <v>0</v>
      </c>
      <c r="E406" t="e">
        <f>VLOOKUP(A:A,הוצאות!B:B,1,0)</f>
        <v>#N/A</v>
      </c>
      <c r="F406" s="156" t="e">
        <f>VLOOKUP(A:A,הוצאות!B:O,14,0)</f>
        <v>#N/A</v>
      </c>
      <c r="G406" s="180" t="e">
        <f t="shared" si="1"/>
        <v>#N/A</v>
      </c>
    </row>
    <row r="407" spans="1:7" hidden="1">
      <c r="A407">
        <v>1713000780</v>
      </c>
      <c r="B407" t="s">
        <v>18</v>
      </c>
      <c r="C407" s="169">
        <v>0</v>
      </c>
      <c r="D407" s="169">
        <v>0</v>
      </c>
      <c r="E407" t="e">
        <f>VLOOKUP(A:A,הוצאות!B:B,1,0)</f>
        <v>#N/A</v>
      </c>
      <c r="F407" s="156" t="e">
        <f>VLOOKUP(A:A,הוצאות!B:O,14,0)</f>
        <v>#N/A</v>
      </c>
      <c r="G407" s="180" t="e">
        <f t="shared" si="1"/>
        <v>#N/A</v>
      </c>
    </row>
    <row r="408" spans="1:7">
      <c r="A408">
        <v>1714100830</v>
      </c>
      <c r="B408" t="s">
        <v>83</v>
      </c>
      <c r="C408" s="169">
        <v>116620</v>
      </c>
      <c r="D408" s="169">
        <v>123904</v>
      </c>
      <c r="E408">
        <f>VLOOKUP(A:A,הוצאות!B:B,1,0)</f>
        <v>1714100830</v>
      </c>
      <c r="F408" s="156">
        <f>VLOOKUP(A:A,הוצאות!B:O,14,0)</f>
        <v>123904</v>
      </c>
      <c r="G408" s="180">
        <f t="shared" si="1"/>
        <v>0</v>
      </c>
    </row>
    <row r="409" spans="1:7">
      <c r="A409">
        <v>1715300720</v>
      </c>
      <c r="B409" t="s">
        <v>84</v>
      </c>
      <c r="C409" s="169">
        <v>1670</v>
      </c>
      <c r="D409" s="169">
        <v>0</v>
      </c>
      <c r="E409">
        <f>VLOOKUP(A:A,הוצאות!B:B,1,0)</f>
        <v>1715300720</v>
      </c>
      <c r="F409" s="156">
        <f>VLOOKUP(A:A,הוצאות!B:O,14,0)</f>
        <v>0</v>
      </c>
      <c r="G409" s="180">
        <f t="shared" si="1"/>
        <v>0</v>
      </c>
    </row>
    <row r="410" spans="1:7">
      <c r="A410">
        <v>1715300740</v>
      </c>
      <c r="B410" t="s">
        <v>33</v>
      </c>
      <c r="C410" s="169">
        <v>0</v>
      </c>
      <c r="D410" s="169">
        <v>0</v>
      </c>
      <c r="E410" t="e">
        <f>VLOOKUP(A:A,הוצאות!B:B,1,0)</f>
        <v>#N/A</v>
      </c>
      <c r="F410" s="156" t="e">
        <f>VLOOKUP(A:A,הוצאות!B:O,14,0)</f>
        <v>#N/A</v>
      </c>
      <c r="G410" s="180" t="e">
        <f t="shared" si="1"/>
        <v>#N/A</v>
      </c>
    </row>
    <row r="411" spans="1:7">
      <c r="A411">
        <v>1715300750</v>
      </c>
      <c r="B411" t="s">
        <v>85</v>
      </c>
      <c r="C411" s="169">
        <v>20830</v>
      </c>
      <c r="D411" s="169">
        <v>4500</v>
      </c>
      <c r="E411">
        <f>VLOOKUP(A:A,הוצאות!B:B,1,0)</f>
        <v>1715300750</v>
      </c>
      <c r="F411" s="156">
        <f>VLOOKUP(A:A,הוצאות!B:O,14,0)</f>
        <v>4500</v>
      </c>
      <c r="G411" s="180">
        <f t="shared" si="1"/>
        <v>0</v>
      </c>
    </row>
    <row r="412" spans="1:7">
      <c r="A412">
        <v>1715300930</v>
      </c>
      <c r="B412" t="s">
        <v>19</v>
      </c>
      <c r="C412" s="169">
        <v>0</v>
      </c>
      <c r="D412" s="169">
        <v>0</v>
      </c>
      <c r="E412">
        <f>VLOOKUP(A:A,הוצאות!B:B,1,0)</f>
        <v>1715300930</v>
      </c>
      <c r="F412" s="156">
        <f>VLOOKUP(A:A,הוצאות!B:O,14,0)</f>
        <v>0</v>
      </c>
      <c r="G412" s="180">
        <f t="shared" si="1"/>
        <v>0</v>
      </c>
    </row>
    <row r="413" spans="1:7">
      <c r="A413">
        <v>1719999399</v>
      </c>
      <c r="B413" t="s">
        <v>47</v>
      </c>
      <c r="C413" s="169">
        <v>0</v>
      </c>
      <c r="D413" s="169">
        <v>0</v>
      </c>
      <c r="E413" t="e">
        <f>VLOOKUP(A:A,הוצאות!B:B,1,0)</f>
        <v>#N/A</v>
      </c>
      <c r="F413" s="156" t="e">
        <f>VLOOKUP(A:A,הוצאות!B:O,14,0)</f>
        <v>#N/A</v>
      </c>
      <c r="G413" s="180" t="e">
        <f t="shared" si="1"/>
        <v>#N/A</v>
      </c>
    </row>
    <row r="414" spans="1:7">
      <c r="A414">
        <v>1722000110</v>
      </c>
      <c r="B414" t="s">
        <v>1734</v>
      </c>
      <c r="C414" s="169">
        <v>0</v>
      </c>
      <c r="D414" s="169">
        <v>183400.42</v>
      </c>
      <c r="E414">
        <f>VLOOKUP(A:A,הוצאות!B:B,1,0)</f>
        <v>1722000110</v>
      </c>
      <c r="F414" s="156">
        <f>VLOOKUP(A:A,הוצאות!B:O,14,0)</f>
        <v>183400.42</v>
      </c>
      <c r="G414" s="180">
        <f t="shared" si="1"/>
        <v>0</v>
      </c>
    </row>
    <row r="415" spans="1:7">
      <c r="A415" s="170">
        <v>1722000730</v>
      </c>
      <c r="B415" s="170" t="s">
        <v>1627</v>
      </c>
      <c r="C415" s="171">
        <v>58310</v>
      </c>
      <c r="D415" s="171">
        <v>0</v>
      </c>
      <c r="E415" s="170">
        <f>VLOOKUP(A:A,הוצאות!B:B,1,0)</f>
        <v>1722000730</v>
      </c>
      <c r="F415" s="156">
        <f>VLOOKUP(A:A,הוצאות!B:O,14,0)</f>
        <v>0</v>
      </c>
      <c r="G415" s="180">
        <f t="shared" si="1"/>
        <v>0</v>
      </c>
    </row>
    <row r="416" spans="1:7">
      <c r="A416">
        <v>1722000731</v>
      </c>
      <c r="B416" t="s">
        <v>87</v>
      </c>
      <c r="C416" s="169">
        <v>29160</v>
      </c>
      <c r="D416" s="169">
        <v>21121.35</v>
      </c>
      <c r="E416">
        <f>VLOOKUP(A:A,הוצאות!B:B,1,0)</f>
        <v>1722000731</v>
      </c>
      <c r="F416" s="156">
        <f>VLOOKUP(A:A,הוצאות!B:O,14,0)</f>
        <v>21121.35</v>
      </c>
      <c r="G416" s="180">
        <f t="shared" si="1"/>
        <v>0</v>
      </c>
    </row>
    <row r="417" spans="1:7">
      <c r="A417">
        <v>1722000732</v>
      </c>
      <c r="B417" t="s">
        <v>88</v>
      </c>
      <c r="C417" s="169">
        <v>12500</v>
      </c>
      <c r="D417" s="169">
        <v>8261</v>
      </c>
      <c r="E417">
        <f>VLOOKUP(A:A,הוצאות!B:B,1,0)</f>
        <v>1722000732</v>
      </c>
      <c r="F417" s="156">
        <f>VLOOKUP(A:A,הוצאות!B:O,14,0)</f>
        <v>8261</v>
      </c>
      <c r="G417" s="180">
        <f t="shared" si="1"/>
        <v>0</v>
      </c>
    </row>
    <row r="418" spans="1:7">
      <c r="A418">
        <v>1722000733</v>
      </c>
      <c r="B418" t="s">
        <v>89</v>
      </c>
      <c r="C418" s="169">
        <v>19160</v>
      </c>
      <c r="D418" s="169">
        <v>11719</v>
      </c>
      <c r="E418">
        <f>VLOOKUP(A:A,הוצאות!B:B,1,0)</f>
        <v>1722000733</v>
      </c>
      <c r="F418" s="156">
        <f>VLOOKUP(A:A,הוצאות!B:O,14,0)</f>
        <v>11719</v>
      </c>
      <c r="G418" s="180">
        <f t="shared" si="1"/>
        <v>0</v>
      </c>
    </row>
    <row r="419" spans="1:7">
      <c r="A419">
        <v>1722000780</v>
      </c>
      <c r="B419" t="s">
        <v>58</v>
      </c>
      <c r="C419" s="169">
        <v>9160</v>
      </c>
      <c r="D419" s="169">
        <v>6453</v>
      </c>
      <c r="E419">
        <f>VLOOKUP(A:A,הוצאות!B:B,1,0)</f>
        <v>1722000780</v>
      </c>
      <c r="F419" s="156">
        <f>VLOOKUP(A:A,הוצאות!B:O,14,0)</f>
        <v>6453</v>
      </c>
      <c r="G419" s="180">
        <f t="shared" si="1"/>
        <v>0</v>
      </c>
    </row>
    <row r="420" spans="1:7">
      <c r="A420">
        <v>1722002110</v>
      </c>
      <c r="B420" t="s">
        <v>1735</v>
      </c>
      <c r="C420" s="169">
        <v>208250</v>
      </c>
      <c r="D420" s="169">
        <v>0</v>
      </c>
      <c r="E420">
        <f>VLOOKUP(A:A,הוצאות!B:B,1,0)</f>
        <v>1722002110</v>
      </c>
      <c r="F420" s="156">
        <f>VLOOKUP(A:A,הוצאות!B:O,14,0)</f>
        <v>0</v>
      </c>
      <c r="G420" s="180">
        <f t="shared" ref="G420:G452" si="2">D420-F420</f>
        <v>0</v>
      </c>
    </row>
    <row r="421" spans="1:7">
      <c r="A421" s="170">
        <v>1722002780</v>
      </c>
      <c r="B421" s="170" t="s">
        <v>1736</v>
      </c>
      <c r="C421" s="171">
        <v>1670</v>
      </c>
      <c r="D421" s="171">
        <v>0</v>
      </c>
      <c r="E421" s="170">
        <f>VLOOKUP(A:A,הוצאות!B:B,1,0)</f>
        <v>1722002780</v>
      </c>
      <c r="F421" s="156">
        <f>VLOOKUP(A:A,הוצאות!B:O,14,0)</f>
        <v>0</v>
      </c>
      <c r="G421" s="180">
        <f t="shared" si="2"/>
        <v>0</v>
      </c>
    </row>
    <row r="422" spans="1:7">
      <c r="A422">
        <v>1723000750</v>
      </c>
      <c r="B422" t="s">
        <v>1737</v>
      </c>
      <c r="C422" s="169">
        <v>0</v>
      </c>
      <c r="D422" s="169">
        <v>0</v>
      </c>
      <c r="E422" t="e">
        <f>VLOOKUP(A:A,הוצאות!B:B,1,0)</f>
        <v>#N/A</v>
      </c>
      <c r="F422" s="156" t="e">
        <f>VLOOKUP(A:A,הוצאות!B:O,14,0)</f>
        <v>#N/A</v>
      </c>
      <c r="G422" s="180" t="e">
        <f t="shared" si="2"/>
        <v>#N/A</v>
      </c>
    </row>
    <row r="423" spans="1:7">
      <c r="A423">
        <v>1723000810</v>
      </c>
      <c r="B423" t="s">
        <v>90</v>
      </c>
      <c r="C423" s="169">
        <v>66640</v>
      </c>
      <c r="D423" s="169">
        <v>59984</v>
      </c>
      <c r="E423">
        <f>VLOOKUP(A:A,הוצאות!B:B,1,0)</f>
        <v>1723000810</v>
      </c>
      <c r="F423" s="156">
        <f>VLOOKUP(A:A,הוצאות!B:O,14,0)</f>
        <v>59984</v>
      </c>
      <c r="G423" s="180">
        <f t="shared" si="2"/>
        <v>0</v>
      </c>
    </row>
    <row r="424" spans="1:7">
      <c r="A424">
        <v>1723000811</v>
      </c>
      <c r="B424" t="s">
        <v>91</v>
      </c>
      <c r="C424" s="169">
        <v>142150</v>
      </c>
      <c r="D424" s="169">
        <v>127290</v>
      </c>
      <c r="E424">
        <f>VLOOKUP(A:A,הוצאות!B:B,1,0)</f>
        <v>1723000811</v>
      </c>
      <c r="F424" s="156">
        <f>VLOOKUP(A:A,הוצאות!B:O,14,0)</f>
        <v>127290</v>
      </c>
      <c r="G424" s="180">
        <f t="shared" si="2"/>
        <v>0</v>
      </c>
    </row>
    <row r="425" spans="1:7">
      <c r="A425">
        <v>1723000930</v>
      </c>
      <c r="B425" t="s">
        <v>586</v>
      </c>
      <c r="C425" s="169">
        <v>5000</v>
      </c>
      <c r="D425" s="169">
        <v>3860</v>
      </c>
      <c r="E425">
        <f>VLOOKUP(A:A,הוצאות!B:B,1,0)</f>
        <v>1723000930</v>
      </c>
      <c r="F425" s="156">
        <f>VLOOKUP(A:A,הוצאות!B:O,14,0)</f>
        <v>3860</v>
      </c>
      <c r="G425" s="180">
        <f t="shared" si="2"/>
        <v>0</v>
      </c>
    </row>
    <row r="426" spans="1:7">
      <c r="A426">
        <v>1724000760</v>
      </c>
      <c r="B426" t="s">
        <v>92</v>
      </c>
      <c r="C426" s="169">
        <v>229080</v>
      </c>
      <c r="D426" s="169">
        <v>12043</v>
      </c>
      <c r="E426">
        <f>VLOOKUP(A:A,הוצאות!B:B,1,0)</f>
        <v>1724000760</v>
      </c>
      <c r="F426" s="156">
        <f>VLOOKUP(A:A,הוצאות!B:O,14,0)</f>
        <v>12043</v>
      </c>
      <c r="G426" s="180">
        <f t="shared" si="2"/>
        <v>0</v>
      </c>
    </row>
    <row r="427" spans="1:7">
      <c r="A427">
        <v>1724000830</v>
      </c>
      <c r="B427" t="s">
        <v>93</v>
      </c>
      <c r="C427" s="169">
        <v>191590</v>
      </c>
      <c r="D427" s="169">
        <v>0</v>
      </c>
      <c r="E427">
        <f>VLOOKUP(A:A,הוצאות!B:B,1,0)</f>
        <v>1724000830</v>
      </c>
      <c r="F427" s="156">
        <f>VLOOKUP(A:A,הוצאות!B:O,14,0)</f>
        <v>0</v>
      </c>
      <c r="G427" s="180">
        <f t="shared" si="2"/>
        <v>0</v>
      </c>
    </row>
    <row r="428" spans="1:7">
      <c r="A428" s="170">
        <v>1725000110</v>
      </c>
      <c r="B428" s="170" t="s">
        <v>92</v>
      </c>
      <c r="C428" s="171">
        <v>55810</v>
      </c>
      <c r="D428" s="171">
        <v>105880.61</v>
      </c>
      <c r="E428" s="170">
        <f>VLOOKUP(A:A,הוצאות!B:B,1,0)</f>
        <v>1725000110</v>
      </c>
      <c r="F428" s="156">
        <f>VLOOKUP(A:A,הוצאות!B:O,14,0)</f>
        <v>105880.61</v>
      </c>
      <c r="G428" s="180">
        <f t="shared" si="2"/>
        <v>0</v>
      </c>
    </row>
    <row r="429" spans="1:7">
      <c r="A429">
        <v>1725000750</v>
      </c>
      <c r="B429" t="s">
        <v>94</v>
      </c>
      <c r="C429" s="169">
        <v>0</v>
      </c>
      <c r="D429" s="169">
        <v>0</v>
      </c>
      <c r="E429">
        <f>VLOOKUP(A:A,הוצאות!B:B,1,0)</f>
        <v>1725000750</v>
      </c>
      <c r="F429" s="156">
        <f>VLOOKUP(A:A,הוצאות!B:O,14,0)</f>
        <v>0</v>
      </c>
      <c r="G429" s="180">
        <f t="shared" si="2"/>
        <v>0</v>
      </c>
    </row>
    <row r="430" spans="1:7">
      <c r="A430">
        <v>1726100750</v>
      </c>
      <c r="B430" t="s">
        <v>95</v>
      </c>
      <c r="C430" s="169">
        <v>0</v>
      </c>
      <c r="D430" s="169">
        <v>0</v>
      </c>
      <c r="E430" t="e">
        <f>VLOOKUP(A:A,הוצאות!B:B,1,0)</f>
        <v>#N/A</v>
      </c>
      <c r="F430" s="156" t="e">
        <f>VLOOKUP(A:A,הוצאות!B:O,14,0)</f>
        <v>#N/A</v>
      </c>
      <c r="G430" s="180" t="e">
        <f t="shared" si="2"/>
        <v>#N/A</v>
      </c>
    </row>
    <row r="431" spans="1:7">
      <c r="A431">
        <v>1726100780</v>
      </c>
      <c r="B431" t="s">
        <v>96</v>
      </c>
      <c r="C431" s="169">
        <v>0</v>
      </c>
      <c r="D431" s="169">
        <v>0</v>
      </c>
      <c r="E431" t="e">
        <f>VLOOKUP(A:A,הוצאות!B:B,1,0)</f>
        <v>#N/A</v>
      </c>
      <c r="F431" s="156" t="e">
        <f>VLOOKUP(A:A,הוצאות!B:O,14,0)</f>
        <v>#N/A</v>
      </c>
      <c r="G431" s="180" t="e">
        <f t="shared" si="2"/>
        <v>#N/A</v>
      </c>
    </row>
    <row r="432" spans="1:7">
      <c r="A432">
        <v>1729999399</v>
      </c>
      <c r="B432" t="s">
        <v>47</v>
      </c>
      <c r="C432" s="169">
        <v>0</v>
      </c>
      <c r="D432" s="169">
        <v>0</v>
      </c>
      <c r="E432" t="e">
        <f>VLOOKUP(A:A,הוצאות!B:B,1,0)</f>
        <v>#N/A</v>
      </c>
      <c r="F432" s="156" t="e">
        <f>VLOOKUP(A:A,הוצאות!B:O,14,0)</f>
        <v>#N/A</v>
      </c>
      <c r="G432" s="180" t="e">
        <f t="shared" si="2"/>
        <v>#N/A</v>
      </c>
    </row>
    <row r="433" spans="1:7">
      <c r="A433">
        <v>1731000110</v>
      </c>
      <c r="B433" t="s">
        <v>97</v>
      </c>
      <c r="C433" s="169">
        <v>533120</v>
      </c>
      <c r="D433" s="169">
        <v>616217.5</v>
      </c>
      <c r="E433">
        <f>VLOOKUP(A:A,הוצאות!B:B,1,0)</f>
        <v>1731000110</v>
      </c>
      <c r="F433" s="156">
        <f>VLOOKUP(A:A,הוצאות!B:O,14,0)</f>
        <v>616217.5</v>
      </c>
      <c r="G433" s="180">
        <f t="shared" si="2"/>
        <v>0</v>
      </c>
    </row>
    <row r="434" spans="1:7">
      <c r="A434">
        <v>1731000440</v>
      </c>
      <c r="B434" t="s">
        <v>98</v>
      </c>
      <c r="C434" s="169">
        <v>3330</v>
      </c>
      <c r="D434" s="169">
        <v>0</v>
      </c>
      <c r="E434">
        <f>VLOOKUP(A:A,הוצאות!B:B,1,0)</f>
        <v>1731000440</v>
      </c>
      <c r="F434" s="156">
        <f>VLOOKUP(A:A,הוצאות!B:O,14,0)</f>
        <v>0</v>
      </c>
      <c r="G434" s="180">
        <f t="shared" si="2"/>
        <v>0</v>
      </c>
    </row>
    <row r="435" spans="1:7">
      <c r="A435">
        <v>1731000523</v>
      </c>
      <c r="B435" t="s">
        <v>28</v>
      </c>
      <c r="C435" s="169">
        <v>1250</v>
      </c>
      <c r="D435" s="169">
        <v>0</v>
      </c>
      <c r="E435">
        <f>VLOOKUP(A:A,הוצאות!B:B,1,0)</f>
        <v>1731000523</v>
      </c>
      <c r="F435" s="156">
        <f>VLOOKUP(A:A,הוצאות!B:O,14,0)</f>
        <v>0</v>
      </c>
      <c r="G435" s="180">
        <f t="shared" si="2"/>
        <v>0</v>
      </c>
    </row>
    <row r="436" spans="1:7">
      <c r="A436">
        <v>1731000540</v>
      </c>
      <c r="B436" t="s">
        <v>50</v>
      </c>
      <c r="C436" s="169">
        <v>0</v>
      </c>
      <c r="D436" s="169">
        <v>0</v>
      </c>
      <c r="E436" t="e">
        <f>VLOOKUP(A:A,הוצאות!B:B,1,0)</f>
        <v>#N/A</v>
      </c>
      <c r="F436" s="156" t="e">
        <f>VLOOKUP(A:A,הוצאות!B:O,14,0)</f>
        <v>#N/A</v>
      </c>
      <c r="G436" s="180" t="e">
        <f t="shared" si="2"/>
        <v>#N/A</v>
      </c>
    </row>
    <row r="437" spans="1:7">
      <c r="A437">
        <v>1731000560</v>
      </c>
      <c r="B437" t="s">
        <v>99</v>
      </c>
      <c r="C437" s="169">
        <v>0</v>
      </c>
      <c r="D437" s="169">
        <v>0</v>
      </c>
      <c r="E437" t="e">
        <f>VLOOKUP(A:A,הוצאות!B:B,1,0)</f>
        <v>#N/A</v>
      </c>
      <c r="F437" s="156" t="e">
        <f>VLOOKUP(A:A,הוצאות!B:O,14,0)</f>
        <v>#N/A</v>
      </c>
      <c r="G437" s="180" t="e">
        <f t="shared" si="2"/>
        <v>#N/A</v>
      </c>
    </row>
    <row r="438" spans="1:7">
      <c r="A438">
        <v>1731000780</v>
      </c>
      <c r="B438" t="s">
        <v>18</v>
      </c>
      <c r="C438" s="169">
        <v>0</v>
      </c>
      <c r="D438" s="169">
        <v>0</v>
      </c>
      <c r="E438">
        <f>VLOOKUP(A:A,הוצאות!B:B,1,0)</f>
        <v>1731000780</v>
      </c>
      <c r="F438" s="156">
        <f>VLOOKUP(A:A,הוצאות!B:O,14,0)</f>
        <v>0</v>
      </c>
      <c r="G438" s="180">
        <f t="shared" si="2"/>
        <v>0</v>
      </c>
    </row>
    <row r="439" spans="1:7">
      <c r="A439">
        <v>1731000930</v>
      </c>
      <c r="B439" t="s">
        <v>19</v>
      </c>
      <c r="C439" s="169">
        <v>1670</v>
      </c>
      <c r="D439" s="169">
        <v>0</v>
      </c>
      <c r="E439">
        <f>VLOOKUP(A:A,הוצאות!B:B,1,0)</f>
        <v>1731000930</v>
      </c>
      <c r="F439" s="156">
        <f>VLOOKUP(A:A,הוצאות!B:O,14,0)</f>
        <v>0</v>
      </c>
      <c r="G439" s="180">
        <f t="shared" si="2"/>
        <v>0</v>
      </c>
    </row>
    <row r="440" spans="1:7">
      <c r="A440">
        <v>1732100750</v>
      </c>
      <c r="B440" t="s">
        <v>1738</v>
      </c>
      <c r="C440" s="169">
        <v>23320</v>
      </c>
      <c r="D440" s="169">
        <v>21435</v>
      </c>
      <c r="E440">
        <f>VLOOKUP(A:A,הוצאות!B:B,1,0)</f>
        <v>1732100750</v>
      </c>
      <c r="F440" s="156">
        <f>VLOOKUP(A:A,הוצאות!B:O,14,0)</f>
        <v>21435</v>
      </c>
      <c r="G440" s="180">
        <f t="shared" si="2"/>
        <v>0</v>
      </c>
    </row>
    <row r="441" spans="1:7">
      <c r="A441">
        <v>1732100950</v>
      </c>
      <c r="B441" t="s">
        <v>101</v>
      </c>
      <c r="C441" s="169">
        <v>0</v>
      </c>
      <c r="D441" s="169">
        <v>0</v>
      </c>
      <c r="E441" t="e">
        <f>VLOOKUP(A:A,הוצאות!B:B,1,0)</f>
        <v>#N/A</v>
      </c>
      <c r="F441" s="156" t="e">
        <f>VLOOKUP(A:A,הוצאות!B:O,14,0)</f>
        <v>#N/A</v>
      </c>
      <c r="G441" s="180" t="e">
        <f t="shared" si="2"/>
        <v>#N/A</v>
      </c>
    </row>
    <row r="442" spans="1:7">
      <c r="A442">
        <v>1733400750</v>
      </c>
      <c r="B442" t="s">
        <v>102</v>
      </c>
      <c r="C442" s="169">
        <v>624750</v>
      </c>
      <c r="D442" s="169">
        <v>0</v>
      </c>
      <c r="E442">
        <f>VLOOKUP(A:A,הוצאות!B:B,1,0)</f>
        <v>1733400750</v>
      </c>
      <c r="F442" s="156">
        <f>VLOOKUP(A:A,הוצאות!B:O,14,0)</f>
        <v>0</v>
      </c>
      <c r="G442" s="180">
        <f t="shared" si="2"/>
        <v>0</v>
      </c>
    </row>
    <row r="443" spans="1:7">
      <c r="A443">
        <v>1739999399</v>
      </c>
      <c r="B443" t="s">
        <v>47</v>
      </c>
      <c r="C443" s="169">
        <v>0</v>
      </c>
      <c r="D443" s="169">
        <v>0</v>
      </c>
      <c r="E443" t="e">
        <f>VLOOKUP(A:A,הוצאות!B:B,1,0)</f>
        <v>#N/A</v>
      </c>
      <c r="F443" s="156" t="e">
        <f>VLOOKUP(A:A,הוצאות!B:O,14,0)</f>
        <v>#N/A</v>
      </c>
      <c r="G443" s="180" t="e">
        <f t="shared" si="2"/>
        <v>#N/A</v>
      </c>
    </row>
    <row r="444" spans="1:7">
      <c r="A444">
        <v>1741000110</v>
      </c>
      <c r="B444" t="s">
        <v>103</v>
      </c>
      <c r="C444" s="169">
        <v>93300</v>
      </c>
      <c r="D444" s="169">
        <v>86028.18</v>
      </c>
      <c r="E444">
        <f>VLOOKUP(A:A,הוצאות!B:B,1,0)</f>
        <v>1741000110</v>
      </c>
      <c r="F444" s="156">
        <f>VLOOKUP(A:A,הוצאות!B:O,14,0)</f>
        <v>86028.18</v>
      </c>
      <c r="G444" s="180">
        <f t="shared" si="2"/>
        <v>0</v>
      </c>
    </row>
    <row r="445" spans="1:7">
      <c r="A445">
        <v>1741000320</v>
      </c>
      <c r="B445" t="s">
        <v>25</v>
      </c>
      <c r="C445" s="169">
        <v>0</v>
      </c>
      <c r="D445" s="169">
        <v>0</v>
      </c>
      <c r="E445" t="e">
        <f>VLOOKUP(A:A,הוצאות!B:B,1,0)</f>
        <v>#N/A</v>
      </c>
      <c r="F445" s="156" t="e">
        <f>VLOOKUP(A:A,הוצאות!B:O,14,0)</f>
        <v>#N/A</v>
      </c>
      <c r="G445" s="180" t="e">
        <f t="shared" si="2"/>
        <v>#N/A</v>
      </c>
    </row>
    <row r="446" spans="1:7">
      <c r="A446">
        <v>1741000540</v>
      </c>
      <c r="B446" t="s">
        <v>104</v>
      </c>
      <c r="C446" s="169">
        <v>830</v>
      </c>
      <c r="D446" s="169">
        <v>0</v>
      </c>
      <c r="E446">
        <f>VLOOKUP(A:A,הוצאות!B:B,1,0)</f>
        <v>1741000540</v>
      </c>
      <c r="F446" s="156">
        <f>VLOOKUP(A:A,הוצאות!B:O,14,0)</f>
        <v>0</v>
      </c>
      <c r="G446" s="180">
        <f t="shared" si="2"/>
        <v>0</v>
      </c>
    </row>
    <row r="447" spans="1:7">
      <c r="A447">
        <v>1741000720</v>
      </c>
      <c r="B447" t="s">
        <v>105</v>
      </c>
      <c r="C447" s="169">
        <v>830</v>
      </c>
      <c r="D447" s="169">
        <v>0</v>
      </c>
      <c r="E447">
        <f>VLOOKUP(A:A,הוצאות!B:B,1,0)</f>
        <v>1741000720</v>
      </c>
      <c r="F447" s="156">
        <f>VLOOKUP(A:A,הוצאות!B:O,14,0)</f>
        <v>0</v>
      </c>
      <c r="G447" s="180">
        <f t="shared" si="2"/>
        <v>0</v>
      </c>
    </row>
    <row r="448" spans="1:7">
      <c r="A448">
        <v>1741000731</v>
      </c>
      <c r="B448" t="s">
        <v>106</v>
      </c>
      <c r="C448" s="169">
        <v>16660</v>
      </c>
      <c r="D448" s="169">
        <v>0</v>
      </c>
      <c r="E448">
        <f>VLOOKUP(A:A,הוצאות!B:B,1,0)</f>
        <v>1741000731</v>
      </c>
      <c r="F448" s="156">
        <f>VLOOKUP(A:A,הוצאות!B:O,14,0)</f>
        <v>0</v>
      </c>
      <c r="G448" s="180">
        <f t="shared" si="2"/>
        <v>0</v>
      </c>
    </row>
    <row r="449" spans="1:7">
      <c r="A449">
        <v>1741000732</v>
      </c>
      <c r="B449" t="s">
        <v>107</v>
      </c>
      <c r="C449" s="169">
        <v>8330</v>
      </c>
      <c r="D449" s="169">
        <v>6305</v>
      </c>
      <c r="E449">
        <f>VLOOKUP(A:A,הוצאות!B:B,1,0)</f>
        <v>1741000732</v>
      </c>
      <c r="F449" s="156">
        <f>VLOOKUP(A:A,הוצאות!B:O,14,0)</f>
        <v>6305</v>
      </c>
      <c r="G449" s="180">
        <f t="shared" si="2"/>
        <v>0</v>
      </c>
    </row>
    <row r="450" spans="1:7">
      <c r="A450">
        <v>1741000733</v>
      </c>
      <c r="B450" t="s">
        <v>108</v>
      </c>
      <c r="C450" s="169">
        <v>4170</v>
      </c>
      <c r="D450" s="169">
        <v>0</v>
      </c>
      <c r="E450">
        <f>VLOOKUP(A:A,הוצאות!B:B,1,0)</f>
        <v>1741000733</v>
      </c>
      <c r="F450" s="156">
        <f>VLOOKUP(A:A,הוצאות!B:O,14,0)</f>
        <v>0</v>
      </c>
      <c r="G450" s="180">
        <f t="shared" si="2"/>
        <v>0</v>
      </c>
    </row>
    <row r="451" spans="1:7">
      <c r="A451">
        <v>1741000740</v>
      </c>
      <c r="B451" t="s">
        <v>33</v>
      </c>
      <c r="C451" s="169">
        <v>0</v>
      </c>
      <c r="D451" s="169">
        <v>0</v>
      </c>
      <c r="E451" t="e">
        <f>VLOOKUP(A:A,הוצאות!B:B,1,0)</f>
        <v>#N/A</v>
      </c>
      <c r="F451" s="156" t="e">
        <f>VLOOKUP(A:A,הוצאות!B:O,14,0)</f>
        <v>#N/A</v>
      </c>
      <c r="G451" s="180" t="e">
        <f t="shared" si="2"/>
        <v>#N/A</v>
      </c>
    </row>
    <row r="452" spans="1:7">
      <c r="A452">
        <v>1741000750</v>
      </c>
      <c r="B452" t="s">
        <v>62</v>
      </c>
      <c r="C452" s="169">
        <v>83300</v>
      </c>
      <c r="D452" s="169">
        <v>60936</v>
      </c>
      <c r="E452">
        <f>VLOOKUP(A:A,הוצאות!B:B,1,0)</f>
        <v>1741000750</v>
      </c>
      <c r="F452" s="156">
        <f>VLOOKUP(A:A,הוצאות!B:O,14,0)</f>
        <v>60936</v>
      </c>
      <c r="G452" s="180">
        <f t="shared" si="2"/>
        <v>0</v>
      </c>
    </row>
    <row r="453" spans="1:7" hidden="1">
      <c r="A453">
        <v>1741000780</v>
      </c>
      <c r="B453" t="s">
        <v>18</v>
      </c>
      <c r="C453" s="169">
        <v>0</v>
      </c>
      <c r="D453" s="169">
        <v>0</v>
      </c>
      <c r="E453" t="e">
        <f>VLOOKUP(A:A,הוצאות!B:B,1,0)</f>
        <v>#N/A</v>
      </c>
    </row>
    <row r="454" spans="1:7" hidden="1">
      <c r="A454">
        <v>1742000720</v>
      </c>
      <c r="B454" t="s">
        <v>32</v>
      </c>
      <c r="C454" s="169">
        <v>0</v>
      </c>
      <c r="D454" s="169">
        <v>0</v>
      </c>
      <c r="E454" t="e">
        <f>VLOOKUP(A:A,הוצאות!B:B,1,0)</f>
        <v>#N/A</v>
      </c>
    </row>
    <row r="455" spans="1:7" hidden="1">
      <c r="A455">
        <v>1742000750</v>
      </c>
      <c r="B455" t="s">
        <v>62</v>
      </c>
      <c r="C455" s="169">
        <v>0</v>
      </c>
      <c r="D455" s="169">
        <v>0</v>
      </c>
      <c r="E455" t="e">
        <f>VLOOKUP(A:A,הוצאות!B:B,1,0)</f>
        <v>#N/A</v>
      </c>
    </row>
    <row r="456" spans="1:7" hidden="1">
      <c r="A456">
        <v>1742000910</v>
      </c>
      <c r="B456" t="s">
        <v>1739</v>
      </c>
      <c r="C456" s="169">
        <v>0</v>
      </c>
      <c r="D456" s="169">
        <v>0</v>
      </c>
      <c r="E456" t="e">
        <f>VLOOKUP(A:A,הוצאות!B:B,1,0)</f>
        <v>#N/A</v>
      </c>
    </row>
    <row r="457" spans="1:7" hidden="1">
      <c r="A457">
        <v>1742200110</v>
      </c>
      <c r="B457" t="s">
        <v>1740</v>
      </c>
      <c r="C457" s="169">
        <v>0</v>
      </c>
      <c r="D457" s="169">
        <v>0</v>
      </c>
      <c r="E457" t="e">
        <f>VLOOKUP(A:A,הוצאות!B:B,1,0)</f>
        <v>#N/A</v>
      </c>
    </row>
    <row r="458" spans="1:7" hidden="1">
      <c r="A458">
        <v>1742200720</v>
      </c>
      <c r="B458" t="s">
        <v>1741</v>
      </c>
      <c r="C458" s="169">
        <v>0</v>
      </c>
      <c r="D458" s="169">
        <v>0</v>
      </c>
      <c r="E458" t="e">
        <f>VLOOKUP(A:A,הוצאות!B:B,1,0)</f>
        <v>#N/A</v>
      </c>
    </row>
    <row r="459" spans="1:7" hidden="1">
      <c r="A459">
        <v>1742200750</v>
      </c>
      <c r="B459" t="s">
        <v>1742</v>
      </c>
      <c r="C459" s="169">
        <v>0</v>
      </c>
      <c r="D459" s="169">
        <v>0</v>
      </c>
      <c r="E459" t="e">
        <f>VLOOKUP(A:A,הוצאות!B:B,1,0)</f>
        <v>#N/A</v>
      </c>
    </row>
    <row r="460" spans="1:7" hidden="1">
      <c r="A460">
        <v>1743000720</v>
      </c>
      <c r="B460" t="s">
        <v>1743</v>
      </c>
      <c r="C460" s="169">
        <v>0</v>
      </c>
      <c r="D460" s="169">
        <v>0</v>
      </c>
      <c r="E460">
        <f>VLOOKUP(A:A,הוצאות!B:B,1,0)</f>
        <v>1743000720</v>
      </c>
    </row>
    <row r="461" spans="1:7">
      <c r="A461">
        <v>1743000750</v>
      </c>
      <c r="B461" t="s">
        <v>109</v>
      </c>
      <c r="C461" s="169">
        <v>8330</v>
      </c>
      <c r="D461" s="169">
        <v>0</v>
      </c>
      <c r="E461">
        <f>VLOOKUP(A:A,הוצאות!B:B,1,0)</f>
        <v>1743000750</v>
      </c>
      <c r="F461" s="156">
        <f>VLOOKUP(A:A,הוצאות!B:O,14,0)</f>
        <v>0</v>
      </c>
      <c r="G461" s="180">
        <f t="shared" ref="G461:G466" si="3">D461-F461</f>
        <v>0</v>
      </c>
    </row>
    <row r="462" spans="1:7">
      <c r="A462">
        <v>1743000771</v>
      </c>
      <c r="B462" t="s">
        <v>110</v>
      </c>
      <c r="C462" s="169">
        <v>249900</v>
      </c>
      <c r="D462" s="169">
        <v>157531.46</v>
      </c>
      <c r="E462">
        <f>VLOOKUP(A:A,הוצאות!B:B,1,0)</f>
        <v>1743000771</v>
      </c>
      <c r="F462" s="156">
        <f>VLOOKUP(A:A,הוצאות!B:O,14,0)</f>
        <v>157531.46</v>
      </c>
      <c r="G462" s="180">
        <f t="shared" si="3"/>
        <v>0</v>
      </c>
    </row>
    <row r="463" spans="1:7">
      <c r="A463">
        <v>1744000750</v>
      </c>
      <c r="B463" t="s">
        <v>111</v>
      </c>
      <c r="C463" s="169">
        <v>0</v>
      </c>
      <c r="D463" s="169">
        <v>0</v>
      </c>
      <c r="E463" t="e">
        <f>VLOOKUP(A:A,הוצאות!B:B,1,0)</f>
        <v>#N/A</v>
      </c>
      <c r="F463" s="156" t="e">
        <f>VLOOKUP(A:A,הוצאות!B:O,14,0)</f>
        <v>#N/A</v>
      </c>
      <c r="G463" s="180" t="e">
        <f t="shared" si="3"/>
        <v>#N/A</v>
      </c>
    </row>
    <row r="464" spans="1:7">
      <c r="A464">
        <v>1744000780</v>
      </c>
      <c r="B464" t="s">
        <v>112</v>
      </c>
      <c r="C464" s="169">
        <v>3330</v>
      </c>
      <c r="D464" s="169">
        <v>0</v>
      </c>
      <c r="E464">
        <f>VLOOKUP(A:A,הוצאות!B:B,1,0)</f>
        <v>1744000780</v>
      </c>
      <c r="F464" s="156">
        <f>VLOOKUP(A:A,הוצאות!B:O,14,0)</f>
        <v>0</v>
      </c>
      <c r="G464" s="180">
        <f t="shared" si="3"/>
        <v>0</v>
      </c>
    </row>
    <row r="465" spans="1:7">
      <c r="A465">
        <v>1745000750</v>
      </c>
      <c r="B465" t="s">
        <v>113</v>
      </c>
      <c r="C465" s="169">
        <v>0</v>
      </c>
      <c r="D465" s="169">
        <v>0</v>
      </c>
      <c r="E465" t="e">
        <f>VLOOKUP(A:A,הוצאות!B:B,1,0)</f>
        <v>#N/A</v>
      </c>
      <c r="F465" s="156" t="e">
        <f>VLOOKUP(A:A,הוצאות!B:O,14,0)</f>
        <v>#N/A</v>
      </c>
      <c r="G465" s="180" t="e">
        <f t="shared" si="3"/>
        <v>#N/A</v>
      </c>
    </row>
    <row r="466" spans="1:7">
      <c r="A466">
        <v>1745000830</v>
      </c>
      <c r="B466" t="s">
        <v>114</v>
      </c>
      <c r="C466" s="169">
        <v>83300</v>
      </c>
      <c r="D466" s="169">
        <v>179333</v>
      </c>
      <c r="E466">
        <f>VLOOKUP(A:A,הוצאות!B:B,1,0)</f>
        <v>1745000830</v>
      </c>
      <c r="F466" s="156">
        <f>VLOOKUP(A:A,הוצאות!B:O,14,0)</f>
        <v>179333</v>
      </c>
      <c r="G466" s="180">
        <f t="shared" si="3"/>
        <v>0</v>
      </c>
    </row>
    <row r="467" spans="1:7" hidden="1">
      <c r="A467">
        <v>1746000110</v>
      </c>
      <c r="B467" t="s">
        <v>1744</v>
      </c>
      <c r="C467" s="169">
        <v>0</v>
      </c>
      <c r="D467" s="169">
        <v>0</v>
      </c>
      <c r="E467" t="e">
        <f>VLOOKUP(A:A,הוצאות!B:B,1,0)</f>
        <v>#N/A</v>
      </c>
    </row>
    <row r="468" spans="1:7" hidden="1">
      <c r="A468">
        <v>1746000432</v>
      </c>
      <c r="B468" t="s">
        <v>1745</v>
      </c>
      <c r="C468" s="169">
        <v>0</v>
      </c>
      <c r="D468" s="169">
        <v>0</v>
      </c>
      <c r="E468" t="e">
        <f>VLOOKUP(A:A,הוצאות!B:B,1,0)</f>
        <v>#N/A</v>
      </c>
    </row>
    <row r="469" spans="1:7" hidden="1">
      <c r="A469">
        <v>1746000720</v>
      </c>
      <c r="B469" t="s">
        <v>1746</v>
      </c>
      <c r="C469" s="169">
        <v>0</v>
      </c>
      <c r="D469" s="169">
        <v>0</v>
      </c>
      <c r="E469" t="e">
        <f>VLOOKUP(A:A,הוצאות!B:B,1,0)</f>
        <v>#N/A</v>
      </c>
    </row>
    <row r="470" spans="1:7" hidden="1">
      <c r="A470">
        <v>1746100110</v>
      </c>
      <c r="B470" t="s">
        <v>1747</v>
      </c>
      <c r="C470" s="169">
        <v>0</v>
      </c>
      <c r="D470" s="169">
        <v>0</v>
      </c>
      <c r="E470" t="e">
        <f>VLOOKUP(A:A,הוצאות!B:B,1,0)</f>
        <v>#N/A</v>
      </c>
    </row>
    <row r="471" spans="1:7" hidden="1">
      <c r="A471">
        <v>1746100432</v>
      </c>
      <c r="B471" t="s">
        <v>1748</v>
      </c>
      <c r="C471" s="169">
        <v>0</v>
      </c>
      <c r="D471" s="169">
        <v>0</v>
      </c>
      <c r="E471" t="e">
        <f>VLOOKUP(A:A,הוצאות!B:B,1,0)</f>
        <v>#N/A</v>
      </c>
    </row>
    <row r="472" spans="1:7">
      <c r="A472">
        <v>1747200110</v>
      </c>
      <c r="B472" t="s">
        <v>115</v>
      </c>
      <c r="C472" s="169">
        <v>314040</v>
      </c>
      <c r="D472" s="169">
        <v>351979.97</v>
      </c>
      <c r="E472">
        <f>VLOOKUP(A:A,הוצאות!B:B,1,0)</f>
        <v>1747200110</v>
      </c>
      <c r="F472" s="156">
        <f>VLOOKUP(A:A,הוצאות!B:O,14,0)</f>
        <v>351979.97</v>
      </c>
      <c r="G472" s="180">
        <f t="shared" ref="G472:G486" si="4">D472-F472</f>
        <v>0</v>
      </c>
    </row>
    <row r="473" spans="1:7">
      <c r="A473">
        <v>1747200320</v>
      </c>
      <c r="B473" t="s">
        <v>25</v>
      </c>
      <c r="C473" s="169">
        <v>0</v>
      </c>
      <c r="D473" s="169">
        <v>0</v>
      </c>
      <c r="E473" t="e">
        <f>VLOOKUP(A:A,הוצאות!B:B,1,0)</f>
        <v>#N/A</v>
      </c>
      <c r="F473" s="156" t="e">
        <f>VLOOKUP(A:A,הוצאות!B:O,14,0)</f>
        <v>#N/A</v>
      </c>
      <c r="G473" s="180" t="e">
        <f t="shared" si="4"/>
        <v>#N/A</v>
      </c>
    </row>
    <row r="474" spans="1:7">
      <c r="A474">
        <v>1747200431</v>
      </c>
      <c r="B474" t="s">
        <v>116</v>
      </c>
      <c r="C474" s="169">
        <v>6660</v>
      </c>
      <c r="D474" s="169">
        <v>6678.89</v>
      </c>
      <c r="E474">
        <f>VLOOKUP(A:A,הוצאות!B:B,1,0)</f>
        <v>1747200431</v>
      </c>
      <c r="F474" s="156">
        <f>VLOOKUP(A:A,הוצאות!B:O,14,0)</f>
        <v>6678.89</v>
      </c>
      <c r="G474" s="180">
        <f t="shared" si="4"/>
        <v>0</v>
      </c>
    </row>
    <row r="475" spans="1:7">
      <c r="A475">
        <v>1747200432</v>
      </c>
      <c r="B475" t="s">
        <v>117</v>
      </c>
      <c r="C475" s="169">
        <v>20830</v>
      </c>
      <c r="D475" s="169">
        <v>11460.9</v>
      </c>
      <c r="E475">
        <f>VLOOKUP(A:A,הוצאות!B:B,1,0)</f>
        <v>1747200432</v>
      </c>
      <c r="F475" s="156">
        <f>VLOOKUP(A:A,הוצאות!B:O,14,0)</f>
        <v>11460.9</v>
      </c>
      <c r="G475" s="180">
        <f t="shared" si="4"/>
        <v>0</v>
      </c>
    </row>
    <row r="476" spans="1:7">
      <c r="A476">
        <v>1747200433</v>
      </c>
      <c r="B476" t="s">
        <v>144</v>
      </c>
      <c r="C476" s="169">
        <v>4170</v>
      </c>
      <c r="D476" s="169">
        <v>0</v>
      </c>
      <c r="E476">
        <f>VLOOKUP(A:A,הוצאות!B:B,1,0)</f>
        <v>1747200433</v>
      </c>
      <c r="F476" s="156">
        <f>VLOOKUP(A:A,הוצאות!B:O,14,0)</f>
        <v>0</v>
      </c>
      <c r="G476" s="180">
        <f t="shared" si="4"/>
        <v>0</v>
      </c>
    </row>
    <row r="477" spans="1:7">
      <c r="A477">
        <v>1747200440</v>
      </c>
      <c r="B477" t="s">
        <v>119</v>
      </c>
      <c r="C477" s="169">
        <v>14990</v>
      </c>
      <c r="D477" s="169">
        <v>0</v>
      </c>
      <c r="E477">
        <f>VLOOKUP(A:A,הוצאות!B:B,1,0)</f>
        <v>1747200440</v>
      </c>
      <c r="F477" s="156">
        <f>VLOOKUP(A:A,הוצאות!B:O,14,0)</f>
        <v>0</v>
      </c>
      <c r="G477" s="180">
        <f t="shared" si="4"/>
        <v>0</v>
      </c>
    </row>
    <row r="478" spans="1:7">
      <c r="A478">
        <v>1747200540</v>
      </c>
      <c r="B478" t="s">
        <v>104</v>
      </c>
      <c r="C478" s="169">
        <v>1250</v>
      </c>
      <c r="D478" s="169">
        <v>0</v>
      </c>
      <c r="E478">
        <f>VLOOKUP(A:A,הוצאות!B:B,1,0)</f>
        <v>1747200540</v>
      </c>
      <c r="F478" s="156">
        <f>VLOOKUP(A:A,הוצאות!B:O,14,0)</f>
        <v>0</v>
      </c>
      <c r="G478" s="180">
        <f t="shared" si="4"/>
        <v>0</v>
      </c>
    </row>
    <row r="479" spans="1:7">
      <c r="A479">
        <v>1747200720</v>
      </c>
      <c r="B479" t="s">
        <v>32</v>
      </c>
      <c r="C479" s="169">
        <v>1670</v>
      </c>
      <c r="D479" s="169">
        <v>0</v>
      </c>
      <c r="E479">
        <f>VLOOKUP(A:A,הוצאות!B:B,1,0)</f>
        <v>1747200720</v>
      </c>
      <c r="F479" s="156">
        <f>VLOOKUP(A:A,הוצאות!B:O,14,0)</f>
        <v>0</v>
      </c>
      <c r="G479" s="180">
        <f t="shared" si="4"/>
        <v>0</v>
      </c>
    </row>
    <row r="480" spans="1:7">
      <c r="A480">
        <v>1747200730</v>
      </c>
      <c r="B480" t="s">
        <v>120</v>
      </c>
      <c r="C480" s="169">
        <v>0</v>
      </c>
      <c r="D480" s="169">
        <v>0</v>
      </c>
      <c r="E480" t="e">
        <f>VLOOKUP(A:A,הוצאות!B:B,1,0)</f>
        <v>#N/A</v>
      </c>
      <c r="F480" s="156" t="e">
        <f>VLOOKUP(A:A,הוצאות!B:O,14,0)</f>
        <v>#N/A</v>
      </c>
      <c r="G480" s="180" t="e">
        <f t="shared" si="4"/>
        <v>#N/A</v>
      </c>
    </row>
    <row r="481" spans="1:7">
      <c r="A481">
        <v>1747200740</v>
      </c>
      <c r="B481" t="s">
        <v>33</v>
      </c>
      <c r="C481" s="169">
        <v>0</v>
      </c>
      <c r="D481" s="169">
        <v>0</v>
      </c>
      <c r="E481" t="e">
        <f>VLOOKUP(A:A,הוצאות!B:B,1,0)</f>
        <v>#N/A</v>
      </c>
      <c r="F481" s="156" t="e">
        <f>VLOOKUP(A:A,הוצאות!B:O,14,0)</f>
        <v>#N/A</v>
      </c>
      <c r="G481" s="180" t="e">
        <f t="shared" si="4"/>
        <v>#N/A</v>
      </c>
    </row>
    <row r="482" spans="1:7">
      <c r="A482">
        <v>1747200750</v>
      </c>
      <c r="B482" t="s">
        <v>62</v>
      </c>
      <c r="C482" s="169">
        <v>83300</v>
      </c>
      <c r="D482" s="169">
        <v>0</v>
      </c>
      <c r="E482">
        <f>VLOOKUP(A:A,הוצאות!B:B,1,0)</f>
        <v>1747200750</v>
      </c>
      <c r="F482" s="156">
        <f>VLOOKUP(A:A,הוצאות!B:O,14,0)</f>
        <v>0</v>
      </c>
      <c r="G482" s="180">
        <f t="shared" si="4"/>
        <v>0</v>
      </c>
    </row>
    <row r="483" spans="1:7">
      <c r="A483">
        <v>1747200780</v>
      </c>
      <c r="B483" t="s">
        <v>18</v>
      </c>
      <c r="C483" s="169">
        <v>0</v>
      </c>
      <c r="D483" s="169">
        <v>0</v>
      </c>
      <c r="E483" t="e">
        <f>VLOOKUP(A:A,הוצאות!B:B,1,0)</f>
        <v>#N/A</v>
      </c>
      <c r="F483" s="156" t="e">
        <f>VLOOKUP(A:A,הוצאות!B:O,14,0)</f>
        <v>#N/A</v>
      </c>
      <c r="G483" s="180" t="e">
        <f t="shared" si="4"/>
        <v>#N/A</v>
      </c>
    </row>
    <row r="484" spans="1:7">
      <c r="A484">
        <v>1747200930</v>
      </c>
      <c r="B484" t="s">
        <v>19</v>
      </c>
      <c r="C484" s="169">
        <v>0</v>
      </c>
      <c r="D484" s="169">
        <v>0</v>
      </c>
      <c r="E484" t="e">
        <f>VLOOKUP(A:A,הוצאות!B:B,1,0)</f>
        <v>#N/A</v>
      </c>
      <c r="F484" s="156" t="e">
        <f>VLOOKUP(A:A,הוצאות!B:O,14,0)</f>
        <v>#N/A</v>
      </c>
      <c r="G484" s="180" t="e">
        <f t="shared" si="4"/>
        <v>#N/A</v>
      </c>
    </row>
    <row r="485" spans="1:7">
      <c r="A485">
        <v>1747210440</v>
      </c>
      <c r="B485" t="s">
        <v>121</v>
      </c>
      <c r="C485" s="169">
        <v>0</v>
      </c>
      <c r="D485" s="169">
        <v>0</v>
      </c>
      <c r="E485" t="e">
        <f>VLOOKUP(A:A,הוצאות!B:B,1,0)</f>
        <v>#N/A</v>
      </c>
      <c r="F485" s="156" t="e">
        <f>VLOOKUP(A:A,הוצאות!B:O,14,0)</f>
        <v>#N/A</v>
      </c>
      <c r="G485" s="180" t="e">
        <f t="shared" si="4"/>
        <v>#N/A</v>
      </c>
    </row>
    <row r="486" spans="1:7">
      <c r="A486">
        <v>1748000432</v>
      </c>
      <c r="B486" t="s">
        <v>122</v>
      </c>
      <c r="C486" s="169">
        <v>2500</v>
      </c>
      <c r="D486" s="169">
        <v>0</v>
      </c>
      <c r="E486">
        <f>VLOOKUP(A:A,הוצאות!B:B,1,0)</f>
        <v>1748000432</v>
      </c>
      <c r="F486" s="156">
        <f>VLOOKUP(A:A,הוצאות!B:O,14,0)</f>
        <v>0</v>
      </c>
      <c r="G486" s="180">
        <f t="shared" si="4"/>
        <v>0</v>
      </c>
    </row>
    <row r="487" spans="1:7" hidden="1">
      <c r="A487">
        <v>1748000720</v>
      </c>
      <c r="B487" t="s">
        <v>32</v>
      </c>
      <c r="C487" s="169">
        <v>0</v>
      </c>
      <c r="D487" s="169">
        <v>0</v>
      </c>
      <c r="E487" t="e">
        <f>VLOOKUP(A:A,הוצאות!B:B,1,0)</f>
        <v>#N/A</v>
      </c>
    </row>
    <row r="488" spans="1:7" hidden="1">
      <c r="A488">
        <v>1748000750</v>
      </c>
      <c r="B488" t="s">
        <v>62</v>
      </c>
      <c r="C488" s="169">
        <v>0</v>
      </c>
      <c r="D488" s="169">
        <v>0</v>
      </c>
      <c r="E488" t="e">
        <f>VLOOKUP(A:A,הוצאות!B:B,1,0)</f>
        <v>#N/A</v>
      </c>
    </row>
    <row r="489" spans="1:7" hidden="1">
      <c r="A489">
        <v>1748000780</v>
      </c>
      <c r="B489" t="s">
        <v>18</v>
      </c>
      <c r="C489" s="169">
        <v>0</v>
      </c>
      <c r="D489" s="169">
        <v>0</v>
      </c>
      <c r="E489" t="e">
        <f>VLOOKUP(A:A,הוצאות!B:B,1,0)</f>
        <v>#N/A</v>
      </c>
    </row>
    <row r="490" spans="1:7" hidden="1">
      <c r="A490">
        <v>1749999399</v>
      </c>
      <c r="B490" t="s">
        <v>47</v>
      </c>
      <c r="C490" s="169">
        <v>0</v>
      </c>
      <c r="D490" s="169">
        <v>0</v>
      </c>
      <c r="E490" t="e">
        <f>VLOOKUP(A:A,הוצאות!B:B,1,0)</f>
        <v>#N/A</v>
      </c>
    </row>
    <row r="491" spans="1:7">
      <c r="A491">
        <v>1752000780</v>
      </c>
      <c r="B491" t="s">
        <v>123</v>
      </c>
      <c r="C491" s="169">
        <v>830</v>
      </c>
      <c r="D491" s="169">
        <v>0</v>
      </c>
      <c r="E491">
        <f>VLOOKUP(A:A,הוצאות!B:B,1,0)</f>
        <v>1752000780</v>
      </c>
      <c r="F491" s="156">
        <f>VLOOKUP(A:A,הוצאות!B:O,14,0)</f>
        <v>0</v>
      </c>
      <c r="G491" s="180">
        <f t="shared" ref="G491:G554" si="5">D491-F491</f>
        <v>0</v>
      </c>
    </row>
    <row r="492" spans="1:7">
      <c r="A492">
        <v>1766000870</v>
      </c>
      <c r="B492" t="s">
        <v>124</v>
      </c>
      <c r="C492" s="169">
        <v>0</v>
      </c>
      <c r="D492" s="169">
        <v>0</v>
      </c>
      <c r="E492" t="e">
        <f>VLOOKUP(A:A,הוצאות!B:B,1,0)</f>
        <v>#N/A</v>
      </c>
      <c r="F492" s="156" t="e">
        <f>VLOOKUP(A:A,הוצאות!B:O,14,0)</f>
        <v>#N/A</v>
      </c>
      <c r="G492" s="180" t="e">
        <f t="shared" si="5"/>
        <v>#N/A</v>
      </c>
    </row>
    <row r="493" spans="1:7">
      <c r="A493">
        <v>1767000441</v>
      </c>
      <c r="B493" t="s">
        <v>125</v>
      </c>
      <c r="C493" s="169">
        <v>624750</v>
      </c>
      <c r="D493" s="169">
        <v>797147.68</v>
      </c>
      <c r="E493">
        <f>VLOOKUP(A:A,הוצאות!B:B,1,0)</f>
        <v>1767000441</v>
      </c>
      <c r="F493" s="156">
        <f>VLOOKUP(A:A,הוצאות!B:O,14,0)</f>
        <v>797147.68</v>
      </c>
      <c r="G493" s="180">
        <f t="shared" si="5"/>
        <v>0</v>
      </c>
    </row>
    <row r="494" spans="1:7">
      <c r="A494">
        <v>1767000442</v>
      </c>
      <c r="B494" t="s">
        <v>126</v>
      </c>
      <c r="C494" s="169">
        <v>0</v>
      </c>
      <c r="D494" s="169">
        <v>0</v>
      </c>
      <c r="E494" t="e">
        <f>VLOOKUP(A:A,הוצאות!B:B,1,0)</f>
        <v>#N/A</v>
      </c>
      <c r="F494" s="156" t="e">
        <f>VLOOKUP(A:A,הוצאות!B:O,14,0)</f>
        <v>#N/A</v>
      </c>
      <c r="G494" s="180" t="e">
        <f t="shared" si="5"/>
        <v>#N/A</v>
      </c>
    </row>
    <row r="495" spans="1:7">
      <c r="A495">
        <v>1769500540</v>
      </c>
      <c r="B495" t="s">
        <v>127</v>
      </c>
      <c r="C495" s="169">
        <v>830</v>
      </c>
      <c r="D495" s="169">
        <v>0</v>
      </c>
      <c r="E495">
        <f>VLOOKUP(A:A,הוצאות!B:B,1,0)</f>
        <v>1769500540</v>
      </c>
      <c r="F495" s="156">
        <f>VLOOKUP(A:A,הוצאות!B:O,14,0)</f>
        <v>0</v>
      </c>
      <c r="G495" s="180">
        <f t="shared" si="5"/>
        <v>0</v>
      </c>
    </row>
    <row r="496" spans="1:7">
      <c r="A496">
        <v>1769500560</v>
      </c>
      <c r="B496" t="s">
        <v>128</v>
      </c>
      <c r="C496" s="169">
        <v>0</v>
      </c>
      <c r="D496" s="169">
        <v>0</v>
      </c>
      <c r="E496" t="e">
        <f>VLOOKUP(A:A,הוצאות!B:B,1,0)</f>
        <v>#N/A</v>
      </c>
      <c r="F496" s="156" t="e">
        <f>VLOOKUP(A:A,הוצאות!B:O,14,0)</f>
        <v>#N/A</v>
      </c>
      <c r="G496" s="180" t="e">
        <f t="shared" si="5"/>
        <v>#N/A</v>
      </c>
    </row>
    <row r="497" spans="1:7">
      <c r="A497">
        <v>1769500720</v>
      </c>
      <c r="B497" t="s">
        <v>129</v>
      </c>
      <c r="C497" s="169">
        <v>1670</v>
      </c>
      <c r="D497" s="169">
        <v>0</v>
      </c>
      <c r="E497">
        <f>VLOOKUP(A:A,הוצאות!B:B,1,0)</f>
        <v>1769500720</v>
      </c>
      <c r="F497" s="156">
        <f>VLOOKUP(A:A,הוצאות!B:O,14,0)</f>
        <v>0</v>
      </c>
      <c r="G497" s="180">
        <f t="shared" si="5"/>
        <v>0</v>
      </c>
    </row>
    <row r="498" spans="1:7">
      <c r="A498">
        <v>1769500750</v>
      </c>
      <c r="B498" t="s">
        <v>130</v>
      </c>
      <c r="C498" s="169">
        <v>0</v>
      </c>
      <c r="D498" s="169">
        <v>0</v>
      </c>
      <c r="E498" t="e">
        <f>VLOOKUP(A:A,הוצאות!B:B,1,0)</f>
        <v>#N/A</v>
      </c>
      <c r="F498" s="156" t="e">
        <f>VLOOKUP(A:A,הוצאות!B:O,14,0)</f>
        <v>#N/A</v>
      </c>
      <c r="G498" s="180" t="e">
        <f t="shared" si="5"/>
        <v>#N/A</v>
      </c>
    </row>
    <row r="499" spans="1:7">
      <c r="A499">
        <v>1769500780</v>
      </c>
      <c r="B499" t="s">
        <v>58</v>
      </c>
      <c r="C499" s="169">
        <v>4170</v>
      </c>
      <c r="D499" s="169">
        <v>0</v>
      </c>
      <c r="E499">
        <f>VLOOKUP(A:A,הוצאות!B:B,1,0)</f>
        <v>1769500780</v>
      </c>
      <c r="F499" s="156">
        <f>VLOOKUP(A:A,הוצאות!B:O,14,0)</f>
        <v>0</v>
      </c>
      <c r="G499" s="180">
        <f t="shared" si="5"/>
        <v>0</v>
      </c>
    </row>
    <row r="500" spans="1:7">
      <c r="A500">
        <v>1811000110</v>
      </c>
      <c r="B500" t="s">
        <v>131</v>
      </c>
      <c r="C500" s="169">
        <v>591430</v>
      </c>
      <c r="D500" s="169">
        <v>530182.49</v>
      </c>
      <c r="E500">
        <f>VLOOKUP(A:A,הוצאות!B:B,1,0)</f>
        <v>1811000110</v>
      </c>
      <c r="F500" s="156">
        <f>VLOOKUP(A:A,הוצאות!B:O,14,0)</f>
        <v>530182.49</v>
      </c>
      <c r="G500" s="180">
        <f t="shared" si="5"/>
        <v>0</v>
      </c>
    </row>
    <row r="501" spans="1:7">
      <c r="A501">
        <v>1811000320</v>
      </c>
      <c r="B501" t="s">
        <v>25</v>
      </c>
      <c r="C501" s="169">
        <v>0</v>
      </c>
      <c r="D501" s="169">
        <v>0</v>
      </c>
      <c r="E501">
        <f>VLOOKUP(A:A,הוצאות!B:B,1,0)</f>
        <v>1811000320</v>
      </c>
      <c r="F501" s="156">
        <f>VLOOKUP(A:A,הוצאות!B:O,14,0)</f>
        <v>0</v>
      </c>
      <c r="G501" s="180">
        <f t="shared" si="5"/>
        <v>0</v>
      </c>
    </row>
    <row r="502" spans="1:7">
      <c r="A502">
        <v>1811000521</v>
      </c>
      <c r="B502" t="s">
        <v>132</v>
      </c>
      <c r="C502" s="169">
        <v>0</v>
      </c>
      <c r="D502" s="169">
        <v>0</v>
      </c>
      <c r="E502" t="e">
        <f>VLOOKUP(A:A,הוצאות!B:B,1,0)</f>
        <v>#N/A</v>
      </c>
      <c r="F502" s="156" t="e">
        <f>VLOOKUP(A:A,הוצאות!B:O,14,0)</f>
        <v>#N/A</v>
      </c>
      <c r="G502" s="180" t="e">
        <f t="shared" si="5"/>
        <v>#N/A</v>
      </c>
    </row>
    <row r="503" spans="1:7">
      <c r="A503">
        <v>1811000522</v>
      </c>
      <c r="B503" t="s">
        <v>133</v>
      </c>
      <c r="C503" s="169">
        <v>0</v>
      </c>
      <c r="D503" s="169">
        <v>0</v>
      </c>
      <c r="E503" t="e">
        <f>VLOOKUP(A:A,הוצאות!B:B,1,0)</f>
        <v>#N/A</v>
      </c>
      <c r="F503" s="156" t="e">
        <f>VLOOKUP(A:A,הוצאות!B:O,14,0)</f>
        <v>#N/A</v>
      </c>
      <c r="G503" s="180" t="e">
        <f t="shared" si="5"/>
        <v>#N/A</v>
      </c>
    </row>
    <row r="504" spans="1:7">
      <c r="A504">
        <v>1811000523</v>
      </c>
      <c r="B504" t="s">
        <v>28</v>
      </c>
      <c r="C504" s="169">
        <v>2500</v>
      </c>
      <c r="D504" s="169">
        <v>0</v>
      </c>
      <c r="E504">
        <f>VLOOKUP(A:A,הוצאות!B:B,1,0)</f>
        <v>1811000523</v>
      </c>
      <c r="F504" s="156">
        <f>VLOOKUP(A:A,הוצאות!B:O,14,0)</f>
        <v>0</v>
      </c>
      <c r="G504" s="180">
        <f t="shared" si="5"/>
        <v>0</v>
      </c>
    </row>
    <row r="505" spans="1:7">
      <c r="A505">
        <v>1811000540</v>
      </c>
      <c r="B505" t="s">
        <v>134</v>
      </c>
      <c r="C505" s="169">
        <v>3330</v>
      </c>
      <c r="D505" s="169">
        <v>440</v>
      </c>
      <c r="E505">
        <f>VLOOKUP(A:A,הוצאות!B:B,1,0)</f>
        <v>1811000540</v>
      </c>
      <c r="F505" s="156">
        <f>VLOOKUP(A:A,הוצאות!B:O,14,0)</f>
        <v>440</v>
      </c>
      <c r="G505" s="180">
        <f t="shared" si="5"/>
        <v>0</v>
      </c>
    </row>
    <row r="506" spans="1:7">
      <c r="A506">
        <v>1811000550</v>
      </c>
      <c r="B506" t="s">
        <v>22</v>
      </c>
      <c r="C506" s="169">
        <v>0</v>
      </c>
      <c r="D506" s="169">
        <v>0</v>
      </c>
      <c r="E506" t="e">
        <f>VLOOKUP(A:A,הוצאות!B:B,1,0)</f>
        <v>#N/A</v>
      </c>
      <c r="F506" s="156" t="e">
        <f>VLOOKUP(A:A,הוצאות!B:O,14,0)</f>
        <v>#N/A</v>
      </c>
      <c r="G506" s="180" t="e">
        <f t="shared" si="5"/>
        <v>#N/A</v>
      </c>
    </row>
    <row r="507" spans="1:7">
      <c r="A507">
        <v>1811000560</v>
      </c>
      <c r="B507" t="s">
        <v>14</v>
      </c>
      <c r="C507" s="169">
        <v>4170</v>
      </c>
      <c r="D507" s="169">
        <v>925</v>
      </c>
      <c r="E507">
        <f>VLOOKUP(A:A,הוצאות!B:B,1,0)</f>
        <v>1811000560</v>
      </c>
      <c r="F507" s="156">
        <f>VLOOKUP(A:A,הוצאות!B:O,14,0)</f>
        <v>925</v>
      </c>
      <c r="G507" s="180">
        <f t="shared" si="5"/>
        <v>0</v>
      </c>
    </row>
    <row r="508" spans="1:7">
      <c r="A508">
        <v>1811000570</v>
      </c>
      <c r="B508" t="s">
        <v>135</v>
      </c>
      <c r="C508" s="169">
        <v>0</v>
      </c>
      <c r="D508" s="169">
        <v>0</v>
      </c>
      <c r="E508" t="e">
        <f>VLOOKUP(A:A,הוצאות!B:B,1,0)</f>
        <v>#N/A</v>
      </c>
      <c r="F508" s="156" t="e">
        <f>VLOOKUP(A:A,הוצאות!B:O,14,0)</f>
        <v>#N/A</v>
      </c>
      <c r="G508" s="180" t="e">
        <f t="shared" si="5"/>
        <v>#N/A</v>
      </c>
    </row>
    <row r="509" spans="1:7">
      <c r="A509">
        <v>1811000750</v>
      </c>
      <c r="B509" t="s">
        <v>62</v>
      </c>
      <c r="C509" s="169">
        <v>6660</v>
      </c>
      <c r="D509" s="169">
        <v>5700</v>
      </c>
      <c r="E509">
        <f>VLOOKUP(A:A,הוצאות!B:B,1,0)</f>
        <v>1811000750</v>
      </c>
      <c r="F509" s="156">
        <f>VLOOKUP(A:A,הוצאות!B:O,14,0)</f>
        <v>5700</v>
      </c>
      <c r="G509" s="180">
        <f t="shared" si="5"/>
        <v>0</v>
      </c>
    </row>
    <row r="510" spans="1:7">
      <c r="A510">
        <v>1811000780</v>
      </c>
      <c r="B510" t="s">
        <v>18</v>
      </c>
      <c r="C510" s="169">
        <v>0</v>
      </c>
      <c r="D510" s="169">
        <v>0</v>
      </c>
      <c r="E510" t="e">
        <f>VLOOKUP(A:A,הוצאות!B:B,1,0)</f>
        <v>#N/A</v>
      </c>
      <c r="F510" s="156" t="e">
        <f>VLOOKUP(A:A,הוצאות!B:O,14,0)</f>
        <v>#N/A</v>
      </c>
      <c r="G510" s="180" t="e">
        <f t="shared" si="5"/>
        <v>#N/A</v>
      </c>
    </row>
    <row r="511" spans="1:7">
      <c r="A511">
        <v>1811000910</v>
      </c>
      <c r="B511" t="s">
        <v>136</v>
      </c>
      <c r="C511" s="169">
        <v>0</v>
      </c>
      <c r="D511" s="169">
        <v>0</v>
      </c>
      <c r="E511" t="e">
        <f>VLOOKUP(A:A,הוצאות!B:B,1,0)</f>
        <v>#N/A</v>
      </c>
      <c r="F511" s="156" t="e">
        <f>VLOOKUP(A:A,הוצאות!B:O,14,0)</f>
        <v>#N/A</v>
      </c>
      <c r="G511" s="180" t="e">
        <f t="shared" si="5"/>
        <v>#N/A</v>
      </c>
    </row>
    <row r="512" spans="1:7">
      <c r="A512">
        <v>1811000930</v>
      </c>
      <c r="B512" t="s">
        <v>19</v>
      </c>
      <c r="C512" s="169">
        <v>0</v>
      </c>
      <c r="D512" s="169">
        <v>0</v>
      </c>
      <c r="E512" t="e">
        <f>VLOOKUP(A:A,הוצאות!B:B,1,0)</f>
        <v>#N/A</v>
      </c>
      <c r="F512" s="156" t="e">
        <f>VLOOKUP(A:A,הוצאות!B:O,14,0)</f>
        <v>#N/A</v>
      </c>
      <c r="G512" s="180" t="e">
        <f t="shared" si="5"/>
        <v>#N/A</v>
      </c>
    </row>
    <row r="513" spans="1:7">
      <c r="A513">
        <v>1811000960</v>
      </c>
      <c r="B513" t="s">
        <v>137</v>
      </c>
      <c r="C513" s="169">
        <v>0</v>
      </c>
      <c r="D513" s="169">
        <v>0</v>
      </c>
      <c r="E513" t="e">
        <f>VLOOKUP(A:A,הוצאות!B:B,1,0)</f>
        <v>#N/A</v>
      </c>
      <c r="F513" s="156" t="e">
        <f>VLOOKUP(A:A,הוצאות!B:O,14,0)</f>
        <v>#N/A</v>
      </c>
      <c r="G513" s="180" t="e">
        <f t="shared" si="5"/>
        <v>#N/A</v>
      </c>
    </row>
    <row r="514" spans="1:7">
      <c r="A514">
        <v>1811010930</v>
      </c>
      <c r="B514" t="s">
        <v>138</v>
      </c>
      <c r="C514" s="169">
        <v>99960</v>
      </c>
      <c r="D514" s="169">
        <v>19260</v>
      </c>
      <c r="E514">
        <f>VLOOKUP(A:A,הוצאות!B:B,1,0)</f>
        <v>1811010930</v>
      </c>
      <c r="F514" s="156">
        <f>VLOOKUP(A:A,הוצאות!B:O,14,0)</f>
        <v>19260</v>
      </c>
      <c r="G514" s="180">
        <f t="shared" si="5"/>
        <v>0</v>
      </c>
    </row>
    <row r="515" spans="1:7">
      <c r="A515">
        <v>1811020750</v>
      </c>
      <c r="B515" t="s">
        <v>139</v>
      </c>
      <c r="C515" s="169">
        <v>208250</v>
      </c>
      <c r="D515" s="169">
        <v>16618</v>
      </c>
      <c r="E515">
        <f>VLOOKUP(A:A,הוצאות!B:B,1,0)</f>
        <v>1811020750</v>
      </c>
      <c r="F515" s="156">
        <f>VLOOKUP(A:A,הוצאות!B:O,14,0)</f>
        <v>16618</v>
      </c>
      <c r="G515" s="180">
        <f t="shared" si="5"/>
        <v>0</v>
      </c>
    </row>
    <row r="516" spans="1:7">
      <c r="A516">
        <v>1812200110</v>
      </c>
      <c r="B516" t="s">
        <v>140</v>
      </c>
      <c r="C516" s="169">
        <v>1178700</v>
      </c>
      <c r="D516" s="169">
        <v>1146872.44</v>
      </c>
      <c r="E516">
        <f>VLOOKUP(A:A,הוצאות!B:B,1,0)</f>
        <v>1812200110</v>
      </c>
      <c r="F516" s="156">
        <f>VLOOKUP(A:A,הוצאות!B:O,14,0)</f>
        <v>1146872.44</v>
      </c>
      <c r="G516" s="180">
        <f t="shared" si="5"/>
        <v>0</v>
      </c>
    </row>
    <row r="517" spans="1:7">
      <c r="A517">
        <v>1812200420</v>
      </c>
      <c r="B517" t="s">
        <v>1749</v>
      </c>
      <c r="C517" s="169">
        <v>24990</v>
      </c>
      <c r="D517" s="169">
        <v>36879.800000000003</v>
      </c>
      <c r="E517">
        <f>VLOOKUP(A:A,הוצאות!B:B,1,0)</f>
        <v>1812200420</v>
      </c>
      <c r="F517" s="156">
        <f>VLOOKUP(A:A,הוצאות!B:O,14,0)</f>
        <v>36879.800000000003</v>
      </c>
      <c r="G517" s="180">
        <f t="shared" si="5"/>
        <v>0</v>
      </c>
    </row>
    <row r="518" spans="1:7">
      <c r="A518">
        <v>1812200431</v>
      </c>
      <c r="B518" t="s">
        <v>142</v>
      </c>
      <c r="C518" s="169">
        <v>74970</v>
      </c>
      <c r="D518" s="169">
        <v>21661.52</v>
      </c>
      <c r="E518">
        <f>VLOOKUP(A:A,הוצאות!B:B,1,0)</f>
        <v>1812200431</v>
      </c>
      <c r="F518" s="156">
        <f>VLOOKUP(A:A,הוצאות!B:O,14,0)</f>
        <v>21661.52</v>
      </c>
      <c r="G518" s="180">
        <f t="shared" si="5"/>
        <v>0</v>
      </c>
    </row>
    <row r="519" spans="1:7">
      <c r="A519">
        <v>1812200432</v>
      </c>
      <c r="B519" t="s">
        <v>143</v>
      </c>
      <c r="C519" s="169">
        <v>41650</v>
      </c>
      <c r="D519" s="169">
        <v>48794.1</v>
      </c>
      <c r="E519">
        <f>VLOOKUP(A:A,הוצאות!B:B,1,0)</f>
        <v>1812200432</v>
      </c>
      <c r="F519" s="156">
        <f>VLOOKUP(A:A,הוצאות!B:O,14,0)</f>
        <v>48794.1</v>
      </c>
      <c r="G519" s="180">
        <f t="shared" si="5"/>
        <v>0</v>
      </c>
    </row>
    <row r="520" spans="1:7">
      <c r="A520">
        <v>1812200433</v>
      </c>
      <c r="B520" t="s">
        <v>144</v>
      </c>
      <c r="C520" s="169">
        <v>12500</v>
      </c>
      <c r="D520" s="169">
        <v>0</v>
      </c>
      <c r="E520">
        <f>VLOOKUP(A:A,הוצאות!B:B,1,0)</f>
        <v>1812200433</v>
      </c>
      <c r="F520" s="156">
        <f>VLOOKUP(A:A,הוצאות!B:O,14,0)</f>
        <v>0</v>
      </c>
      <c r="G520" s="180">
        <f t="shared" si="5"/>
        <v>0</v>
      </c>
    </row>
    <row r="521" spans="1:7">
      <c r="A521">
        <v>1812200720</v>
      </c>
      <c r="B521" t="s">
        <v>145</v>
      </c>
      <c r="C521" s="169">
        <v>8330</v>
      </c>
      <c r="D521" s="169">
        <v>23976</v>
      </c>
      <c r="E521">
        <f>VLOOKUP(A:A,הוצאות!B:B,1,0)</f>
        <v>1812200720</v>
      </c>
      <c r="F521" s="156">
        <f>VLOOKUP(A:A,הוצאות!B:O,14,0)</f>
        <v>23976</v>
      </c>
      <c r="G521" s="180">
        <f t="shared" si="5"/>
        <v>0</v>
      </c>
    </row>
    <row r="522" spans="1:7">
      <c r="A522">
        <v>1812200740</v>
      </c>
      <c r="B522" t="s">
        <v>33</v>
      </c>
      <c r="C522" s="169">
        <v>24990</v>
      </c>
      <c r="D522" s="169">
        <v>9300</v>
      </c>
      <c r="E522">
        <f>VLOOKUP(A:A,הוצאות!B:B,1,0)</f>
        <v>1812200740</v>
      </c>
      <c r="F522" s="156">
        <f>VLOOKUP(A:A,הוצאות!B:O,14,0)</f>
        <v>9300</v>
      </c>
      <c r="G522" s="180">
        <f t="shared" si="5"/>
        <v>0</v>
      </c>
    </row>
    <row r="523" spans="1:7">
      <c r="A523">
        <v>1812200750</v>
      </c>
      <c r="B523" t="s">
        <v>1750</v>
      </c>
      <c r="C523" s="169">
        <v>28000</v>
      </c>
      <c r="D523" s="169">
        <v>9300</v>
      </c>
      <c r="E523">
        <f>VLOOKUP(A:A,הוצאות!B:B,1,0)</f>
        <v>1812200750</v>
      </c>
      <c r="F523" s="156">
        <f>VLOOKUP(A:A,הוצאות!B:O,14,0)</f>
        <v>9300</v>
      </c>
      <c r="G523" s="180">
        <f t="shared" si="5"/>
        <v>0</v>
      </c>
    </row>
    <row r="524" spans="1:7">
      <c r="A524" s="170">
        <v>1812200751</v>
      </c>
      <c r="B524" s="170" t="s">
        <v>1751</v>
      </c>
      <c r="C524" s="171">
        <v>262400</v>
      </c>
      <c r="D524" s="171">
        <v>76580</v>
      </c>
      <c r="E524" s="170">
        <f>VLOOKUP(A:A,הוצאות!B:B,1,0)</f>
        <v>1812200751</v>
      </c>
      <c r="F524" s="156">
        <f>VLOOKUP(A:A,הוצאות!B:O,14,0)</f>
        <v>0</v>
      </c>
      <c r="G524" s="180">
        <f t="shared" si="5"/>
        <v>76580</v>
      </c>
    </row>
    <row r="525" spans="1:7">
      <c r="A525" s="170">
        <v>1812200760</v>
      </c>
      <c r="B525" s="170" t="s">
        <v>1752</v>
      </c>
      <c r="C525" s="171">
        <v>5830</v>
      </c>
      <c r="D525" s="171">
        <v>5800</v>
      </c>
      <c r="E525" s="170">
        <f>VLOOKUP(A:A,הוצאות!B:B,1,0)</f>
        <v>1812200760</v>
      </c>
      <c r="F525" s="156">
        <f>VLOOKUP(A:A,הוצאות!B:O,14,0)</f>
        <v>0</v>
      </c>
      <c r="G525" s="180">
        <f t="shared" si="5"/>
        <v>5800</v>
      </c>
    </row>
    <row r="526" spans="1:7">
      <c r="A526">
        <v>1812200780</v>
      </c>
      <c r="B526" t="s">
        <v>1686</v>
      </c>
      <c r="C526" s="169">
        <v>228390</v>
      </c>
      <c r="D526" s="169">
        <v>46184.9</v>
      </c>
      <c r="E526">
        <f>VLOOKUP(A:A,הוצאות!B:B,1,0)</f>
        <v>1812200780</v>
      </c>
      <c r="F526" s="156">
        <f>VLOOKUP(A:A,הוצאות!B:O,14,0)</f>
        <v>46184.9</v>
      </c>
      <c r="G526" s="180">
        <f t="shared" si="5"/>
        <v>0</v>
      </c>
    </row>
    <row r="527" spans="1:7">
      <c r="A527">
        <v>1812200810</v>
      </c>
      <c r="B527" t="s">
        <v>1647</v>
      </c>
      <c r="C527" s="169">
        <v>99960</v>
      </c>
      <c r="D527" s="169">
        <v>0</v>
      </c>
      <c r="E527">
        <f>VLOOKUP(A:A,הוצאות!B:B,1,0)</f>
        <v>1812200810</v>
      </c>
      <c r="F527" s="156">
        <f>VLOOKUP(A:A,הוצאות!B:O,14,0)</f>
        <v>0</v>
      </c>
      <c r="G527" s="180">
        <f t="shared" si="5"/>
        <v>0</v>
      </c>
    </row>
    <row r="528" spans="1:7">
      <c r="A528">
        <v>1812200840</v>
      </c>
      <c r="B528" t="s">
        <v>1646</v>
      </c>
      <c r="C528" s="169">
        <v>8330</v>
      </c>
      <c r="D528" s="169">
        <v>0</v>
      </c>
      <c r="E528">
        <f>VLOOKUP(A:A,הוצאות!B:B,1,0)</f>
        <v>1812200840</v>
      </c>
      <c r="F528" s="156">
        <f>VLOOKUP(A:A,הוצאות!B:O,14,0)</f>
        <v>0</v>
      </c>
      <c r="G528" s="180">
        <f t="shared" si="5"/>
        <v>0</v>
      </c>
    </row>
    <row r="529" spans="1:7">
      <c r="A529">
        <v>1812200930</v>
      </c>
      <c r="B529" t="s">
        <v>19</v>
      </c>
      <c r="C529" s="169">
        <v>0</v>
      </c>
      <c r="D529" s="169">
        <v>0</v>
      </c>
      <c r="E529" t="e">
        <f>VLOOKUP(A:A,הוצאות!B:B,1,0)</f>
        <v>#N/A</v>
      </c>
      <c r="F529" s="156" t="e">
        <f>VLOOKUP(A:A,הוצאות!B:O,14,0)</f>
        <v>#N/A</v>
      </c>
      <c r="G529" s="180" t="e">
        <f t="shared" si="5"/>
        <v>#N/A</v>
      </c>
    </row>
    <row r="530" spans="1:7">
      <c r="A530">
        <v>1812300110</v>
      </c>
      <c r="B530" t="s">
        <v>146</v>
      </c>
      <c r="C530" s="169">
        <v>2965480</v>
      </c>
      <c r="D530" s="169">
        <v>2709193.89</v>
      </c>
      <c r="E530">
        <f>VLOOKUP(A:A,הוצאות!B:B,1,0)</f>
        <v>1812300110</v>
      </c>
      <c r="F530" s="156">
        <f>VLOOKUP(A:A,הוצאות!B:O,14,0)</f>
        <v>2709193.89</v>
      </c>
      <c r="G530" s="180">
        <f t="shared" si="5"/>
        <v>0</v>
      </c>
    </row>
    <row r="531" spans="1:7">
      <c r="A531">
        <v>1812300320</v>
      </c>
      <c r="B531" t="s">
        <v>147</v>
      </c>
      <c r="C531" s="169">
        <v>0</v>
      </c>
      <c r="D531" s="169">
        <v>0</v>
      </c>
      <c r="E531" t="e">
        <f>VLOOKUP(A:A,הוצאות!B:B,1,0)</f>
        <v>#N/A</v>
      </c>
      <c r="F531" s="156" t="e">
        <f>VLOOKUP(A:A,הוצאות!B:O,14,0)</f>
        <v>#N/A</v>
      </c>
      <c r="G531" s="180" t="e">
        <f t="shared" si="5"/>
        <v>#N/A</v>
      </c>
    </row>
    <row r="532" spans="1:7">
      <c r="A532">
        <v>1812300410</v>
      </c>
      <c r="B532" t="s">
        <v>148</v>
      </c>
      <c r="C532" s="169">
        <v>238240</v>
      </c>
      <c r="D532" s="169">
        <v>126686</v>
      </c>
      <c r="E532">
        <f>VLOOKUP(A:A,הוצאות!B:B,1,0)</f>
        <v>1812300410</v>
      </c>
      <c r="F532" s="156">
        <f>VLOOKUP(A:A,הוצאות!B:O,14,0)</f>
        <v>126686</v>
      </c>
      <c r="G532" s="180">
        <f t="shared" si="5"/>
        <v>0</v>
      </c>
    </row>
    <row r="533" spans="1:7">
      <c r="A533">
        <v>1812300411</v>
      </c>
      <c r="B533" t="s">
        <v>1753</v>
      </c>
      <c r="C533" s="169">
        <v>0</v>
      </c>
      <c r="D533" s="169">
        <v>17673</v>
      </c>
      <c r="E533">
        <f>VLOOKUP(A:A,הוצאות!B:B,1,0)</f>
        <v>1812300411</v>
      </c>
      <c r="F533" s="156">
        <f>VLOOKUP(A:A,הוצאות!B:O,14,0)</f>
        <v>17673</v>
      </c>
      <c r="G533" s="180">
        <f t="shared" si="5"/>
        <v>0</v>
      </c>
    </row>
    <row r="534" spans="1:7">
      <c r="A534">
        <v>1812300420</v>
      </c>
      <c r="B534" t="s">
        <v>150</v>
      </c>
      <c r="C534" s="169">
        <v>0</v>
      </c>
      <c r="D534" s="169">
        <v>0</v>
      </c>
      <c r="E534" t="e">
        <f>VLOOKUP(A:A,הוצאות!B:B,1,0)</f>
        <v>#N/A</v>
      </c>
      <c r="F534" s="156" t="e">
        <f>VLOOKUP(A:A,הוצאות!B:O,14,0)</f>
        <v>#N/A</v>
      </c>
      <c r="G534" s="180" t="e">
        <f t="shared" si="5"/>
        <v>#N/A</v>
      </c>
    </row>
    <row r="535" spans="1:7">
      <c r="A535">
        <v>1812300431</v>
      </c>
      <c r="B535" t="s">
        <v>26</v>
      </c>
      <c r="C535" s="169">
        <v>101630</v>
      </c>
      <c r="D535" s="169">
        <v>30605.62</v>
      </c>
      <c r="E535">
        <f>VLOOKUP(A:A,הוצאות!B:B,1,0)</f>
        <v>1812300431</v>
      </c>
      <c r="F535" s="156">
        <f>VLOOKUP(A:A,הוצאות!B:O,14,0)</f>
        <v>30605.62</v>
      </c>
      <c r="G535" s="180">
        <f t="shared" si="5"/>
        <v>0</v>
      </c>
    </row>
    <row r="536" spans="1:7">
      <c r="A536">
        <v>1812300432</v>
      </c>
      <c r="B536" t="s">
        <v>151</v>
      </c>
      <c r="C536" s="169">
        <v>0</v>
      </c>
      <c r="D536" s="169">
        <v>11000</v>
      </c>
      <c r="E536">
        <f>VLOOKUP(A:A,הוצאות!B:B,1,0)</f>
        <v>1812300432</v>
      </c>
      <c r="F536" s="156">
        <f>VLOOKUP(A:A,הוצאות!B:O,14,0)</f>
        <v>11000</v>
      </c>
      <c r="G536" s="180">
        <f t="shared" si="5"/>
        <v>0</v>
      </c>
    </row>
    <row r="537" spans="1:7">
      <c r="A537">
        <v>1812300433</v>
      </c>
      <c r="B537" t="s">
        <v>144</v>
      </c>
      <c r="C537" s="169">
        <v>37490</v>
      </c>
      <c r="D537" s="169">
        <v>17416</v>
      </c>
      <c r="E537">
        <f>VLOOKUP(A:A,הוצאות!B:B,1,0)</f>
        <v>1812300433</v>
      </c>
      <c r="F537" s="156">
        <f>VLOOKUP(A:A,הוצאות!B:O,14,0)</f>
        <v>17416</v>
      </c>
      <c r="G537" s="180">
        <f t="shared" si="5"/>
        <v>0</v>
      </c>
    </row>
    <row r="538" spans="1:7">
      <c r="A538">
        <v>1812300521</v>
      </c>
      <c r="B538" t="s">
        <v>1642</v>
      </c>
      <c r="C538" s="169">
        <v>1670</v>
      </c>
      <c r="D538" s="169">
        <v>0</v>
      </c>
      <c r="E538">
        <f>VLOOKUP(A:A,הוצאות!B:B,1,0)</f>
        <v>1812300521</v>
      </c>
      <c r="F538" s="156">
        <f>VLOOKUP(A:A,הוצאות!B:O,14,0)</f>
        <v>0</v>
      </c>
      <c r="G538" s="180">
        <f t="shared" si="5"/>
        <v>0</v>
      </c>
    </row>
    <row r="539" spans="1:7">
      <c r="A539">
        <v>1812300540</v>
      </c>
      <c r="B539" t="s">
        <v>152</v>
      </c>
      <c r="C539" s="169">
        <v>45820</v>
      </c>
      <c r="D539" s="169">
        <v>4790</v>
      </c>
      <c r="E539">
        <f>VLOOKUP(A:A,הוצאות!B:B,1,0)</f>
        <v>1812300540</v>
      </c>
      <c r="F539" s="156">
        <f>VLOOKUP(A:A,הוצאות!B:O,14,0)</f>
        <v>4790</v>
      </c>
      <c r="G539" s="180">
        <f t="shared" si="5"/>
        <v>0</v>
      </c>
    </row>
    <row r="540" spans="1:7">
      <c r="A540">
        <v>1812300560</v>
      </c>
      <c r="B540" t="s">
        <v>153</v>
      </c>
      <c r="C540" s="169">
        <v>1670</v>
      </c>
      <c r="D540" s="169">
        <v>0</v>
      </c>
      <c r="E540">
        <f>VLOOKUP(A:A,הוצאות!B:B,1,0)</f>
        <v>1812300560</v>
      </c>
      <c r="F540" s="156">
        <f>VLOOKUP(A:A,הוצאות!B:O,14,0)</f>
        <v>0</v>
      </c>
      <c r="G540" s="180">
        <f t="shared" si="5"/>
        <v>0</v>
      </c>
    </row>
    <row r="541" spans="1:7">
      <c r="A541">
        <v>1812300720</v>
      </c>
      <c r="B541" t="s">
        <v>154</v>
      </c>
      <c r="C541" s="169">
        <v>24990</v>
      </c>
      <c r="D541" s="169">
        <v>22428</v>
      </c>
      <c r="E541">
        <f>VLOOKUP(A:A,הוצאות!B:B,1,0)</f>
        <v>1812300720</v>
      </c>
      <c r="F541" s="156">
        <f>VLOOKUP(A:A,הוצאות!B:O,14,0)</f>
        <v>22428</v>
      </c>
      <c r="G541" s="180">
        <f t="shared" si="5"/>
        <v>0</v>
      </c>
    </row>
    <row r="542" spans="1:7">
      <c r="A542">
        <v>1812300740</v>
      </c>
      <c r="B542" t="s">
        <v>155</v>
      </c>
      <c r="C542" s="169">
        <v>45820</v>
      </c>
      <c r="D542" s="169">
        <v>0</v>
      </c>
      <c r="E542">
        <f>VLOOKUP(A:A,הוצאות!B:B,1,0)</f>
        <v>1812300740</v>
      </c>
      <c r="F542" s="156">
        <f>VLOOKUP(A:A,הוצאות!B:O,14,0)</f>
        <v>0</v>
      </c>
      <c r="G542" s="180">
        <f t="shared" si="5"/>
        <v>0</v>
      </c>
    </row>
    <row r="543" spans="1:7">
      <c r="A543">
        <v>1812300750</v>
      </c>
      <c r="B543" t="s">
        <v>62</v>
      </c>
      <c r="C543" s="169">
        <v>0</v>
      </c>
      <c r="D543" s="169">
        <v>0</v>
      </c>
      <c r="E543">
        <f>VLOOKUP(A:A,הוצאות!B:B,1,0)</f>
        <v>1812300750</v>
      </c>
      <c r="F543" s="156">
        <f>VLOOKUP(A:A,הוצאות!B:O,14,0)</f>
        <v>0</v>
      </c>
      <c r="G543" s="180">
        <f t="shared" si="5"/>
        <v>0</v>
      </c>
    </row>
    <row r="544" spans="1:7">
      <c r="A544">
        <v>1812300760</v>
      </c>
      <c r="B544" t="s">
        <v>156</v>
      </c>
      <c r="C544" s="169">
        <v>1957550</v>
      </c>
      <c r="D544" s="169">
        <v>2191827.61</v>
      </c>
      <c r="E544">
        <f>VLOOKUP(A:A,הוצאות!B:B,1,0)</f>
        <v>1812300760</v>
      </c>
      <c r="F544" s="156">
        <f>VLOOKUP(A:A,הוצאות!B:O,14,0)</f>
        <v>2191827.61</v>
      </c>
      <c r="G544" s="180">
        <f t="shared" si="5"/>
        <v>0</v>
      </c>
    </row>
    <row r="545" spans="1:7">
      <c r="A545">
        <v>1812300780</v>
      </c>
      <c r="B545" t="s">
        <v>1754</v>
      </c>
      <c r="C545" s="169">
        <v>1332800</v>
      </c>
      <c r="D545" s="169">
        <v>0</v>
      </c>
      <c r="E545">
        <f>VLOOKUP(A:A,הוצאות!B:B,1,0)</f>
        <v>1812300780</v>
      </c>
      <c r="F545" s="156">
        <f>VLOOKUP(A:A,הוצאות!B:O,14,0)</f>
        <v>0</v>
      </c>
      <c r="G545" s="180">
        <f t="shared" si="5"/>
        <v>0</v>
      </c>
    </row>
    <row r="546" spans="1:7">
      <c r="A546">
        <v>1812300930</v>
      </c>
      <c r="B546" t="s">
        <v>19</v>
      </c>
      <c r="C546" s="169">
        <v>1670</v>
      </c>
      <c r="D546" s="169">
        <v>0</v>
      </c>
      <c r="E546">
        <f>VLOOKUP(A:A,הוצאות!B:B,1,0)</f>
        <v>1812300930</v>
      </c>
      <c r="F546" s="156">
        <f>VLOOKUP(A:A,הוצאות!B:O,14,0)</f>
        <v>0</v>
      </c>
      <c r="G546" s="180">
        <f t="shared" si="5"/>
        <v>0</v>
      </c>
    </row>
    <row r="547" spans="1:7">
      <c r="A547" s="170">
        <v>1812310110</v>
      </c>
      <c r="B547" s="170" t="s">
        <v>1755</v>
      </c>
      <c r="C547" s="171">
        <v>416500</v>
      </c>
      <c r="D547" s="171">
        <v>0</v>
      </c>
      <c r="E547" s="170" t="e">
        <f>VLOOKUP(A:A,הוצאות!B:B,1,0)</f>
        <v>#N/A</v>
      </c>
      <c r="F547" s="156" t="e">
        <f>VLOOKUP(A:A,הוצאות!B:O,14,0)</f>
        <v>#N/A</v>
      </c>
      <c r="G547" s="180" t="e">
        <f t="shared" si="5"/>
        <v>#N/A</v>
      </c>
    </row>
    <row r="548" spans="1:7">
      <c r="A548">
        <v>1812310540</v>
      </c>
      <c r="B548" t="s">
        <v>157</v>
      </c>
      <c r="C548" s="169">
        <v>0</v>
      </c>
      <c r="D548" s="169">
        <v>0</v>
      </c>
      <c r="E548" t="e">
        <f>VLOOKUP(A:A,הוצאות!B:B,1,0)</f>
        <v>#N/A</v>
      </c>
      <c r="F548" s="156" t="e">
        <f>VLOOKUP(A:A,הוצאות!B:O,14,0)</f>
        <v>#N/A</v>
      </c>
      <c r="G548" s="180" t="e">
        <f t="shared" si="5"/>
        <v>#N/A</v>
      </c>
    </row>
    <row r="549" spans="1:7">
      <c r="A549">
        <v>1812310930</v>
      </c>
      <c r="B549" t="s">
        <v>158</v>
      </c>
      <c r="C549" s="169">
        <v>0</v>
      </c>
      <c r="D549" s="169">
        <v>0</v>
      </c>
      <c r="E549" t="e">
        <f>VLOOKUP(A:A,הוצאות!B:B,1,0)</f>
        <v>#N/A</v>
      </c>
      <c r="F549" s="156" t="e">
        <f>VLOOKUP(A:A,הוצאות!B:O,14,0)</f>
        <v>#N/A</v>
      </c>
      <c r="G549" s="180" t="e">
        <f t="shared" si="5"/>
        <v>#N/A</v>
      </c>
    </row>
    <row r="550" spans="1:7">
      <c r="A550">
        <v>1812400110</v>
      </c>
      <c r="B550" t="s">
        <v>1756</v>
      </c>
      <c r="C550" s="169">
        <v>41650</v>
      </c>
      <c r="D550" s="169">
        <v>43727.05</v>
      </c>
      <c r="E550">
        <f>VLOOKUP(A:A,הוצאות!B:B,1,0)</f>
        <v>1812400110</v>
      </c>
      <c r="F550" s="156">
        <f>VLOOKUP(A:A,הוצאות!B:O,14,0)</f>
        <v>43727.05</v>
      </c>
      <c r="G550" s="180">
        <f t="shared" si="5"/>
        <v>0</v>
      </c>
    </row>
    <row r="551" spans="1:7">
      <c r="A551">
        <v>1812400710</v>
      </c>
      <c r="B551" t="s">
        <v>160</v>
      </c>
      <c r="C551" s="169">
        <v>0</v>
      </c>
      <c r="D551" s="169">
        <v>0</v>
      </c>
      <c r="E551" t="e">
        <f>VLOOKUP(A:A,הוצאות!B:B,1,0)</f>
        <v>#N/A</v>
      </c>
      <c r="F551" s="156" t="e">
        <f>VLOOKUP(A:A,הוצאות!B:O,14,0)</f>
        <v>#N/A</v>
      </c>
      <c r="G551" s="180" t="e">
        <f t="shared" si="5"/>
        <v>#N/A</v>
      </c>
    </row>
    <row r="552" spans="1:7">
      <c r="A552">
        <v>1812400720</v>
      </c>
      <c r="B552" t="s">
        <v>161</v>
      </c>
      <c r="C552" s="169">
        <v>0</v>
      </c>
      <c r="D552" s="169">
        <v>0</v>
      </c>
      <c r="E552" t="e">
        <f>VLOOKUP(A:A,הוצאות!B:B,1,0)</f>
        <v>#N/A</v>
      </c>
      <c r="F552" s="156" t="e">
        <f>VLOOKUP(A:A,הוצאות!B:O,14,0)</f>
        <v>#N/A</v>
      </c>
      <c r="G552" s="180" t="e">
        <f t="shared" si="5"/>
        <v>#N/A</v>
      </c>
    </row>
    <row r="553" spans="1:7">
      <c r="A553">
        <v>1812500110</v>
      </c>
      <c r="B553" t="s">
        <v>162</v>
      </c>
      <c r="C553" s="169">
        <v>81630</v>
      </c>
      <c r="D553" s="169">
        <v>101783.25</v>
      </c>
      <c r="E553">
        <f>VLOOKUP(A:A,הוצאות!B:B,1,0)</f>
        <v>1812500110</v>
      </c>
      <c r="F553" s="156">
        <f>VLOOKUP(A:A,הוצאות!B:O,14,0)</f>
        <v>101783.25</v>
      </c>
      <c r="G553" s="180">
        <f t="shared" si="5"/>
        <v>0</v>
      </c>
    </row>
    <row r="554" spans="1:7">
      <c r="A554">
        <v>1812500410</v>
      </c>
      <c r="B554" t="s">
        <v>1582</v>
      </c>
      <c r="C554" s="169">
        <v>34990</v>
      </c>
      <c r="D554" s="169">
        <v>8190</v>
      </c>
      <c r="E554">
        <f>VLOOKUP(A:A,הוצאות!B:B,1,0)</f>
        <v>1812500410</v>
      </c>
      <c r="F554" s="156">
        <f>VLOOKUP(A:A,הוצאות!B:O,14,0)</f>
        <v>8190</v>
      </c>
      <c r="G554" s="180">
        <f t="shared" si="5"/>
        <v>0</v>
      </c>
    </row>
    <row r="555" spans="1:7">
      <c r="A555">
        <v>1812500420</v>
      </c>
      <c r="B555" t="s">
        <v>164</v>
      </c>
      <c r="C555" s="169">
        <v>0</v>
      </c>
      <c r="D555" s="169">
        <v>0</v>
      </c>
      <c r="E555" t="e">
        <f>VLOOKUP(A:A,הוצאות!B:B,1,0)</f>
        <v>#N/A</v>
      </c>
      <c r="F555" s="156" t="e">
        <f>VLOOKUP(A:A,הוצאות!B:O,14,0)</f>
        <v>#N/A</v>
      </c>
      <c r="G555" s="180" t="e">
        <f>D555-F555</f>
        <v>#N/A</v>
      </c>
    </row>
    <row r="556" spans="1:7">
      <c r="A556">
        <v>1812500431</v>
      </c>
      <c r="B556" t="s">
        <v>26</v>
      </c>
      <c r="C556" s="169">
        <v>3330</v>
      </c>
      <c r="D556" s="169">
        <v>0</v>
      </c>
      <c r="E556">
        <f>VLOOKUP(A:A,הוצאות!B:B,1,0)</f>
        <v>1812500431</v>
      </c>
      <c r="F556" s="156">
        <f>VLOOKUP(A:A,הוצאות!B:O,14,0)</f>
        <v>0</v>
      </c>
      <c r="G556" s="180">
        <f>D556-F556</f>
        <v>0</v>
      </c>
    </row>
    <row r="557" spans="1:7">
      <c r="A557">
        <v>1812500432</v>
      </c>
      <c r="B557" t="s">
        <v>165</v>
      </c>
      <c r="C557" s="169">
        <v>0</v>
      </c>
      <c r="D557" s="169">
        <v>44893.5</v>
      </c>
      <c r="E557">
        <f>VLOOKUP(A:A,הוצאות!B:B,1,0)</f>
        <v>1812500432</v>
      </c>
      <c r="F557" s="156">
        <f>VLOOKUP(A:A,הוצאות!B:O,14,0)</f>
        <v>44893.5</v>
      </c>
      <c r="G557" s="180">
        <f>D557-F557</f>
        <v>0</v>
      </c>
    </row>
    <row r="558" spans="1:7" hidden="1">
      <c r="A558">
        <v>1812500433</v>
      </c>
      <c r="B558" t="s">
        <v>144</v>
      </c>
      <c r="C558" s="169">
        <v>0</v>
      </c>
      <c r="D558" s="169">
        <v>0</v>
      </c>
      <c r="E558" t="e">
        <f>VLOOKUP(A:A,הוצאות!B:B,1,0)</f>
        <v>#N/A</v>
      </c>
    </row>
    <row r="559" spans="1:7" hidden="1">
      <c r="A559">
        <v>1812500540</v>
      </c>
      <c r="B559" t="s">
        <v>1757</v>
      </c>
      <c r="C559" s="169">
        <v>0</v>
      </c>
      <c r="D559" s="169">
        <v>0</v>
      </c>
      <c r="E559" t="e">
        <f>VLOOKUP(A:A,הוצאות!B:B,1,0)</f>
        <v>#N/A</v>
      </c>
    </row>
    <row r="560" spans="1:7" hidden="1">
      <c r="A560">
        <v>1812500710</v>
      </c>
      <c r="B560" t="s">
        <v>1758</v>
      </c>
      <c r="C560" s="169">
        <v>0</v>
      </c>
      <c r="D560" s="169">
        <v>0</v>
      </c>
      <c r="E560" t="e">
        <f>VLOOKUP(A:A,הוצאות!B:B,1,0)</f>
        <v>#N/A</v>
      </c>
    </row>
    <row r="561" spans="1:7" hidden="1">
      <c r="A561">
        <v>1812500720</v>
      </c>
      <c r="B561" t="s">
        <v>154</v>
      </c>
      <c r="C561" s="169">
        <v>0</v>
      </c>
      <c r="D561" s="169">
        <v>0</v>
      </c>
      <c r="E561" t="e">
        <f>VLOOKUP(A:A,הוצאות!B:B,1,0)</f>
        <v>#N/A</v>
      </c>
    </row>
    <row r="562" spans="1:7" hidden="1">
      <c r="A562">
        <v>1812500721</v>
      </c>
      <c r="B562" t="s">
        <v>1759</v>
      </c>
      <c r="C562" s="169">
        <v>0</v>
      </c>
      <c r="D562" s="169">
        <v>0</v>
      </c>
      <c r="E562" t="e">
        <f>VLOOKUP(A:A,הוצאות!B:B,1,0)</f>
        <v>#N/A</v>
      </c>
    </row>
    <row r="563" spans="1:7">
      <c r="A563">
        <v>1812500930</v>
      </c>
      <c r="B563" t="s">
        <v>19</v>
      </c>
      <c r="C563" s="169">
        <v>0</v>
      </c>
      <c r="D563" s="169">
        <v>0</v>
      </c>
      <c r="E563" t="e">
        <f>VLOOKUP(A:A,הוצאות!B:B,1,0)</f>
        <v>#N/A</v>
      </c>
      <c r="F563" s="156" t="e">
        <f>VLOOKUP(A:A,הוצאות!B:O,14,0)</f>
        <v>#N/A</v>
      </c>
      <c r="G563" s="180" t="e">
        <f t="shared" ref="G563:G625" si="6">D563-F563</f>
        <v>#N/A</v>
      </c>
    </row>
    <row r="564" spans="1:7">
      <c r="A564">
        <v>1813200110</v>
      </c>
      <c r="B564" t="s">
        <v>1760</v>
      </c>
      <c r="C564" s="169">
        <v>58310</v>
      </c>
      <c r="D564" s="169">
        <v>145233.22</v>
      </c>
      <c r="E564">
        <f>VLOOKUP(A:A,הוצאות!B:B,1,0)</f>
        <v>1813200110</v>
      </c>
      <c r="F564" s="156">
        <f>VLOOKUP(A:A,הוצאות!B:O,14,0)</f>
        <v>145233.22</v>
      </c>
      <c r="G564" s="180">
        <f t="shared" si="6"/>
        <v>0</v>
      </c>
    </row>
    <row r="565" spans="1:7">
      <c r="A565">
        <v>1813200750</v>
      </c>
      <c r="B565" t="s">
        <v>1651</v>
      </c>
      <c r="C565" s="169">
        <v>61640</v>
      </c>
      <c r="D565" s="169">
        <v>9360</v>
      </c>
      <c r="E565">
        <f>VLOOKUP(A:A,הוצאות!B:B,1,0)</f>
        <v>1813200750</v>
      </c>
      <c r="F565" s="156">
        <f>VLOOKUP(A:A,הוצאות!B:O,14,0)</f>
        <v>9360</v>
      </c>
      <c r="G565" s="180">
        <f t="shared" si="6"/>
        <v>0</v>
      </c>
    </row>
    <row r="566" spans="1:7">
      <c r="A566">
        <v>1813200760</v>
      </c>
      <c r="B566" t="s">
        <v>166</v>
      </c>
      <c r="C566" s="169">
        <v>374850</v>
      </c>
      <c r="D566" s="169">
        <v>536263.38</v>
      </c>
      <c r="E566">
        <f>VLOOKUP(A:A,הוצאות!B:B,1,0)</f>
        <v>1813200760</v>
      </c>
      <c r="F566" s="156">
        <f>VLOOKUP(A:A,הוצאות!B:O,14,0)</f>
        <v>536263.38</v>
      </c>
      <c r="G566" s="180">
        <f t="shared" si="6"/>
        <v>0</v>
      </c>
    </row>
    <row r="567" spans="1:7">
      <c r="A567">
        <v>1813200780</v>
      </c>
      <c r="B567" t="s">
        <v>167</v>
      </c>
      <c r="C567" s="169">
        <v>267390</v>
      </c>
      <c r="D567" s="169">
        <v>330225.03000000003</v>
      </c>
      <c r="E567">
        <f>VLOOKUP(A:A,הוצאות!B:B,1,0)</f>
        <v>1813200780</v>
      </c>
      <c r="F567" s="156">
        <f>VLOOKUP(A:A,הוצאות!B:O,14,0)</f>
        <v>330225.03000000003</v>
      </c>
      <c r="G567" s="180">
        <f t="shared" si="6"/>
        <v>0</v>
      </c>
    </row>
    <row r="568" spans="1:7">
      <c r="A568" s="170">
        <v>1813201750</v>
      </c>
      <c r="B568" s="170" t="s">
        <v>1761</v>
      </c>
      <c r="C568" s="171">
        <v>20830</v>
      </c>
      <c r="D568" s="171">
        <v>0</v>
      </c>
      <c r="E568" s="170">
        <f>VLOOKUP(A:A,הוצאות!B:B,1,0)</f>
        <v>1813201750</v>
      </c>
      <c r="F568" s="156">
        <f>VLOOKUP(A:A,הוצאות!B:O,14,0)</f>
        <v>0</v>
      </c>
      <c r="G568" s="180">
        <f t="shared" si="6"/>
        <v>0</v>
      </c>
    </row>
    <row r="569" spans="1:7">
      <c r="A569">
        <v>1813210110</v>
      </c>
      <c r="B569" t="s">
        <v>168</v>
      </c>
      <c r="C569" s="169">
        <v>583100</v>
      </c>
      <c r="D569" s="169">
        <v>523923.59</v>
      </c>
      <c r="E569">
        <f>VLOOKUP(A:A,הוצאות!B:B,1,0)</f>
        <v>1813210110</v>
      </c>
      <c r="F569" s="156">
        <f>VLOOKUP(A:A,הוצאות!B:O,14,0)</f>
        <v>523923.59</v>
      </c>
      <c r="G569" s="180">
        <f t="shared" si="6"/>
        <v>0</v>
      </c>
    </row>
    <row r="570" spans="1:7">
      <c r="A570">
        <v>1813210420</v>
      </c>
      <c r="B570" t="s">
        <v>169</v>
      </c>
      <c r="C570" s="169">
        <v>0</v>
      </c>
      <c r="D570" s="169">
        <v>0</v>
      </c>
      <c r="E570">
        <f>VLOOKUP(A:A,הוצאות!B:B,1,0)</f>
        <v>1813210420</v>
      </c>
      <c r="F570" s="156">
        <f>VLOOKUP(A:A,הוצאות!B:O,14,0)</f>
        <v>0</v>
      </c>
      <c r="G570" s="180">
        <f t="shared" si="6"/>
        <v>0</v>
      </c>
    </row>
    <row r="571" spans="1:7">
      <c r="A571">
        <v>1813210431</v>
      </c>
      <c r="B571" t="s">
        <v>170</v>
      </c>
      <c r="C571" s="169">
        <v>83300</v>
      </c>
      <c r="D571" s="169">
        <v>149326.93</v>
      </c>
      <c r="E571">
        <f>VLOOKUP(A:A,הוצאות!B:B,1,0)</f>
        <v>1813210431</v>
      </c>
      <c r="F571" s="156">
        <f>VLOOKUP(A:A,הוצאות!B:O,14,0)</f>
        <v>149326.93</v>
      </c>
      <c r="G571" s="180">
        <f t="shared" si="6"/>
        <v>0</v>
      </c>
    </row>
    <row r="572" spans="1:7">
      <c r="A572">
        <v>1813210432</v>
      </c>
      <c r="B572" t="s">
        <v>171</v>
      </c>
      <c r="C572" s="169">
        <v>124950</v>
      </c>
      <c r="D572" s="169">
        <v>13742.5</v>
      </c>
      <c r="E572">
        <f>VLOOKUP(A:A,הוצאות!B:B,1,0)</f>
        <v>1813210432</v>
      </c>
      <c r="F572" s="156">
        <f>VLOOKUP(A:A,הוצאות!B:O,14,0)</f>
        <v>13742.5</v>
      </c>
      <c r="G572" s="180">
        <f t="shared" si="6"/>
        <v>0</v>
      </c>
    </row>
    <row r="573" spans="1:7">
      <c r="A573">
        <v>1813210433</v>
      </c>
      <c r="B573" t="s">
        <v>172</v>
      </c>
      <c r="C573" s="169">
        <v>0</v>
      </c>
      <c r="D573" s="169">
        <v>0</v>
      </c>
      <c r="E573" t="e">
        <f>VLOOKUP(A:A,הוצאות!B:B,1,0)</f>
        <v>#N/A</v>
      </c>
      <c r="F573" s="156" t="e">
        <f>VLOOKUP(A:A,הוצאות!B:O,14,0)</f>
        <v>#N/A</v>
      </c>
      <c r="G573" s="180" t="e">
        <f t="shared" si="6"/>
        <v>#N/A</v>
      </c>
    </row>
    <row r="574" spans="1:7">
      <c r="A574">
        <v>1813210434</v>
      </c>
      <c r="B574" t="s">
        <v>173</v>
      </c>
      <c r="C574" s="169">
        <v>0</v>
      </c>
      <c r="D574" s="169">
        <v>0</v>
      </c>
      <c r="E574" t="e">
        <f>VLOOKUP(A:A,הוצאות!B:B,1,0)</f>
        <v>#N/A</v>
      </c>
      <c r="F574" s="156" t="e">
        <f>VLOOKUP(A:A,הוצאות!B:O,14,0)</f>
        <v>#N/A</v>
      </c>
      <c r="G574" s="180" t="e">
        <f t="shared" si="6"/>
        <v>#N/A</v>
      </c>
    </row>
    <row r="575" spans="1:7">
      <c r="A575">
        <v>1813210540</v>
      </c>
      <c r="B575" t="s">
        <v>174</v>
      </c>
      <c r="C575" s="169">
        <v>16660</v>
      </c>
      <c r="D575" s="169">
        <v>0</v>
      </c>
      <c r="E575">
        <f>VLOOKUP(A:A,הוצאות!B:B,1,0)</f>
        <v>1813210540</v>
      </c>
      <c r="F575" s="156">
        <f>VLOOKUP(A:A,הוצאות!B:O,14,0)</f>
        <v>0</v>
      </c>
      <c r="G575" s="180">
        <f t="shared" si="6"/>
        <v>0</v>
      </c>
    </row>
    <row r="576" spans="1:7">
      <c r="A576">
        <v>1813210560</v>
      </c>
      <c r="B576" t="s">
        <v>175</v>
      </c>
      <c r="C576" s="169">
        <v>0</v>
      </c>
      <c r="D576" s="169">
        <v>0</v>
      </c>
      <c r="E576" t="e">
        <f>VLOOKUP(A:A,הוצאות!B:B,1,0)</f>
        <v>#N/A</v>
      </c>
      <c r="F576" s="156" t="e">
        <f>VLOOKUP(A:A,הוצאות!B:O,14,0)</f>
        <v>#N/A</v>
      </c>
      <c r="G576" s="180" t="e">
        <f t="shared" si="6"/>
        <v>#N/A</v>
      </c>
    </row>
    <row r="577" spans="1:7">
      <c r="A577">
        <v>1813210720</v>
      </c>
      <c r="B577" t="s">
        <v>176</v>
      </c>
      <c r="C577" s="169">
        <v>0</v>
      </c>
      <c r="D577" s="169">
        <v>0</v>
      </c>
      <c r="E577">
        <f>VLOOKUP(A:A,הוצאות!B:B,1,0)</f>
        <v>1813210720</v>
      </c>
      <c r="F577" s="156">
        <f>VLOOKUP(A:A,הוצאות!B:O,14,0)</f>
        <v>0</v>
      </c>
      <c r="G577" s="180">
        <f t="shared" si="6"/>
        <v>0</v>
      </c>
    </row>
    <row r="578" spans="1:7">
      <c r="A578">
        <v>1813210740</v>
      </c>
      <c r="B578" t="s">
        <v>33</v>
      </c>
      <c r="C578" s="169">
        <v>0</v>
      </c>
      <c r="D578" s="169">
        <v>0</v>
      </c>
      <c r="E578" t="e">
        <f>VLOOKUP(A:A,הוצאות!B:B,1,0)</f>
        <v>#N/A</v>
      </c>
      <c r="F578" s="156" t="e">
        <f>VLOOKUP(A:A,הוצאות!B:O,14,0)</f>
        <v>#N/A</v>
      </c>
      <c r="G578" s="180" t="e">
        <f t="shared" si="6"/>
        <v>#N/A</v>
      </c>
    </row>
    <row r="579" spans="1:7">
      <c r="A579">
        <v>1813210750</v>
      </c>
      <c r="B579" t="s">
        <v>177</v>
      </c>
      <c r="C579" s="169">
        <v>166600</v>
      </c>
      <c r="D579" s="169">
        <v>919470.18</v>
      </c>
      <c r="E579">
        <f>VLOOKUP(A:A,הוצאות!B:B,1,0)</f>
        <v>1813210750</v>
      </c>
      <c r="F579" s="156">
        <f>VLOOKUP(A:A,הוצאות!B:O,14,0)</f>
        <v>919470.18</v>
      </c>
      <c r="G579" s="180">
        <f t="shared" si="6"/>
        <v>0</v>
      </c>
    </row>
    <row r="580" spans="1:7">
      <c r="A580">
        <v>1813210780</v>
      </c>
      <c r="B580" t="s">
        <v>178</v>
      </c>
      <c r="C580" s="169">
        <v>0</v>
      </c>
      <c r="D580" s="169">
        <v>0</v>
      </c>
      <c r="E580" t="e">
        <f>VLOOKUP(A:A,הוצאות!B:B,1,0)</f>
        <v>#N/A</v>
      </c>
      <c r="F580" s="156" t="e">
        <f>VLOOKUP(A:A,הוצאות!B:O,14,0)</f>
        <v>#N/A</v>
      </c>
      <c r="G580" s="180" t="e">
        <f t="shared" si="6"/>
        <v>#N/A</v>
      </c>
    </row>
    <row r="581" spans="1:7">
      <c r="A581">
        <v>1813210870</v>
      </c>
      <c r="B581" t="s">
        <v>179</v>
      </c>
      <c r="C581" s="169">
        <v>0</v>
      </c>
      <c r="D581" s="169">
        <v>0</v>
      </c>
      <c r="E581" t="e">
        <f>VLOOKUP(A:A,הוצאות!B:B,1,0)</f>
        <v>#N/A</v>
      </c>
      <c r="F581" s="156" t="e">
        <f>VLOOKUP(A:A,הוצאות!B:O,14,0)</f>
        <v>#N/A</v>
      </c>
      <c r="G581" s="180" t="e">
        <f t="shared" si="6"/>
        <v>#N/A</v>
      </c>
    </row>
    <row r="582" spans="1:7">
      <c r="A582">
        <v>1813210871</v>
      </c>
      <c r="B582" t="s">
        <v>180</v>
      </c>
      <c r="C582" s="169">
        <v>141610</v>
      </c>
      <c r="D582" s="169">
        <v>154591.25</v>
      </c>
      <c r="E582">
        <f>VLOOKUP(A:A,הוצאות!B:B,1,0)</f>
        <v>1813210871</v>
      </c>
      <c r="F582" s="156">
        <f>VLOOKUP(A:A,הוצאות!B:O,14,0)</f>
        <v>154591.25</v>
      </c>
      <c r="G582" s="180">
        <f t="shared" si="6"/>
        <v>0</v>
      </c>
    </row>
    <row r="583" spans="1:7">
      <c r="A583">
        <v>1813210930</v>
      </c>
      <c r="B583" t="s">
        <v>181</v>
      </c>
      <c r="C583" s="169">
        <v>0</v>
      </c>
      <c r="D583" s="169">
        <v>0</v>
      </c>
      <c r="E583">
        <f>VLOOKUP(A:A,הוצאות!B:B,1,0)</f>
        <v>1813210930</v>
      </c>
      <c r="F583" s="156">
        <f>VLOOKUP(A:A,הוצאות!B:O,14,0)</f>
        <v>0</v>
      </c>
      <c r="G583" s="180">
        <f t="shared" si="6"/>
        <v>0</v>
      </c>
    </row>
    <row r="584" spans="1:7">
      <c r="A584">
        <v>1813220110</v>
      </c>
      <c r="B584" t="s">
        <v>182</v>
      </c>
      <c r="C584" s="169">
        <v>380680</v>
      </c>
      <c r="D584" s="169">
        <v>362440.44</v>
      </c>
      <c r="E584">
        <f>VLOOKUP(A:A,הוצאות!B:B,1,0)</f>
        <v>1813220110</v>
      </c>
      <c r="F584" s="156">
        <f>VLOOKUP(A:A,הוצאות!B:O,14,0)</f>
        <v>362440.44</v>
      </c>
      <c r="G584" s="180">
        <f t="shared" si="6"/>
        <v>0</v>
      </c>
    </row>
    <row r="585" spans="1:7">
      <c r="A585">
        <v>1813220320</v>
      </c>
      <c r="B585" t="s">
        <v>183</v>
      </c>
      <c r="C585" s="169">
        <v>0</v>
      </c>
      <c r="D585" s="169">
        <v>0</v>
      </c>
      <c r="E585" t="e">
        <f>VLOOKUP(A:A,הוצאות!B:B,1,0)</f>
        <v>#N/A</v>
      </c>
      <c r="F585" s="156" t="e">
        <f>VLOOKUP(A:A,הוצאות!B:O,14,0)</f>
        <v>#N/A</v>
      </c>
      <c r="G585" s="180" t="e">
        <f t="shared" si="6"/>
        <v>#N/A</v>
      </c>
    </row>
    <row r="586" spans="1:7">
      <c r="A586">
        <v>1813220420</v>
      </c>
      <c r="B586" t="s">
        <v>184</v>
      </c>
      <c r="C586" s="169">
        <v>0</v>
      </c>
      <c r="D586" s="169">
        <v>0</v>
      </c>
      <c r="E586" t="e">
        <f>VLOOKUP(A:A,הוצאות!B:B,1,0)</f>
        <v>#N/A</v>
      </c>
      <c r="F586" s="156" t="e">
        <f>VLOOKUP(A:A,הוצאות!B:O,14,0)</f>
        <v>#N/A</v>
      </c>
      <c r="G586" s="180" t="e">
        <f t="shared" si="6"/>
        <v>#N/A</v>
      </c>
    </row>
    <row r="587" spans="1:7">
      <c r="A587">
        <v>1813220431</v>
      </c>
      <c r="B587" t="s">
        <v>185</v>
      </c>
      <c r="C587" s="169">
        <v>33320</v>
      </c>
      <c r="D587" s="169">
        <v>14472.64</v>
      </c>
      <c r="E587">
        <f>VLOOKUP(A:A,הוצאות!B:B,1,0)</f>
        <v>1813220431</v>
      </c>
      <c r="F587" s="156">
        <f>VLOOKUP(A:A,הוצאות!B:O,14,0)</f>
        <v>14472.64</v>
      </c>
      <c r="G587" s="180">
        <f t="shared" si="6"/>
        <v>0</v>
      </c>
    </row>
    <row r="588" spans="1:7">
      <c r="A588">
        <v>1813220432</v>
      </c>
      <c r="B588" t="s">
        <v>186</v>
      </c>
      <c r="C588" s="169">
        <v>33320</v>
      </c>
      <c r="D588" s="169">
        <v>36175.9</v>
      </c>
      <c r="E588">
        <f>VLOOKUP(A:A,הוצאות!B:B,1,0)</f>
        <v>1813220432</v>
      </c>
      <c r="F588" s="156">
        <f>VLOOKUP(A:A,הוצאות!B:O,14,0)</f>
        <v>36175.9</v>
      </c>
      <c r="G588" s="180">
        <f t="shared" si="6"/>
        <v>0</v>
      </c>
    </row>
    <row r="589" spans="1:7">
      <c r="A589">
        <v>1813220433</v>
      </c>
      <c r="B589" t="s">
        <v>187</v>
      </c>
      <c r="C589" s="169">
        <v>0</v>
      </c>
      <c r="D589" s="169">
        <v>0</v>
      </c>
      <c r="E589" t="e">
        <f>VLOOKUP(A:A,הוצאות!B:B,1,0)</f>
        <v>#N/A</v>
      </c>
      <c r="F589" s="156" t="e">
        <f>VLOOKUP(A:A,הוצאות!B:O,14,0)</f>
        <v>#N/A</v>
      </c>
      <c r="G589" s="180" t="e">
        <f t="shared" si="6"/>
        <v>#N/A</v>
      </c>
    </row>
    <row r="590" spans="1:7">
      <c r="A590">
        <v>1813220434</v>
      </c>
      <c r="B590" t="s">
        <v>173</v>
      </c>
      <c r="C590" s="169">
        <v>0</v>
      </c>
      <c r="D590" s="169">
        <v>0</v>
      </c>
      <c r="E590" t="e">
        <f>VLOOKUP(A:A,הוצאות!B:B,1,0)</f>
        <v>#N/A</v>
      </c>
      <c r="F590" s="156" t="e">
        <f>VLOOKUP(A:A,הוצאות!B:O,14,0)</f>
        <v>#N/A</v>
      </c>
      <c r="G590" s="180" t="e">
        <f t="shared" si="6"/>
        <v>#N/A</v>
      </c>
    </row>
    <row r="591" spans="1:7">
      <c r="A591">
        <v>1813220540</v>
      </c>
      <c r="B591" t="s">
        <v>188</v>
      </c>
      <c r="C591" s="169">
        <v>1250</v>
      </c>
      <c r="D591" s="169">
        <v>0</v>
      </c>
      <c r="E591">
        <f>VLOOKUP(A:A,הוצאות!B:B,1,0)</f>
        <v>1813220540</v>
      </c>
      <c r="F591" s="156">
        <f>VLOOKUP(A:A,הוצאות!B:O,14,0)</f>
        <v>0</v>
      </c>
      <c r="G591" s="180">
        <f t="shared" si="6"/>
        <v>0</v>
      </c>
    </row>
    <row r="592" spans="1:7">
      <c r="A592">
        <v>1813220560</v>
      </c>
      <c r="B592" t="s">
        <v>189</v>
      </c>
      <c r="C592" s="169">
        <v>0</v>
      </c>
      <c r="D592" s="169">
        <v>0</v>
      </c>
      <c r="E592" t="e">
        <f>VLOOKUP(A:A,הוצאות!B:B,1,0)</f>
        <v>#N/A</v>
      </c>
      <c r="F592" s="156" t="e">
        <f>VLOOKUP(A:A,הוצאות!B:O,14,0)</f>
        <v>#N/A</v>
      </c>
      <c r="G592" s="180" t="e">
        <f t="shared" si="6"/>
        <v>#N/A</v>
      </c>
    </row>
    <row r="593" spans="1:7">
      <c r="A593">
        <v>1813220720</v>
      </c>
      <c r="B593" t="s">
        <v>190</v>
      </c>
      <c r="C593" s="169">
        <v>0</v>
      </c>
      <c r="D593" s="169">
        <v>0</v>
      </c>
      <c r="E593">
        <f>VLOOKUP(A:A,הוצאות!B:B,1,0)</f>
        <v>1813220720</v>
      </c>
      <c r="F593" s="156">
        <f>VLOOKUP(A:A,הוצאות!B:O,14,0)</f>
        <v>0</v>
      </c>
      <c r="G593" s="180">
        <f t="shared" si="6"/>
        <v>0</v>
      </c>
    </row>
    <row r="594" spans="1:7">
      <c r="A594">
        <v>1813220750</v>
      </c>
      <c r="B594" t="s">
        <v>191</v>
      </c>
      <c r="C594" s="169">
        <v>83300</v>
      </c>
      <c r="D594" s="169">
        <v>0</v>
      </c>
      <c r="E594">
        <f>VLOOKUP(A:A,הוצאות!B:B,1,0)</f>
        <v>1813220750</v>
      </c>
      <c r="F594" s="156">
        <f>VLOOKUP(A:A,הוצאות!B:O,14,0)</f>
        <v>0</v>
      </c>
      <c r="G594" s="180">
        <f t="shared" si="6"/>
        <v>0</v>
      </c>
    </row>
    <row r="595" spans="1:7">
      <c r="A595">
        <v>1813220780</v>
      </c>
      <c r="B595" t="s">
        <v>192</v>
      </c>
      <c r="C595" s="169">
        <v>0</v>
      </c>
      <c r="D595" s="169">
        <v>0</v>
      </c>
      <c r="E595" t="e">
        <f>VLOOKUP(A:A,הוצאות!B:B,1,0)</f>
        <v>#N/A</v>
      </c>
      <c r="F595" s="156" t="e">
        <f>VLOOKUP(A:A,הוצאות!B:O,14,0)</f>
        <v>#N/A</v>
      </c>
      <c r="G595" s="180" t="e">
        <f t="shared" si="6"/>
        <v>#N/A</v>
      </c>
    </row>
    <row r="596" spans="1:7">
      <c r="A596">
        <v>1813220870</v>
      </c>
      <c r="B596" t="s">
        <v>193</v>
      </c>
      <c r="C596" s="169">
        <v>0</v>
      </c>
      <c r="D596" s="169">
        <v>0</v>
      </c>
      <c r="E596" t="e">
        <f>VLOOKUP(A:A,הוצאות!B:B,1,0)</f>
        <v>#N/A</v>
      </c>
      <c r="F596" s="156" t="e">
        <f>VLOOKUP(A:A,הוצאות!B:O,14,0)</f>
        <v>#N/A</v>
      </c>
      <c r="G596" s="180" t="e">
        <f t="shared" si="6"/>
        <v>#N/A</v>
      </c>
    </row>
    <row r="597" spans="1:7">
      <c r="A597">
        <v>1813220871</v>
      </c>
      <c r="B597" t="s">
        <v>194</v>
      </c>
      <c r="C597" s="169">
        <v>183260</v>
      </c>
      <c r="D597" s="169">
        <v>197231.17</v>
      </c>
      <c r="E597">
        <f>VLOOKUP(A:A,הוצאות!B:B,1,0)</f>
        <v>1813220871</v>
      </c>
      <c r="F597" s="156">
        <f>VLOOKUP(A:A,הוצאות!B:O,14,0)</f>
        <v>197231.17</v>
      </c>
      <c r="G597" s="180">
        <f t="shared" si="6"/>
        <v>0</v>
      </c>
    </row>
    <row r="598" spans="1:7">
      <c r="A598">
        <v>1813220930</v>
      </c>
      <c r="B598" t="s">
        <v>195</v>
      </c>
      <c r="C598" s="169">
        <v>0</v>
      </c>
      <c r="D598" s="169">
        <v>0</v>
      </c>
      <c r="E598">
        <f>VLOOKUP(A:A,הוצאות!B:B,1,0)</f>
        <v>1813220930</v>
      </c>
      <c r="F598" s="156">
        <f>VLOOKUP(A:A,הוצאות!B:O,14,0)</f>
        <v>0</v>
      </c>
      <c r="G598" s="180">
        <f t="shared" si="6"/>
        <v>0</v>
      </c>
    </row>
    <row r="599" spans="1:7">
      <c r="A599">
        <v>1813230110</v>
      </c>
      <c r="B599" t="s">
        <v>196</v>
      </c>
      <c r="C599" s="169">
        <v>437330</v>
      </c>
      <c r="D599" s="169">
        <v>405369.7</v>
      </c>
      <c r="E599">
        <f>VLOOKUP(A:A,הוצאות!B:B,1,0)</f>
        <v>1813230110</v>
      </c>
      <c r="F599" s="156">
        <f>VLOOKUP(A:A,הוצאות!B:O,14,0)</f>
        <v>405369.7</v>
      </c>
      <c r="G599" s="180">
        <f t="shared" si="6"/>
        <v>0</v>
      </c>
    </row>
    <row r="600" spans="1:7">
      <c r="A600">
        <v>1813230320</v>
      </c>
      <c r="B600" t="s">
        <v>25</v>
      </c>
      <c r="C600" s="169">
        <v>0</v>
      </c>
      <c r="D600" s="169">
        <v>0</v>
      </c>
      <c r="E600" t="e">
        <f>VLOOKUP(A:A,הוצאות!B:B,1,0)</f>
        <v>#N/A</v>
      </c>
      <c r="F600" s="156" t="e">
        <f>VLOOKUP(A:A,הוצאות!B:O,14,0)</f>
        <v>#N/A</v>
      </c>
      <c r="G600" s="180" t="e">
        <f t="shared" si="6"/>
        <v>#N/A</v>
      </c>
    </row>
    <row r="601" spans="1:7">
      <c r="A601">
        <v>1813230420</v>
      </c>
      <c r="B601" t="s">
        <v>197</v>
      </c>
      <c r="C601" s="169">
        <v>0</v>
      </c>
      <c r="D601" s="169">
        <v>0</v>
      </c>
      <c r="E601" t="e">
        <f>VLOOKUP(A:A,הוצאות!B:B,1,0)</f>
        <v>#N/A</v>
      </c>
      <c r="F601" s="156" t="e">
        <f>VLOOKUP(A:A,הוצאות!B:O,14,0)</f>
        <v>#N/A</v>
      </c>
      <c r="G601" s="180" t="e">
        <f t="shared" si="6"/>
        <v>#N/A</v>
      </c>
    </row>
    <row r="602" spans="1:7">
      <c r="A602">
        <v>1813230431</v>
      </c>
      <c r="B602" t="s">
        <v>198</v>
      </c>
      <c r="C602" s="169">
        <v>49980</v>
      </c>
      <c r="D602" s="169">
        <v>64616.17</v>
      </c>
      <c r="E602">
        <f>VLOOKUP(A:A,הוצאות!B:B,1,0)</f>
        <v>1813230431</v>
      </c>
      <c r="F602" s="156">
        <f>VLOOKUP(A:A,הוצאות!B:O,14,0)</f>
        <v>64616.17</v>
      </c>
      <c r="G602" s="180">
        <f t="shared" si="6"/>
        <v>0</v>
      </c>
    </row>
    <row r="603" spans="1:7">
      <c r="A603">
        <v>1813230432</v>
      </c>
      <c r="B603" t="s">
        <v>199</v>
      </c>
      <c r="C603" s="169">
        <v>0</v>
      </c>
      <c r="D603" s="169">
        <v>0</v>
      </c>
      <c r="E603" t="e">
        <f>VLOOKUP(A:A,הוצאות!B:B,1,0)</f>
        <v>#N/A</v>
      </c>
      <c r="F603" s="156" t="e">
        <f>VLOOKUP(A:A,הוצאות!B:O,14,0)</f>
        <v>#N/A</v>
      </c>
      <c r="G603" s="180" t="e">
        <f t="shared" si="6"/>
        <v>#N/A</v>
      </c>
    </row>
    <row r="604" spans="1:7">
      <c r="A604">
        <v>1813230433</v>
      </c>
      <c r="B604" t="s">
        <v>200</v>
      </c>
      <c r="C604" s="169">
        <v>0</v>
      </c>
      <c r="D604" s="169">
        <v>0</v>
      </c>
      <c r="E604" t="e">
        <f>VLOOKUP(A:A,הוצאות!B:B,1,0)</f>
        <v>#N/A</v>
      </c>
      <c r="F604" s="156" t="e">
        <f>VLOOKUP(A:A,הוצאות!B:O,14,0)</f>
        <v>#N/A</v>
      </c>
      <c r="G604" s="180" t="e">
        <f t="shared" si="6"/>
        <v>#N/A</v>
      </c>
    </row>
    <row r="605" spans="1:7">
      <c r="A605">
        <v>1813230434</v>
      </c>
      <c r="B605" t="s">
        <v>173</v>
      </c>
      <c r="C605" s="169">
        <v>0</v>
      </c>
      <c r="D605" s="169">
        <v>0</v>
      </c>
      <c r="E605" t="e">
        <f>VLOOKUP(A:A,הוצאות!B:B,1,0)</f>
        <v>#N/A</v>
      </c>
      <c r="F605" s="156" t="e">
        <f>VLOOKUP(A:A,הוצאות!B:O,14,0)</f>
        <v>#N/A</v>
      </c>
      <c r="G605" s="180" t="e">
        <f t="shared" si="6"/>
        <v>#N/A</v>
      </c>
    </row>
    <row r="606" spans="1:7">
      <c r="A606">
        <v>1813230540</v>
      </c>
      <c r="B606" t="s">
        <v>201</v>
      </c>
      <c r="C606" s="169">
        <v>1250</v>
      </c>
      <c r="D606" s="169">
        <v>0</v>
      </c>
      <c r="E606">
        <f>VLOOKUP(A:A,הוצאות!B:B,1,0)</f>
        <v>1813230540</v>
      </c>
      <c r="F606" s="156">
        <f>VLOOKUP(A:A,הוצאות!B:O,14,0)</f>
        <v>0</v>
      </c>
      <c r="G606" s="180">
        <f t="shared" si="6"/>
        <v>0</v>
      </c>
    </row>
    <row r="607" spans="1:7">
      <c r="A607">
        <v>1813230560</v>
      </c>
      <c r="B607" t="s">
        <v>202</v>
      </c>
      <c r="C607" s="169">
        <v>0</v>
      </c>
      <c r="D607" s="169">
        <v>0</v>
      </c>
      <c r="E607" t="e">
        <f>VLOOKUP(A:A,הוצאות!B:B,1,0)</f>
        <v>#N/A</v>
      </c>
      <c r="F607" s="156" t="e">
        <f>VLOOKUP(A:A,הוצאות!B:O,14,0)</f>
        <v>#N/A</v>
      </c>
      <c r="G607" s="180" t="e">
        <f t="shared" si="6"/>
        <v>#N/A</v>
      </c>
    </row>
    <row r="608" spans="1:7">
      <c r="A608">
        <v>1813230720</v>
      </c>
      <c r="B608" t="s">
        <v>203</v>
      </c>
      <c r="C608" s="169">
        <v>0</v>
      </c>
      <c r="D608" s="169">
        <v>0</v>
      </c>
      <c r="E608">
        <f>VLOOKUP(A:A,הוצאות!B:B,1,0)</f>
        <v>1813230720</v>
      </c>
      <c r="F608" s="156">
        <f>VLOOKUP(A:A,הוצאות!B:O,14,0)</f>
        <v>0</v>
      </c>
      <c r="G608" s="180">
        <f t="shared" si="6"/>
        <v>0</v>
      </c>
    </row>
    <row r="609" spans="1:7">
      <c r="A609">
        <v>1813230740</v>
      </c>
      <c r="B609" t="s">
        <v>204</v>
      </c>
      <c r="C609" s="169">
        <v>0</v>
      </c>
      <c r="D609" s="169">
        <v>0</v>
      </c>
      <c r="E609" t="e">
        <f>VLOOKUP(A:A,הוצאות!B:B,1,0)</f>
        <v>#N/A</v>
      </c>
      <c r="F609" s="156" t="e">
        <f>VLOOKUP(A:A,הוצאות!B:O,14,0)</f>
        <v>#N/A</v>
      </c>
      <c r="G609" s="180" t="e">
        <f t="shared" si="6"/>
        <v>#N/A</v>
      </c>
    </row>
    <row r="610" spans="1:7">
      <c r="A610">
        <v>1813230750</v>
      </c>
      <c r="B610" t="s">
        <v>205</v>
      </c>
      <c r="C610" s="169">
        <v>83300</v>
      </c>
      <c r="D610" s="169">
        <v>56862</v>
      </c>
      <c r="E610">
        <f>VLOOKUP(A:A,הוצאות!B:B,1,0)</f>
        <v>1813230750</v>
      </c>
      <c r="F610" s="156">
        <f>VLOOKUP(A:A,הוצאות!B:O,14,0)</f>
        <v>56862</v>
      </c>
      <c r="G610" s="180">
        <f t="shared" si="6"/>
        <v>0</v>
      </c>
    </row>
    <row r="611" spans="1:7">
      <c r="A611">
        <v>1813230780</v>
      </c>
      <c r="B611" t="s">
        <v>18</v>
      </c>
      <c r="C611" s="169">
        <v>0</v>
      </c>
      <c r="D611" s="169">
        <v>0</v>
      </c>
      <c r="E611">
        <f>VLOOKUP(A:A,הוצאות!B:B,1,0)</f>
        <v>1813230780</v>
      </c>
      <c r="F611" s="156">
        <f>VLOOKUP(A:A,הוצאות!B:O,14,0)</f>
        <v>0</v>
      </c>
      <c r="G611" s="180">
        <f t="shared" si="6"/>
        <v>0</v>
      </c>
    </row>
    <row r="612" spans="1:7">
      <c r="A612">
        <v>1813230870</v>
      </c>
      <c r="B612" t="s">
        <v>206</v>
      </c>
      <c r="C612" s="169">
        <v>0</v>
      </c>
      <c r="D612" s="169">
        <v>10000</v>
      </c>
      <c r="E612">
        <f>VLOOKUP(A:A,הוצאות!B:B,1,0)</f>
        <v>1813230870</v>
      </c>
      <c r="F612" s="156">
        <f>VLOOKUP(A:A,הוצאות!B:O,14,0)</f>
        <v>10000</v>
      </c>
      <c r="G612" s="180">
        <f t="shared" si="6"/>
        <v>0</v>
      </c>
    </row>
    <row r="613" spans="1:7">
      <c r="A613">
        <v>1813230871</v>
      </c>
      <c r="B613" t="s">
        <v>207</v>
      </c>
      <c r="C613" s="169">
        <v>237410</v>
      </c>
      <c r="D613" s="169">
        <v>331352.92</v>
      </c>
      <c r="E613">
        <f>VLOOKUP(A:A,הוצאות!B:B,1,0)</f>
        <v>1813230871</v>
      </c>
      <c r="F613" s="156">
        <f>VLOOKUP(A:A,הוצאות!B:O,14,0)</f>
        <v>331352.92</v>
      </c>
      <c r="G613" s="180">
        <f t="shared" si="6"/>
        <v>0</v>
      </c>
    </row>
    <row r="614" spans="1:7">
      <c r="A614">
        <v>1813230930</v>
      </c>
      <c r="B614" t="s">
        <v>208</v>
      </c>
      <c r="C614" s="169">
        <v>316540</v>
      </c>
      <c r="D614" s="169">
        <v>0</v>
      </c>
      <c r="E614">
        <f>VLOOKUP(A:A,הוצאות!B:B,1,0)</f>
        <v>1813230930</v>
      </c>
      <c r="F614" s="156">
        <f>VLOOKUP(A:A,הוצאות!B:O,14,0)</f>
        <v>0</v>
      </c>
      <c r="G614" s="180">
        <f t="shared" si="6"/>
        <v>0</v>
      </c>
    </row>
    <row r="615" spans="1:7">
      <c r="A615">
        <v>1813240110</v>
      </c>
      <c r="B615" t="s">
        <v>209</v>
      </c>
      <c r="C615" s="169">
        <v>0</v>
      </c>
      <c r="D615" s="169">
        <v>166196.96</v>
      </c>
      <c r="E615">
        <f>VLOOKUP(A:A,הוצאות!B:B,1,0)</f>
        <v>1813240110</v>
      </c>
      <c r="F615" s="156">
        <f>VLOOKUP(A:A,הוצאות!B:O,14,0)</f>
        <v>166196.96</v>
      </c>
      <c r="G615" s="180">
        <f t="shared" si="6"/>
        <v>0</v>
      </c>
    </row>
    <row r="616" spans="1:7">
      <c r="A616">
        <v>1813240431</v>
      </c>
      <c r="B616" t="s">
        <v>210</v>
      </c>
      <c r="C616" s="169">
        <v>0</v>
      </c>
      <c r="D616" s="169">
        <v>0</v>
      </c>
      <c r="E616">
        <f>VLOOKUP(A:A,הוצאות!B:B,1,0)</f>
        <v>1813240431</v>
      </c>
      <c r="F616" s="156">
        <f>VLOOKUP(A:A,הוצאות!B:O,14,0)</f>
        <v>0</v>
      </c>
      <c r="G616" s="180">
        <f t="shared" si="6"/>
        <v>0</v>
      </c>
    </row>
    <row r="617" spans="1:7">
      <c r="A617">
        <v>1813240432</v>
      </c>
      <c r="B617" t="s">
        <v>211</v>
      </c>
      <c r="C617" s="169">
        <v>0</v>
      </c>
      <c r="D617" s="169">
        <v>24739.599999999999</v>
      </c>
      <c r="E617">
        <f>VLOOKUP(A:A,הוצאות!B:B,1,0)</f>
        <v>1813240432</v>
      </c>
      <c r="F617" s="156">
        <f>VLOOKUP(A:A,הוצאות!B:O,14,0)</f>
        <v>24739.599999999999</v>
      </c>
      <c r="G617" s="180">
        <f t="shared" si="6"/>
        <v>0</v>
      </c>
    </row>
    <row r="618" spans="1:7">
      <c r="A618">
        <v>1813240540</v>
      </c>
      <c r="B618" t="s">
        <v>212</v>
      </c>
      <c r="C618" s="169">
        <v>0</v>
      </c>
      <c r="D618" s="169">
        <v>0</v>
      </c>
      <c r="E618">
        <f>VLOOKUP(A:A,הוצאות!B:B,1,0)</f>
        <v>1813240540</v>
      </c>
      <c r="F618" s="156">
        <f>VLOOKUP(A:A,הוצאות!B:O,14,0)</f>
        <v>0</v>
      </c>
      <c r="G618" s="180">
        <f t="shared" si="6"/>
        <v>0</v>
      </c>
    </row>
    <row r="619" spans="1:7">
      <c r="A619">
        <v>1813240750</v>
      </c>
      <c r="B619" t="s">
        <v>213</v>
      </c>
      <c r="C619" s="169">
        <v>83300</v>
      </c>
      <c r="D619" s="169">
        <v>43524</v>
      </c>
      <c r="E619">
        <f>VLOOKUP(A:A,הוצאות!B:B,1,0)</f>
        <v>1813240750</v>
      </c>
      <c r="F619" s="156">
        <f>VLOOKUP(A:A,הוצאות!B:O,14,0)</f>
        <v>43524</v>
      </c>
      <c r="G619" s="180">
        <f t="shared" si="6"/>
        <v>0</v>
      </c>
    </row>
    <row r="620" spans="1:7">
      <c r="A620">
        <v>1813240870</v>
      </c>
      <c r="B620" t="s">
        <v>214</v>
      </c>
      <c r="C620" s="169">
        <v>149940</v>
      </c>
      <c r="D620" s="169">
        <v>139374.17000000001</v>
      </c>
      <c r="E620">
        <f>VLOOKUP(A:A,הוצאות!B:B,1,0)</f>
        <v>1813240870</v>
      </c>
      <c r="F620" s="156">
        <f>VLOOKUP(A:A,הוצאות!B:O,14,0)</f>
        <v>139374.17000000001</v>
      </c>
      <c r="G620" s="180">
        <f t="shared" si="6"/>
        <v>0</v>
      </c>
    </row>
    <row r="621" spans="1:7">
      <c r="A621">
        <v>1813250110</v>
      </c>
      <c r="B621" t="s">
        <v>1762</v>
      </c>
      <c r="C621" s="169">
        <v>0</v>
      </c>
      <c r="D621" s="169">
        <v>13008.04</v>
      </c>
      <c r="E621">
        <f>VLOOKUP(A:A,הוצאות!B:B,1,0)</f>
        <v>1813250110</v>
      </c>
      <c r="F621" s="156">
        <f>VLOOKUP(A:A,הוצאות!B:O,14,0)</f>
        <v>13008.04</v>
      </c>
      <c r="G621" s="180">
        <f t="shared" si="6"/>
        <v>0</v>
      </c>
    </row>
    <row r="622" spans="1:7">
      <c r="A622">
        <v>1813250710</v>
      </c>
      <c r="B622" t="s">
        <v>215</v>
      </c>
      <c r="C622" s="169">
        <v>0</v>
      </c>
      <c r="D622" s="169">
        <v>0</v>
      </c>
      <c r="E622" t="e">
        <f>VLOOKUP(A:A,הוצאות!B:B,1,0)</f>
        <v>#N/A</v>
      </c>
      <c r="F622" s="156" t="e">
        <f>VLOOKUP(A:A,הוצאות!B:O,14,0)</f>
        <v>#N/A</v>
      </c>
      <c r="G622" s="180" t="e">
        <f t="shared" si="6"/>
        <v>#N/A</v>
      </c>
    </row>
    <row r="623" spans="1:7">
      <c r="A623">
        <v>1813250750</v>
      </c>
      <c r="B623" t="s">
        <v>34</v>
      </c>
      <c r="C623" s="169">
        <v>0</v>
      </c>
      <c r="D623" s="169">
        <v>0</v>
      </c>
      <c r="E623" t="e">
        <f>VLOOKUP(A:A,הוצאות!B:B,1,0)</f>
        <v>#N/A</v>
      </c>
      <c r="F623" s="156" t="e">
        <f>VLOOKUP(A:A,הוצאות!B:O,14,0)</f>
        <v>#N/A</v>
      </c>
      <c r="G623" s="180" t="e">
        <f t="shared" si="6"/>
        <v>#N/A</v>
      </c>
    </row>
    <row r="624" spans="1:7">
      <c r="A624">
        <v>1813300110</v>
      </c>
      <c r="B624" t="s">
        <v>216</v>
      </c>
      <c r="C624" s="169">
        <v>1053750</v>
      </c>
      <c r="D624" s="169">
        <v>988881.23</v>
      </c>
      <c r="E624">
        <f>VLOOKUP(A:A,הוצאות!B:B,1,0)</f>
        <v>1813300110</v>
      </c>
      <c r="F624" s="156">
        <f>VLOOKUP(A:A,הוצאות!B:O,14,0)</f>
        <v>988881.23</v>
      </c>
      <c r="G624" s="180">
        <f t="shared" si="6"/>
        <v>0</v>
      </c>
    </row>
    <row r="625" spans="1:7">
      <c r="A625">
        <v>1813300320</v>
      </c>
      <c r="B625" t="s">
        <v>25</v>
      </c>
      <c r="C625" s="169">
        <v>0</v>
      </c>
      <c r="D625" s="169">
        <v>0</v>
      </c>
      <c r="E625" t="e">
        <f>VLOOKUP(A:A,הוצאות!B:B,1,0)</f>
        <v>#N/A</v>
      </c>
      <c r="F625" s="156" t="e">
        <f>VLOOKUP(A:A,הוצאות!B:O,14,0)</f>
        <v>#N/A</v>
      </c>
      <c r="G625" s="180" t="e">
        <f t="shared" si="6"/>
        <v>#N/A</v>
      </c>
    </row>
    <row r="626" spans="1:7" hidden="1">
      <c r="A626">
        <v>1813300420</v>
      </c>
      <c r="B626" t="s">
        <v>150</v>
      </c>
      <c r="C626" s="169">
        <v>0</v>
      </c>
      <c r="D626" s="169">
        <v>0</v>
      </c>
      <c r="E626" t="e">
        <f>VLOOKUP(A:A,הוצאות!B:B,1,0)</f>
        <v>#N/A</v>
      </c>
    </row>
    <row r="627" spans="1:7" hidden="1">
      <c r="A627">
        <v>1813300431</v>
      </c>
      <c r="B627" t="s">
        <v>1763</v>
      </c>
      <c r="C627" s="169">
        <v>0</v>
      </c>
      <c r="D627" s="169">
        <v>0</v>
      </c>
      <c r="E627">
        <f>VLOOKUP(A:A,הוצאות!B:B,1,0)</f>
        <v>1813300431</v>
      </c>
    </row>
    <row r="628" spans="1:7" hidden="1">
      <c r="A628">
        <v>1813300432</v>
      </c>
      <c r="B628" t="s">
        <v>1764</v>
      </c>
      <c r="C628" s="169">
        <v>0</v>
      </c>
      <c r="D628" s="169">
        <v>0</v>
      </c>
      <c r="E628" t="e">
        <f>VLOOKUP(A:A,הוצאות!B:B,1,0)</f>
        <v>#N/A</v>
      </c>
    </row>
    <row r="629" spans="1:7" hidden="1">
      <c r="A629">
        <v>1813300433</v>
      </c>
      <c r="B629" t="s">
        <v>1765</v>
      </c>
      <c r="C629" s="169">
        <v>0</v>
      </c>
      <c r="D629" s="169">
        <v>0</v>
      </c>
      <c r="E629" t="e">
        <f>VLOOKUP(A:A,הוצאות!B:B,1,0)</f>
        <v>#N/A</v>
      </c>
    </row>
    <row r="630" spans="1:7" hidden="1">
      <c r="A630">
        <v>1813300434</v>
      </c>
      <c r="B630" t="s">
        <v>173</v>
      </c>
      <c r="C630" s="169">
        <v>0</v>
      </c>
      <c r="D630" s="169">
        <v>0</v>
      </c>
      <c r="E630" t="e">
        <f>VLOOKUP(A:A,הוצאות!B:B,1,0)</f>
        <v>#N/A</v>
      </c>
    </row>
    <row r="631" spans="1:7">
      <c r="A631">
        <v>1813300540</v>
      </c>
      <c r="B631" t="s">
        <v>217</v>
      </c>
      <c r="C631" s="169">
        <v>11660</v>
      </c>
      <c r="D631" s="169">
        <v>25824.6</v>
      </c>
      <c r="E631">
        <f>VLOOKUP(A:A,הוצאות!B:B,1,0)</f>
        <v>1813300540</v>
      </c>
      <c r="F631" s="156">
        <f>VLOOKUP(A:A,הוצאות!B:O,14,0)</f>
        <v>25824.6</v>
      </c>
      <c r="G631" s="180">
        <f t="shared" ref="G631:G672" si="7">D631-F631</f>
        <v>0</v>
      </c>
    </row>
    <row r="632" spans="1:7">
      <c r="A632">
        <v>1813300560</v>
      </c>
      <c r="B632" t="s">
        <v>52</v>
      </c>
      <c r="C632" s="169">
        <v>1670</v>
      </c>
      <c r="D632" s="169">
        <v>0</v>
      </c>
      <c r="E632">
        <f>VLOOKUP(A:A,הוצאות!B:B,1,0)</f>
        <v>1813300560</v>
      </c>
      <c r="F632" s="156">
        <f>VLOOKUP(A:A,הוצאות!B:O,14,0)</f>
        <v>0</v>
      </c>
      <c r="G632" s="180">
        <f t="shared" si="7"/>
        <v>0</v>
      </c>
    </row>
    <row r="633" spans="1:7">
      <c r="A633">
        <v>1813300720</v>
      </c>
      <c r="B633" t="s">
        <v>32</v>
      </c>
      <c r="C633" s="169">
        <v>2500</v>
      </c>
      <c r="D633" s="169">
        <v>2000</v>
      </c>
      <c r="E633">
        <f>VLOOKUP(A:A,הוצאות!B:B,1,0)</f>
        <v>1813300720</v>
      </c>
      <c r="F633" s="156">
        <f>VLOOKUP(A:A,הוצאות!B:O,14,0)</f>
        <v>2000</v>
      </c>
      <c r="G633" s="180">
        <f t="shared" si="7"/>
        <v>0</v>
      </c>
    </row>
    <row r="634" spans="1:7">
      <c r="A634">
        <v>1813300721</v>
      </c>
      <c r="B634" t="s">
        <v>218</v>
      </c>
      <c r="C634" s="169">
        <v>208250</v>
      </c>
      <c r="D634" s="169">
        <v>173335.05</v>
      </c>
      <c r="E634">
        <f>VLOOKUP(A:A,הוצאות!B:B,1,0)</f>
        <v>1813300721</v>
      </c>
      <c r="F634" s="156">
        <f>VLOOKUP(A:A,הוצאות!B:O,14,0)</f>
        <v>173335.05</v>
      </c>
      <c r="G634" s="180">
        <f t="shared" si="7"/>
        <v>0</v>
      </c>
    </row>
    <row r="635" spans="1:7">
      <c r="A635">
        <v>1813300740</v>
      </c>
      <c r="B635" t="s">
        <v>33</v>
      </c>
      <c r="C635" s="169">
        <v>0</v>
      </c>
      <c r="D635" s="169">
        <v>0</v>
      </c>
      <c r="E635" t="e">
        <f>VLOOKUP(A:A,הוצאות!B:B,1,0)</f>
        <v>#N/A</v>
      </c>
      <c r="F635" s="156" t="e">
        <f>VLOOKUP(A:A,הוצאות!B:O,14,0)</f>
        <v>#N/A</v>
      </c>
      <c r="G635" s="180" t="e">
        <f t="shared" si="7"/>
        <v>#N/A</v>
      </c>
    </row>
    <row r="636" spans="1:7">
      <c r="A636">
        <v>1813300750</v>
      </c>
      <c r="B636" t="s">
        <v>34</v>
      </c>
      <c r="C636" s="169">
        <v>6660</v>
      </c>
      <c r="D636" s="169">
        <v>9010</v>
      </c>
      <c r="E636">
        <f>VLOOKUP(A:A,הוצאות!B:B,1,0)</f>
        <v>1813300750</v>
      </c>
      <c r="F636" s="156">
        <f>VLOOKUP(A:A,הוצאות!B:O,14,0)</f>
        <v>9010</v>
      </c>
      <c r="G636" s="180">
        <f t="shared" si="7"/>
        <v>0</v>
      </c>
    </row>
    <row r="637" spans="1:7">
      <c r="A637">
        <v>1813300780</v>
      </c>
      <c r="B637" t="s">
        <v>18</v>
      </c>
      <c r="C637" s="169">
        <v>79140</v>
      </c>
      <c r="D637" s="169">
        <v>22242</v>
      </c>
      <c r="E637">
        <f>VLOOKUP(A:A,הוצאות!B:B,1,0)</f>
        <v>1813300780</v>
      </c>
      <c r="F637" s="156">
        <f>VLOOKUP(A:A,הוצאות!B:O,14,0)</f>
        <v>22242</v>
      </c>
      <c r="G637" s="180">
        <f t="shared" si="7"/>
        <v>0</v>
      </c>
    </row>
    <row r="638" spans="1:7">
      <c r="A638">
        <v>1813300781</v>
      </c>
      <c r="B638" t="s">
        <v>219</v>
      </c>
      <c r="C638" s="169">
        <v>0</v>
      </c>
      <c r="D638" s="169">
        <v>0</v>
      </c>
      <c r="E638" t="e">
        <f>VLOOKUP(A:A,הוצאות!B:B,1,0)</f>
        <v>#N/A</v>
      </c>
      <c r="F638" s="156" t="e">
        <f>VLOOKUP(A:A,הוצאות!B:O,14,0)</f>
        <v>#N/A</v>
      </c>
      <c r="G638" s="180" t="e">
        <f t="shared" si="7"/>
        <v>#N/A</v>
      </c>
    </row>
    <row r="639" spans="1:7">
      <c r="A639">
        <v>1813300870</v>
      </c>
      <c r="B639" t="s">
        <v>220</v>
      </c>
      <c r="C639" s="169">
        <v>0</v>
      </c>
      <c r="D639" s="169">
        <v>0</v>
      </c>
      <c r="E639">
        <f>VLOOKUP(A:A,הוצאות!B:B,1,0)</f>
        <v>1813300870</v>
      </c>
      <c r="F639" s="156">
        <f>VLOOKUP(A:A,הוצאות!B:O,14,0)</f>
        <v>0</v>
      </c>
      <c r="G639" s="180">
        <f t="shared" si="7"/>
        <v>0</v>
      </c>
    </row>
    <row r="640" spans="1:7">
      <c r="A640">
        <v>1813300930</v>
      </c>
      <c r="B640" t="s">
        <v>19</v>
      </c>
      <c r="C640" s="169">
        <v>0</v>
      </c>
      <c r="D640" s="169">
        <v>0</v>
      </c>
      <c r="E640" t="e">
        <f>VLOOKUP(A:A,הוצאות!B:B,1,0)</f>
        <v>#N/A</v>
      </c>
      <c r="F640" s="156" t="e">
        <f>VLOOKUP(A:A,הוצאות!B:O,14,0)</f>
        <v>#N/A</v>
      </c>
      <c r="G640" s="180" t="e">
        <f t="shared" si="7"/>
        <v>#N/A</v>
      </c>
    </row>
    <row r="641" spans="1:7">
      <c r="A641">
        <v>1813303760</v>
      </c>
      <c r="B641" t="s">
        <v>1766</v>
      </c>
      <c r="C641" s="169">
        <v>624750</v>
      </c>
      <c r="D641" s="169">
        <v>962140</v>
      </c>
      <c r="E641">
        <f>VLOOKUP(A:A,הוצאות!B:B,1,0)</f>
        <v>1813303760</v>
      </c>
      <c r="F641" s="156">
        <f>VLOOKUP(A:A,הוצאות!B:O,14,0)</f>
        <v>962140</v>
      </c>
      <c r="G641" s="180">
        <f t="shared" si="7"/>
        <v>0</v>
      </c>
    </row>
    <row r="642" spans="1:7">
      <c r="A642">
        <v>1814000110</v>
      </c>
      <c r="B642" t="s">
        <v>222</v>
      </c>
      <c r="C642" s="169">
        <v>541450</v>
      </c>
      <c r="D642" s="169">
        <v>695749.57</v>
      </c>
      <c r="E642">
        <f>VLOOKUP(A:A,הוצאות!B:B,1,0)</f>
        <v>1814000110</v>
      </c>
      <c r="F642" s="156">
        <f>VLOOKUP(A:A,הוצאות!B:O,14,0)</f>
        <v>695749.57</v>
      </c>
      <c r="G642" s="180">
        <f t="shared" si="7"/>
        <v>0</v>
      </c>
    </row>
    <row r="643" spans="1:7">
      <c r="A643" s="170">
        <v>1814000320</v>
      </c>
      <c r="B643" s="170" t="s">
        <v>1767</v>
      </c>
      <c r="C643" s="171">
        <v>0</v>
      </c>
      <c r="D643" s="171">
        <v>11803</v>
      </c>
      <c r="E643" s="170">
        <f>VLOOKUP(A:A,הוצאות!B:B,1,0)</f>
        <v>1814000320</v>
      </c>
      <c r="F643" s="156">
        <f>VLOOKUP(A:A,הוצאות!B:O,14,0)</f>
        <v>0</v>
      </c>
      <c r="G643" s="180">
        <f t="shared" si="7"/>
        <v>11803</v>
      </c>
    </row>
    <row r="644" spans="1:7">
      <c r="A644">
        <v>1814000420</v>
      </c>
      <c r="B644" t="s">
        <v>223</v>
      </c>
      <c r="C644" s="169">
        <v>0</v>
      </c>
      <c r="D644" s="169">
        <v>0</v>
      </c>
      <c r="E644" t="e">
        <f>VLOOKUP(A:A,הוצאות!B:B,1,0)</f>
        <v>#N/A</v>
      </c>
      <c r="F644" s="156" t="e">
        <f>VLOOKUP(A:A,הוצאות!B:O,14,0)</f>
        <v>#N/A</v>
      </c>
      <c r="G644" s="180" t="e">
        <f t="shared" si="7"/>
        <v>#N/A</v>
      </c>
    </row>
    <row r="645" spans="1:7">
      <c r="A645">
        <v>1814000431</v>
      </c>
      <c r="B645" t="s">
        <v>224</v>
      </c>
      <c r="C645" s="169">
        <v>0</v>
      </c>
      <c r="D645" s="169">
        <v>0</v>
      </c>
      <c r="E645">
        <f>VLOOKUP(A:A,הוצאות!B:B,1,0)</f>
        <v>1814000431</v>
      </c>
      <c r="F645" s="156">
        <f>VLOOKUP(A:A,הוצאות!B:O,14,0)</f>
        <v>0</v>
      </c>
      <c r="G645" s="180">
        <f t="shared" si="7"/>
        <v>0</v>
      </c>
    </row>
    <row r="646" spans="1:7">
      <c r="A646">
        <v>1814000432</v>
      </c>
      <c r="B646" t="s">
        <v>225</v>
      </c>
      <c r="C646" s="169">
        <v>33320</v>
      </c>
      <c r="D646" s="169">
        <v>48931.6</v>
      </c>
      <c r="E646">
        <f>VLOOKUP(A:A,הוצאות!B:B,1,0)</f>
        <v>1814000432</v>
      </c>
      <c r="F646" s="156">
        <f>VLOOKUP(A:A,הוצאות!B:O,14,0)</f>
        <v>48931.6</v>
      </c>
      <c r="G646" s="180">
        <f t="shared" si="7"/>
        <v>0</v>
      </c>
    </row>
    <row r="647" spans="1:7">
      <c r="A647">
        <v>1814000433</v>
      </c>
      <c r="B647" t="s">
        <v>226</v>
      </c>
      <c r="C647" s="169">
        <v>0</v>
      </c>
      <c r="D647" s="169">
        <v>0</v>
      </c>
      <c r="E647" t="e">
        <f>VLOOKUP(A:A,הוצאות!B:B,1,0)</f>
        <v>#N/A</v>
      </c>
      <c r="F647" s="156" t="e">
        <f>VLOOKUP(A:A,הוצאות!B:O,14,0)</f>
        <v>#N/A</v>
      </c>
      <c r="G647" s="180" t="e">
        <f t="shared" si="7"/>
        <v>#N/A</v>
      </c>
    </row>
    <row r="648" spans="1:7">
      <c r="A648">
        <v>1814000434</v>
      </c>
      <c r="B648" t="s">
        <v>173</v>
      </c>
      <c r="C648" s="169">
        <v>0</v>
      </c>
      <c r="D648" s="169">
        <v>0</v>
      </c>
      <c r="E648" t="e">
        <f>VLOOKUP(A:A,הוצאות!B:B,1,0)</f>
        <v>#N/A</v>
      </c>
      <c r="F648" s="156" t="e">
        <f>VLOOKUP(A:A,הוצאות!B:O,14,0)</f>
        <v>#N/A</v>
      </c>
      <c r="G648" s="180" t="e">
        <f t="shared" si="7"/>
        <v>#N/A</v>
      </c>
    </row>
    <row r="649" spans="1:7">
      <c r="A649">
        <v>1814000540</v>
      </c>
      <c r="B649" t="s">
        <v>227</v>
      </c>
      <c r="C649" s="169">
        <v>2500</v>
      </c>
      <c r="D649" s="169">
        <v>0</v>
      </c>
      <c r="E649">
        <f>VLOOKUP(A:A,הוצאות!B:B,1,0)</f>
        <v>1814000540</v>
      </c>
      <c r="F649" s="156">
        <f>VLOOKUP(A:A,הוצאות!B:O,14,0)</f>
        <v>0</v>
      </c>
      <c r="G649" s="180">
        <f t="shared" si="7"/>
        <v>0</v>
      </c>
    </row>
    <row r="650" spans="1:7">
      <c r="A650">
        <v>1814000560</v>
      </c>
      <c r="B650" t="s">
        <v>228</v>
      </c>
      <c r="C650" s="169">
        <v>20830</v>
      </c>
      <c r="D650" s="169">
        <v>0</v>
      </c>
      <c r="E650">
        <f>VLOOKUP(A:A,הוצאות!B:B,1,0)</f>
        <v>1814000560</v>
      </c>
      <c r="F650" s="156">
        <f>VLOOKUP(A:A,הוצאות!B:O,14,0)</f>
        <v>0</v>
      </c>
      <c r="G650" s="180">
        <f t="shared" si="7"/>
        <v>0</v>
      </c>
    </row>
    <row r="651" spans="1:7">
      <c r="A651">
        <v>1814000720</v>
      </c>
      <c r="B651" t="s">
        <v>229</v>
      </c>
      <c r="C651" s="169">
        <v>0</v>
      </c>
      <c r="D651" s="169">
        <v>0</v>
      </c>
      <c r="E651" t="e">
        <f>VLOOKUP(A:A,הוצאות!B:B,1,0)</f>
        <v>#N/A</v>
      </c>
      <c r="F651" s="156" t="e">
        <f>VLOOKUP(A:A,הוצאות!B:O,14,0)</f>
        <v>#N/A</v>
      </c>
      <c r="G651" s="180" t="e">
        <f t="shared" si="7"/>
        <v>#N/A</v>
      </c>
    </row>
    <row r="652" spans="1:7">
      <c r="A652">
        <v>1814000740</v>
      </c>
      <c r="B652" t="s">
        <v>230</v>
      </c>
      <c r="C652" s="169">
        <v>0</v>
      </c>
      <c r="D652" s="169">
        <v>0</v>
      </c>
      <c r="E652" t="e">
        <f>VLOOKUP(A:A,הוצאות!B:B,1,0)</f>
        <v>#N/A</v>
      </c>
      <c r="F652" s="156" t="e">
        <f>VLOOKUP(A:A,הוצאות!B:O,14,0)</f>
        <v>#N/A</v>
      </c>
      <c r="G652" s="180" t="e">
        <f t="shared" si="7"/>
        <v>#N/A</v>
      </c>
    </row>
    <row r="653" spans="1:7">
      <c r="A653">
        <v>1814000750</v>
      </c>
      <c r="B653" t="s">
        <v>231</v>
      </c>
      <c r="C653" s="169">
        <v>83300</v>
      </c>
      <c r="D653" s="169">
        <v>98835.3</v>
      </c>
      <c r="E653">
        <f>VLOOKUP(A:A,הוצאות!B:B,1,0)</f>
        <v>1814000750</v>
      </c>
      <c r="F653" s="156">
        <f>VLOOKUP(A:A,הוצאות!B:O,14,0)</f>
        <v>98835.3</v>
      </c>
      <c r="G653" s="180">
        <f t="shared" si="7"/>
        <v>0</v>
      </c>
    </row>
    <row r="654" spans="1:7">
      <c r="A654">
        <v>1814000780</v>
      </c>
      <c r="B654" t="s">
        <v>1768</v>
      </c>
      <c r="C654" s="169">
        <v>8330</v>
      </c>
      <c r="D654" s="169">
        <v>0</v>
      </c>
      <c r="E654">
        <f>VLOOKUP(A:A,הוצאות!B:B,1,0)</f>
        <v>1814000780</v>
      </c>
      <c r="F654" s="156">
        <f>VLOOKUP(A:A,הוצאות!B:O,14,0)</f>
        <v>0</v>
      </c>
      <c r="G654" s="180">
        <f t="shared" si="7"/>
        <v>0</v>
      </c>
    </row>
    <row r="655" spans="1:7">
      <c r="A655">
        <v>1814000870</v>
      </c>
      <c r="B655" t="s">
        <v>232</v>
      </c>
      <c r="C655" s="169">
        <v>0</v>
      </c>
      <c r="D655" s="169">
        <v>25000</v>
      </c>
      <c r="E655">
        <f>VLOOKUP(A:A,הוצאות!B:B,1,0)</f>
        <v>1814000870</v>
      </c>
      <c r="F655" s="156">
        <f>VLOOKUP(A:A,הוצאות!B:O,14,0)</f>
        <v>25000</v>
      </c>
      <c r="G655" s="180">
        <f t="shared" si="7"/>
        <v>0</v>
      </c>
    </row>
    <row r="656" spans="1:7">
      <c r="A656">
        <v>1814000930</v>
      </c>
      <c r="B656" t="s">
        <v>19</v>
      </c>
      <c r="C656" s="169">
        <v>0</v>
      </c>
      <c r="D656" s="169">
        <v>0</v>
      </c>
      <c r="E656" t="e">
        <f>VLOOKUP(A:A,הוצאות!B:B,1,0)</f>
        <v>#N/A</v>
      </c>
      <c r="F656" s="156" t="e">
        <f>VLOOKUP(A:A,הוצאות!B:O,14,0)</f>
        <v>#N/A</v>
      </c>
      <c r="G656" s="180" t="e">
        <f t="shared" si="7"/>
        <v>#N/A</v>
      </c>
    </row>
    <row r="657" spans="1:7">
      <c r="A657">
        <v>1815200110</v>
      </c>
      <c r="B657" t="s">
        <v>233</v>
      </c>
      <c r="C657" s="169">
        <v>6572370</v>
      </c>
      <c r="D657" s="169">
        <v>5811565.3099999996</v>
      </c>
      <c r="E657">
        <f>VLOOKUP(A:A,הוצאות!B:B,1,0)</f>
        <v>1815200110</v>
      </c>
      <c r="F657" s="156">
        <f>VLOOKUP(A:A,הוצאות!B:O,14,0)</f>
        <v>5811565.3099999996</v>
      </c>
      <c r="G657" s="180">
        <f t="shared" si="7"/>
        <v>0</v>
      </c>
    </row>
    <row r="658" spans="1:7">
      <c r="A658">
        <v>1815200320</v>
      </c>
      <c r="B658" t="s">
        <v>25</v>
      </c>
      <c r="C658" s="169">
        <v>0</v>
      </c>
      <c r="D658" s="169">
        <v>228444</v>
      </c>
      <c r="E658">
        <f>VLOOKUP(A:A,הוצאות!B:B,1,0)</f>
        <v>1815200320</v>
      </c>
      <c r="F658" s="156">
        <f>VLOOKUP(A:A,הוצאות!B:O,14,0)</f>
        <v>228444</v>
      </c>
      <c r="G658" s="180">
        <f t="shared" si="7"/>
        <v>0</v>
      </c>
    </row>
    <row r="659" spans="1:7">
      <c r="A659">
        <v>1815200420</v>
      </c>
      <c r="B659" t="s">
        <v>234</v>
      </c>
      <c r="C659" s="169">
        <v>0</v>
      </c>
      <c r="D659" s="169">
        <v>0</v>
      </c>
      <c r="E659">
        <f>VLOOKUP(A:A,הוצאות!B:B,1,0)</f>
        <v>1815200420</v>
      </c>
      <c r="F659" s="156">
        <f>VLOOKUP(A:A,הוצאות!B:O,14,0)</f>
        <v>0</v>
      </c>
      <c r="G659" s="180">
        <f t="shared" si="7"/>
        <v>0</v>
      </c>
    </row>
    <row r="660" spans="1:7">
      <c r="A660">
        <v>1815200431</v>
      </c>
      <c r="B660" t="s">
        <v>235</v>
      </c>
      <c r="C660" s="169">
        <v>41650</v>
      </c>
      <c r="D660" s="169">
        <v>10917.8</v>
      </c>
      <c r="E660">
        <f>VLOOKUP(A:A,הוצאות!B:B,1,0)</f>
        <v>1815200431</v>
      </c>
      <c r="F660" s="156">
        <f>VLOOKUP(A:A,הוצאות!B:O,14,0)</f>
        <v>10917.8</v>
      </c>
      <c r="G660" s="180">
        <f t="shared" si="7"/>
        <v>0</v>
      </c>
    </row>
    <row r="661" spans="1:7">
      <c r="A661">
        <v>1815200432</v>
      </c>
      <c r="B661" t="s">
        <v>236</v>
      </c>
      <c r="C661" s="169">
        <v>41650</v>
      </c>
      <c r="D661" s="169">
        <v>45553.1</v>
      </c>
      <c r="E661">
        <f>VLOOKUP(A:A,הוצאות!B:B,1,0)</f>
        <v>1815200432</v>
      </c>
      <c r="F661" s="156">
        <f>VLOOKUP(A:A,הוצאות!B:O,14,0)</f>
        <v>45553.1</v>
      </c>
      <c r="G661" s="180">
        <f t="shared" si="7"/>
        <v>0</v>
      </c>
    </row>
    <row r="662" spans="1:7">
      <c r="A662">
        <v>1815200433</v>
      </c>
      <c r="B662" t="s">
        <v>237</v>
      </c>
      <c r="C662" s="169">
        <v>0</v>
      </c>
      <c r="D662" s="169">
        <v>0</v>
      </c>
      <c r="E662" t="e">
        <f>VLOOKUP(A:A,הוצאות!B:B,1,0)</f>
        <v>#N/A</v>
      </c>
      <c r="F662" s="156" t="e">
        <f>VLOOKUP(A:A,הוצאות!B:O,14,0)</f>
        <v>#N/A</v>
      </c>
      <c r="G662" s="180" t="e">
        <f t="shared" si="7"/>
        <v>#N/A</v>
      </c>
    </row>
    <row r="663" spans="1:7">
      <c r="A663">
        <v>1815200434</v>
      </c>
      <c r="B663" t="s">
        <v>173</v>
      </c>
      <c r="C663" s="169">
        <v>0</v>
      </c>
      <c r="D663" s="169">
        <v>0</v>
      </c>
      <c r="E663">
        <f>VLOOKUP(A:A,הוצאות!B:B,1,0)</f>
        <v>1815200434</v>
      </c>
      <c r="F663" s="156">
        <f>VLOOKUP(A:A,הוצאות!B:O,14,0)</f>
        <v>0</v>
      </c>
      <c r="G663" s="180">
        <f t="shared" si="7"/>
        <v>0</v>
      </c>
    </row>
    <row r="664" spans="1:7">
      <c r="A664">
        <v>1815200450</v>
      </c>
      <c r="B664" t="s">
        <v>238</v>
      </c>
      <c r="C664" s="169">
        <v>0</v>
      </c>
      <c r="D664" s="169">
        <v>0</v>
      </c>
      <c r="E664" t="e">
        <f>VLOOKUP(A:A,הוצאות!B:B,1,0)</f>
        <v>#N/A</v>
      </c>
      <c r="F664" s="156" t="e">
        <f>VLOOKUP(A:A,הוצאות!B:O,14,0)</f>
        <v>#N/A</v>
      </c>
      <c r="G664" s="180" t="e">
        <f t="shared" si="7"/>
        <v>#N/A</v>
      </c>
    </row>
    <row r="665" spans="1:7">
      <c r="A665">
        <v>1815200540</v>
      </c>
      <c r="B665" t="s">
        <v>239</v>
      </c>
      <c r="C665" s="169">
        <v>16660</v>
      </c>
      <c r="D665" s="169">
        <v>0</v>
      </c>
      <c r="E665">
        <f>VLOOKUP(A:A,הוצאות!B:B,1,0)</f>
        <v>1815200540</v>
      </c>
      <c r="F665" s="156">
        <f>VLOOKUP(A:A,הוצאות!B:O,14,0)</f>
        <v>0</v>
      </c>
      <c r="G665" s="180">
        <f t="shared" si="7"/>
        <v>0</v>
      </c>
    </row>
    <row r="666" spans="1:7">
      <c r="A666">
        <v>1815200560</v>
      </c>
      <c r="B666" t="s">
        <v>240</v>
      </c>
      <c r="C666" s="169">
        <v>4170</v>
      </c>
      <c r="D666" s="169">
        <v>2960</v>
      </c>
      <c r="E666">
        <f>VLOOKUP(A:A,הוצאות!B:B,1,0)</f>
        <v>1815200560</v>
      </c>
      <c r="F666" s="156">
        <f>VLOOKUP(A:A,הוצאות!B:O,14,0)</f>
        <v>2960</v>
      </c>
      <c r="G666" s="180">
        <f t="shared" si="7"/>
        <v>0</v>
      </c>
    </row>
    <row r="667" spans="1:7">
      <c r="A667">
        <v>1815200720</v>
      </c>
      <c r="B667" t="s">
        <v>241</v>
      </c>
      <c r="C667" s="169">
        <v>0</v>
      </c>
      <c r="D667" s="169">
        <v>0</v>
      </c>
      <c r="E667">
        <f>VLOOKUP(A:A,הוצאות!B:B,1,0)</f>
        <v>1815200720</v>
      </c>
      <c r="F667" s="156">
        <f>VLOOKUP(A:A,הוצאות!B:O,14,0)</f>
        <v>0</v>
      </c>
      <c r="G667" s="180">
        <f t="shared" si="7"/>
        <v>0</v>
      </c>
    </row>
    <row r="668" spans="1:7">
      <c r="A668">
        <v>1815200740</v>
      </c>
      <c r="B668" t="s">
        <v>242</v>
      </c>
      <c r="C668" s="169">
        <v>0</v>
      </c>
      <c r="D668" s="169">
        <v>0</v>
      </c>
      <c r="E668" t="e">
        <f>VLOOKUP(A:A,הוצאות!B:B,1,0)</f>
        <v>#N/A</v>
      </c>
      <c r="F668" s="156" t="e">
        <f>VLOOKUP(A:A,הוצאות!B:O,14,0)</f>
        <v>#N/A</v>
      </c>
      <c r="G668" s="180" t="e">
        <f t="shared" si="7"/>
        <v>#N/A</v>
      </c>
    </row>
    <row r="669" spans="1:7">
      <c r="A669">
        <v>1815200750</v>
      </c>
      <c r="B669" t="s">
        <v>243</v>
      </c>
      <c r="C669" s="169">
        <v>957950</v>
      </c>
      <c r="D669" s="169">
        <v>768125.14</v>
      </c>
      <c r="E669">
        <f>VLOOKUP(A:A,הוצאות!B:B,1,0)</f>
        <v>1815200750</v>
      </c>
      <c r="F669" s="156">
        <f>VLOOKUP(A:A,הוצאות!B:O,14,0)</f>
        <v>768125.14</v>
      </c>
      <c r="G669" s="180">
        <f t="shared" si="7"/>
        <v>0</v>
      </c>
    </row>
    <row r="670" spans="1:7">
      <c r="A670">
        <v>1815200760</v>
      </c>
      <c r="B670" t="s">
        <v>244</v>
      </c>
      <c r="C670" s="169">
        <v>0</v>
      </c>
      <c r="D670" s="169">
        <v>56160</v>
      </c>
      <c r="E670">
        <f>VLOOKUP(A:A,הוצאות!B:B,1,0)</f>
        <v>1815200760</v>
      </c>
      <c r="F670" s="156">
        <f>VLOOKUP(A:A,הוצאות!B:O,14,0)</f>
        <v>56160</v>
      </c>
      <c r="G670" s="180">
        <f t="shared" si="7"/>
        <v>0</v>
      </c>
    </row>
    <row r="671" spans="1:7">
      <c r="A671">
        <v>1815200780</v>
      </c>
      <c r="B671" t="s">
        <v>245</v>
      </c>
      <c r="C671" s="169">
        <v>12500</v>
      </c>
      <c r="D671" s="169">
        <v>0</v>
      </c>
      <c r="E671">
        <f>VLOOKUP(A:A,הוצאות!B:B,1,0)</f>
        <v>1815200780</v>
      </c>
      <c r="F671" s="156">
        <f>VLOOKUP(A:A,הוצאות!B:O,14,0)</f>
        <v>0</v>
      </c>
      <c r="G671" s="180">
        <f t="shared" si="7"/>
        <v>0</v>
      </c>
    </row>
    <row r="672" spans="1:7">
      <c r="A672">
        <v>1815200870</v>
      </c>
      <c r="B672" t="s">
        <v>246</v>
      </c>
      <c r="C672" s="169">
        <v>14990</v>
      </c>
      <c r="D672" s="169">
        <v>25000</v>
      </c>
      <c r="E672">
        <f>VLOOKUP(A:A,הוצאות!B:B,1,0)</f>
        <v>1815200870</v>
      </c>
      <c r="F672" s="156">
        <f>VLOOKUP(A:A,הוצאות!B:O,14,0)</f>
        <v>25000</v>
      </c>
      <c r="G672" s="180">
        <f t="shared" si="7"/>
        <v>0</v>
      </c>
    </row>
    <row r="673" spans="1:7" hidden="1">
      <c r="A673">
        <v>1815200928</v>
      </c>
      <c r="B673" t="s">
        <v>1769</v>
      </c>
      <c r="C673" s="169">
        <v>0</v>
      </c>
      <c r="D673" s="169">
        <v>0</v>
      </c>
      <c r="E673" t="e">
        <f>VLOOKUP(A:A,הוצאות!B:B,1,0)</f>
        <v>#N/A</v>
      </c>
    </row>
    <row r="674" spans="1:7" hidden="1">
      <c r="A674">
        <v>1815210110</v>
      </c>
      <c r="B674" t="s">
        <v>1770</v>
      </c>
      <c r="C674" s="169">
        <v>0</v>
      </c>
      <c r="D674" s="169">
        <v>0</v>
      </c>
      <c r="E674" t="e">
        <f>VLOOKUP(A:A,הוצאות!B:B,1,0)</f>
        <v>#N/A</v>
      </c>
    </row>
    <row r="675" spans="1:7" hidden="1">
      <c r="A675">
        <v>1815299399</v>
      </c>
      <c r="B675" t="s">
        <v>47</v>
      </c>
      <c r="C675" s="169">
        <v>0</v>
      </c>
      <c r="D675" s="169">
        <v>0</v>
      </c>
      <c r="E675" t="e">
        <f>VLOOKUP(A:A,הוצאות!B:B,1,0)</f>
        <v>#N/A</v>
      </c>
    </row>
    <row r="676" spans="1:7" hidden="1">
      <c r="A676">
        <v>1815700760</v>
      </c>
      <c r="B676" t="s">
        <v>1771</v>
      </c>
      <c r="C676" s="169">
        <v>0</v>
      </c>
      <c r="D676" s="169">
        <v>0</v>
      </c>
      <c r="E676">
        <f>VLOOKUP(A:A,הוצאות!B:B,1,0)</f>
        <v>1815700760</v>
      </c>
    </row>
    <row r="677" spans="1:7" hidden="1">
      <c r="A677">
        <v>1815700770</v>
      </c>
      <c r="B677" t="s">
        <v>1772</v>
      </c>
      <c r="C677" s="169">
        <v>0</v>
      </c>
      <c r="D677" s="169">
        <v>0</v>
      </c>
      <c r="E677" t="e">
        <f>VLOOKUP(A:A,הוצאות!B:B,1,0)</f>
        <v>#N/A</v>
      </c>
    </row>
    <row r="678" spans="1:7">
      <c r="A678">
        <v>1817300110</v>
      </c>
      <c r="B678" t="s">
        <v>247</v>
      </c>
      <c r="C678" s="169">
        <v>580600</v>
      </c>
      <c r="D678" s="169">
        <v>521462.69</v>
      </c>
      <c r="E678">
        <f>VLOOKUP(A:A,הוצאות!B:B,1,0)</f>
        <v>1817300110</v>
      </c>
      <c r="F678" s="156">
        <f>VLOOKUP(A:A,הוצאות!B:O,14,0)</f>
        <v>521462.69</v>
      </c>
      <c r="G678" s="180">
        <f>D678-F678</f>
        <v>0</v>
      </c>
    </row>
    <row r="679" spans="1:7">
      <c r="A679">
        <v>1817300320</v>
      </c>
      <c r="B679" t="s">
        <v>248</v>
      </c>
      <c r="C679" s="169">
        <v>0</v>
      </c>
      <c r="D679" s="169">
        <v>0</v>
      </c>
      <c r="E679">
        <f>VLOOKUP(A:A,הוצאות!B:B,1,0)</f>
        <v>1817300320</v>
      </c>
      <c r="F679" s="156">
        <f>VLOOKUP(A:A,הוצאות!B:O,14,0)</f>
        <v>0</v>
      </c>
      <c r="G679" s="180">
        <f>D679-F679</f>
        <v>0</v>
      </c>
    </row>
    <row r="680" spans="1:7">
      <c r="A680">
        <v>1817300521</v>
      </c>
      <c r="B680" t="s">
        <v>249</v>
      </c>
      <c r="C680" s="169">
        <v>4170</v>
      </c>
      <c r="D680" s="169">
        <v>0</v>
      </c>
      <c r="E680">
        <f>VLOOKUP(A:A,הוצאות!B:B,1,0)</f>
        <v>1817300521</v>
      </c>
      <c r="F680" s="156">
        <f>VLOOKUP(A:A,הוצאות!B:O,14,0)</f>
        <v>0</v>
      </c>
      <c r="G680" s="180">
        <f>D680-F680</f>
        <v>0</v>
      </c>
    </row>
    <row r="681" spans="1:7" hidden="1">
      <c r="A681">
        <v>1817300522</v>
      </c>
      <c r="B681" t="s">
        <v>1773</v>
      </c>
      <c r="C681" s="169">
        <v>0</v>
      </c>
      <c r="D681" s="169">
        <v>0</v>
      </c>
      <c r="E681" t="e">
        <f>VLOOKUP(A:A,הוצאות!B:B,1,0)</f>
        <v>#N/A</v>
      </c>
    </row>
    <row r="682" spans="1:7" hidden="1">
      <c r="A682">
        <v>1817300523</v>
      </c>
      <c r="B682" t="s">
        <v>1774</v>
      </c>
      <c r="C682" s="169">
        <v>0</v>
      </c>
      <c r="D682" s="169">
        <v>0</v>
      </c>
      <c r="E682" t="e">
        <f>VLOOKUP(A:A,הוצאות!B:B,1,0)</f>
        <v>#N/A</v>
      </c>
    </row>
    <row r="683" spans="1:7" hidden="1">
      <c r="A683">
        <v>1817300720</v>
      </c>
      <c r="B683" t="s">
        <v>1775</v>
      </c>
      <c r="C683" s="169">
        <v>0</v>
      </c>
      <c r="D683" s="169">
        <v>0</v>
      </c>
      <c r="E683" t="e">
        <f>VLOOKUP(A:A,הוצאות!B:B,1,0)</f>
        <v>#N/A</v>
      </c>
    </row>
    <row r="684" spans="1:7" hidden="1">
      <c r="A684">
        <v>1817300780</v>
      </c>
      <c r="B684" t="s">
        <v>1776</v>
      </c>
      <c r="C684" s="169">
        <v>0</v>
      </c>
      <c r="D684" s="169">
        <v>0</v>
      </c>
      <c r="E684" t="e">
        <f>VLOOKUP(A:A,הוצאות!B:B,1,0)</f>
        <v>#N/A</v>
      </c>
    </row>
    <row r="685" spans="1:7">
      <c r="A685">
        <v>1817300930</v>
      </c>
      <c r="B685" t="s">
        <v>250</v>
      </c>
      <c r="C685" s="169">
        <v>1670</v>
      </c>
      <c r="D685" s="169">
        <v>0</v>
      </c>
      <c r="E685">
        <f>VLOOKUP(A:A,הוצאות!B:B,1,0)</f>
        <v>1817300930</v>
      </c>
      <c r="F685" s="156">
        <f>VLOOKUP(A:A,הוצאות!B:O,14,0)</f>
        <v>0</v>
      </c>
      <c r="G685" s="180">
        <f t="shared" ref="G685:G690" si="8">D685-F685</f>
        <v>0</v>
      </c>
    </row>
    <row r="686" spans="1:7">
      <c r="A686">
        <v>1817301750</v>
      </c>
      <c r="B686" t="s">
        <v>251</v>
      </c>
      <c r="C686" s="169">
        <v>38320</v>
      </c>
      <c r="D686" s="169">
        <v>21000</v>
      </c>
      <c r="E686">
        <f>VLOOKUP(A:A,הוצאות!B:B,1,0)</f>
        <v>1817301750</v>
      </c>
      <c r="F686" s="156">
        <f>VLOOKUP(A:A,הוצאות!B:O,14,0)</f>
        <v>0</v>
      </c>
      <c r="G686" s="180">
        <f t="shared" si="8"/>
        <v>21000</v>
      </c>
    </row>
    <row r="687" spans="1:7">
      <c r="A687">
        <v>1817400320</v>
      </c>
      <c r="B687" t="s">
        <v>252</v>
      </c>
      <c r="C687" s="169">
        <v>0</v>
      </c>
      <c r="D687" s="169">
        <v>0</v>
      </c>
      <c r="E687" t="e">
        <f>VLOOKUP(A:A,הוצאות!B:B,1,0)</f>
        <v>#N/A</v>
      </c>
      <c r="F687" s="156" t="e">
        <f>VLOOKUP(A:A,הוצאות!B:O,14,0)</f>
        <v>#N/A</v>
      </c>
      <c r="G687" s="180" t="e">
        <f t="shared" si="8"/>
        <v>#N/A</v>
      </c>
    </row>
    <row r="688" spans="1:7">
      <c r="A688" s="170">
        <v>1817400930</v>
      </c>
      <c r="B688" s="170" t="s">
        <v>1777</v>
      </c>
      <c r="C688" s="171">
        <v>0</v>
      </c>
      <c r="D688" s="171">
        <v>112656</v>
      </c>
      <c r="E688" s="170">
        <f>VLOOKUP(A:A,הוצאות!B:B,1,0)</f>
        <v>1817400930</v>
      </c>
      <c r="F688" s="156">
        <f>VLOOKUP(A:A,הוצאות!B:O,14,0)</f>
        <v>112656</v>
      </c>
      <c r="G688" s="180">
        <f t="shared" si="8"/>
        <v>0</v>
      </c>
    </row>
    <row r="689" spans="1:7">
      <c r="A689">
        <v>1817401720</v>
      </c>
      <c r="B689" t="s">
        <v>253</v>
      </c>
      <c r="C689" s="169">
        <v>0</v>
      </c>
      <c r="D689" s="169">
        <v>0</v>
      </c>
      <c r="E689" t="e">
        <f>VLOOKUP(A:A,הוצאות!B:B,1,0)</f>
        <v>#N/A</v>
      </c>
      <c r="F689" s="156" t="e">
        <f>VLOOKUP(A:A,הוצאות!B:O,14,0)</f>
        <v>#N/A</v>
      </c>
      <c r="G689" s="180" t="e">
        <f t="shared" si="8"/>
        <v>#N/A</v>
      </c>
    </row>
    <row r="690" spans="1:7">
      <c r="A690">
        <v>1817500441</v>
      </c>
      <c r="B690" t="s">
        <v>254</v>
      </c>
      <c r="C690" s="169">
        <v>166600</v>
      </c>
      <c r="D690" s="169">
        <v>303800</v>
      </c>
      <c r="E690">
        <f>VLOOKUP(A:A,הוצאות!B:B,1,0)</f>
        <v>1817500441</v>
      </c>
      <c r="F690" s="156">
        <f>VLOOKUP(A:A,הוצאות!B:O,14,0)</f>
        <v>303800</v>
      </c>
      <c r="G690" s="180">
        <f t="shared" si="8"/>
        <v>0</v>
      </c>
    </row>
    <row r="691" spans="1:7" hidden="1">
      <c r="A691">
        <v>1817600110</v>
      </c>
      <c r="B691" t="s">
        <v>1778</v>
      </c>
      <c r="C691" s="169">
        <v>0</v>
      </c>
      <c r="D691" s="169">
        <v>0</v>
      </c>
      <c r="E691">
        <f>VLOOKUP(A:A,הוצאות!B:B,1,0)</f>
        <v>1817600110</v>
      </c>
    </row>
    <row r="692" spans="1:7" hidden="1">
      <c r="A692">
        <v>1817600410</v>
      </c>
      <c r="B692" t="s">
        <v>1779</v>
      </c>
      <c r="C692" s="169">
        <v>0</v>
      </c>
      <c r="D692" s="169">
        <v>0</v>
      </c>
      <c r="E692" t="e">
        <f>VLOOKUP(A:A,הוצאות!B:B,1,0)</f>
        <v>#N/A</v>
      </c>
    </row>
    <row r="693" spans="1:7" hidden="1">
      <c r="A693">
        <v>1817600420</v>
      </c>
      <c r="B693" t="s">
        <v>1780</v>
      </c>
      <c r="C693" s="169">
        <v>0</v>
      </c>
      <c r="D693" s="169">
        <v>0</v>
      </c>
      <c r="E693" t="e">
        <f>VLOOKUP(A:A,הוצאות!B:B,1,0)</f>
        <v>#N/A</v>
      </c>
    </row>
    <row r="694" spans="1:7" hidden="1">
      <c r="A694">
        <v>1817600431</v>
      </c>
      <c r="B694" t="s">
        <v>26</v>
      </c>
      <c r="C694" s="169">
        <v>0</v>
      </c>
      <c r="D694" s="169">
        <v>0</v>
      </c>
      <c r="E694">
        <f>VLOOKUP(A:A,הוצאות!B:B,1,0)</f>
        <v>1817600431</v>
      </c>
    </row>
    <row r="695" spans="1:7" hidden="1">
      <c r="A695">
        <v>1817600540</v>
      </c>
      <c r="B695" t="s">
        <v>1781</v>
      </c>
      <c r="C695" s="169">
        <v>0</v>
      </c>
      <c r="D695" s="169">
        <v>0</v>
      </c>
      <c r="E695" t="e">
        <f>VLOOKUP(A:A,הוצאות!B:B,1,0)</f>
        <v>#N/A</v>
      </c>
    </row>
    <row r="696" spans="1:7" hidden="1">
      <c r="A696">
        <v>1817600720</v>
      </c>
      <c r="B696" t="s">
        <v>154</v>
      </c>
      <c r="C696" s="169">
        <v>0</v>
      </c>
      <c r="D696" s="169">
        <v>0</v>
      </c>
      <c r="E696" t="e">
        <f>VLOOKUP(A:A,הוצאות!B:B,1,0)</f>
        <v>#N/A</v>
      </c>
    </row>
    <row r="697" spans="1:7">
      <c r="A697">
        <v>1817600780</v>
      </c>
      <c r="B697" t="s">
        <v>255</v>
      </c>
      <c r="C697" s="169">
        <v>0</v>
      </c>
      <c r="D697" s="169">
        <v>48000</v>
      </c>
      <c r="E697">
        <f>VLOOKUP(A:A,הוצאות!B:B,1,0)</f>
        <v>1817600780</v>
      </c>
      <c r="F697" s="156">
        <f>VLOOKUP(A:A,הוצאות!B:O,14,0)</f>
        <v>48000</v>
      </c>
      <c r="G697" s="180">
        <f t="shared" ref="G697:G703" si="9">D697-F697</f>
        <v>0</v>
      </c>
    </row>
    <row r="698" spans="1:7">
      <c r="A698">
        <v>1817600930</v>
      </c>
      <c r="B698" t="s">
        <v>19</v>
      </c>
      <c r="C698" s="169">
        <v>64970</v>
      </c>
      <c r="D698" s="169">
        <v>0</v>
      </c>
      <c r="E698">
        <f>VLOOKUP(A:A,הוצאות!B:B,1,0)</f>
        <v>1817600930</v>
      </c>
      <c r="F698" s="156">
        <f>VLOOKUP(A:A,הוצאות!B:O,14,0)</f>
        <v>0</v>
      </c>
      <c r="G698" s="180">
        <f t="shared" si="9"/>
        <v>0</v>
      </c>
    </row>
    <row r="699" spans="1:7">
      <c r="A699">
        <v>1817610110</v>
      </c>
      <c r="B699" t="s">
        <v>257</v>
      </c>
      <c r="C699" s="169">
        <v>0</v>
      </c>
      <c r="D699" s="169">
        <v>0</v>
      </c>
      <c r="E699">
        <f>VLOOKUP(A:A,הוצאות!B:B,1,0)</f>
        <v>1817610110</v>
      </c>
      <c r="F699" s="156">
        <f>VLOOKUP(A:A,הוצאות!B:O,14,0)</f>
        <v>0</v>
      </c>
      <c r="G699" s="180">
        <f t="shared" si="9"/>
        <v>0</v>
      </c>
    </row>
    <row r="700" spans="1:7">
      <c r="A700">
        <v>1817610870</v>
      </c>
      <c r="B700" t="s">
        <v>258</v>
      </c>
      <c r="C700" s="169">
        <v>0</v>
      </c>
      <c r="D700" s="169">
        <v>0</v>
      </c>
      <c r="E700" t="e">
        <f>VLOOKUP(A:A,הוצאות!B:B,1,0)</f>
        <v>#N/A</v>
      </c>
      <c r="F700" s="156" t="e">
        <f>VLOOKUP(A:A,הוצאות!B:O,14,0)</f>
        <v>#N/A</v>
      </c>
      <c r="G700" s="180" t="e">
        <f t="shared" si="9"/>
        <v>#N/A</v>
      </c>
    </row>
    <row r="701" spans="1:7">
      <c r="A701">
        <v>1817620780</v>
      </c>
      <c r="B701" t="s">
        <v>259</v>
      </c>
      <c r="C701" s="169">
        <v>0</v>
      </c>
      <c r="D701" s="169">
        <v>0</v>
      </c>
      <c r="E701" t="e">
        <f>VLOOKUP(A:A,הוצאות!B:B,1,0)</f>
        <v>#N/A</v>
      </c>
      <c r="F701" s="156" t="e">
        <f>VLOOKUP(A:A,הוצאות!B:O,14,0)</f>
        <v>#N/A</v>
      </c>
      <c r="G701" s="180" t="e">
        <f t="shared" si="9"/>
        <v>#N/A</v>
      </c>
    </row>
    <row r="702" spans="1:7">
      <c r="A702">
        <v>1817630110</v>
      </c>
      <c r="B702" t="s">
        <v>1782</v>
      </c>
      <c r="C702" s="169">
        <v>0</v>
      </c>
      <c r="D702" s="169">
        <v>53386.63</v>
      </c>
      <c r="E702">
        <f>VLOOKUP(A:A,הוצאות!B:B,1,0)</f>
        <v>1817630110</v>
      </c>
      <c r="F702" s="156">
        <f>VLOOKUP(A:A,הוצאות!B:O,14,0)</f>
        <v>0</v>
      </c>
      <c r="G702" s="180">
        <f t="shared" si="9"/>
        <v>53386.63</v>
      </c>
    </row>
    <row r="703" spans="1:7">
      <c r="A703">
        <v>1817630780</v>
      </c>
      <c r="B703" t="s">
        <v>260</v>
      </c>
      <c r="C703" s="169">
        <v>0</v>
      </c>
      <c r="D703" s="169">
        <v>0</v>
      </c>
      <c r="E703" t="e">
        <f>VLOOKUP(A:A,הוצאות!B:B,1,0)</f>
        <v>#N/A</v>
      </c>
      <c r="F703" s="156" t="e">
        <f>VLOOKUP(A:A,הוצאות!B:O,14,0)</f>
        <v>#N/A</v>
      </c>
      <c r="G703" s="180" t="e">
        <f t="shared" si="9"/>
        <v>#N/A</v>
      </c>
    </row>
    <row r="704" spans="1:7" hidden="1">
      <c r="A704">
        <v>1817640780</v>
      </c>
      <c r="B704" t="s">
        <v>1783</v>
      </c>
      <c r="C704" s="169">
        <v>0</v>
      </c>
      <c r="D704" s="169">
        <v>0</v>
      </c>
      <c r="E704" t="e">
        <f>VLOOKUP(A:A,הוצאות!B:B,1,0)</f>
        <v>#N/A</v>
      </c>
    </row>
    <row r="705" spans="1:7">
      <c r="A705">
        <v>1817700110</v>
      </c>
      <c r="B705" t="s">
        <v>261</v>
      </c>
      <c r="C705" s="169">
        <v>249900</v>
      </c>
      <c r="D705" s="169">
        <v>0</v>
      </c>
      <c r="E705">
        <f>VLOOKUP(A:A,הוצאות!B:B,1,0)</f>
        <v>1817700110</v>
      </c>
      <c r="F705" s="156">
        <f>VLOOKUP(A:A,הוצאות!B:O,14,0)</f>
        <v>0</v>
      </c>
      <c r="G705" s="180">
        <f t="shared" ref="G705:G724" si="10">D705-F705</f>
        <v>0</v>
      </c>
    </row>
    <row r="706" spans="1:7">
      <c r="A706">
        <v>1817700431</v>
      </c>
      <c r="B706" t="s">
        <v>262</v>
      </c>
      <c r="C706" s="169">
        <v>0</v>
      </c>
      <c r="D706" s="169">
        <v>0</v>
      </c>
      <c r="E706" t="e">
        <f>VLOOKUP(A:A,הוצאות!B:B,1,0)</f>
        <v>#N/A</v>
      </c>
      <c r="F706" s="156" t="e">
        <f>VLOOKUP(A:A,הוצאות!B:O,14,0)</f>
        <v>#N/A</v>
      </c>
      <c r="G706" s="180" t="e">
        <f t="shared" si="10"/>
        <v>#N/A</v>
      </c>
    </row>
    <row r="707" spans="1:7">
      <c r="A707">
        <v>1817700432</v>
      </c>
      <c r="B707" t="s">
        <v>263</v>
      </c>
      <c r="C707" s="169">
        <v>0</v>
      </c>
      <c r="D707" s="169">
        <v>0</v>
      </c>
      <c r="E707" t="e">
        <f>VLOOKUP(A:A,הוצאות!B:B,1,0)</f>
        <v>#N/A</v>
      </c>
      <c r="F707" s="156" t="e">
        <f>VLOOKUP(A:A,הוצאות!B:O,14,0)</f>
        <v>#N/A</v>
      </c>
      <c r="G707" s="180" t="e">
        <f t="shared" si="10"/>
        <v>#N/A</v>
      </c>
    </row>
    <row r="708" spans="1:7">
      <c r="A708">
        <v>1817700780</v>
      </c>
      <c r="B708" t="s">
        <v>264</v>
      </c>
      <c r="C708" s="169">
        <v>0</v>
      </c>
      <c r="D708" s="169">
        <v>0</v>
      </c>
      <c r="E708" t="e">
        <f>VLOOKUP(A:A,הוצאות!B:B,1,0)</f>
        <v>#N/A</v>
      </c>
      <c r="F708" s="156" t="e">
        <f>VLOOKUP(A:A,הוצאות!B:O,14,0)</f>
        <v>#N/A</v>
      </c>
      <c r="G708" s="180" t="e">
        <f t="shared" si="10"/>
        <v>#N/A</v>
      </c>
    </row>
    <row r="709" spans="1:7">
      <c r="A709">
        <v>1817710110</v>
      </c>
      <c r="B709" t="s">
        <v>265</v>
      </c>
      <c r="C709" s="169">
        <v>0</v>
      </c>
      <c r="D709" s="169">
        <v>0</v>
      </c>
      <c r="E709" t="e">
        <f>VLOOKUP(A:A,הוצאות!B:B,1,0)</f>
        <v>#N/A</v>
      </c>
      <c r="F709" s="156" t="e">
        <f>VLOOKUP(A:A,הוצאות!B:O,14,0)</f>
        <v>#N/A</v>
      </c>
      <c r="G709" s="180" t="e">
        <f t="shared" si="10"/>
        <v>#N/A</v>
      </c>
    </row>
    <row r="710" spans="1:7">
      <c r="A710">
        <v>1817710720</v>
      </c>
      <c r="B710" t="s">
        <v>266</v>
      </c>
      <c r="C710" s="169">
        <v>1670</v>
      </c>
      <c r="D710" s="169">
        <v>0</v>
      </c>
      <c r="E710">
        <f>VLOOKUP(A:A,הוצאות!B:B,1,0)</f>
        <v>1817710720</v>
      </c>
      <c r="F710" s="156">
        <f>VLOOKUP(A:A,הוצאות!B:O,14,0)</f>
        <v>0</v>
      </c>
      <c r="G710" s="180">
        <f t="shared" si="10"/>
        <v>0</v>
      </c>
    </row>
    <row r="711" spans="1:7">
      <c r="A711">
        <v>1817710780</v>
      </c>
      <c r="B711" t="s">
        <v>267</v>
      </c>
      <c r="C711" s="169">
        <v>4170</v>
      </c>
      <c r="D711" s="169">
        <v>0</v>
      </c>
      <c r="E711">
        <f>VLOOKUP(A:A,הוצאות!B:B,1,0)</f>
        <v>1817710780</v>
      </c>
      <c r="F711" s="156">
        <f>VLOOKUP(A:A,הוצאות!B:O,14,0)</f>
        <v>0</v>
      </c>
      <c r="G711" s="180">
        <f t="shared" si="10"/>
        <v>0</v>
      </c>
    </row>
    <row r="712" spans="1:7">
      <c r="A712" s="170">
        <v>1817720720</v>
      </c>
      <c r="B712" s="170" t="s">
        <v>1662</v>
      </c>
      <c r="C712" s="171">
        <v>34760</v>
      </c>
      <c r="D712" s="171">
        <v>0</v>
      </c>
      <c r="E712" s="170">
        <f>VLOOKUP(A:A,הוצאות!B:B,1,0)</f>
        <v>1817720720</v>
      </c>
      <c r="F712" s="156">
        <f>VLOOKUP(A:A,הוצאות!B:O,14,0)</f>
        <v>0</v>
      </c>
      <c r="G712" s="180">
        <f t="shared" si="10"/>
        <v>0</v>
      </c>
    </row>
    <row r="713" spans="1:7">
      <c r="A713">
        <v>1817800110</v>
      </c>
      <c r="B713" t="s">
        <v>268</v>
      </c>
      <c r="C713" s="169">
        <v>541450</v>
      </c>
      <c r="D713" s="169">
        <v>617516.06000000006</v>
      </c>
      <c r="E713">
        <f>VLOOKUP(A:A,הוצאות!B:B,1,0)</f>
        <v>1817800110</v>
      </c>
      <c r="F713" s="156">
        <f>VLOOKUP(A:A,הוצאות!B:O,14,0)</f>
        <v>617516.06000000006</v>
      </c>
      <c r="G713" s="180">
        <f t="shared" si="10"/>
        <v>0</v>
      </c>
    </row>
    <row r="714" spans="1:7">
      <c r="A714" s="170">
        <v>1817800320</v>
      </c>
      <c r="B714" s="170" t="s">
        <v>159</v>
      </c>
      <c r="C714" s="171">
        <v>0</v>
      </c>
      <c r="D714" s="171">
        <v>1263</v>
      </c>
      <c r="E714" s="170">
        <f>VLOOKUP(A:A,הוצאות!B:B,1,0)</f>
        <v>1817800320</v>
      </c>
      <c r="F714" s="156">
        <f>VLOOKUP(A:A,הוצאות!B:O,14,0)</f>
        <v>1263</v>
      </c>
      <c r="G714" s="180">
        <f t="shared" si="10"/>
        <v>0</v>
      </c>
    </row>
    <row r="715" spans="1:7">
      <c r="A715">
        <v>1817800710</v>
      </c>
      <c r="B715" t="s">
        <v>269</v>
      </c>
      <c r="C715" s="169">
        <v>1749300</v>
      </c>
      <c r="D715" s="169">
        <v>1764293.39</v>
      </c>
      <c r="E715">
        <f>VLOOKUP(A:A,הוצאות!B:B,1,0)</f>
        <v>1817800710</v>
      </c>
      <c r="F715" s="156">
        <f>VLOOKUP(A:A,הוצאות!B:O,14,0)</f>
        <v>1764293.39</v>
      </c>
      <c r="G715" s="180">
        <f t="shared" si="10"/>
        <v>0</v>
      </c>
    </row>
    <row r="716" spans="1:7">
      <c r="A716">
        <v>1817900110</v>
      </c>
      <c r="B716" t="s">
        <v>270</v>
      </c>
      <c r="C716" s="169">
        <v>63310</v>
      </c>
      <c r="D716" s="169">
        <v>65087.95</v>
      </c>
      <c r="E716">
        <f>VLOOKUP(A:A,הוצאות!B:B,1,0)</f>
        <v>1817900110</v>
      </c>
      <c r="F716" s="156">
        <f>VLOOKUP(A:A,הוצאות!B:O,14,0)</f>
        <v>65087.95</v>
      </c>
      <c r="G716" s="180">
        <f t="shared" si="10"/>
        <v>0</v>
      </c>
    </row>
    <row r="717" spans="1:7">
      <c r="A717" s="170">
        <v>1817900320</v>
      </c>
      <c r="B717" s="170" t="s">
        <v>159</v>
      </c>
      <c r="C717" s="171">
        <v>0</v>
      </c>
      <c r="D717" s="171">
        <v>1230</v>
      </c>
      <c r="E717" s="170" t="e">
        <f>VLOOKUP(A:A,הוצאות!B:B,1,0)</f>
        <v>#N/A</v>
      </c>
      <c r="F717" s="156" t="e">
        <f>VLOOKUP(A:A,הוצאות!B:O,14,0)</f>
        <v>#N/A</v>
      </c>
      <c r="G717" s="180" t="e">
        <f t="shared" si="10"/>
        <v>#N/A</v>
      </c>
    </row>
    <row r="718" spans="1:7">
      <c r="A718">
        <v>1817910110</v>
      </c>
      <c r="B718" t="s">
        <v>1784</v>
      </c>
      <c r="C718" s="169">
        <v>64140</v>
      </c>
      <c r="D718" s="169">
        <v>233657.69</v>
      </c>
      <c r="E718">
        <f>VLOOKUP(A:A,הוצאות!B:B,1,0)</f>
        <v>1817910110</v>
      </c>
      <c r="F718" s="156">
        <f>VLOOKUP(A:A,הוצאות!B:O,14,0)</f>
        <v>233657.69</v>
      </c>
      <c r="G718" s="180">
        <f t="shared" si="10"/>
        <v>0</v>
      </c>
    </row>
    <row r="719" spans="1:7">
      <c r="A719" s="170">
        <v>1817910320</v>
      </c>
      <c r="B719" s="170" t="s">
        <v>1785</v>
      </c>
      <c r="C719" s="171">
        <v>0</v>
      </c>
      <c r="D719" s="171">
        <v>1142</v>
      </c>
      <c r="E719" s="170">
        <f>VLOOKUP(A:A,הוצאות!B:B,1,0)</f>
        <v>1817910320</v>
      </c>
      <c r="F719" s="156">
        <f>VLOOKUP(A:A,הוצאות!B:O,14,0)</f>
        <v>1142</v>
      </c>
      <c r="G719" s="180">
        <f t="shared" si="10"/>
        <v>0</v>
      </c>
    </row>
    <row r="720" spans="1:7">
      <c r="A720">
        <v>1817910710</v>
      </c>
      <c r="B720" t="s">
        <v>271</v>
      </c>
      <c r="C720" s="169">
        <v>0</v>
      </c>
      <c r="D720" s="169">
        <v>0</v>
      </c>
      <c r="E720">
        <f>VLOOKUP(A:A,הוצאות!B:B,1,0)</f>
        <v>1817910710</v>
      </c>
      <c r="F720" s="156">
        <f>VLOOKUP(A:A,הוצאות!B:O,14,0)</f>
        <v>0</v>
      </c>
      <c r="G720" s="180">
        <f t="shared" si="10"/>
        <v>0</v>
      </c>
    </row>
    <row r="721" spans="1:7">
      <c r="A721">
        <v>1817910780</v>
      </c>
      <c r="B721" t="s">
        <v>272</v>
      </c>
      <c r="C721" s="169">
        <v>0</v>
      </c>
      <c r="D721" s="169">
        <v>23840</v>
      </c>
      <c r="E721">
        <f>VLOOKUP(A:A,הוצאות!B:B,1,0)</f>
        <v>1817910780</v>
      </c>
      <c r="F721" s="156">
        <f>VLOOKUP(A:A,הוצאות!B:O,14,0)</f>
        <v>23840</v>
      </c>
      <c r="G721" s="180">
        <f t="shared" si="10"/>
        <v>0</v>
      </c>
    </row>
    <row r="722" spans="1:7">
      <c r="A722">
        <v>1817910810</v>
      </c>
      <c r="B722" t="s">
        <v>273</v>
      </c>
      <c r="C722" s="169">
        <v>1007930</v>
      </c>
      <c r="D722" s="169">
        <v>337548.75</v>
      </c>
      <c r="E722">
        <f>VLOOKUP(A:A,הוצאות!B:B,1,0)</f>
        <v>1817910810</v>
      </c>
      <c r="F722" s="156">
        <f>VLOOKUP(A:A,הוצאות!B:O,14,0)</f>
        <v>337548.75</v>
      </c>
      <c r="G722" s="180">
        <f t="shared" si="10"/>
        <v>0</v>
      </c>
    </row>
    <row r="723" spans="1:7">
      <c r="A723" s="170">
        <v>1817911110</v>
      </c>
      <c r="B723" s="170" t="s">
        <v>1786</v>
      </c>
      <c r="C723" s="171">
        <v>70810</v>
      </c>
      <c r="D723" s="171">
        <v>0</v>
      </c>
      <c r="E723" s="170">
        <f>VLOOKUP(A:A,הוצאות!B:B,1,0)</f>
        <v>1817911110</v>
      </c>
      <c r="F723" s="156">
        <f>VLOOKUP(A:A,הוצאות!B:O,14,0)</f>
        <v>0</v>
      </c>
      <c r="G723" s="180">
        <f t="shared" si="10"/>
        <v>0</v>
      </c>
    </row>
    <row r="724" spans="1:7">
      <c r="A724">
        <v>1817911750</v>
      </c>
      <c r="B724" t="s">
        <v>1787</v>
      </c>
      <c r="C724" s="169">
        <v>16660</v>
      </c>
      <c r="D724" s="169">
        <v>12555</v>
      </c>
      <c r="E724">
        <f>VLOOKUP(A:A,הוצאות!B:B,1,0)</f>
        <v>1817911750</v>
      </c>
      <c r="F724" s="156">
        <f>VLOOKUP(A:A,הוצאות!B:O,14,0)</f>
        <v>12555</v>
      </c>
      <c r="G724" s="180">
        <f t="shared" si="10"/>
        <v>0</v>
      </c>
    </row>
    <row r="725" spans="1:7" hidden="1">
      <c r="A725">
        <v>1817912110</v>
      </c>
      <c r="B725" t="s">
        <v>1788</v>
      </c>
      <c r="C725" s="169">
        <v>0</v>
      </c>
      <c r="D725" s="169">
        <v>0</v>
      </c>
      <c r="E725">
        <f>VLOOKUP(A:A,הוצאות!B:B,1,0)</f>
        <v>1817912110</v>
      </c>
    </row>
    <row r="726" spans="1:7">
      <c r="A726">
        <v>1817912750</v>
      </c>
      <c r="B726" t="s">
        <v>1789</v>
      </c>
      <c r="C726" s="169">
        <v>37490</v>
      </c>
      <c r="D726" s="169">
        <v>7102</v>
      </c>
      <c r="E726">
        <f>VLOOKUP(A:A,הוצאות!B:B,1,0)</f>
        <v>1817912750</v>
      </c>
      <c r="F726" s="156">
        <f>VLOOKUP(A:A,הוצאות!B:O,14,0)</f>
        <v>7102</v>
      </c>
      <c r="G726" s="180">
        <f>D726-F726</f>
        <v>0</v>
      </c>
    </row>
    <row r="727" spans="1:7">
      <c r="A727">
        <v>1817913110</v>
      </c>
      <c r="B727" t="s">
        <v>1790</v>
      </c>
      <c r="C727" s="169">
        <v>0</v>
      </c>
      <c r="D727" s="169">
        <v>7800</v>
      </c>
      <c r="E727">
        <f>VLOOKUP(A:A,הוצאות!B:B,1,0)</f>
        <v>1817913110</v>
      </c>
      <c r="F727" s="156">
        <f>VLOOKUP(A:A,הוצאות!B:O,14,0)</f>
        <v>0</v>
      </c>
      <c r="G727" s="180">
        <f>D727-F727</f>
        <v>7800</v>
      </c>
    </row>
    <row r="728" spans="1:7">
      <c r="A728" s="170">
        <v>1817913750</v>
      </c>
      <c r="B728" s="170" t="s">
        <v>1791</v>
      </c>
      <c r="C728" s="171">
        <v>24570</v>
      </c>
      <c r="D728" s="171">
        <v>1500</v>
      </c>
      <c r="E728" s="170">
        <f>VLOOKUP(A:A,הוצאות!B:B,1,0)</f>
        <v>1817913750</v>
      </c>
      <c r="F728" s="156">
        <f>VLOOKUP(A:A,הוצאות!B:O,14,0)</f>
        <v>0</v>
      </c>
      <c r="G728" s="180">
        <f>D728-F728</f>
        <v>1500</v>
      </c>
    </row>
    <row r="729" spans="1:7" hidden="1">
      <c r="A729">
        <v>1819999399</v>
      </c>
      <c r="B729" t="s">
        <v>47</v>
      </c>
      <c r="C729" s="169">
        <v>0</v>
      </c>
      <c r="D729" s="169">
        <v>0</v>
      </c>
      <c r="E729" t="e">
        <f>VLOOKUP(A:A,הוצאות!B:B,1,0)</f>
        <v>#N/A</v>
      </c>
    </row>
    <row r="730" spans="1:7" hidden="1">
      <c r="A730">
        <v>1823000110</v>
      </c>
      <c r="B730" t="s">
        <v>1792</v>
      </c>
      <c r="C730" s="169">
        <v>0</v>
      </c>
      <c r="D730" s="169">
        <v>0</v>
      </c>
      <c r="E730" t="e">
        <f>VLOOKUP(A:A,הוצאות!B:B,1,0)</f>
        <v>#N/A</v>
      </c>
    </row>
    <row r="731" spans="1:7" hidden="1">
      <c r="A731">
        <v>1823000410</v>
      </c>
      <c r="B731" t="s">
        <v>1793</v>
      </c>
      <c r="C731" s="169">
        <v>0</v>
      </c>
      <c r="D731" s="169">
        <v>0</v>
      </c>
      <c r="E731" t="e">
        <f>VLOOKUP(A:A,הוצאות!B:B,1,0)</f>
        <v>#N/A</v>
      </c>
    </row>
    <row r="732" spans="1:7" hidden="1">
      <c r="A732">
        <v>1823000431</v>
      </c>
      <c r="B732" t="s">
        <v>1794</v>
      </c>
      <c r="C732" s="169">
        <v>0</v>
      </c>
      <c r="D732" s="169">
        <v>0</v>
      </c>
      <c r="E732" t="e">
        <f>VLOOKUP(A:A,הוצאות!B:B,1,0)</f>
        <v>#N/A</v>
      </c>
    </row>
    <row r="733" spans="1:7" hidden="1">
      <c r="A733">
        <v>1823000540</v>
      </c>
      <c r="B733" t="s">
        <v>1795</v>
      </c>
      <c r="C733" s="169">
        <v>0</v>
      </c>
      <c r="D733" s="169">
        <v>0</v>
      </c>
      <c r="E733" t="e">
        <f>VLOOKUP(A:A,הוצאות!B:B,1,0)</f>
        <v>#N/A</v>
      </c>
    </row>
    <row r="734" spans="1:7" hidden="1">
      <c r="A734">
        <v>1823000720</v>
      </c>
      <c r="B734" t="s">
        <v>1796</v>
      </c>
      <c r="C734" s="169">
        <v>0</v>
      </c>
      <c r="D734" s="169">
        <v>0</v>
      </c>
      <c r="E734" t="e">
        <f>VLOOKUP(A:A,הוצאות!B:B,1,0)</f>
        <v>#N/A</v>
      </c>
    </row>
    <row r="735" spans="1:7" hidden="1">
      <c r="A735">
        <v>1823000780</v>
      </c>
      <c r="B735" t="s">
        <v>1797</v>
      </c>
      <c r="C735" s="169">
        <v>0</v>
      </c>
      <c r="D735" s="169">
        <v>0</v>
      </c>
      <c r="E735" t="e">
        <f>VLOOKUP(A:A,הוצאות!B:B,1,0)</f>
        <v>#N/A</v>
      </c>
    </row>
    <row r="736" spans="1:7">
      <c r="A736" s="170">
        <v>1824000110</v>
      </c>
      <c r="B736" s="170" t="s">
        <v>1798</v>
      </c>
      <c r="C736" s="171">
        <v>0</v>
      </c>
      <c r="D736" s="171">
        <v>3505.34</v>
      </c>
      <c r="E736" s="170">
        <f>VLOOKUP(A:A,הוצאות!B:B,1,0)</f>
        <v>1824000110</v>
      </c>
      <c r="F736" s="156">
        <f>VLOOKUP(A:A,הוצאות!B:O,14,0)</f>
        <v>0</v>
      </c>
      <c r="G736" s="180">
        <f>D736-F736</f>
        <v>3505.34</v>
      </c>
    </row>
    <row r="737" spans="1:7" hidden="1">
      <c r="A737">
        <v>1824000320</v>
      </c>
      <c r="B737" t="s">
        <v>1799</v>
      </c>
      <c r="C737" s="169">
        <v>0</v>
      </c>
      <c r="D737" s="169">
        <v>0</v>
      </c>
      <c r="E737" t="e">
        <f>VLOOKUP(A:A,הוצאות!B:B,1,0)</f>
        <v>#N/A</v>
      </c>
    </row>
    <row r="738" spans="1:7">
      <c r="A738" s="170">
        <v>1824000431</v>
      </c>
      <c r="B738" s="170" t="s">
        <v>1800</v>
      </c>
      <c r="C738" s="171">
        <v>0</v>
      </c>
      <c r="D738" s="171">
        <v>20941.37</v>
      </c>
      <c r="E738" s="170">
        <f>VLOOKUP(A:A,הוצאות!B:B,1,0)</f>
        <v>1824000431</v>
      </c>
      <c r="F738" s="156">
        <f>VLOOKUP(A:A,הוצאות!B:O,14,0)</f>
        <v>0</v>
      </c>
      <c r="G738" s="180">
        <f t="shared" ref="G738:G748" si="11">D738-F738</f>
        <v>20941.37</v>
      </c>
    </row>
    <row r="739" spans="1:7">
      <c r="A739">
        <v>1824000432</v>
      </c>
      <c r="B739" t="s">
        <v>274</v>
      </c>
      <c r="C739" s="169">
        <v>19160</v>
      </c>
      <c r="D739" s="169">
        <v>0</v>
      </c>
      <c r="E739">
        <f>VLOOKUP(A:A,הוצאות!B:B,1,0)</f>
        <v>1824000432</v>
      </c>
      <c r="F739" s="156">
        <f>VLOOKUP(A:A,הוצאות!B:O,14,0)</f>
        <v>0</v>
      </c>
      <c r="G739" s="180">
        <f t="shared" si="11"/>
        <v>0</v>
      </c>
    </row>
    <row r="740" spans="1:7">
      <c r="A740">
        <v>1824010870</v>
      </c>
      <c r="B740" t="s">
        <v>275</v>
      </c>
      <c r="C740" s="169">
        <v>0</v>
      </c>
      <c r="D740" s="169">
        <v>0</v>
      </c>
      <c r="E740" t="e">
        <f>VLOOKUP(A:A,הוצאות!B:B,1,0)</f>
        <v>#N/A</v>
      </c>
      <c r="F740" s="156" t="e">
        <f>VLOOKUP(A:A,הוצאות!B:O,14,0)</f>
        <v>#N/A</v>
      </c>
      <c r="G740" s="180" t="e">
        <f t="shared" si="11"/>
        <v>#N/A</v>
      </c>
    </row>
    <row r="741" spans="1:7">
      <c r="A741">
        <v>1824020870</v>
      </c>
      <c r="B741" t="s">
        <v>1801</v>
      </c>
      <c r="C741" s="169">
        <v>99960</v>
      </c>
      <c r="D741" s="169">
        <v>0</v>
      </c>
      <c r="E741">
        <f>VLOOKUP(A:A,הוצאות!B:B,1,0)</f>
        <v>1824020870</v>
      </c>
      <c r="F741" s="156">
        <f>VLOOKUP(A:A,הוצאות!B:O,14,0)</f>
        <v>0</v>
      </c>
      <c r="G741" s="180">
        <f t="shared" si="11"/>
        <v>0</v>
      </c>
    </row>
    <row r="742" spans="1:7">
      <c r="A742">
        <v>1824030110</v>
      </c>
      <c r="B742" t="s">
        <v>1802</v>
      </c>
      <c r="C742" s="169">
        <v>89960</v>
      </c>
      <c r="D742" s="169">
        <v>83600.92</v>
      </c>
      <c r="E742">
        <f>VLOOKUP(A:A,הוצאות!B:B,1,0)</f>
        <v>1824030110</v>
      </c>
      <c r="F742" s="156">
        <f>VLOOKUP(A:A,הוצאות!B:O,14,0)</f>
        <v>83600.92</v>
      </c>
      <c r="G742" s="180">
        <f t="shared" si="11"/>
        <v>0</v>
      </c>
    </row>
    <row r="743" spans="1:7">
      <c r="A743">
        <v>1824030870</v>
      </c>
      <c r="B743" t="s">
        <v>276</v>
      </c>
      <c r="C743" s="169">
        <v>0</v>
      </c>
      <c r="D743" s="169">
        <v>0</v>
      </c>
      <c r="E743" t="e">
        <f>VLOOKUP(A:A,הוצאות!B:B,1,0)</f>
        <v>#N/A</v>
      </c>
      <c r="F743" s="156" t="e">
        <f>VLOOKUP(A:A,הוצאות!B:O,14,0)</f>
        <v>#N/A</v>
      </c>
      <c r="G743" s="180" t="e">
        <f t="shared" si="11"/>
        <v>#N/A</v>
      </c>
    </row>
    <row r="744" spans="1:7">
      <c r="A744">
        <v>1824050870</v>
      </c>
      <c r="B744" t="s">
        <v>277</v>
      </c>
      <c r="C744" s="169">
        <v>0</v>
      </c>
      <c r="D744" s="169">
        <v>0</v>
      </c>
      <c r="E744">
        <f>VLOOKUP(A:A,הוצאות!B:B,1,0)</f>
        <v>1824050870</v>
      </c>
      <c r="F744" s="156">
        <f>VLOOKUP(A:A,הוצאות!B:O,14,0)</f>
        <v>0</v>
      </c>
      <c r="G744" s="180">
        <f t="shared" si="11"/>
        <v>0</v>
      </c>
    </row>
    <row r="745" spans="1:7">
      <c r="A745">
        <v>1824060870</v>
      </c>
      <c r="B745" t="s">
        <v>278</v>
      </c>
      <c r="C745" s="169">
        <v>0</v>
      </c>
      <c r="D745" s="169">
        <v>0</v>
      </c>
      <c r="E745" t="e">
        <f>VLOOKUP(A:A,הוצאות!B:B,1,0)</f>
        <v>#N/A</v>
      </c>
      <c r="F745" s="156" t="e">
        <f>VLOOKUP(A:A,הוצאות!B:O,14,0)</f>
        <v>#N/A</v>
      </c>
      <c r="G745" s="180" t="e">
        <f t="shared" si="11"/>
        <v>#N/A</v>
      </c>
    </row>
    <row r="746" spans="1:7">
      <c r="A746" s="170">
        <v>1828100110</v>
      </c>
      <c r="B746" s="170" t="s">
        <v>1629</v>
      </c>
      <c r="C746" s="171">
        <v>154110</v>
      </c>
      <c r="D746" s="171">
        <v>149062.46</v>
      </c>
      <c r="E746" s="170">
        <f>VLOOKUP(A:A,הוצאות!B:B,1,0)</f>
        <v>1828100110</v>
      </c>
      <c r="F746" s="156">
        <f>VLOOKUP(A:A,הוצאות!B:O,14,0)</f>
        <v>149062.46</v>
      </c>
      <c r="G746" s="180">
        <f t="shared" si="11"/>
        <v>0</v>
      </c>
    </row>
    <row r="747" spans="1:7">
      <c r="A747">
        <v>1828300110</v>
      </c>
      <c r="B747" t="s">
        <v>279</v>
      </c>
      <c r="C747" s="169">
        <v>73300</v>
      </c>
      <c r="D747" s="169">
        <v>44009.68</v>
      </c>
      <c r="E747">
        <f>VLOOKUP(A:A,הוצאות!B:B,1,0)</f>
        <v>1828300110</v>
      </c>
      <c r="F747" s="156">
        <f>VLOOKUP(A:A,הוצאות!B:O,14,0)</f>
        <v>44009.68</v>
      </c>
      <c r="G747" s="180">
        <f t="shared" si="11"/>
        <v>0</v>
      </c>
    </row>
    <row r="748" spans="1:7">
      <c r="A748" s="170">
        <v>1828300320</v>
      </c>
      <c r="B748" s="170" t="s">
        <v>25</v>
      </c>
      <c r="C748" s="171">
        <v>0</v>
      </c>
      <c r="D748" s="171">
        <v>3072</v>
      </c>
      <c r="E748" s="170">
        <f>VLOOKUP(A:A,הוצאות!B:B,1,0)</f>
        <v>1828300320</v>
      </c>
      <c r="F748" s="156">
        <f>VLOOKUP(A:A,הוצאות!B:O,14,0)</f>
        <v>3072</v>
      </c>
      <c r="G748" s="180">
        <f t="shared" si="11"/>
        <v>0</v>
      </c>
    </row>
    <row r="749" spans="1:7" hidden="1">
      <c r="A749">
        <v>1828300410</v>
      </c>
      <c r="B749" t="s">
        <v>1803</v>
      </c>
      <c r="C749" s="169">
        <v>0</v>
      </c>
      <c r="D749" s="169">
        <v>0</v>
      </c>
      <c r="E749" t="e">
        <f>VLOOKUP(A:A,הוצאות!B:B,1,0)</f>
        <v>#N/A</v>
      </c>
    </row>
    <row r="750" spans="1:7" hidden="1">
      <c r="A750">
        <v>1828300420</v>
      </c>
      <c r="B750" t="s">
        <v>150</v>
      </c>
      <c r="C750" s="169">
        <v>0</v>
      </c>
      <c r="D750" s="169">
        <v>0</v>
      </c>
      <c r="E750" t="e">
        <f>VLOOKUP(A:A,הוצאות!B:B,1,0)</f>
        <v>#N/A</v>
      </c>
    </row>
    <row r="751" spans="1:7" hidden="1">
      <c r="A751">
        <v>1828300431</v>
      </c>
      <c r="B751" t="s">
        <v>1804</v>
      </c>
      <c r="C751" s="169">
        <v>0</v>
      </c>
      <c r="D751" s="169">
        <v>0</v>
      </c>
      <c r="E751" t="e">
        <f>VLOOKUP(A:A,הוצאות!B:B,1,0)</f>
        <v>#N/A</v>
      </c>
    </row>
    <row r="752" spans="1:7" hidden="1">
      <c r="A752">
        <v>1828300710</v>
      </c>
      <c r="B752" t="s">
        <v>1805</v>
      </c>
      <c r="C752" s="169">
        <v>0</v>
      </c>
      <c r="D752" s="169">
        <v>0</v>
      </c>
      <c r="E752" t="e">
        <f>VLOOKUP(A:A,הוצאות!B:B,1,0)</f>
        <v>#N/A</v>
      </c>
    </row>
    <row r="753" spans="1:7">
      <c r="A753">
        <v>1828300760</v>
      </c>
      <c r="B753" t="s">
        <v>1655</v>
      </c>
      <c r="C753" s="169">
        <v>11660</v>
      </c>
      <c r="D753" s="169">
        <v>1980</v>
      </c>
      <c r="E753">
        <f>VLOOKUP(A:A,הוצאות!B:B,1,0)</f>
        <v>1828300760</v>
      </c>
      <c r="F753" s="156">
        <f>VLOOKUP(A:A,הוצאות!B:O,14,0)</f>
        <v>1980</v>
      </c>
      <c r="G753" s="180">
        <f t="shared" ref="G753:G773" si="12">D753-F753</f>
        <v>0</v>
      </c>
    </row>
    <row r="754" spans="1:7">
      <c r="A754">
        <v>1828300780</v>
      </c>
      <c r="B754" t="s">
        <v>281</v>
      </c>
      <c r="C754" s="169">
        <v>0</v>
      </c>
      <c r="D754" s="169">
        <v>0</v>
      </c>
      <c r="E754" t="e">
        <f>VLOOKUP(A:A,הוצאות!B:B,1,0)</f>
        <v>#N/A</v>
      </c>
      <c r="F754" s="156" t="e">
        <f>VLOOKUP(A:A,הוצאות!B:O,14,0)</f>
        <v>#N/A</v>
      </c>
      <c r="G754" s="180" t="e">
        <f t="shared" si="12"/>
        <v>#N/A</v>
      </c>
    </row>
    <row r="755" spans="1:7">
      <c r="A755">
        <v>1828400110</v>
      </c>
      <c r="B755" t="s">
        <v>1656</v>
      </c>
      <c r="C755" s="169">
        <v>29160</v>
      </c>
      <c r="D755" s="169">
        <v>0</v>
      </c>
      <c r="E755">
        <f>VLOOKUP(A:A,הוצאות!B:B,1,0)</f>
        <v>1828400110</v>
      </c>
      <c r="F755" s="156">
        <f>VLOOKUP(A:A,הוצאות!B:O,14,0)</f>
        <v>0</v>
      </c>
      <c r="G755" s="180">
        <f t="shared" si="12"/>
        <v>0</v>
      </c>
    </row>
    <row r="756" spans="1:7">
      <c r="A756">
        <v>1828400750</v>
      </c>
      <c r="B756" t="s">
        <v>1657</v>
      </c>
      <c r="C756" s="169">
        <v>791040</v>
      </c>
      <c r="D756" s="169">
        <v>548087</v>
      </c>
      <c r="E756">
        <f>VLOOKUP(A:A,הוצאות!B:B,1,0)</f>
        <v>1828400750</v>
      </c>
      <c r="F756" s="156">
        <f>VLOOKUP(A:A,הוצאות!B:O,14,0)</f>
        <v>548087</v>
      </c>
      <c r="G756" s="180">
        <f t="shared" si="12"/>
        <v>0</v>
      </c>
    </row>
    <row r="757" spans="1:7">
      <c r="A757">
        <v>1828400780</v>
      </c>
      <c r="B757" t="s">
        <v>282</v>
      </c>
      <c r="C757" s="169">
        <v>0</v>
      </c>
      <c r="D757" s="169">
        <v>0</v>
      </c>
      <c r="E757">
        <f>VLOOKUP(A:A,הוצאות!B:B,1,0)</f>
        <v>1828400780</v>
      </c>
      <c r="F757" s="156">
        <f>VLOOKUP(A:A,הוצאות!B:O,14,0)</f>
        <v>0</v>
      </c>
      <c r="G757" s="180">
        <f t="shared" si="12"/>
        <v>0</v>
      </c>
    </row>
    <row r="758" spans="1:7">
      <c r="A758">
        <v>1829000431</v>
      </c>
      <c r="B758" t="s">
        <v>283</v>
      </c>
      <c r="C758" s="169">
        <v>10830</v>
      </c>
      <c r="D758" s="169">
        <v>0</v>
      </c>
      <c r="E758">
        <f>VLOOKUP(A:A,הוצאות!B:B,1,0)</f>
        <v>1829000431</v>
      </c>
      <c r="F758" s="156">
        <f>VLOOKUP(A:A,הוצאות!B:O,14,0)</f>
        <v>0</v>
      </c>
      <c r="G758" s="180">
        <f t="shared" si="12"/>
        <v>0</v>
      </c>
    </row>
    <row r="759" spans="1:7">
      <c r="A759">
        <v>1829100110</v>
      </c>
      <c r="B759" t="s">
        <v>284</v>
      </c>
      <c r="C759" s="169">
        <v>198250</v>
      </c>
      <c r="D759" s="169">
        <v>145998.29</v>
      </c>
      <c r="E759">
        <f>VLOOKUP(A:A,הוצאות!B:B,1,0)</f>
        <v>1829100110</v>
      </c>
      <c r="F759" s="156">
        <f>VLOOKUP(A:A,הוצאות!B:O,14,0)</f>
        <v>145998.29</v>
      </c>
      <c r="G759" s="180">
        <f t="shared" si="12"/>
        <v>0</v>
      </c>
    </row>
    <row r="760" spans="1:7">
      <c r="A760">
        <v>1829200110</v>
      </c>
      <c r="B760" t="s">
        <v>285</v>
      </c>
      <c r="C760" s="169">
        <v>0</v>
      </c>
      <c r="D760" s="169">
        <v>0</v>
      </c>
      <c r="E760">
        <f>VLOOKUP(A:A,הוצאות!B:B,1,0)</f>
        <v>1829200110</v>
      </c>
      <c r="F760" s="156">
        <f>VLOOKUP(A:A,הוצאות!B:O,14,0)</f>
        <v>0</v>
      </c>
      <c r="G760" s="180">
        <f t="shared" si="12"/>
        <v>0</v>
      </c>
    </row>
    <row r="761" spans="1:7">
      <c r="A761">
        <v>1829200431</v>
      </c>
      <c r="B761" t="s">
        <v>286</v>
      </c>
      <c r="C761" s="169">
        <v>5830</v>
      </c>
      <c r="D761" s="169">
        <v>0</v>
      </c>
      <c r="E761">
        <f>VLOOKUP(A:A,הוצאות!B:B,1,0)</f>
        <v>1829200431</v>
      </c>
      <c r="F761" s="156">
        <f>VLOOKUP(A:A,הוצאות!B:O,14,0)</f>
        <v>0</v>
      </c>
      <c r="G761" s="180">
        <f t="shared" si="12"/>
        <v>0</v>
      </c>
    </row>
    <row r="762" spans="1:7">
      <c r="A762">
        <v>1829200432</v>
      </c>
      <c r="B762" t="s">
        <v>287</v>
      </c>
      <c r="C762" s="169">
        <v>66640</v>
      </c>
      <c r="D762" s="169">
        <v>42093.2</v>
      </c>
      <c r="E762">
        <f>VLOOKUP(A:A,הוצאות!B:B,1,0)</f>
        <v>1829200432</v>
      </c>
      <c r="F762" s="156">
        <f>VLOOKUP(A:A,הוצאות!B:O,14,0)</f>
        <v>42093.2</v>
      </c>
      <c r="G762" s="180">
        <f t="shared" si="12"/>
        <v>0</v>
      </c>
    </row>
    <row r="763" spans="1:7">
      <c r="A763">
        <v>1829200540</v>
      </c>
      <c r="B763" t="s">
        <v>288</v>
      </c>
      <c r="C763" s="169">
        <v>1670</v>
      </c>
      <c r="D763" s="169">
        <v>0</v>
      </c>
      <c r="E763">
        <f>VLOOKUP(A:A,הוצאות!B:B,1,0)</f>
        <v>1829200540</v>
      </c>
      <c r="F763" s="156">
        <f>VLOOKUP(A:A,הוצאות!B:O,14,0)</f>
        <v>0</v>
      </c>
      <c r="G763" s="180">
        <f t="shared" si="12"/>
        <v>0</v>
      </c>
    </row>
    <row r="764" spans="1:7">
      <c r="A764">
        <v>1829200720</v>
      </c>
      <c r="B764" t="s">
        <v>289</v>
      </c>
      <c r="C764" s="169">
        <v>8330</v>
      </c>
      <c r="D764" s="169">
        <v>0</v>
      </c>
      <c r="E764">
        <f>VLOOKUP(A:A,הוצאות!B:B,1,0)</f>
        <v>1829200720</v>
      </c>
      <c r="F764" s="156">
        <f>VLOOKUP(A:A,הוצאות!B:O,14,0)</f>
        <v>0</v>
      </c>
      <c r="G764" s="180">
        <f t="shared" si="12"/>
        <v>0</v>
      </c>
    </row>
    <row r="765" spans="1:7">
      <c r="A765">
        <v>1829200740</v>
      </c>
      <c r="B765" t="s">
        <v>155</v>
      </c>
      <c r="C765" s="169">
        <v>16660</v>
      </c>
      <c r="D765" s="169">
        <v>3055</v>
      </c>
      <c r="E765">
        <f>VLOOKUP(A:A,הוצאות!B:B,1,0)</f>
        <v>1829200740</v>
      </c>
      <c r="F765" s="156">
        <f>VLOOKUP(A:A,הוצאות!B:O,14,0)</f>
        <v>3055</v>
      </c>
      <c r="G765" s="180">
        <f t="shared" si="12"/>
        <v>0</v>
      </c>
    </row>
    <row r="766" spans="1:7">
      <c r="A766">
        <v>1829200750</v>
      </c>
      <c r="B766" t="s">
        <v>290</v>
      </c>
      <c r="C766" s="169">
        <v>99960</v>
      </c>
      <c r="D766" s="169">
        <v>52113</v>
      </c>
      <c r="E766">
        <f>VLOOKUP(A:A,הוצאות!B:B,1,0)</f>
        <v>1829200750</v>
      </c>
      <c r="F766" s="156">
        <f>VLOOKUP(A:A,הוצאות!B:O,14,0)</f>
        <v>52113</v>
      </c>
      <c r="G766" s="180">
        <f t="shared" si="12"/>
        <v>0</v>
      </c>
    </row>
    <row r="767" spans="1:7">
      <c r="A767">
        <v>1829200780</v>
      </c>
      <c r="B767" t="s">
        <v>291</v>
      </c>
      <c r="C767" s="169">
        <v>99960</v>
      </c>
      <c r="D767" s="169">
        <v>111210</v>
      </c>
      <c r="E767">
        <f>VLOOKUP(A:A,הוצאות!B:B,1,0)</f>
        <v>1829200780</v>
      </c>
      <c r="F767" s="156">
        <f>VLOOKUP(A:A,הוצאות!B:O,14,0)</f>
        <v>111210</v>
      </c>
      <c r="G767" s="180">
        <f t="shared" si="12"/>
        <v>0</v>
      </c>
    </row>
    <row r="768" spans="1:7">
      <c r="A768">
        <v>1829200781</v>
      </c>
      <c r="B768" t="s">
        <v>1640</v>
      </c>
      <c r="C768" s="169">
        <v>41650</v>
      </c>
      <c r="D768" s="169">
        <v>0</v>
      </c>
      <c r="E768">
        <f>VLOOKUP(A:A,הוצאות!B:B,1,0)</f>
        <v>1829200781</v>
      </c>
      <c r="F768" s="156">
        <f>VLOOKUP(A:A,הוצאות!B:O,14,0)</f>
        <v>0</v>
      </c>
      <c r="G768" s="180">
        <f t="shared" si="12"/>
        <v>0</v>
      </c>
    </row>
    <row r="769" spans="1:7">
      <c r="A769">
        <v>1829200930</v>
      </c>
      <c r="B769" t="s">
        <v>292</v>
      </c>
      <c r="C769" s="169">
        <v>0</v>
      </c>
      <c r="D769" s="169">
        <v>0</v>
      </c>
      <c r="E769" t="e">
        <f>VLOOKUP(A:A,הוצאות!B:B,1,0)</f>
        <v>#N/A</v>
      </c>
      <c r="F769" s="156" t="e">
        <f>VLOOKUP(A:A,הוצאות!B:O,14,0)</f>
        <v>#N/A</v>
      </c>
      <c r="G769" s="180" t="e">
        <f t="shared" si="12"/>
        <v>#N/A</v>
      </c>
    </row>
    <row r="770" spans="1:7">
      <c r="A770">
        <v>1829201780</v>
      </c>
      <c r="B770" t="s">
        <v>1633</v>
      </c>
      <c r="C770" s="169">
        <v>29160</v>
      </c>
      <c r="D770" s="169">
        <v>0</v>
      </c>
      <c r="E770">
        <f>VLOOKUP(A:A,הוצאות!B:B,1,0)</f>
        <v>1829201780</v>
      </c>
      <c r="F770" s="156">
        <f>VLOOKUP(A:A,הוצאות!B:O,14,0)</f>
        <v>0</v>
      </c>
      <c r="G770" s="180">
        <f t="shared" si="12"/>
        <v>0</v>
      </c>
    </row>
    <row r="771" spans="1:7">
      <c r="A771">
        <v>1829201781</v>
      </c>
      <c r="B771" t="s">
        <v>1641</v>
      </c>
      <c r="C771" s="169">
        <v>37490</v>
      </c>
      <c r="D771" s="169">
        <v>8650</v>
      </c>
      <c r="E771">
        <f>VLOOKUP(A:A,הוצאות!B:B,1,0)</f>
        <v>1829201781</v>
      </c>
      <c r="F771" s="156">
        <f>VLOOKUP(A:A,הוצאות!B:O,14,0)</f>
        <v>8650</v>
      </c>
      <c r="G771" s="180">
        <f t="shared" si="12"/>
        <v>0</v>
      </c>
    </row>
    <row r="772" spans="1:7">
      <c r="A772">
        <v>1829202780</v>
      </c>
      <c r="B772" t="s">
        <v>1806</v>
      </c>
      <c r="C772" s="169">
        <v>33320</v>
      </c>
      <c r="D772" s="169">
        <v>0</v>
      </c>
      <c r="E772">
        <f>VLOOKUP(A:A,הוצאות!B:B,1,0)</f>
        <v>1829202780</v>
      </c>
      <c r="F772" s="156">
        <f>VLOOKUP(A:A,הוצאות!B:O,14,0)</f>
        <v>0</v>
      </c>
      <c r="G772" s="180">
        <f t="shared" si="12"/>
        <v>0</v>
      </c>
    </row>
    <row r="773" spans="1:7">
      <c r="A773">
        <v>1829210110</v>
      </c>
      <c r="B773" t="s">
        <v>293</v>
      </c>
      <c r="C773" s="169">
        <v>99960</v>
      </c>
      <c r="D773" s="169">
        <v>72041.25</v>
      </c>
      <c r="E773">
        <f>VLOOKUP(A:A,הוצאות!B:B,1,0)</f>
        <v>1829210110</v>
      </c>
      <c r="F773" s="156">
        <f>VLOOKUP(A:A,הוצאות!B:O,14,0)</f>
        <v>72041.25</v>
      </c>
      <c r="G773" s="180">
        <f t="shared" si="12"/>
        <v>0</v>
      </c>
    </row>
    <row r="774" spans="1:7" hidden="1">
      <c r="A774">
        <v>1829210320</v>
      </c>
      <c r="B774" t="s">
        <v>25</v>
      </c>
      <c r="C774" s="169">
        <v>0</v>
      </c>
      <c r="D774" s="169">
        <v>0</v>
      </c>
      <c r="E774">
        <f>VLOOKUP(A:A,הוצאות!B:B,1,0)</f>
        <v>1829210320</v>
      </c>
    </row>
    <row r="775" spans="1:7" hidden="1">
      <c r="A775">
        <v>1829210750</v>
      </c>
      <c r="B775" t="s">
        <v>1807</v>
      </c>
      <c r="C775" s="169">
        <v>0</v>
      </c>
      <c r="D775" s="169">
        <v>0</v>
      </c>
      <c r="E775" t="e">
        <f>VLOOKUP(A:A,הוצאות!B:B,1,0)</f>
        <v>#N/A</v>
      </c>
    </row>
    <row r="776" spans="1:7" hidden="1">
      <c r="A776">
        <v>1829300710</v>
      </c>
      <c r="B776" t="s">
        <v>1808</v>
      </c>
      <c r="C776" s="169">
        <v>0</v>
      </c>
      <c r="D776" s="169">
        <v>0</v>
      </c>
      <c r="E776" t="e">
        <f>VLOOKUP(A:A,הוצאות!B:B,1,0)</f>
        <v>#N/A</v>
      </c>
    </row>
    <row r="777" spans="1:7">
      <c r="A777">
        <v>1829300750</v>
      </c>
      <c r="B777" t="s">
        <v>294</v>
      </c>
      <c r="C777" s="169">
        <v>333200</v>
      </c>
      <c r="D777" s="169">
        <v>251847.4</v>
      </c>
      <c r="E777">
        <f>VLOOKUP(A:A,הוצאות!B:B,1,0)</f>
        <v>1829300750</v>
      </c>
      <c r="F777" s="156">
        <f>VLOOKUP(A:A,הוצאות!B:O,14,0)</f>
        <v>251847.4</v>
      </c>
      <c r="G777" s="180">
        <f t="shared" ref="G777:G783" si="13">D777-F777</f>
        <v>0</v>
      </c>
    </row>
    <row r="778" spans="1:7">
      <c r="A778">
        <v>1829999399</v>
      </c>
      <c r="B778" t="s">
        <v>47</v>
      </c>
      <c r="C778" s="169">
        <v>0</v>
      </c>
      <c r="D778" s="169">
        <v>0</v>
      </c>
      <c r="E778" t="e">
        <f>VLOOKUP(A:A,הוצאות!B:B,1,0)</f>
        <v>#N/A</v>
      </c>
      <c r="F778" s="156" t="e">
        <f>VLOOKUP(A:A,הוצאות!B:O,14,0)</f>
        <v>#N/A</v>
      </c>
      <c r="G778" s="180" t="e">
        <f t="shared" si="13"/>
        <v>#N/A</v>
      </c>
    </row>
    <row r="779" spans="1:7">
      <c r="A779">
        <v>1832000431</v>
      </c>
      <c r="B779" t="s">
        <v>295</v>
      </c>
      <c r="C779" s="169">
        <v>0</v>
      </c>
      <c r="D779" s="169">
        <v>0</v>
      </c>
      <c r="E779" t="e">
        <f>VLOOKUP(A:A,הוצאות!B:B,1,0)</f>
        <v>#N/A</v>
      </c>
      <c r="F779" s="156" t="e">
        <f>VLOOKUP(A:A,הוצאות!B:O,14,0)</f>
        <v>#N/A</v>
      </c>
      <c r="G779" s="180" t="e">
        <f t="shared" si="13"/>
        <v>#N/A</v>
      </c>
    </row>
    <row r="780" spans="1:7">
      <c r="A780">
        <v>1832300110</v>
      </c>
      <c r="B780" t="s">
        <v>296</v>
      </c>
      <c r="C780" s="169">
        <v>0</v>
      </c>
      <c r="D780" s="169">
        <v>0</v>
      </c>
      <c r="E780" t="e">
        <f>VLOOKUP(A:A,הוצאות!B:B,1,0)</f>
        <v>#N/A</v>
      </c>
      <c r="F780" s="156" t="e">
        <f>VLOOKUP(A:A,הוצאות!B:O,14,0)</f>
        <v>#N/A</v>
      </c>
      <c r="G780" s="180" t="e">
        <f t="shared" si="13"/>
        <v>#N/A</v>
      </c>
    </row>
    <row r="781" spans="1:7">
      <c r="A781">
        <v>1832300431</v>
      </c>
      <c r="B781" t="s">
        <v>297</v>
      </c>
      <c r="C781" s="169">
        <v>0</v>
      </c>
      <c r="D781" s="169">
        <v>0</v>
      </c>
      <c r="E781" t="e">
        <f>VLOOKUP(A:A,הוצאות!B:B,1,0)</f>
        <v>#N/A</v>
      </c>
      <c r="F781" s="156" t="e">
        <f>VLOOKUP(A:A,הוצאות!B:O,14,0)</f>
        <v>#N/A</v>
      </c>
      <c r="G781" s="180" t="e">
        <f t="shared" si="13"/>
        <v>#N/A</v>
      </c>
    </row>
    <row r="782" spans="1:7">
      <c r="A782">
        <v>1832300441</v>
      </c>
      <c r="B782" t="s">
        <v>298</v>
      </c>
      <c r="C782" s="169">
        <v>0</v>
      </c>
      <c r="D782" s="169">
        <v>0</v>
      </c>
      <c r="E782" t="e">
        <f>VLOOKUP(A:A,הוצאות!B:B,1,0)</f>
        <v>#N/A</v>
      </c>
      <c r="F782" s="156" t="e">
        <f>VLOOKUP(A:A,הוצאות!B:O,14,0)</f>
        <v>#N/A</v>
      </c>
      <c r="G782" s="180" t="e">
        <f t="shared" si="13"/>
        <v>#N/A</v>
      </c>
    </row>
    <row r="783" spans="1:7">
      <c r="A783">
        <v>1832300540</v>
      </c>
      <c r="B783" t="s">
        <v>299</v>
      </c>
      <c r="C783" s="169">
        <v>830</v>
      </c>
      <c r="D783" s="169">
        <v>0</v>
      </c>
      <c r="E783">
        <f>VLOOKUP(A:A,הוצאות!B:B,1,0)</f>
        <v>1832300540</v>
      </c>
      <c r="F783" s="156">
        <f>VLOOKUP(A:A,הוצאות!B:O,14,0)</f>
        <v>0</v>
      </c>
      <c r="G783" s="180">
        <f t="shared" si="13"/>
        <v>0</v>
      </c>
    </row>
    <row r="784" spans="1:7" hidden="1">
      <c r="A784">
        <v>1832300720</v>
      </c>
      <c r="B784" t="s">
        <v>1809</v>
      </c>
      <c r="C784" s="169">
        <v>0</v>
      </c>
      <c r="D784" s="169">
        <v>0</v>
      </c>
      <c r="E784" t="e">
        <f>VLOOKUP(A:A,הוצאות!B:B,1,0)</f>
        <v>#N/A</v>
      </c>
    </row>
    <row r="785" spans="1:7">
      <c r="A785">
        <v>1832300780</v>
      </c>
      <c r="B785" t="s">
        <v>18</v>
      </c>
      <c r="C785" s="169">
        <v>3330</v>
      </c>
      <c r="D785" s="169">
        <v>0</v>
      </c>
      <c r="E785">
        <f>VLOOKUP(A:A,הוצאות!B:B,1,0)</f>
        <v>1832300780</v>
      </c>
      <c r="F785" s="156">
        <f>VLOOKUP(A:A,הוצאות!B:O,14,0)</f>
        <v>0</v>
      </c>
      <c r="G785" s="180">
        <f>D785-F785</f>
        <v>0</v>
      </c>
    </row>
    <row r="786" spans="1:7" hidden="1">
      <c r="A786">
        <v>1832300930</v>
      </c>
      <c r="B786" t="s">
        <v>1810</v>
      </c>
      <c r="C786" s="169">
        <v>0</v>
      </c>
      <c r="D786" s="169">
        <v>0</v>
      </c>
      <c r="E786" t="e">
        <f>VLOOKUP(A:A,הוצאות!B:B,1,0)</f>
        <v>#N/A</v>
      </c>
    </row>
    <row r="787" spans="1:7">
      <c r="A787">
        <v>1832400110</v>
      </c>
      <c r="B787" t="s">
        <v>300</v>
      </c>
      <c r="C787" s="169">
        <v>158270</v>
      </c>
      <c r="D787" s="169">
        <v>112414.2</v>
      </c>
      <c r="E787">
        <f>VLOOKUP(A:A,הוצאות!B:B,1,0)</f>
        <v>1832400110</v>
      </c>
      <c r="F787" s="156">
        <f>VLOOKUP(A:A,הוצאות!B:O,14,0)</f>
        <v>112414.2</v>
      </c>
      <c r="G787" s="180">
        <f>D787-F787</f>
        <v>0</v>
      </c>
    </row>
    <row r="788" spans="1:7">
      <c r="A788">
        <v>1832400320</v>
      </c>
      <c r="B788" t="s">
        <v>25</v>
      </c>
      <c r="C788" s="169">
        <v>0</v>
      </c>
      <c r="D788" s="169">
        <v>0</v>
      </c>
      <c r="E788" t="e">
        <f>VLOOKUP(A:A,הוצאות!B:B,1,0)</f>
        <v>#N/A</v>
      </c>
      <c r="F788" s="156" t="e">
        <f>VLOOKUP(A:A,הוצאות!B:O,14,0)</f>
        <v>#N/A</v>
      </c>
      <c r="G788" s="180" t="e">
        <f>D788-F788</f>
        <v>#N/A</v>
      </c>
    </row>
    <row r="789" spans="1:7">
      <c r="A789">
        <v>1832400431</v>
      </c>
      <c r="B789" t="s">
        <v>301</v>
      </c>
      <c r="C789" s="169">
        <v>10830</v>
      </c>
      <c r="D789" s="169">
        <v>2356.16</v>
      </c>
      <c r="E789">
        <f>VLOOKUP(A:A,הוצאות!B:B,1,0)</f>
        <v>1832400431</v>
      </c>
      <c r="F789" s="156">
        <f>VLOOKUP(A:A,הוצאות!B:O,14,0)</f>
        <v>2356.16</v>
      </c>
      <c r="G789" s="180">
        <f>D789-F789</f>
        <v>0</v>
      </c>
    </row>
    <row r="790" spans="1:7">
      <c r="A790">
        <v>1832400432</v>
      </c>
      <c r="B790" t="s">
        <v>302</v>
      </c>
      <c r="C790" s="169">
        <v>16660</v>
      </c>
      <c r="D790" s="169">
        <v>11971.3</v>
      </c>
      <c r="E790">
        <f>VLOOKUP(A:A,הוצאות!B:B,1,0)</f>
        <v>1832400432</v>
      </c>
      <c r="F790" s="156">
        <f>VLOOKUP(A:A,הוצאות!B:O,14,0)</f>
        <v>11971.3</v>
      </c>
      <c r="G790" s="180">
        <f>D790-F790</f>
        <v>0</v>
      </c>
    </row>
    <row r="791" spans="1:7" hidden="1">
      <c r="A791">
        <v>1832400433</v>
      </c>
      <c r="B791" t="s">
        <v>1811</v>
      </c>
      <c r="C791" s="169">
        <v>0</v>
      </c>
      <c r="D791" s="169">
        <v>0</v>
      </c>
      <c r="E791" t="e">
        <f>VLOOKUP(A:A,הוצאות!B:B,1,0)</f>
        <v>#N/A</v>
      </c>
    </row>
    <row r="792" spans="1:7" hidden="1">
      <c r="A792">
        <v>1832400720</v>
      </c>
      <c r="B792" t="s">
        <v>1812</v>
      </c>
      <c r="C792" s="169">
        <v>0</v>
      </c>
      <c r="D792" s="169">
        <v>0</v>
      </c>
      <c r="E792" t="e">
        <f>VLOOKUP(A:A,הוצאות!B:B,1,0)</f>
        <v>#N/A</v>
      </c>
    </row>
    <row r="793" spans="1:7">
      <c r="A793">
        <v>1832400750</v>
      </c>
      <c r="B793" t="s">
        <v>303</v>
      </c>
      <c r="C793" s="169">
        <v>24990</v>
      </c>
      <c r="D793" s="169">
        <v>0</v>
      </c>
      <c r="E793">
        <f>VLOOKUP(A:A,הוצאות!B:B,1,0)</f>
        <v>1832400750</v>
      </c>
      <c r="F793" s="156">
        <f>VLOOKUP(A:A,הוצאות!B:O,14,0)</f>
        <v>0</v>
      </c>
      <c r="G793" s="180">
        <f t="shared" ref="G793:G807" si="14">D793-F793</f>
        <v>0</v>
      </c>
    </row>
    <row r="794" spans="1:7">
      <c r="A794">
        <v>1832400780</v>
      </c>
      <c r="B794" t="s">
        <v>304</v>
      </c>
      <c r="C794" s="169">
        <v>0</v>
      </c>
      <c r="D794" s="169">
        <v>0</v>
      </c>
      <c r="E794">
        <f>VLOOKUP(A:A,הוצאות!B:B,1,0)</f>
        <v>1832400780</v>
      </c>
      <c r="F794" s="156">
        <f>VLOOKUP(A:A,הוצאות!B:O,14,0)</f>
        <v>0</v>
      </c>
      <c r="G794" s="180">
        <f t="shared" si="14"/>
        <v>0</v>
      </c>
    </row>
    <row r="795" spans="1:7">
      <c r="A795">
        <v>1836100830</v>
      </c>
      <c r="B795" t="s">
        <v>305</v>
      </c>
      <c r="C795" s="169">
        <v>22490</v>
      </c>
      <c r="D795" s="169">
        <v>56502</v>
      </c>
      <c r="E795">
        <f>VLOOKUP(A:A,הוצאות!B:B,1,0)</f>
        <v>1836100830</v>
      </c>
      <c r="F795" s="156">
        <f>VLOOKUP(A:A,הוצאות!B:O,14,0)</f>
        <v>56502</v>
      </c>
      <c r="G795" s="180">
        <f t="shared" si="14"/>
        <v>0</v>
      </c>
    </row>
    <row r="796" spans="1:7">
      <c r="A796">
        <v>1838020840</v>
      </c>
      <c r="B796" t="s">
        <v>306</v>
      </c>
      <c r="C796" s="169">
        <v>0</v>
      </c>
      <c r="D796" s="169">
        <v>0</v>
      </c>
      <c r="E796" t="e">
        <f>VLOOKUP(A:A,הוצאות!B:B,1,0)</f>
        <v>#N/A</v>
      </c>
      <c r="F796" s="156" t="e">
        <f>VLOOKUP(A:A,הוצאות!B:O,14,0)</f>
        <v>#N/A</v>
      </c>
      <c r="G796" s="180" t="e">
        <f t="shared" si="14"/>
        <v>#N/A</v>
      </c>
    </row>
    <row r="797" spans="1:7">
      <c r="A797">
        <v>1839999399</v>
      </c>
      <c r="B797" t="s">
        <v>47</v>
      </c>
      <c r="C797" s="169">
        <v>0</v>
      </c>
      <c r="D797" s="169">
        <v>0</v>
      </c>
      <c r="E797" t="e">
        <f>VLOOKUP(A:A,הוצאות!B:B,1,0)</f>
        <v>#N/A</v>
      </c>
      <c r="F797" s="156" t="e">
        <f>VLOOKUP(A:A,הוצאות!B:O,14,0)</f>
        <v>#N/A</v>
      </c>
      <c r="G797" s="180" t="e">
        <f t="shared" si="14"/>
        <v>#N/A</v>
      </c>
    </row>
    <row r="798" spans="1:7">
      <c r="A798">
        <v>1841000420</v>
      </c>
      <c r="B798" t="s">
        <v>307</v>
      </c>
      <c r="C798" s="169">
        <v>4170</v>
      </c>
      <c r="D798" s="169">
        <v>0</v>
      </c>
      <c r="E798">
        <f>VLOOKUP(A:A,הוצאות!B:B,1,0)</f>
        <v>1841000420</v>
      </c>
      <c r="F798" s="156">
        <f>VLOOKUP(A:A,הוצאות!B:O,14,0)</f>
        <v>0</v>
      </c>
      <c r="G798" s="180">
        <f t="shared" si="14"/>
        <v>0</v>
      </c>
    </row>
    <row r="799" spans="1:7">
      <c r="A799">
        <v>1841000431</v>
      </c>
      <c r="B799" t="s">
        <v>308</v>
      </c>
      <c r="C799" s="169">
        <v>0</v>
      </c>
      <c r="D799" s="169">
        <v>0</v>
      </c>
      <c r="E799">
        <f>VLOOKUP(A:A,הוצאות!B:B,1,0)</f>
        <v>1841000431</v>
      </c>
      <c r="F799" s="156">
        <f>VLOOKUP(A:A,הוצאות!B:O,14,0)</f>
        <v>0</v>
      </c>
      <c r="G799" s="180">
        <f t="shared" si="14"/>
        <v>0</v>
      </c>
    </row>
    <row r="800" spans="1:7">
      <c r="A800">
        <v>1841000523</v>
      </c>
      <c r="B800" t="s">
        <v>28</v>
      </c>
      <c r="C800" s="169">
        <v>1670</v>
      </c>
      <c r="D800" s="169">
        <v>800</v>
      </c>
      <c r="E800">
        <f>VLOOKUP(A:A,הוצאות!B:B,1,0)</f>
        <v>1841000523</v>
      </c>
      <c r="F800" s="156">
        <f>VLOOKUP(A:A,הוצאות!B:O,14,0)</f>
        <v>800</v>
      </c>
      <c r="G800" s="180">
        <f t="shared" si="14"/>
        <v>0</v>
      </c>
    </row>
    <row r="801" spans="1:7">
      <c r="A801">
        <v>1841000780</v>
      </c>
      <c r="B801" t="s">
        <v>18</v>
      </c>
      <c r="C801" s="169">
        <v>12500</v>
      </c>
      <c r="D801" s="169">
        <v>11423.7</v>
      </c>
      <c r="E801">
        <f>VLOOKUP(A:A,הוצאות!B:B,1,0)</f>
        <v>1841000780</v>
      </c>
      <c r="F801" s="156">
        <f>VLOOKUP(A:A,הוצאות!B:O,14,0)</f>
        <v>11423.7</v>
      </c>
      <c r="G801" s="180">
        <f t="shared" si="14"/>
        <v>0</v>
      </c>
    </row>
    <row r="802" spans="1:7">
      <c r="A802">
        <v>1841001110</v>
      </c>
      <c r="B802" t="s">
        <v>309</v>
      </c>
      <c r="C802" s="169">
        <v>1536890</v>
      </c>
      <c r="D802" s="169">
        <v>1437220.74</v>
      </c>
      <c r="E802">
        <f>VLOOKUP(A:A,הוצאות!B:B,1,0)</f>
        <v>1841001110</v>
      </c>
      <c r="F802" s="156">
        <f>VLOOKUP(A:A,הוצאות!B:O,14,0)</f>
        <v>1437220.74</v>
      </c>
      <c r="G802" s="180">
        <f t="shared" si="14"/>
        <v>0</v>
      </c>
    </row>
    <row r="803" spans="1:7">
      <c r="A803">
        <v>1841001320</v>
      </c>
      <c r="B803" t="s">
        <v>25</v>
      </c>
      <c r="C803" s="169">
        <v>0</v>
      </c>
      <c r="D803" s="169">
        <v>28604</v>
      </c>
      <c r="E803">
        <f>VLOOKUP(A:A,הוצאות!B:B,1,0)</f>
        <v>1841001320</v>
      </c>
      <c r="F803" s="156">
        <f>VLOOKUP(A:A,הוצאות!B:O,14,0)</f>
        <v>28604</v>
      </c>
      <c r="G803" s="180">
        <f t="shared" si="14"/>
        <v>0</v>
      </c>
    </row>
    <row r="804" spans="1:7">
      <c r="A804">
        <v>1841002840</v>
      </c>
      <c r="B804" t="s">
        <v>310</v>
      </c>
      <c r="C804" s="169">
        <v>0</v>
      </c>
      <c r="D804" s="169">
        <v>0</v>
      </c>
      <c r="E804" t="e">
        <f>VLOOKUP(A:A,הוצאות!B:B,1,0)</f>
        <v>#N/A</v>
      </c>
      <c r="F804" s="156" t="e">
        <f>VLOOKUP(A:A,הוצאות!B:O,14,0)</f>
        <v>#N/A</v>
      </c>
      <c r="G804" s="180" t="e">
        <f t="shared" si="14"/>
        <v>#N/A</v>
      </c>
    </row>
    <row r="805" spans="1:7">
      <c r="A805">
        <v>1841003410</v>
      </c>
      <c r="B805" t="s">
        <v>311</v>
      </c>
      <c r="C805" s="169">
        <v>89960</v>
      </c>
      <c r="D805" s="169">
        <v>95600</v>
      </c>
      <c r="E805">
        <f>VLOOKUP(A:A,הוצאות!B:B,1,0)</f>
        <v>1841003410</v>
      </c>
      <c r="F805" s="156">
        <f>VLOOKUP(A:A,הוצאות!B:O,14,0)</f>
        <v>95600</v>
      </c>
      <c r="G805" s="180">
        <f t="shared" si="14"/>
        <v>0</v>
      </c>
    </row>
    <row r="806" spans="1:7">
      <c r="A806">
        <v>1841003420</v>
      </c>
      <c r="B806" t="s">
        <v>141</v>
      </c>
      <c r="C806" s="169">
        <v>0</v>
      </c>
      <c r="D806" s="169">
        <v>0</v>
      </c>
      <c r="E806" t="e">
        <f>VLOOKUP(A:A,הוצאות!B:B,1,0)</f>
        <v>#N/A</v>
      </c>
      <c r="F806" s="156" t="e">
        <f>VLOOKUP(A:A,הוצאות!B:O,14,0)</f>
        <v>#N/A</v>
      </c>
      <c r="G806" s="180" t="e">
        <f t="shared" si="14"/>
        <v>#N/A</v>
      </c>
    </row>
    <row r="807" spans="1:7">
      <c r="A807">
        <v>1841003431</v>
      </c>
      <c r="B807" t="s">
        <v>26</v>
      </c>
      <c r="C807" s="169">
        <v>12500</v>
      </c>
      <c r="D807" s="169">
        <v>0</v>
      </c>
      <c r="E807">
        <f>VLOOKUP(A:A,הוצאות!B:B,1,0)</f>
        <v>1841003431</v>
      </c>
      <c r="F807" s="156">
        <f>VLOOKUP(A:A,הוצאות!B:O,14,0)</f>
        <v>0</v>
      </c>
      <c r="G807" s="180">
        <f t="shared" si="14"/>
        <v>0</v>
      </c>
    </row>
    <row r="808" spans="1:7" hidden="1">
      <c r="A808">
        <v>1841003432</v>
      </c>
      <c r="B808" t="s">
        <v>165</v>
      </c>
      <c r="C808" s="169">
        <v>0</v>
      </c>
      <c r="D808" s="169">
        <v>0</v>
      </c>
      <c r="E808" t="e">
        <f>VLOOKUP(A:A,הוצאות!B:B,1,0)</f>
        <v>#N/A</v>
      </c>
    </row>
    <row r="809" spans="1:7" hidden="1">
      <c r="A809">
        <v>1841003511</v>
      </c>
      <c r="B809" t="s">
        <v>27</v>
      </c>
      <c r="C809" s="169">
        <v>0</v>
      </c>
      <c r="D809" s="169">
        <v>0</v>
      </c>
      <c r="E809" t="e">
        <f>VLOOKUP(A:A,הוצאות!B:B,1,0)</f>
        <v>#N/A</v>
      </c>
    </row>
    <row r="810" spans="1:7" hidden="1">
      <c r="A810">
        <v>1841003523</v>
      </c>
      <c r="B810" t="s">
        <v>28</v>
      </c>
      <c r="C810" s="169">
        <v>0</v>
      </c>
      <c r="D810" s="169">
        <v>0</v>
      </c>
      <c r="E810" t="e">
        <f>VLOOKUP(A:A,הוצאות!B:B,1,0)</f>
        <v>#N/A</v>
      </c>
    </row>
    <row r="811" spans="1:7">
      <c r="A811">
        <v>1841003540</v>
      </c>
      <c r="B811" t="s">
        <v>104</v>
      </c>
      <c r="C811" s="169">
        <v>1250</v>
      </c>
      <c r="D811" s="169">
        <v>1334</v>
      </c>
      <c r="E811">
        <f>VLOOKUP(A:A,הוצאות!B:B,1,0)</f>
        <v>1841003540</v>
      </c>
      <c r="F811" s="156">
        <f>VLOOKUP(A:A,הוצאות!B:O,14,0)</f>
        <v>1334</v>
      </c>
      <c r="G811" s="180">
        <f t="shared" ref="G811:G817" si="15">D811-F811</f>
        <v>0</v>
      </c>
    </row>
    <row r="812" spans="1:7">
      <c r="A812">
        <v>1841003560</v>
      </c>
      <c r="B812" t="s">
        <v>312</v>
      </c>
      <c r="C812" s="169">
        <v>12500</v>
      </c>
      <c r="D812" s="169">
        <v>0</v>
      </c>
      <c r="E812">
        <f>VLOOKUP(A:A,הוצאות!B:B,1,0)</f>
        <v>1841003560</v>
      </c>
      <c r="F812" s="156">
        <f>VLOOKUP(A:A,הוצאות!B:O,14,0)</f>
        <v>0</v>
      </c>
      <c r="G812" s="180">
        <f t="shared" si="15"/>
        <v>0</v>
      </c>
    </row>
    <row r="813" spans="1:7">
      <c r="A813">
        <v>1841003570</v>
      </c>
      <c r="B813" t="s">
        <v>313</v>
      </c>
      <c r="C813" s="169">
        <v>14990</v>
      </c>
      <c r="D813" s="169">
        <v>0</v>
      </c>
      <c r="E813">
        <f>VLOOKUP(A:A,הוצאות!B:B,1,0)</f>
        <v>1841003570</v>
      </c>
      <c r="F813" s="156">
        <f>VLOOKUP(A:A,הוצאות!B:O,14,0)</f>
        <v>0</v>
      </c>
      <c r="G813" s="180">
        <f t="shared" si="15"/>
        <v>0</v>
      </c>
    </row>
    <row r="814" spans="1:7">
      <c r="A814">
        <v>1841003720</v>
      </c>
      <c r="B814" t="s">
        <v>32</v>
      </c>
      <c r="C814" s="169">
        <v>0</v>
      </c>
      <c r="D814" s="169">
        <v>0</v>
      </c>
      <c r="E814" t="e">
        <f>VLOOKUP(A:A,הוצאות!B:B,1,0)</f>
        <v>#N/A</v>
      </c>
      <c r="F814" s="156" t="e">
        <f>VLOOKUP(A:A,הוצאות!B:O,14,0)</f>
        <v>#N/A</v>
      </c>
      <c r="G814" s="180" t="e">
        <f t="shared" si="15"/>
        <v>#N/A</v>
      </c>
    </row>
    <row r="815" spans="1:7">
      <c r="A815">
        <v>1841003750</v>
      </c>
      <c r="B815" t="s">
        <v>62</v>
      </c>
      <c r="C815" s="169">
        <v>0</v>
      </c>
      <c r="D815" s="169">
        <v>0</v>
      </c>
      <c r="E815" t="e">
        <f>VLOOKUP(A:A,הוצאות!B:B,1,0)</f>
        <v>#N/A</v>
      </c>
      <c r="F815" s="156" t="e">
        <f>VLOOKUP(A:A,הוצאות!B:O,14,0)</f>
        <v>#N/A</v>
      </c>
      <c r="G815" s="180" t="e">
        <f t="shared" si="15"/>
        <v>#N/A</v>
      </c>
    </row>
    <row r="816" spans="1:7">
      <c r="A816">
        <v>1841003780</v>
      </c>
      <c r="B816" t="s">
        <v>18</v>
      </c>
      <c r="C816" s="169">
        <v>6660</v>
      </c>
      <c r="D816" s="169">
        <v>0</v>
      </c>
      <c r="E816">
        <f>VLOOKUP(A:A,הוצאות!B:B,1,0)</f>
        <v>1841003780</v>
      </c>
      <c r="F816" s="156">
        <f>VLOOKUP(A:A,הוצאות!B:O,14,0)</f>
        <v>0</v>
      </c>
      <c r="G816" s="180">
        <f t="shared" si="15"/>
        <v>0</v>
      </c>
    </row>
    <row r="817" spans="1:7">
      <c r="A817">
        <v>1841003930</v>
      </c>
      <c r="B817" t="s">
        <v>314</v>
      </c>
      <c r="C817" s="169">
        <v>4170</v>
      </c>
      <c r="D817" s="169">
        <v>0</v>
      </c>
      <c r="E817">
        <f>VLOOKUP(A:A,הוצאות!B:B,1,0)</f>
        <v>1841003930</v>
      </c>
      <c r="F817" s="156">
        <f>VLOOKUP(A:A,הוצאות!B:O,14,0)</f>
        <v>0</v>
      </c>
      <c r="G817" s="180">
        <f t="shared" si="15"/>
        <v>0</v>
      </c>
    </row>
    <row r="818" spans="1:7" hidden="1">
      <c r="A818">
        <v>1841004840</v>
      </c>
      <c r="B818" t="s">
        <v>1702</v>
      </c>
      <c r="C818" s="169">
        <v>0</v>
      </c>
      <c r="D818" s="169">
        <v>0</v>
      </c>
      <c r="E818" t="e">
        <f>VLOOKUP(A:A,הוצאות!B:B,1,0)</f>
        <v>#N/A</v>
      </c>
    </row>
    <row r="819" spans="1:7" hidden="1">
      <c r="A819">
        <v>1841004930</v>
      </c>
      <c r="B819" t="s">
        <v>1813</v>
      </c>
      <c r="C819" s="169">
        <v>0</v>
      </c>
      <c r="D819" s="169">
        <v>0</v>
      </c>
      <c r="E819" t="e">
        <f>VLOOKUP(A:A,הוצאות!B:B,1,0)</f>
        <v>#N/A</v>
      </c>
    </row>
    <row r="820" spans="1:7" hidden="1">
      <c r="A820">
        <v>1842201780</v>
      </c>
      <c r="B820" t="s">
        <v>1814</v>
      </c>
      <c r="C820" s="169">
        <v>0</v>
      </c>
      <c r="D820" s="169">
        <v>0</v>
      </c>
      <c r="E820" t="e">
        <f>VLOOKUP(A:A,הוצאות!B:B,1,0)</f>
        <v>#N/A</v>
      </c>
    </row>
    <row r="821" spans="1:7" hidden="1">
      <c r="A821">
        <v>1842201840</v>
      </c>
      <c r="B821" t="s">
        <v>1815</v>
      </c>
      <c r="C821" s="169">
        <v>0</v>
      </c>
      <c r="D821" s="169">
        <v>0</v>
      </c>
      <c r="E821" t="e">
        <f>VLOOKUP(A:A,הוצאות!B:B,1,0)</f>
        <v>#N/A</v>
      </c>
    </row>
    <row r="822" spans="1:7" hidden="1">
      <c r="A822">
        <v>1842202750</v>
      </c>
      <c r="B822" t="s">
        <v>1816</v>
      </c>
      <c r="C822" s="169">
        <v>0</v>
      </c>
      <c r="D822" s="169">
        <v>0</v>
      </c>
      <c r="E822">
        <f>VLOOKUP(A:A,הוצאות!B:B,1,0)</f>
        <v>1842202750</v>
      </c>
    </row>
    <row r="823" spans="1:7" hidden="1">
      <c r="A823">
        <v>1842202780</v>
      </c>
      <c r="B823" t="s">
        <v>315</v>
      </c>
      <c r="C823" s="169">
        <v>0</v>
      </c>
      <c r="D823" s="169">
        <v>0</v>
      </c>
      <c r="E823" t="e">
        <f>VLOOKUP(A:A,הוצאות!B:B,1,0)</f>
        <v>#N/A</v>
      </c>
    </row>
    <row r="824" spans="1:7">
      <c r="A824">
        <v>1842202840</v>
      </c>
      <c r="B824" t="s">
        <v>315</v>
      </c>
      <c r="C824" s="169">
        <v>158270</v>
      </c>
      <c r="D824" s="169">
        <v>167426</v>
      </c>
      <c r="E824">
        <f>VLOOKUP(A:A,הוצאות!B:B,1,0)</f>
        <v>1842202840</v>
      </c>
      <c r="F824" s="156">
        <f>VLOOKUP(A:A,הוצאות!B:O,14,0)</f>
        <v>167426</v>
      </c>
      <c r="G824" s="180">
        <f t="shared" ref="G824:G832" si="16">D824-F824</f>
        <v>0</v>
      </c>
    </row>
    <row r="825" spans="1:7">
      <c r="A825">
        <v>1842203780</v>
      </c>
      <c r="B825" t="s">
        <v>316</v>
      </c>
      <c r="C825" s="169">
        <v>0</v>
      </c>
      <c r="D825" s="169">
        <v>0</v>
      </c>
      <c r="E825" t="e">
        <f>VLOOKUP(A:A,הוצאות!B:B,1,0)</f>
        <v>#N/A</v>
      </c>
      <c r="F825" s="156" t="e">
        <f>VLOOKUP(A:A,הוצאות!B:O,14,0)</f>
        <v>#N/A</v>
      </c>
      <c r="G825" s="180" t="e">
        <f t="shared" si="16"/>
        <v>#N/A</v>
      </c>
    </row>
    <row r="826" spans="1:7">
      <c r="A826">
        <v>1842203840</v>
      </c>
      <c r="B826" t="s">
        <v>317</v>
      </c>
      <c r="C826" s="169">
        <v>0</v>
      </c>
      <c r="D826" s="169">
        <v>0</v>
      </c>
      <c r="E826" t="e">
        <f>VLOOKUP(A:A,הוצאות!B:B,1,0)</f>
        <v>#N/A</v>
      </c>
      <c r="F826" s="156" t="e">
        <f>VLOOKUP(A:A,הוצאות!B:O,14,0)</f>
        <v>#N/A</v>
      </c>
      <c r="G826" s="180" t="e">
        <f t="shared" si="16"/>
        <v>#N/A</v>
      </c>
    </row>
    <row r="827" spans="1:7">
      <c r="A827">
        <v>1842204710</v>
      </c>
      <c r="B827" t="s">
        <v>318</v>
      </c>
      <c r="C827" s="169">
        <v>0</v>
      </c>
      <c r="D827" s="169">
        <v>0</v>
      </c>
      <c r="E827" t="e">
        <f>VLOOKUP(A:A,הוצאות!B:B,1,0)</f>
        <v>#N/A</v>
      </c>
      <c r="F827" s="156" t="e">
        <f>VLOOKUP(A:A,הוצאות!B:O,14,0)</f>
        <v>#N/A</v>
      </c>
      <c r="G827" s="180" t="e">
        <f t="shared" si="16"/>
        <v>#N/A</v>
      </c>
    </row>
    <row r="828" spans="1:7">
      <c r="A828">
        <v>1842204840</v>
      </c>
      <c r="B828" t="s">
        <v>319</v>
      </c>
      <c r="C828" s="169">
        <v>0</v>
      </c>
      <c r="D828" s="169">
        <v>0</v>
      </c>
      <c r="E828" t="e">
        <f>VLOOKUP(A:A,הוצאות!B:B,1,0)</f>
        <v>#N/A</v>
      </c>
      <c r="F828" s="156" t="e">
        <f>VLOOKUP(A:A,הוצאות!B:O,14,0)</f>
        <v>#N/A</v>
      </c>
      <c r="G828" s="180" t="e">
        <f t="shared" si="16"/>
        <v>#N/A</v>
      </c>
    </row>
    <row r="829" spans="1:7">
      <c r="A829">
        <v>1842205710</v>
      </c>
      <c r="B829" t="s">
        <v>320</v>
      </c>
      <c r="C829" s="169">
        <v>0</v>
      </c>
      <c r="D829" s="169">
        <v>0</v>
      </c>
      <c r="E829" t="e">
        <f>VLOOKUP(A:A,הוצאות!B:B,1,0)</f>
        <v>#N/A</v>
      </c>
      <c r="F829" s="156" t="e">
        <f>VLOOKUP(A:A,הוצאות!B:O,14,0)</f>
        <v>#N/A</v>
      </c>
      <c r="G829" s="180" t="e">
        <f t="shared" si="16"/>
        <v>#N/A</v>
      </c>
    </row>
    <row r="830" spans="1:7">
      <c r="A830">
        <v>1842205780</v>
      </c>
      <c r="B830" t="s">
        <v>321</v>
      </c>
      <c r="C830" s="169">
        <v>0</v>
      </c>
      <c r="D830" s="169">
        <v>0</v>
      </c>
      <c r="E830" t="e">
        <f>VLOOKUP(A:A,הוצאות!B:B,1,0)</f>
        <v>#N/A</v>
      </c>
      <c r="F830" s="156" t="e">
        <f>VLOOKUP(A:A,הוצאות!B:O,14,0)</f>
        <v>#N/A</v>
      </c>
      <c r="G830" s="180" t="e">
        <f t="shared" si="16"/>
        <v>#N/A</v>
      </c>
    </row>
    <row r="831" spans="1:7">
      <c r="A831">
        <v>1842205840</v>
      </c>
      <c r="B831" t="s">
        <v>322</v>
      </c>
      <c r="C831" s="169">
        <v>0</v>
      </c>
      <c r="D831" s="169">
        <v>0</v>
      </c>
      <c r="E831" t="e">
        <f>VLOOKUP(A:A,הוצאות!B:B,1,0)</f>
        <v>#N/A</v>
      </c>
      <c r="F831" s="156" t="e">
        <f>VLOOKUP(A:A,הוצאות!B:O,14,0)</f>
        <v>#N/A</v>
      </c>
      <c r="G831" s="180" t="e">
        <f t="shared" si="16"/>
        <v>#N/A</v>
      </c>
    </row>
    <row r="832" spans="1:7">
      <c r="A832">
        <v>1842206840</v>
      </c>
      <c r="B832" t="s">
        <v>323</v>
      </c>
      <c r="C832" s="169">
        <v>54980</v>
      </c>
      <c r="D832" s="169">
        <v>43995</v>
      </c>
      <c r="E832">
        <f>VLOOKUP(A:A,הוצאות!B:B,1,0)</f>
        <v>1842206840</v>
      </c>
      <c r="F832" s="156">
        <f>VLOOKUP(A:A,הוצאות!B:O,14,0)</f>
        <v>43995</v>
      </c>
      <c r="G832" s="180">
        <f t="shared" si="16"/>
        <v>0</v>
      </c>
    </row>
    <row r="833" spans="1:7" hidden="1">
      <c r="A833">
        <v>1842207840</v>
      </c>
      <c r="B833" t="s">
        <v>383</v>
      </c>
      <c r="C833" s="169">
        <v>0</v>
      </c>
      <c r="D833" s="169">
        <v>0</v>
      </c>
      <c r="E833" t="e">
        <f>VLOOKUP(A:A,הוצאות!B:B,1,0)</f>
        <v>#N/A</v>
      </c>
    </row>
    <row r="834" spans="1:7">
      <c r="A834">
        <v>1842401840</v>
      </c>
      <c r="B834" t="s">
        <v>324</v>
      </c>
      <c r="C834" s="169">
        <v>0</v>
      </c>
      <c r="D834" s="169">
        <v>0</v>
      </c>
      <c r="E834">
        <f>VLOOKUP(A:A,הוצאות!B:B,1,0)</f>
        <v>1842401840</v>
      </c>
      <c r="F834" s="156">
        <f>VLOOKUP(A:A,הוצאות!B:O,14,0)</f>
        <v>0</v>
      </c>
      <c r="G834" s="180">
        <f t="shared" ref="G834:G840" si="17">D834-F834</f>
        <v>0</v>
      </c>
    </row>
    <row r="835" spans="1:7">
      <c r="A835">
        <v>1842402840</v>
      </c>
      <c r="B835" t="s">
        <v>325</v>
      </c>
      <c r="C835" s="169">
        <v>0</v>
      </c>
      <c r="D835" s="169">
        <v>7996</v>
      </c>
      <c r="E835">
        <f>VLOOKUP(A:A,הוצאות!B:B,1,0)</f>
        <v>1842402840</v>
      </c>
      <c r="F835" s="156">
        <f>VLOOKUP(A:A,הוצאות!B:O,14,0)</f>
        <v>7996</v>
      </c>
      <c r="G835" s="180">
        <f t="shared" si="17"/>
        <v>0</v>
      </c>
    </row>
    <row r="836" spans="1:7">
      <c r="A836">
        <v>1843501110</v>
      </c>
      <c r="B836" t="s">
        <v>326</v>
      </c>
      <c r="C836" s="169">
        <v>96630</v>
      </c>
      <c r="D836" s="169">
        <v>91040.62</v>
      </c>
      <c r="E836">
        <f>VLOOKUP(A:A,הוצאות!B:B,1,0)</f>
        <v>1843501110</v>
      </c>
      <c r="F836" s="156">
        <f>VLOOKUP(A:A,הוצאות!B:O,14,0)</f>
        <v>91040.62</v>
      </c>
      <c r="G836" s="180">
        <f t="shared" si="17"/>
        <v>0</v>
      </c>
    </row>
    <row r="837" spans="1:7">
      <c r="A837">
        <v>1843501840</v>
      </c>
      <c r="B837" t="s">
        <v>327</v>
      </c>
      <c r="C837" s="169">
        <v>0</v>
      </c>
      <c r="D837" s="169">
        <v>0</v>
      </c>
      <c r="E837">
        <f>VLOOKUP(A:A,הוצאות!B:B,1,0)</f>
        <v>1843501840</v>
      </c>
      <c r="F837" s="156">
        <f>VLOOKUP(A:A,הוצאות!B:O,14,0)</f>
        <v>0</v>
      </c>
      <c r="G837" s="180">
        <f t="shared" si="17"/>
        <v>0</v>
      </c>
    </row>
    <row r="838" spans="1:7">
      <c r="A838">
        <v>1843502840</v>
      </c>
      <c r="B838" t="s">
        <v>328</v>
      </c>
      <c r="C838" s="169">
        <v>106620</v>
      </c>
      <c r="D838" s="169">
        <v>124307</v>
      </c>
      <c r="E838">
        <f>VLOOKUP(A:A,הוצאות!B:B,1,0)</f>
        <v>1843502840</v>
      </c>
      <c r="F838" s="156">
        <f>VLOOKUP(A:A,הוצאות!B:O,14,0)</f>
        <v>124307</v>
      </c>
      <c r="G838" s="180">
        <f t="shared" si="17"/>
        <v>0</v>
      </c>
    </row>
    <row r="839" spans="1:7">
      <c r="A839">
        <v>1843503750</v>
      </c>
      <c r="B839" t="s">
        <v>34</v>
      </c>
      <c r="C839" s="169">
        <v>1670</v>
      </c>
      <c r="D839" s="169">
        <v>0</v>
      </c>
      <c r="E839">
        <f>VLOOKUP(A:A,הוצאות!B:B,1,0)</f>
        <v>1843503750</v>
      </c>
      <c r="F839" s="156">
        <f>VLOOKUP(A:A,הוצאות!B:O,14,0)</f>
        <v>0</v>
      </c>
      <c r="G839" s="180">
        <f t="shared" si="17"/>
        <v>0</v>
      </c>
    </row>
    <row r="840" spans="1:7">
      <c r="A840">
        <v>1843503840</v>
      </c>
      <c r="B840" t="s">
        <v>329</v>
      </c>
      <c r="C840" s="169">
        <v>828000</v>
      </c>
      <c r="D840" s="169">
        <v>846883</v>
      </c>
      <c r="E840">
        <f>VLOOKUP(A:A,הוצאות!B:B,1,0)</f>
        <v>1843503840</v>
      </c>
      <c r="F840" s="156">
        <f>VLOOKUP(A:A,הוצאות!B:O,14,0)</f>
        <v>846883</v>
      </c>
      <c r="G840" s="180">
        <f t="shared" si="17"/>
        <v>0</v>
      </c>
    </row>
    <row r="841" spans="1:7" hidden="1">
      <c r="A841">
        <v>1843503930</v>
      </c>
      <c r="B841" t="s">
        <v>1817</v>
      </c>
      <c r="C841" s="169">
        <v>0</v>
      </c>
      <c r="D841" s="169">
        <v>0</v>
      </c>
      <c r="E841" t="e">
        <f>VLOOKUP(A:A,הוצאות!B:B,1,0)</f>
        <v>#N/A</v>
      </c>
    </row>
    <row r="842" spans="1:7" hidden="1">
      <c r="A842">
        <v>1843504110</v>
      </c>
      <c r="B842" t="s">
        <v>1818</v>
      </c>
      <c r="C842" s="169">
        <v>0</v>
      </c>
      <c r="D842" s="169">
        <v>0</v>
      </c>
      <c r="E842" t="e">
        <f>VLOOKUP(A:A,הוצאות!B:B,1,0)</f>
        <v>#N/A</v>
      </c>
    </row>
    <row r="843" spans="1:7" hidden="1">
      <c r="A843">
        <v>1843504410</v>
      </c>
      <c r="B843" t="s">
        <v>1819</v>
      </c>
      <c r="C843" s="169">
        <v>0</v>
      </c>
      <c r="D843" s="169">
        <v>0</v>
      </c>
      <c r="E843" t="e">
        <f>VLOOKUP(A:A,הוצאות!B:B,1,0)</f>
        <v>#N/A</v>
      </c>
    </row>
    <row r="844" spans="1:7" hidden="1">
      <c r="A844">
        <v>1843504420</v>
      </c>
      <c r="B844" t="s">
        <v>1820</v>
      </c>
      <c r="C844" s="169">
        <v>0</v>
      </c>
      <c r="D844" s="169">
        <v>0</v>
      </c>
      <c r="E844" t="e">
        <f>VLOOKUP(A:A,הוצאות!B:B,1,0)</f>
        <v>#N/A</v>
      </c>
    </row>
    <row r="845" spans="1:7" hidden="1">
      <c r="A845">
        <v>1843504431</v>
      </c>
      <c r="B845" t="s">
        <v>1821</v>
      </c>
      <c r="C845" s="169">
        <v>0</v>
      </c>
      <c r="D845" s="169">
        <v>0</v>
      </c>
      <c r="E845" t="e">
        <f>VLOOKUP(A:A,הוצאות!B:B,1,0)</f>
        <v>#N/A</v>
      </c>
    </row>
    <row r="846" spans="1:7" hidden="1">
      <c r="A846">
        <v>1843504432</v>
      </c>
      <c r="B846" t="s">
        <v>1822</v>
      </c>
      <c r="C846" s="169">
        <v>0</v>
      </c>
      <c r="D846" s="169">
        <v>0</v>
      </c>
      <c r="E846" t="e">
        <f>VLOOKUP(A:A,הוצאות!B:B,1,0)</f>
        <v>#N/A</v>
      </c>
    </row>
    <row r="847" spans="1:7" hidden="1">
      <c r="A847">
        <v>1843504433</v>
      </c>
      <c r="B847" t="s">
        <v>1823</v>
      </c>
      <c r="C847" s="169">
        <v>0</v>
      </c>
      <c r="D847" s="169">
        <v>0</v>
      </c>
      <c r="E847" t="e">
        <f>VLOOKUP(A:A,הוצאות!B:B,1,0)</f>
        <v>#N/A</v>
      </c>
    </row>
    <row r="848" spans="1:7" hidden="1">
      <c r="A848">
        <v>1843504540</v>
      </c>
      <c r="B848" t="s">
        <v>1824</v>
      </c>
      <c r="C848" s="169">
        <v>0</v>
      </c>
      <c r="D848" s="169">
        <v>0</v>
      </c>
      <c r="E848" t="e">
        <f>VLOOKUP(A:A,הוצאות!B:B,1,0)</f>
        <v>#N/A</v>
      </c>
    </row>
    <row r="849" spans="1:7" hidden="1">
      <c r="A849">
        <v>1843504560</v>
      </c>
      <c r="B849" t="s">
        <v>1825</v>
      </c>
      <c r="C849" s="169">
        <v>0</v>
      </c>
      <c r="D849" s="169">
        <v>0</v>
      </c>
      <c r="E849" t="e">
        <f>VLOOKUP(A:A,הוצאות!B:B,1,0)</f>
        <v>#N/A</v>
      </c>
    </row>
    <row r="850" spans="1:7" hidden="1">
      <c r="A850">
        <v>1843504710</v>
      </c>
      <c r="B850" t="s">
        <v>1826</v>
      </c>
      <c r="C850" s="169">
        <v>0</v>
      </c>
      <c r="D850" s="169">
        <v>0</v>
      </c>
      <c r="E850" t="e">
        <f>VLOOKUP(A:A,הוצאות!B:B,1,0)</f>
        <v>#N/A</v>
      </c>
    </row>
    <row r="851" spans="1:7">
      <c r="A851">
        <v>1843504720</v>
      </c>
      <c r="B851" t="s">
        <v>330</v>
      </c>
      <c r="C851" s="169">
        <v>1670</v>
      </c>
      <c r="D851" s="169">
        <v>0</v>
      </c>
      <c r="E851">
        <f>VLOOKUP(A:A,הוצאות!B:B,1,0)</f>
        <v>1843504720</v>
      </c>
      <c r="F851" s="156">
        <f>VLOOKUP(A:A,הוצאות!B:O,14,0)</f>
        <v>0</v>
      </c>
      <c r="G851" s="180">
        <f>D851-F851</f>
        <v>0</v>
      </c>
    </row>
    <row r="852" spans="1:7">
      <c r="A852">
        <v>1843504721</v>
      </c>
      <c r="B852" t="s">
        <v>331</v>
      </c>
      <c r="C852" s="169">
        <v>2500</v>
      </c>
      <c r="D852" s="169">
        <v>10895.5</v>
      </c>
      <c r="E852">
        <f>VLOOKUP(A:A,הוצאות!B:B,1,0)</f>
        <v>1843504721</v>
      </c>
      <c r="F852" s="156">
        <f>VLOOKUP(A:A,הוצאות!B:O,14,0)</f>
        <v>10895.5</v>
      </c>
      <c r="G852" s="180">
        <f>D852-F852</f>
        <v>0</v>
      </c>
    </row>
    <row r="853" spans="1:7">
      <c r="A853">
        <v>1843504750</v>
      </c>
      <c r="B853" t="s">
        <v>1827</v>
      </c>
      <c r="C853" s="169">
        <v>41650</v>
      </c>
      <c r="D853" s="169">
        <v>6865</v>
      </c>
      <c r="E853">
        <f>VLOOKUP(A:A,הוצאות!B:B,1,0)</f>
        <v>1843504750</v>
      </c>
      <c r="F853" s="156">
        <f>VLOOKUP(A:A,הוצאות!B:O,14,0)</f>
        <v>6865</v>
      </c>
      <c r="G853" s="180">
        <f>D853-F853</f>
        <v>0</v>
      </c>
    </row>
    <row r="854" spans="1:7">
      <c r="A854">
        <v>1843504780</v>
      </c>
      <c r="B854" t="s">
        <v>333</v>
      </c>
      <c r="C854" s="169">
        <v>4170</v>
      </c>
      <c r="D854" s="169">
        <v>0</v>
      </c>
      <c r="E854">
        <f>VLOOKUP(A:A,הוצאות!B:B,1,0)</f>
        <v>1843504780</v>
      </c>
      <c r="F854" s="156">
        <f>VLOOKUP(A:A,הוצאות!B:O,14,0)</f>
        <v>0</v>
      </c>
      <c r="G854" s="180">
        <f>D854-F854</f>
        <v>0</v>
      </c>
    </row>
    <row r="855" spans="1:7" hidden="1">
      <c r="A855">
        <v>1843504840</v>
      </c>
      <c r="B855" t="s">
        <v>334</v>
      </c>
      <c r="C855" s="169">
        <v>0</v>
      </c>
      <c r="D855" s="169">
        <v>0</v>
      </c>
      <c r="E855" t="e">
        <f>VLOOKUP(A:A,הוצאות!B:B,1,0)</f>
        <v>#N/A</v>
      </c>
    </row>
    <row r="856" spans="1:7" hidden="1">
      <c r="A856">
        <v>1843504930</v>
      </c>
      <c r="B856" t="s">
        <v>1828</v>
      </c>
      <c r="C856" s="169">
        <v>0</v>
      </c>
      <c r="D856" s="169">
        <v>0</v>
      </c>
      <c r="E856" t="e">
        <f>VLOOKUP(A:A,הוצאות!B:B,1,0)</f>
        <v>#N/A</v>
      </c>
    </row>
    <row r="857" spans="1:7" hidden="1">
      <c r="A857">
        <v>1843800840</v>
      </c>
      <c r="B857" t="s">
        <v>306</v>
      </c>
      <c r="C857" s="169">
        <v>0</v>
      </c>
      <c r="D857" s="169">
        <v>0</v>
      </c>
      <c r="E857" t="e">
        <f>VLOOKUP(A:A,הוצאות!B:B,1,0)</f>
        <v>#N/A</v>
      </c>
    </row>
    <row r="858" spans="1:7">
      <c r="A858">
        <v>1843801840</v>
      </c>
      <c r="B858" t="s">
        <v>335</v>
      </c>
      <c r="C858" s="169">
        <v>2244940</v>
      </c>
      <c r="D858" s="169">
        <v>2633427</v>
      </c>
      <c r="E858">
        <f>VLOOKUP(A:A,הוצאות!B:B,1,0)</f>
        <v>1843801840</v>
      </c>
      <c r="F858" s="156">
        <f>VLOOKUP(A:A,הוצאות!B:O,14,0)</f>
        <v>2633427</v>
      </c>
      <c r="G858" s="180">
        <f t="shared" ref="G858:G870" si="18">D858-F858</f>
        <v>0</v>
      </c>
    </row>
    <row r="859" spans="1:7">
      <c r="A859">
        <v>1843900840</v>
      </c>
      <c r="B859" t="s">
        <v>1636</v>
      </c>
      <c r="C859" s="169">
        <v>774690</v>
      </c>
      <c r="D859" s="169">
        <v>0</v>
      </c>
      <c r="E859">
        <f>VLOOKUP(A:A,הוצאות!B:B,1,0)</f>
        <v>1843900840</v>
      </c>
      <c r="F859" s="156">
        <f>VLOOKUP(A:A,הוצאות!B:O,14,0)</f>
        <v>0</v>
      </c>
      <c r="G859" s="180">
        <f t="shared" si="18"/>
        <v>0</v>
      </c>
    </row>
    <row r="860" spans="1:7">
      <c r="A860">
        <v>1843901521</v>
      </c>
      <c r="B860" t="s">
        <v>336</v>
      </c>
      <c r="C860" s="169">
        <v>0</v>
      </c>
      <c r="D860" s="169">
        <v>0</v>
      </c>
      <c r="E860" t="e">
        <f>VLOOKUP(A:A,הוצאות!B:B,1,0)</f>
        <v>#N/A</v>
      </c>
      <c r="F860" s="156" t="e">
        <f>VLOOKUP(A:A,הוצאות!B:O,14,0)</f>
        <v>#N/A</v>
      </c>
      <c r="G860" s="180" t="e">
        <f t="shared" si="18"/>
        <v>#N/A</v>
      </c>
    </row>
    <row r="861" spans="1:7">
      <c r="A861">
        <v>1843901750</v>
      </c>
      <c r="B861" t="s">
        <v>337</v>
      </c>
      <c r="C861" s="169">
        <v>0</v>
      </c>
      <c r="D861" s="169">
        <v>0</v>
      </c>
      <c r="E861" t="e">
        <f>VLOOKUP(A:A,הוצאות!B:B,1,0)</f>
        <v>#N/A</v>
      </c>
      <c r="F861" s="156" t="e">
        <f>VLOOKUP(A:A,הוצאות!B:O,14,0)</f>
        <v>#N/A</v>
      </c>
      <c r="G861" s="180" t="e">
        <f t="shared" si="18"/>
        <v>#N/A</v>
      </c>
    </row>
    <row r="862" spans="1:7">
      <c r="A862">
        <v>1843901840</v>
      </c>
      <c r="B862" t="s">
        <v>338</v>
      </c>
      <c r="C862" s="169">
        <v>1174530</v>
      </c>
      <c r="D862" s="169">
        <v>1169522</v>
      </c>
      <c r="E862">
        <f>VLOOKUP(A:A,הוצאות!B:B,1,0)</f>
        <v>1843901840</v>
      </c>
      <c r="F862" s="156">
        <f>VLOOKUP(A:A,הוצאות!B:O,14,0)</f>
        <v>1169522</v>
      </c>
      <c r="G862" s="180">
        <f t="shared" si="18"/>
        <v>0</v>
      </c>
    </row>
    <row r="863" spans="1:7">
      <c r="A863">
        <v>1843901930</v>
      </c>
      <c r="B863" t="s">
        <v>339</v>
      </c>
      <c r="C863" s="169">
        <v>0</v>
      </c>
      <c r="D863" s="169">
        <v>0</v>
      </c>
      <c r="E863" t="e">
        <f>VLOOKUP(A:A,הוצאות!B:B,1,0)</f>
        <v>#N/A</v>
      </c>
      <c r="F863" s="156" t="e">
        <f>VLOOKUP(A:A,הוצאות!B:O,14,0)</f>
        <v>#N/A</v>
      </c>
      <c r="G863" s="180" t="e">
        <f t="shared" si="18"/>
        <v>#N/A</v>
      </c>
    </row>
    <row r="864" spans="1:7">
      <c r="A864">
        <v>1844300840</v>
      </c>
      <c r="B864" t="s">
        <v>340</v>
      </c>
      <c r="C864" s="169">
        <v>0</v>
      </c>
      <c r="D864" s="169">
        <v>0</v>
      </c>
      <c r="E864">
        <f>VLOOKUP(A:A,הוצאות!B:B,1,0)</f>
        <v>1844300840</v>
      </c>
      <c r="F864" s="156">
        <f>VLOOKUP(A:A,הוצאות!B:O,14,0)</f>
        <v>0</v>
      </c>
      <c r="G864" s="180">
        <f t="shared" si="18"/>
        <v>0</v>
      </c>
    </row>
    <row r="865" spans="1:7">
      <c r="A865">
        <v>1844401110</v>
      </c>
      <c r="B865" t="s">
        <v>341</v>
      </c>
      <c r="C865" s="169">
        <v>58310</v>
      </c>
      <c r="D865" s="169">
        <v>54568.65</v>
      </c>
      <c r="E865">
        <f>VLOOKUP(A:A,הוצאות!B:B,1,0)</f>
        <v>1844401110</v>
      </c>
      <c r="F865" s="156">
        <f>VLOOKUP(A:A,הוצאות!B:O,14,0)</f>
        <v>54568.65</v>
      </c>
      <c r="G865" s="180">
        <f t="shared" si="18"/>
        <v>0</v>
      </c>
    </row>
    <row r="866" spans="1:7">
      <c r="A866">
        <v>1844401320</v>
      </c>
      <c r="B866" t="s">
        <v>25</v>
      </c>
      <c r="C866" s="169">
        <v>0</v>
      </c>
      <c r="D866" s="169">
        <v>0</v>
      </c>
      <c r="E866">
        <f>VLOOKUP(A:A,הוצאות!B:B,1,0)</f>
        <v>1844401320</v>
      </c>
      <c r="F866" s="156">
        <f>VLOOKUP(A:A,הוצאות!B:O,14,0)</f>
        <v>0</v>
      </c>
      <c r="G866" s="180">
        <f t="shared" si="18"/>
        <v>0</v>
      </c>
    </row>
    <row r="867" spans="1:7">
      <c r="A867">
        <v>1844401431</v>
      </c>
      <c r="B867" t="s">
        <v>342</v>
      </c>
      <c r="C867" s="169">
        <v>0</v>
      </c>
      <c r="D867" s="169">
        <v>0</v>
      </c>
      <c r="E867">
        <f>VLOOKUP(A:A,הוצאות!B:B,1,0)</f>
        <v>1844401431</v>
      </c>
      <c r="F867" s="156">
        <f>VLOOKUP(A:A,הוצאות!B:O,14,0)</f>
        <v>0</v>
      </c>
      <c r="G867" s="180">
        <f t="shared" si="18"/>
        <v>0</v>
      </c>
    </row>
    <row r="868" spans="1:7">
      <c r="A868">
        <v>1844401432</v>
      </c>
      <c r="B868" t="s">
        <v>343</v>
      </c>
      <c r="C868" s="169">
        <v>2500</v>
      </c>
      <c r="D868" s="169">
        <v>0</v>
      </c>
      <c r="E868">
        <f>VLOOKUP(A:A,הוצאות!B:B,1,0)</f>
        <v>1844401432</v>
      </c>
      <c r="F868" s="156">
        <f>VLOOKUP(A:A,הוצאות!B:O,14,0)</f>
        <v>0</v>
      </c>
      <c r="G868" s="180">
        <f t="shared" si="18"/>
        <v>0</v>
      </c>
    </row>
    <row r="869" spans="1:7">
      <c r="A869">
        <v>1844401433</v>
      </c>
      <c r="B869" t="s">
        <v>344</v>
      </c>
      <c r="C869" s="169">
        <v>0</v>
      </c>
      <c r="D869" s="169">
        <v>0</v>
      </c>
      <c r="E869">
        <f>VLOOKUP(A:A,הוצאות!B:B,1,0)</f>
        <v>1844401433</v>
      </c>
      <c r="F869" s="156">
        <f>VLOOKUP(A:A,הוצאות!B:O,14,0)</f>
        <v>0</v>
      </c>
      <c r="G869" s="180">
        <f t="shared" si="18"/>
        <v>0</v>
      </c>
    </row>
    <row r="870" spans="1:7">
      <c r="A870">
        <v>1844401540</v>
      </c>
      <c r="B870" t="s">
        <v>217</v>
      </c>
      <c r="C870" s="169">
        <v>830</v>
      </c>
      <c r="D870" s="169">
        <v>0</v>
      </c>
      <c r="E870">
        <f>VLOOKUP(A:A,הוצאות!B:B,1,0)</f>
        <v>1844401540</v>
      </c>
      <c r="F870" s="156">
        <f>VLOOKUP(A:A,הוצאות!B:O,14,0)</f>
        <v>0</v>
      </c>
      <c r="G870" s="180">
        <f t="shared" si="18"/>
        <v>0</v>
      </c>
    </row>
    <row r="871" spans="1:7" hidden="1">
      <c r="A871">
        <v>1844401710</v>
      </c>
      <c r="B871" t="s">
        <v>1829</v>
      </c>
      <c r="C871" s="169">
        <v>0</v>
      </c>
      <c r="D871" s="169">
        <v>0</v>
      </c>
      <c r="E871">
        <f>VLOOKUP(A:A,הוצאות!B:B,1,0)</f>
        <v>1844401710</v>
      </c>
    </row>
    <row r="872" spans="1:7" hidden="1">
      <c r="A872">
        <v>1844401720</v>
      </c>
      <c r="B872" t="s">
        <v>1830</v>
      </c>
      <c r="C872" s="169">
        <v>0</v>
      </c>
      <c r="D872" s="169">
        <v>0</v>
      </c>
      <c r="E872">
        <f>VLOOKUP(A:A,הוצאות!B:B,1,0)</f>
        <v>1844401720</v>
      </c>
    </row>
    <row r="873" spans="1:7" hidden="1">
      <c r="A873">
        <v>1844401740</v>
      </c>
      <c r="B873" t="s">
        <v>1831</v>
      </c>
      <c r="C873" s="169">
        <v>0</v>
      </c>
      <c r="D873" s="169">
        <v>0</v>
      </c>
      <c r="E873" t="e">
        <f>VLOOKUP(A:A,הוצאות!B:B,1,0)</f>
        <v>#N/A</v>
      </c>
    </row>
    <row r="874" spans="1:7">
      <c r="A874" s="170">
        <v>1844401750</v>
      </c>
      <c r="B874" s="170" t="s">
        <v>1832</v>
      </c>
      <c r="C874" s="171">
        <v>112460</v>
      </c>
      <c r="D874" s="171">
        <v>96276.51</v>
      </c>
      <c r="E874" s="170">
        <f>VLOOKUP(A:A,הוצאות!B:B,1,0)</f>
        <v>1844401750</v>
      </c>
      <c r="F874" s="156">
        <f>VLOOKUP(A:A,הוצאות!B:O,14,0)</f>
        <v>96276.51</v>
      </c>
      <c r="G874" s="180">
        <f>D874-F874</f>
        <v>0</v>
      </c>
    </row>
    <row r="875" spans="1:7" hidden="1">
      <c r="A875">
        <v>1844401780</v>
      </c>
      <c r="B875" t="s">
        <v>1833</v>
      </c>
      <c r="C875" s="169">
        <v>0</v>
      </c>
      <c r="D875" s="169">
        <v>0</v>
      </c>
      <c r="E875" t="e">
        <f>VLOOKUP(A:A,הוצאות!B:B,1,0)</f>
        <v>#N/A</v>
      </c>
    </row>
    <row r="876" spans="1:7" hidden="1">
      <c r="A876">
        <v>1844401840</v>
      </c>
      <c r="B876" t="s">
        <v>1601</v>
      </c>
      <c r="C876" s="169">
        <v>0</v>
      </c>
      <c r="D876" s="169">
        <v>0</v>
      </c>
      <c r="E876" t="e">
        <f>VLOOKUP(A:A,הוצאות!B:B,1,0)</f>
        <v>#N/A</v>
      </c>
    </row>
    <row r="877" spans="1:7">
      <c r="A877">
        <v>1844402840</v>
      </c>
      <c r="B877" t="s">
        <v>345</v>
      </c>
      <c r="C877" s="169">
        <v>83300</v>
      </c>
      <c r="D877" s="169">
        <v>742</v>
      </c>
      <c r="E877">
        <f>VLOOKUP(A:A,הוצאות!B:B,1,0)</f>
        <v>1844402840</v>
      </c>
      <c r="F877" s="156">
        <f>VLOOKUP(A:A,הוצאות!B:O,14,0)</f>
        <v>742</v>
      </c>
      <c r="G877" s="180">
        <f t="shared" ref="G877:G885" si="19">D877-F877</f>
        <v>0</v>
      </c>
    </row>
    <row r="878" spans="1:7">
      <c r="A878">
        <v>1844403840</v>
      </c>
      <c r="B878" t="s">
        <v>346</v>
      </c>
      <c r="C878" s="169">
        <v>0</v>
      </c>
      <c r="D878" s="169">
        <v>0</v>
      </c>
      <c r="E878">
        <f>VLOOKUP(A:A,הוצאות!B:B,1,0)</f>
        <v>1844403840</v>
      </c>
      <c r="F878" s="156">
        <f>VLOOKUP(A:A,הוצאות!B:O,14,0)</f>
        <v>0</v>
      </c>
      <c r="G878" s="180">
        <f t="shared" si="19"/>
        <v>0</v>
      </c>
    </row>
    <row r="879" spans="1:7">
      <c r="A879">
        <v>1844500110</v>
      </c>
      <c r="B879" t="s">
        <v>347</v>
      </c>
      <c r="C879" s="169">
        <v>0</v>
      </c>
      <c r="D879" s="169">
        <v>0</v>
      </c>
      <c r="E879">
        <f>VLOOKUP(A:A,הוצאות!B:B,1,0)</f>
        <v>1844500110</v>
      </c>
      <c r="F879" s="156">
        <f>VLOOKUP(A:A,הוצאות!B:O,14,0)</f>
        <v>0</v>
      </c>
      <c r="G879" s="180">
        <f t="shared" si="19"/>
        <v>0</v>
      </c>
    </row>
    <row r="880" spans="1:7">
      <c r="A880">
        <v>1844500840</v>
      </c>
      <c r="B880" t="s">
        <v>348</v>
      </c>
      <c r="C880" s="169">
        <v>0</v>
      </c>
      <c r="D880" s="169">
        <v>0</v>
      </c>
      <c r="E880">
        <f>VLOOKUP(A:A,הוצאות!B:B,1,0)</f>
        <v>1844500840</v>
      </c>
      <c r="F880" s="156">
        <f>VLOOKUP(A:A,הוצאות!B:O,14,0)</f>
        <v>0</v>
      </c>
      <c r="G880" s="180">
        <f t="shared" si="19"/>
        <v>0</v>
      </c>
    </row>
    <row r="881" spans="1:7">
      <c r="A881">
        <v>1845100840</v>
      </c>
      <c r="B881" t="s">
        <v>349</v>
      </c>
      <c r="C881" s="169">
        <v>0</v>
      </c>
      <c r="D881" s="169">
        <v>37028</v>
      </c>
      <c r="E881">
        <f>VLOOKUP(A:A,הוצאות!B:B,1,0)</f>
        <v>1845100840</v>
      </c>
      <c r="F881" s="156">
        <f>VLOOKUP(A:A,הוצאות!B:O,14,0)</f>
        <v>37028</v>
      </c>
      <c r="G881" s="180">
        <f t="shared" si="19"/>
        <v>0</v>
      </c>
    </row>
    <row r="882" spans="1:7">
      <c r="A882">
        <v>1845101840</v>
      </c>
      <c r="B882" t="s">
        <v>350</v>
      </c>
      <c r="C882" s="169">
        <v>4532350</v>
      </c>
      <c r="D882" s="169">
        <v>4045135</v>
      </c>
      <c r="E882">
        <f>VLOOKUP(A:A,הוצאות!B:B,1,0)</f>
        <v>1845101840</v>
      </c>
      <c r="F882" s="156">
        <f>VLOOKUP(A:A,הוצאות!B:O,14,0)</f>
        <v>4045135</v>
      </c>
      <c r="G882" s="180">
        <f t="shared" si="19"/>
        <v>0</v>
      </c>
    </row>
    <row r="883" spans="1:7">
      <c r="A883">
        <v>1845102840</v>
      </c>
      <c r="B883" t="s">
        <v>351</v>
      </c>
      <c r="C883" s="169">
        <v>19160</v>
      </c>
      <c r="D883" s="169">
        <v>0</v>
      </c>
      <c r="E883">
        <f>VLOOKUP(A:A,הוצאות!B:B,1,0)</f>
        <v>1845102840</v>
      </c>
      <c r="F883" s="156">
        <f>VLOOKUP(A:A,הוצאות!B:O,14,0)</f>
        <v>0</v>
      </c>
      <c r="G883" s="180">
        <f t="shared" si="19"/>
        <v>0</v>
      </c>
    </row>
    <row r="884" spans="1:7">
      <c r="A884">
        <v>1845103840</v>
      </c>
      <c r="B884" t="s">
        <v>352</v>
      </c>
      <c r="C884" s="169">
        <v>11660</v>
      </c>
      <c r="D884" s="169">
        <v>23320</v>
      </c>
      <c r="E884">
        <f>VLOOKUP(A:A,הוצאות!B:B,1,0)</f>
        <v>1845103840</v>
      </c>
      <c r="F884" s="156">
        <f>VLOOKUP(A:A,הוצאות!B:O,14,0)</f>
        <v>23320</v>
      </c>
      <c r="G884" s="180">
        <f t="shared" si="19"/>
        <v>0</v>
      </c>
    </row>
    <row r="885" spans="1:7">
      <c r="A885">
        <v>1845104840</v>
      </c>
      <c r="B885" t="s">
        <v>353</v>
      </c>
      <c r="C885" s="169">
        <v>0</v>
      </c>
      <c r="D885" s="169">
        <v>0</v>
      </c>
      <c r="E885">
        <f>VLOOKUP(A:A,הוצאות!B:B,1,0)</f>
        <v>1845104840</v>
      </c>
      <c r="F885" s="156">
        <f>VLOOKUP(A:A,הוצאות!B:O,14,0)</f>
        <v>0</v>
      </c>
      <c r="G885" s="180">
        <f t="shared" si="19"/>
        <v>0</v>
      </c>
    </row>
    <row r="886" spans="1:7" hidden="1">
      <c r="A886">
        <v>1845200110</v>
      </c>
      <c r="B886" t="s">
        <v>1834</v>
      </c>
      <c r="C886" s="169">
        <v>0</v>
      </c>
      <c r="D886" s="169">
        <v>0</v>
      </c>
      <c r="E886" t="e">
        <f>VLOOKUP(A:A,הוצאות!B:B,1,0)</f>
        <v>#N/A</v>
      </c>
    </row>
    <row r="887" spans="1:7" hidden="1">
      <c r="A887">
        <v>1845200420</v>
      </c>
      <c r="B887" t="s">
        <v>1835</v>
      </c>
      <c r="C887" s="169">
        <v>0</v>
      </c>
      <c r="D887" s="169">
        <v>0</v>
      </c>
      <c r="E887" t="e">
        <f>VLOOKUP(A:A,הוצאות!B:B,1,0)</f>
        <v>#N/A</v>
      </c>
    </row>
    <row r="888" spans="1:7" hidden="1">
      <c r="A888">
        <v>1845200432</v>
      </c>
      <c r="B888" t="s">
        <v>1836</v>
      </c>
      <c r="C888" s="169">
        <v>0</v>
      </c>
      <c r="D888" s="169">
        <v>0</v>
      </c>
      <c r="E888" t="e">
        <f>VLOOKUP(A:A,הוצאות!B:B,1,0)</f>
        <v>#N/A</v>
      </c>
    </row>
    <row r="889" spans="1:7" hidden="1">
      <c r="A889">
        <v>1845200433</v>
      </c>
      <c r="B889" t="s">
        <v>144</v>
      </c>
      <c r="C889" s="169">
        <v>0</v>
      </c>
      <c r="D889" s="169">
        <v>0</v>
      </c>
      <c r="E889" t="e">
        <f>VLOOKUP(A:A,הוצאות!B:B,1,0)</f>
        <v>#N/A</v>
      </c>
    </row>
    <row r="890" spans="1:7" hidden="1">
      <c r="A890">
        <v>1845200710</v>
      </c>
      <c r="B890" t="s">
        <v>1837</v>
      </c>
      <c r="C890" s="169">
        <v>0</v>
      </c>
      <c r="D890" s="169">
        <v>0</v>
      </c>
      <c r="E890" t="e">
        <f>VLOOKUP(A:A,הוצאות!B:B,1,0)</f>
        <v>#N/A</v>
      </c>
    </row>
    <row r="891" spans="1:7" hidden="1">
      <c r="A891">
        <v>1845200720</v>
      </c>
      <c r="B891" t="s">
        <v>1838</v>
      </c>
      <c r="C891" s="169">
        <v>0</v>
      </c>
      <c r="D891" s="169">
        <v>0</v>
      </c>
      <c r="E891" t="e">
        <f>VLOOKUP(A:A,הוצאות!B:B,1,0)</f>
        <v>#N/A</v>
      </c>
    </row>
    <row r="892" spans="1:7" hidden="1">
      <c r="A892">
        <v>1845200721</v>
      </c>
      <c r="B892" t="s">
        <v>1839</v>
      </c>
      <c r="C892" s="169">
        <v>0</v>
      </c>
      <c r="D892" s="169">
        <v>0</v>
      </c>
      <c r="E892" t="e">
        <f>VLOOKUP(A:A,הוצאות!B:B,1,0)</f>
        <v>#N/A</v>
      </c>
    </row>
    <row r="893" spans="1:7" hidden="1">
      <c r="A893">
        <v>1845200750</v>
      </c>
      <c r="B893" t="s">
        <v>34</v>
      </c>
      <c r="C893" s="169">
        <v>0</v>
      </c>
      <c r="D893" s="169">
        <v>0</v>
      </c>
      <c r="E893" t="e">
        <f>VLOOKUP(A:A,הוצאות!B:B,1,0)</f>
        <v>#N/A</v>
      </c>
    </row>
    <row r="894" spans="1:7" hidden="1">
      <c r="A894">
        <v>1845200780</v>
      </c>
      <c r="B894" t="s">
        <v>58</v>
      </c>
      <c r="C894" s="169">
        <v>0</v>
      </c>
      <c r="D894" s="169">
        <v>0</v>
      </c>
      <c r="E894" t="e">
        <f>VLOOKUP(A:A,הוצאות!B:B,1,0)</f>
        <v>#N/A</v>
      </c>
    </row>
    <row r="895" spans="1:7">
      <c r="A895" s="170">
        <v>1845200840</v>
      </c>
      <c r="B895" s="170" t="s">
        <v>354</v>
      </c>
      <c r="C895" s="171">
        <v>0</v>
      </c>
      <c r="D895" s="171">
        <v>32280</v>
      </c>
      <c r="E895" s="170">
        <f>VLOOKUP(A:A,הוצאות!B:B,1,0)</f>
        <v>1845200840</v>
      </c>
      <c r="F895" s="156">
        <f>VLOOKUP(A:A,הוצאות!B:O,14,0)</f>
        <v>32280</v>
      </c>
      <c r="G895" s="180">
        <f>D895-F895</f>
        <v>0</v>
      </c>
    </row>
    <row r="896" spans="1:7" hidden="1">
      <c r="A896">
        <v>1845200930</v>
      </c>
      <c r="B896" t="s">
        <v>19</v>
      </c>
      <c r="C896" s="169">
        <v>0</v>
      </c>
      <c r="D896" s="169">
        <v>0</v>
      </c>
      <c r="E896" t="e">
        <f>VLOOKUP(A:A,הוצאות!B:B,1,0)</f>
        <v>#N/A</v>
      </c>
    </row>
    <row r="897" spans="1:7">
      <c r="A897">
        <v>1845201110</v>
      </c>
      <c r="B897" t="s">
        <v>355</v>
      </c>
      <c r="C897" s="169">
        <v>179930</v>
      </c>
      <c r="D897" s="169">
        <v>175100.41</v>
      </c>
      <c r="E897">
        <f>VLOOKUP(A:A,הוצאות!B:B,1,0)</f>
        <v>1845201110</v>
      </c>
      <c r="F897" s="156">
        <f>VLOOKUP(A:A,הוצאות!B:O,14,0)</f>
        <v>175100.41</v>
      </c>
      <c r="G897" s="180">
        <f>D897-F897</f>
        <v>0</v>
      </c>
    </row>
    <row r="898" spans="1:7" hidden="1">
      <c r="A898">
        <v>1845201420</v>
      </c>
      <c r="B898" t="s">
        <v>1840</v>
      </c>
      <c r="C898" s="169">
        <v>0</v>
      </c>
      <c r="D898" s="169">
        <v>0</v>
      </c>
      <c r="E898" t="e">
        <f>VLOOKUP(A:A,הוצאות!B:B,1,0)</f>
        <v>#N/A</v>
      </c>
    </row>
    <row r="899" spans="1:7" hidden="1">
      <c r="A899">
        <v>1845201431</v>
      </c>
      <c r="B899" t="s">
        <v>1841</v>
      </c>
      <c r="C899" s="169">
        <v>0</v>
      </c>
      <c r="D899" s="169">
        <v>0</v>
      </c>
      <c r="E899" t="e">
        <f>VLOOKUP(A:A,הוצאות!B:B,1,0)</f>
        <v>#N/A</v>
      </c>
    </row>
    <row r="900" spans="1:7" hidden="1">
      <c r="A900">
        <v>1845201432</v>
      </c>
      <c r="B900" t="s">
        <v>1842</v>
      </c>
      <c r="C900" s="169">
        <v>0</v>
      </c>
      <c r="D900" s="169">
        <v>0</v>
      </c>
      <c r="E900" t="e">
        <f>VLOOKUP(A:A,הוצאות!B:B,1,0)</f>
        <v>#N/A</v>
      </c>
    </row>
    <row r="901" spans="1:7" hidden="1">
      <c r="A901">
        <v>1845201433</v>
      </c>
      <c r="B901" t="s">
        <v>1843</v>
      </c>
      <c r="C901" s="169">
        <v>0</v>
      </c>
      <c r="D901" s="169">
        <v>0</v>
      </c>
      <c r="E901" t="e">
        <f>VLOOKUP(A:A,הוצאות!B:B,1,0)</f>
        <v>#N/A</v>
      </c>
    </row>
    <row r="902" spans="1:7" hidden="1">
      <c r="A902">
        <v>1845201540</v>
      </c>
      <c r="B902" t="s">
        <v>1844</v>
      </c>
      <c r="C902" s="169">
        <v>0</v>
      </c>
      <c r="D902" s="169">
        <v>0</v>
      </c>
      <c r="E902" t="e">
        <f>VLOOKUP(A:A,הוצאות!B:B,1,0)</f>
        <v>#N/A</v>
      </c>
    </row>
    <row r="903" spans="1:7" hidden="1">
      <c r="A903">
        <v>1845201560</v>
      </c>
      <c r="B903" t="s">
        <v>1845</v>
      </c>
      <c r="C903" s="169">
        <v>0</v>
      </c>
      <c r="D903" s="169">
        <v>0</v>
      </c>
      <c r="E903" t="e">
        <f>VLOOKUP(A:A,הוצאות!B:B,1,0)</f>
        <v>#N/A</v>
      </c>
    </row>
    <row r="904" spans="1:7" hidden="1">
      <c r="A904">
        <v>1845201710</v>
      </c>
      <c r="B904" t="s">
        <v>1846</v>
      </c>
      <c r="C904" s="169">
        <v>0</v>
      </c>
      <c r="D904" s="169">
        <v>0</v>
      </c>
      <c r="E904" t="e">
        <f>VLOOKUP(A:A,הוצאות!B:B,1,0)</f>
        <v>#N/A</v>
      </c>
    </row>
    <row r="905" spans="1:7" hidden="1">
      <c r="A905">
        <v>1845201720</v>
      </c>
      <c r="B905" t="s">
        <v>1847</v>
      </c>
      <c r="C905" s="169">
        <v>0</v>
      </c>
      <c r="D905" s="169">
        <v>0</v>
      </c>
      <c r="E905" t="e">
        <f>VLOOKUP(A:A,הוצאות!B:B,1,0)</f>
        <v>#N/A</v>
      </c>
    </row>
    <row r="906" spans="1:7" hidden="1">
      <c r="A906">
        <v>1845201721</v>
      </c>
      <c r="B906" t="s">
        <v>1848</v>
      </c>
      <c r="C906" s="169">
        <v>0</v>
      </c>
      <c r="D906" s="169">
        <v>0</v>
      </c>
      <c r="E906" t="e">
        <f>VLOOKUP(A:A,הוצאות!B:B,1,0)</f>
        <v>#N/A</v>
      </c>
    </row>
    <row r="907" spans="1:7" hidden="1">
      <c r="A907">
        <v>1845201750</v>
      </c>
      <c r="B907" t="s">
        <v>1849</v>
      </c>
      <c r="C907" s="169">
        <v>0</v>
      </c>
      <c r="D907" s="169">
        <v>0</v>
      </c>
      <c r="E907">
        <f>VLOOKUP(A:A,הוצאות!B:B,1,0)</f>
        <v>1845201750</v>
      </c>
    </row>
    <row r="908" spans="1:7" hidden="1">
      <c r="A908">
        <v>1845201780</v>
      </c>
      <c r="B908" t="s">
        <v>1850</v>
      </c>
      <c r="C908" s="169">
        <v>0</v>
      </c>
      <c r="D908" s="169">
        <v>0</v>
      </c>
      <c r="E908" t="e">
        <f>VLOOKUP(A:A,הוצאות!B:B,1,0)</f>
        <v>#N/A</v>
      </c>
    </row>
    <row r="909" spans="1:7" hidden="1">
      <c r="A909">
        <v>1845201781</v>
      </c>
      <c r="B909" t="s">
        <v>1851</v>
      </c>
      <c r="C909" s="169">
        <v>0</v>
      </c>
      <c r="D909" s="169">
        <v>0</v>
      </c>
      <c r="E909">
        <f>VLOOKUP(A:A,הוצאות!B:B,1,0)</f>
        <v>1845201781</v>
      </c>
    </row>
    <row r="910" spans="1:7">
      <c r="A910">
        <v>1845201840</v>
      </c>
      <c r="B910" t="s">
        <v>356</v>
      </c>
      <c r="C910" s="169">
        <v>399010</v>
      </c>
      <c r="D910" s="169">
        <v>467326</v>
      </c>
      <c r="E910">
        <f>VLOOKUP(A:A,הוצאות!B:B,1,0)</f>
        <v>1845201840</v>
      </c>
      <c r="F910" s="156">
        <f>VLOOKUP(A:A,הוצאות!B:O,14,0)</f>
        <v>467326</v>
      </c>
      <c r="G910" s="180">
        <f>D910-F910</f>
        <v>0</v>
      </c>
    </row>
    <row r="911" spans="1:7" hidden="1">
      <c r="A911">
        <v>1845201870</v>
      </c>
      <c r="B911" t="s">
        <v>1852</v>
      </c>
      <c r="C911" s="169">
        <v>0</v>
      </c>
      <c r="D911" s="169">
        <v>0</v>
      </c>
      <c r="E911" t="e">
        <f>VLOOKUP(A:A,הוצאות!B:B,1,0)</f>
        <v>#N/A</v>
      </c>
    </row>
    <row r="912" spans="1:7" hidden="1">
      <c r="A912">
        <v>1845201930</v>
      </c>
      <c r="B912" t="s">
        <v>1853</v>
      </c>
      <c r="C912" s="169">
        <v>0</v>
      </c>
      <c r="D912" s="169">
        <v>0</v>
      </c>
      <c r="E912" t="e">
        <f>VLOOKUP(A:A,הוצאות!B:B,1,0)</f>
        <v>#N/A</v>
      </c>
    </row>
    <row r="913" spans="1:7">
      <c r="A913">
        <v>1845202840</v>
      </c>
      <c r="B913" t="s">
        <v>357</v>
      </c>
      <c r="C913" s="169">
        <v>7500</v>
      </c>
      <c r="D913" s="169">
        <v>4375</v>
      </c>
      <c r="E913">
        <f>VLOOKUP(A:A,הוצאות!B:B,1,0)</f>
        <v>1845202840</v>
      </c>
      <c r="F913" s="156">
        <f>VLOOKUP(A:A,הוצאות!B:O,14,0)</f>
        <v>4375</v>
      </c>
      <c r="G913" s="180">
        <f t="shared" ref="G913:G935" si="20">D913-F913</f>
        <v>0</v>
      </c>
    </row>
    <row r="914" spans="1:7">
      <c r="A914">
        <v>1845203840</v>
      </c>
      <c r="B914" t="s">
        <v>358</v>
      </c>
      <c r="C914" s="169">
        <v>0</v>
      </c>
      <c r="D914" s="169">
        <v>0</v>
      </c>
      <c r="E914">
        <f>VLOOKUP(A:A,הוצאות!B:B,1,0)</f>
        <v>1845203840</v>
      </c>
      <c r="F914" s="156">
        <f>VLOOKUP(A:A,הוצאות!B:O,14,0)</f>
        <v>0</v>
      </c>
      <c r="G914" s="180">
        <f t="shared" si="20"/>
        <v>0</v>
      </c>
    </row>
    <row r="915" spans="1:7">
      <c r="A915">
        <v>1845204840</v>
      </c>
      <c r="B915" t="s">
        <v>359</v>
      </c>
      <c r="C915" s="169">
        <v>329040</v>
      </c>
      <c r="D915" s="169">
        <v>344440</v>
      </c>
      <c r="E915">
        <f>VLOOKUP(A:A,הוצאות!B:B,1,0)</f>
        <v>1845204840</v>
      </c>
      <c r="F915" s="156">
        <f>VLOOKUP(A:A,הוצאות!B:O,14,0)</f>
        <v>344440</v>
      </c>
      <c r="G915" s="180">
        <f t="shared" si="20"/>
        <v>0</v>
      </c>
    </row>
    <row r="916" spans="1:7">
      <c r="A916">
        <v>1845205840</v>
      </c>
      <c r="B916" t="s">
        <v>360</v>
      </c>
      <c r="C916" s="169">
        <v>0</v>
      </c>
      <c r="D916" s="169">
        <v>0</v>
      </c>
      <c r="E916">
        <f>VLOOKUP(A:A,הוצאות!B:B,1,0)</f>
        <v>1845205840</v>
      </c>
      <c r="F916" s="156">
        <f>VLOOKUP(A:A,הוצאות!B:O,14,0)</f>
        <v>0</v>
      </c>
      <c r="G916" s="180">
        <f t="shared" si="20"/>
        <v>0</v>
      </c>
    </row>
    <row r="917" spans="1:7">
      <c r="A917">
        <v>1845301840</v>
      </c>
      <c r="B917" t="s">
        <v>361</v>
      </c>
      <c r="C917" s="169">
        <v>4170</v>
      </c>
      <c r="D917" s="169">
        <v>0</v>
      </c>
      <c r="E917">
        <f>VLOOKUP(A:A,הוצאות!B:B,1,0)</f>
        <v>1845301840</v>
      </c>
      <c r="F917" s="156">
        <f>VLOOKUP(A:A,הוצאות!B:O,14,0)</f>
        <v>0</v>
      </c>
      <c r="G917" s="180">
        <f t="shared" si="20"/>
        <v>0</v>
      </c>
    </row>
    <row r="918" spans="1:7">
      <c r="A918">
        <v>1845302840</v>
      </c>
      <c r="B918" t="s">
        <v>362</v>
      </c>
      <c r="C918" s="169">
        <v>9160</v>
      </c>
      <c r="D918" s="169">
        <v>17945</v>
      </c>
      <c r="E918">
        <f>VLOOKUP(A:A,הוצאות!B:B,1,0)</f>
        <v>1845302840</v>
      </c>
      <c r="F918" s="156">
        <f>VLOOKUP(A:A,הוצאות!B:O,14,0)</f>
        <v>17945</v>
      </c>
      <c r="G918" s="180">
        <f t="shared" si="20"/>
        <v>0</v>
      </c>
    </row>
    <row r="919" spans="1:7">
      <c r="A919">
        <v>1845303840</v>
      </c>
      <c r="B919" t="s">
        <v>363</v>
      </c>
      <c r="C919" s="169">
        <v>153270</v>
      </c>
      <c r="D919" s="169">
        <v>130734</v>
      </c>
      <c r="E919">
        <f>VLOOKUP(A:A,הוצאות!B:B,1,0)</f>
        <v>1845303840</v>
      </c>
      <c r="F919" s="156">
        <f>VLOOKUP(A:A,הוצאות!B:O,14,0)</f>
        <v>130734</v>
      </c>
      <c r="G919" s="180">
        <f t="shared" si="20"/>
        <v>0</v>
      </c>
    </row>
    <row r="920" spans="1:7">
      <c r="A920">
        <v>1845304840</v>
      </c>
      <c r="B920" t="s">
        <v>364</v>
      </c>
      <c r="C920" s="169">
        <v>0</v>
      </c>
      <c r="D920" s="169">
        <v>0</v>
      </c>
      <c r="E920">
        <f>VLOOKUP(A:A,הוצאות!B:B,1,0)</f>
        <v>1845304840</v>
      </c>
      <c r="F920" s="156">
        <f>VLOOKUP(A:A,הוצאות!B:O,14,0)</f>
        <v>0</v>
      </c>
      <c r="G920" s="180">
        <f t="shared" si="20"/>
        <v>0</v>
      </c>
    </row>
    <row r="921" spans="1:7">
      <c r="A921">
        <v>1845800840</v>
      </c>
      <c r="B921" t="s">
        <v>1637</v>
      </c>
      <c r="C921" s="169">
        <v>999600</v>
      </c>
      <c r="D921" s="169">
        <v>1034004</v>
      </c>
      <c r="E921">
        <f>VLOOKUP(A:A,הוצאות!B:B,1,0)</f>
        <v>1845800840</v>
      </c>
      <c r="F921" s="156">
        <f>VLOOKUP(A:A,הוצאות!B:O,14,0)</f>
        <v>1034004</v>
      </c>
      <c r="G921" s="180">
        <f t="shared" si="20"/>
        <v>0</v>
      </c>
    </row>
    <row r="922" spans="1:7">
      <c r="A922">
        <v>1846301840</v>
      </c>
      <c r="B922" t="s">
        <v>365</v>
      </c>
      <c r="C922" s="169">
        <v>0</v>
      </c>
      <c r="D922" s="169">
        <v>0</v>
      </c>
      <c r="E922">
        <f>VLOOKUP(A:A,הוצאות!B:B,1,0)</f>
        <v>1846301840</v>
      </c>
      <c r="F922" s="156">
        <f>VLOOKUP(A:A,הוצאות!B:O,14,0)</f>
        <v>0</v>
      </c>
      <c r="G922" s="180">
        <f t="shared" si="20"/>
        <v>0</v>
      </c>
    </row>
    <row r="923" spans="1:7">
      <c r="A923">
        <v>1846302840</v>
      </c>
      <c r="B923" t="s">
        <v>366</v>
      </c>
      <c r="C923" s="169">
        <v>830</v>
      </c>
      <c r="D923" s="169">
        <v>4279</v>
      </c>
      <c r="E923">
        <f>VLOOKUP(A:A,הוצאות!B:B,1,0)</f>
        <v>1846302840</v>
      </c>
      <c r="F923" s="156">
        <f>VLOOKUP(A:A,הוצאות!B:O,14,0)</f>
        <v>4279</v>
      </c>
      <c r="G923" s="180">
        <f t="shared" si="20"/>
        <v>0</v>
      </c>
    </row>
    <row r="924" spans="1:7">
      <c r="A924">
        <v>1846401840</v>
      </c>
      <c r="B924" t="s">
        <v>367</v>
      </c>
      <c r="C924" s="169">
        <v>0</v>
      </c>
      <c r="D924" s="169">
        <v>0</v>
      </c>
      <c r="E924">
        <f>VLOOKUP(A:A,הוצאות!B:B,1,0)</f>
        <v>1846401840</v>
      </c>
      <c r="F924" s="156">
        <f>VLOOKUP(A:A,הוצאות!B:O,14,0)</f>
        <v>0</v>
      </c>
      <c r="G924" s="180">
        <f t="shared" si="20"/>
        <v>0</v>
      </c>
    </row>
    <row r="925" spans="1:7">
      <c r="A925">
        <v>1846402840</v>
      </c>
      <c r="B925" t="s">
        <v>368</v>
      </c>
      <c r="C925" s="169">
        <v>0</v>
      </c>
      <c r="D925" s="169">
        <v>0</v>
      </c>
      <c r="E925" t="e">
        <f>VLOOKUP(A:A,הוצאות!B:B,1,0)</f>
        <v>#N/A</v>
      </c>
      <c r="F925" s="156" t="e">
        <f>VLOOKUP(A:A,הוצאות!B:O,14,0)</f>
        <v>#N/A</v>
      </c>
      <c r="G925" s="180" t="e">
        <f t="shared" si="20"/>
        <v>#N/A</v>
      </c>
    </row>
    <row r="926" spans="1:7">
      <c r="A926">
        <v>1846500840</v>
      </c>
      <c r="B926" t="s">
        <v>364</v>
      </c>
      <c r="C926" s="169">
        <v>0</v>
      </c>
      <c r="D926" s="169">
        <v>89070</v>
      </c>
      <c r="E926">
        <f>VLOOKUP(A:A,הוצאות!B:B,1,0)</f>
        <v>1846500840</v>
      </c>
      <c r="F926" s="156">
        <f>VLOOKUP(A:A,הוצאות!B:O,14,0)</f>
        <v>89070</v>
      </c>
      <c r="G926" s="180">
        <f t="shared" si="20"/>
        <v>0</v>
      </c>
    </row>
    <row r="927" spans="1:7">
      <c r="A927">
        <v>1846501840</v>
      </c>
      <c r="B927" t="s">
        <v>369</v>
      </c>
      <c r="C927" s="169">
        <v>58310</v>
      </c>
      <c r="D927" s="169">
        <v>113959</v>
      </c>
      <c r="E927">
        <f>VLOOKUP(A:A,הוצאות!B:B,1,0)</f>
        <v>1846501840</v>
      </c>
      <c r="F927" s="156">
        <f>VLOOKUP(A:A,הוצאות!B:O,14,0)</f>
        <v>113959</v>
      </c>
      <c r="G927" s="180">
        <f t="shared" si="20"/>
        <v>0</v>
      </c>
    </row>
    <row r="928" spans="1:7">
      <c r="A928">
        <v>1846601840</v>
      </c>
      <c r="B928" t="s">
        <v>370</v>
      </c>
      <c r="C928" s="169">
        <v>37490</v>
      </c>
      <c r="D928" s="169">
        <v>27534</v>
      </c>
      <c r="E928">
        <f>VLOOKUP(A:A,הוצאות!B:B,1,0)</f>
        <v>1846601840</v>
      </c>
      <c r="F928" s="156">
        <f>VLOOKUP(A:A,הוצאות!B:O,14,0)</f>
        <v>27534</v>
      </c>
      <c r="G928" s="180">
        <f t="shared" si="20"/>
        <v>0</v>
      </c>
    </row>
    <row r="929" spans="1:7">
      <c r="A929">
        <v>1846602840</v>
      </c>
      <c r="B929" t="s">
        <v>371</v>
      </c>
      <c r="C929" s="169">
        <v>0</v>
      </c>
      <c r="D929" s="169">
        <v>0</v>
      </c>
      <c r="E929">
        <f>VLOOKUP(A:A,הוצאות!B:B,1,0)</f>
        <v>1846602840</v>
      </c>
      <c r="F929" s="156">
        <f>VLOOKUP(A:A,הוצאות!B:O,14,0)</f>
        <v>0</v>
      </c>
      <c r="G929" s="180">
        <f t="shared" si="20"/>
        <v>0</v>
      </c>
    </row>
    <row r="930" spans="1:7">
      <c r="A930" s="170">
        <v>1846603840</v>
      </c>
      <c r="B930" s="170" t="s">
        <v>1710</v>
      </c>
      <c r="C930" s="171">
        <v>0</v>
      </c>
      <c r="D930" s="171">
        <v>26323</v>
      </c>
      <c r="E930" s="170">
        <f>VLOOKUP(A:A,הוצאות!B:B,1,0)</f>
        <v>1846603840</v>
      </c>
      <c r="F930" s="156">
        <f>VLOOKUP(A:A,הוצאות!B:O,14,0)</f>
        <v>26323</v>
      </c>
      <c r="G930" s="180">
        <f t="shared" si="20"/>
        <v>0</v>
      </c>
    </row>
    <row r="931" spans="1:7">
      <c r="A931">
        <v>1846701840</v>
      </c>
      <c r="B931" t="s">
        <v>372</v>
      </c>
      <c r="C931" s="169">
        <v>402340</v>
      </c>
      <c r="D931" s="169">
        <v>353548</v>
      </c>
      <c r="E931">
        <f>VLOOKUP(A:A,הוצאות!B:B,1,0)</f>
        <v>1846701840</v>
      </c>
      <c r="F931" s="156">
        <f>VLOOKUP(A:A,הוצאות!B:O,14,0)</f>
        <v>353548</v>
      </c>
      <c r="G931" s="180">
        <f t="shared" si="20"/>
        <v>0</v>
      </c>
    </row>
    <row r="932" spans="1:7">
      <c r="A932">
        <v>1846702840</v>
      </c>
      <c r="B932" t="s">
        <v>373</v>
      </c>
      <c r="C932" s="169">
        <v>14160</v>
      </c>
      <c r="D932" s="169">
        <v>0</v>
      </c>
      <c r="E932">
        <f>VLOOKUP(A:A,הוצאות!B:B,1,0)</f>
        <v>1846702840</v>
      </c>
      <c r="F932" s="156">
        <f>VLOOKUP(A:A,הוצאות!B:O,14,0)</f>
        <v>0</v>
      </c>
      <c r="G932" s="180">
        <f t="shared" si="20"/>
        <v>0</v>
      </c>
    </row>
    <row r="933" spans="1:7">
      <c r="A933">
        <v>1846703840</v>
      </c>
      <c r="B933" t="s">
        <v>374</v>
      </c>
      <c r="C933" s="169">
        <v>272390</v>
      </c>
      <c r="D933" s="169">
        <v>235456</v>
      </c>
      <c r="E933">
        <f>VLOOKUP(A:A,הוצאות!B:B,1,0)</f>
        <v>1846703840</v>
      </c>
      <c r="F933" s="156">
        <f>VLOOKUP(A:A,הוצאות!B:O,14,0)</f>
        <v>235456</v>
      </c>
      <c r="G933" s="180">
        <f t="shared" si="20"/>
        <v>0</v>
      </c>
    </row>
    <row r="934" spans="1:7">
      <c r="A934">
        <v>1846704840</v>
      </c>
      <c r="B934" t="s">
        <v>375</v>
      </c>
      <c r="C934" s="169">
        <v>118290</v>
      </c>
      <c r="D934" s="169">
        <v>181030</v>
      </c>
      <c r="E934">
        <f>VLOOKUP(A:A,הוצאות!B:B,1,0)</f>
        <v>1846704840</v>
      </c>
      <c r="F934" s="156">
        <f>VLOOKUP(A:A,הוצאות!B:O,14,0)</f>
        <v>181030</v>
      </c>
      <c r="G934" s="180">
        <f t="shared" si="20"/>
        <v>0</v>
      </c>
    </row>
    <row r="935" spans="1:7">
      <c r="A935">
        <v>1846801840</v>
      </c>
      <c r="B935" t="s">
        <v>376</v>
      </c>
      <c r="C935" s="169">
        <v>39980</v>
      </c>
      <c r="D935" s="169">
        <v>14303</v>
      </c>
      <c r="E935">
        <f>VLOOKUP(A:A,הוצאות!B:B,1,0)</f>
        <v>1846801840</v>
      </c>
      <c r="F935" s="156">
        <f>VLOOKUP(A:A,הוצאות!B:O,14,0)</f>
        <v>14303</v>
      </c>
      <c r="G935" s="180">
        <f t="shared" si="20"/>
        <v>0</v>
      </c>
    </row>
    <row r="936" spans="1:7" hidden="1">
      <c r="A936">
        <v>1846802840</v>
      </c>
      <c r="B936" t="s">
        <v>377</v>
      </c>
      <c r="C936" s="169">
        <v>0</v>
      </c>
      <c r="D936" s="169">
        <v>0</v>
      </c>
      <c r="E936" t="e">
        <f>VLOOKUP(A:A,הוצאות!B:B,1,0)</f>
        <v>#N/A</v>
      </c>
    </row>
    <row r="937" spans="1:7" hidden="1">
      <c r="A937">
        <v>1846803840</v>
      </c>
      <c r="B937" t="s">
        <v>1854</v>
      </c>
      <c r="C937" s="169">
        <v>0</v>
      </c>
      <c r="D937" s="169">
        <v>0</v>
      </c>
      <c r="E937" t="e">
        <f>VLOOKUP(A:A,הוצאות!B:B,1,0)</f>
        <v>#N/A</v>
      </c>
    </row>
    <row r="938" spans="1:7" hidden="1">
      <c r="A938">
        <v>1847100840</v>
      </c>
      <c r="B938" t="s">
        <v>1855</v>
      </c>
      <c r="C938" s="169">
        <v>0</v>
      </c>
      <c r="D938" s="169">
        <v>0</v>
      </c>
      <c r="E938" t="e">
        <f>VLOOKUP(A:A,הוצאות!B:B,1,0)</f>
        <v>#N/A</v>
      </c>
    </row>
    <row r="939" spans="1:7" hidden="1">
      <c r="A939">
        <v>1847100930</v>
      </c>
      <c r="B939" t="s">
        <v>1856</v>
      </c>
      <c r="C939" s="169">
        <v>0</v>
      </c>
      <c r="D939" s="169">
        <v>0</v>
      </c>
      <c r="E939" t="e">
        <f>VLOOKUP(A:A,הוצאות!B:B,1,0)</f>
        <v>#N/A</v>
      </c>
    </row>
    <row r="940" spans="1:7">
      <c r="A940">
        <v>1847101710</v>
      </c>
      <c r="B940" t="s">
        <v>378</v>
      </c>
      <c r="C940" s="169">
        <v>0</v>
      </c>
      <c r="D940" s="169">
        <v>0</v>
      </c>
      <c r="E940" t="e">
        <f>VLOOKUP(A:A,הוצאות!B:B,1,0)</f>
        <v>#N/A</v>
      </c>
      <c r="F940" s="156" t="e">
        <f>VLOOKUP(A:A,הוצאות!B:O,14,0)</f>
        <v>#N/A</v>
      </c>
      <c r="G940" s="180" t="e">
        <f>D940-F940</f>
        <v>#N/A</v>
      </c>
    </row>
    <row r="941" spans="1:7">
      <c r="A941">
        <v>1847101780</v>
      </c>
      <c r="B941" t="s">
        <v>379</v>
      </c>
      <c r="C941" s="169">
        <v>0</v>
      </c>
      <c r="D941" s="169">
        <v>0</v>
      </c>
      <c r="E941" t="e">
        <f>VLOOKUP(A:A,הוצאות!B:B,1,0)</f>
        <v>#N/A</v>
      </c>
      <c r="F941" s="156" t="e">
        <f>VLOOKUP(A:A,הוצאות!B:O,14,0)</f>
        <v>#N/A</v>
      </c>
      <c r="G941" s="180" t="e">
        <f>D941-F941</f>
        <v>#N/A</v>
      </c>
    </row>
    <row r="942" spans="1:7">
      <c r="A942">
        <v>1847101840</v>
      </c>
      <c r="B942" t="s">
        <v>380</v>
      </c>
      <c r="C942" s="169">
        <v>0</v>
      </c>
      <c r="D942" s="169">
        <v>0</v>
      </c>
      <c r="E942">
        <f>VLOOKUP(A:A,הוצאות!B:B,1,0)</f>
        <v>1847101840</v>
      </c>
      <c r="F942" s="156">
        <f>VLOOKUP(A:A,הוצאות!B:O,14,0)</f>
        <v>0</v>
      </c>
      <c r="G942" s="180">
        <f>D942-F942</f>
        <v>0</v>
      </c>
    </row>
    <row r="943" spans="1:7" hidden="1">
      <c r="A943">
        <v>1847102710</v>
      </c>
      <c r="B943" t="s">
        <v>1857</v>
      </c>
      <c r="C943" s="169">
        <v>0</v>
      </c>
      <c r="D943" s="169">
        <v>0</v>
      </c>
      <c r="E943" t="e">
        <f>VLOOKUP(A:A,הוצאות!B:B,1,0)</f>
        <v>#N/A</v>
      </c>
    </row>
    <row r="944" spans="1:7" hidden="1">
      <c r="A944">
        <v>1847102750</v>
      </c>
      <c r="B944" t="s">
        <v>1857</v>
      </c>
      <c r="C944" s="169">
        <v>0</v>
      </c>
      <c r="D944" s="169">
        <v>0</v>
      </c>
      <c r="E944" t="e">
        <f>VLOOKUP(A:A,הוצאות!B:B,1,0)</f>
        <v>#N/A</v>
      </c>
    </row>
    <row r="945" spans="1:7" hidden="1">
      <c r="A945">
        <v>1847102751</v>
      </c>
      <c r="B945" t="s">
        <v>1857</v>
      </c>
      <c r="C945" s="169">
        <v>0</v>
      </c>
      <c r="D945" s="169">
        <v>0</v>
      </c>
      <c r="E945" t="e">
        <f>VLOOKUP(A:A,הוצאות!B:B,1,0)</f>
        <v>#N/A</v>
      </c>
    </row>
    <row r="946" spans="1:7" hidden="1">
      <c r="A946">
        <v>1847102840</v>
      </c>
      <c r="B946" t="s">
        <v>381</v>
      </c>
      <c r="C946" s="169">
        <v>0</v>
      </c>
      <c r="D946" s="169">
        <v>0</v>
      </c>
      <c r="E946" t="e">
        <f>VLOOKUP(A:A,הוצאות!B:B,1,0)</f>
        <v>#N/A</v>
      </c>
    </row>
    <row r="947" spans="1:7">
      <c r="A947">
        <v>1847103840</v>
      </c>
      <c r="B947" t="s">
        <v>382</v>
      </c>
      <c r="C947" s="169">
        <v>238240</v>
      </c>
      <c r="D947" s="169">
        <v>65090</v>
      </c>
      <c r="E947">
        <f>VLOOKUP(A:A,הוצאות!B:B,1,0)</f>
        <v>1847103840</v>
      </c>
      <c r="F947" s="156">
        <f>VLOOKUP(A:A,הוצאות!B:O,14,0)</f>
        <v>65090</v>
      </c>
      <c r="G947" s="180">
        <f>D947-F947</f>
        <v>0</v>
      </c>
    </row>
    <row r="948" spans="1:7">
      <c r="A948">
        <v>1847104840</v>
      </c>
      <c r="B948" t="s">
        <v>383</v>
      </c>
      <c r="C948" s="169">
        <v>74140</v>
      </c>
      <c r="D948" s="169">
        <v>30510</v>
      </c>
      <c r="E948">
        <f>VLOOKUP(A:A,הוצאות!B:B,1,0)</f>
        <v>1847104840</v>
      </c>
      <c r="F948" s="156">
        <f>VLOOKUP(A:A,הוצאות!B:O,14,0)</f>
        <v>30510</v>
      </c>
      <c r="G948" s="180">
        <f>D948-F948</f>
        <v>0</v>
      </c>
    </row>
    <row r="949" spans="1:7" hidden="1">
      <c r="A949">
        <v>1847106840</v>
      </c>
      <c r="B949" t="s">
        <v>384</v>
      </c>
      <c r="C949" s="169">
        <v>0</v>
      </c>
      <c r="D949" s="169">
        <v>0</v>
      </c>
      <c r="E949" t="e">
        <f>VLOOKUP(A:A,הוצאות!B:B,1,0)</f>
        <v>#N/A</v>
      </c>
    </row>
    <row r="950" spans="1:7">
      <c r="A950" s="170">
        <v>1847201840</v>
      </c>
      <c r="B950" s="170" t="s">
        <v>385</v>
      </c>
      <c r="C950" s="171">
        <v>0</v>
      </c>
      <c r="D950" s="171">
        <v>199547</v>
      </c>
      <c r="E950" s="170">
        <f>VLOOKUP(A:A,הוצאות!B:B,1,0)</f>
        <v>1847201840</v>
      </c>
      <c r="F950" s="156">
        <f>VLOOKUP(A:A,הוצאות!B:O,14,0)</f>
        <v>199547</v>
      </c>
      <c r="G950" s="180">
        <f>D950-F950</f>
        <v>0</v>
      </c>
    </row>
    <row r="951" spans="1:7">
      <c r="A951">
        <v>1847202840</v>
      </c>
      <c r="B951" t="s">
        <v>1631</v>
      </c>
      <c r="C951" s="169">
        <v>128280</v>
      </c>
      <c r="D951" s="169">
        <v>79080</v>
      </c>
      <c r="E951">
        <f>VLOOKUP(A:A,הוצאות!B:B,1,0)</f>
        <v>1847202840</v>
      </c>
      <c r="F951" s="156">
        <f>VLOOKUP(A:A,הוצאות!B:O,14,0)</f>
        <v>79080</v>
      </c>
      <c r="G951" s="180">
        <f>D951-F951</f>
        <v>0</v>
      </c>
    </row>
    <row r="952" spans="1:7" hidden="1">
      <c r="A952">
        <v>1847301110</v>
      </c>
      <c r="B952" t="s">
        <v>1858</v>
      </c>
      <c r="C952" s="169">
        <v>0</v>
      </c>
      <c r="D952" s="169">
        <v>0</v>
      </c>
      <c r="E952" t="e">
        <f>VLOOKUP(A:A,הוצאות!B:B,1,0)</f>
        <v>#N/A</v>
      </c>
    </row>
    <row r="953" spans="1:7" hidden="1">
      <c r="A953">
        <v>1847301780</v>
      </c>
      <c r="B953" t="s">
        <v>1859</v>
      </c>
      <c r="C953" s="169">
        <v>0</v>
      </c>
      <c r="D953" s="169">
        <v>0</v>
      </c>
      <c r="E953" t="e">
        <f>VLOOKUP(A:A,הוצאות!B:B,1,0)</f>
        <v>#N/A</v>
      </c>
    </row>
    <row r="954" spans="1:7">
      <c r="A954">
        <v>1847301840</v>
      </c>
      <c r="B954" t="s">
        <v>386</v>
      </c>
      <c r="C954" s="169">
        <v>63310</v>
      </c>
      <c r="D954" s="169">
        <v>81909</v>
      </c>
      <c r="E954">
        <f>VLOOKUP(A:A,הוצאות!B:B,1,0)</f>
        <v>1847301840</v>
      </c>
      <c r="F954" s="156">
        <f>VLOOKUP(A:A,הוצאות!B:O,14,0)</f>
        <v>81909</v>
      </c>
      <c r="G954" s="180">
        <f>D954-F954</f>
        <v>0</v>
      </c>
    </row>
    <row r="955" spans="1:7">
      <c r="A955">
        <v>1847302840</v>
      </c>
      <c r="B955" t="s">
        <v>387</v>
      </c>
      <c r="C955" s="169">
        <v>0</v>
      </c>
      <c r="D955" s="169">
        <v>0</v>
      </c>
      <c r="E955" t="e">
        <f>VLOOKUP(A:A,הוצאות!B:B,1,0)</f>
        <v>#N/A</v>
      </c>
      <c r="F955" s="156" t="e">
        <f>VLOOKUP(A:A,הוצאות!B:O,14,0)</f>
        <v>#N/A</v>
      </c>
      <c r="G955" s="180" t="e">
        <f>D955-F955</f>
        <v>#N/A</v>
      </c>
    </row>
    <row r="956" spans="1:7">
      <c r="A956">
        <v>1847400840</v>
      </c>
      <c r="B956" t="s">
        <v>388</v>
      </c>
      <c r="C956" s="169">
        <v>0</v>
      </c>
      <c r="D956" s="169">
        <v>0</v>
      </c>
      <c r="E956">
        <f>VLOOKUP(A:A,הוצאות!B:B,1,0)</f>
        <v>1847400840</v>
      </c>
      <c r="F956" s="156">
        <f>VLOOKUP(A:A,הוצאות!B:O,14,0)</f>
        <v>0</v>
      </c>
      <c r="G956" s="180">
        <f>D956-F956</f>
        <v>0</v>
      </c>
    </row>
    <row r="957" spans="1:7">
      <c r="A957">
        <v>1847500840</v>
      </c>
      <c r="B957" t="s">
        <v>1639</v>
      </c>
      <c r="C957" s="169">
        <v>291550</v>
      </c>
      <c r="D957" s="169">
        <v>156140</v>
      </c>
      <c r="E957">
        <f>VLOOKUP(A:A,הוצאות!B:B,1,0)</f>
        <v>1847500840</v>
      </c>
      <c r="F957" s="156">
        <f>VLOOKUP(A:A,הוצאות!B:O,14,0)</f>
        <v>156140</v>
      </c>
      <c r="G957" s="180">
        <f>D957-F957</f>
        <v>0</v>
      </c>
    </row>
    <row r="958" spans="1:7">
      <c r="A958">
        <v>1848501780</v>
      </c>
      <c r="B958" t="s">
        <v>389</v>
      </c>
      <c r="C958" s="169">
        <v>0</v>
      </c>
      <c r="D958" s="169">
        <v>0</v>
      </c>
      <c r="E958" t="e">
        <f>VLOOKUP(A:A,הוצאות!B:B,1,0)</f>
        <v>#N/A</v>
      </c>
      <c r="F958" s="156" t="e">
        <f>VLOOKUP(A:A,הוצאות!B:O,14,0)</f>
        <v>#N/A</v>
      </c>
      <c r="G958" s="180" t="e">
        <f>D958-F958</f>
        <v>#N/A</v>
      </c>
    </row>
    <row r="959" spans="1:7" hidden="1">
      <c r="A959">
        <v>1848502110</v>
      </c>
      <c r="B959" t="s">
        <v>390</v>
      </c>
      <c r="C959" s="169">
        <v>0</v>
      </c>
      <c r="D959" s="169">
        <v>0</v>
      </c>
      <c r="E959">
        <f>VLOOKUP(A:A,הוצאות!B:B,1,0)</f>
        <v>1848502110</v>
      </c>
    </row>
    <row r="960" spans="1:7" hidden="1">
      <c r="A960">
        <v>1848502320</v>
      </c>
      <c r="B960" t="s">
        <v>25</v>
      </c>
      <c r="C960" s="169">
        <v>0</v>
      </c>
      <c r="D960" s="169">
        <v>0</v>
      </c>
      <c r="E960" t="e">
        <f>VLOOKUP(A:A,הוצאות!B:B,1,0)</f>
        <v>#N/A</v>
      </c>
    </row>
    <row r="961" spans="1:7" hidden="1">
      <c r="A961">
        <v>1848502750</v>
      </c>
      <c r="B961" t="s">
        <v>391</v>
      </c>
      <c r="C961" s="169">
        <v>0</v>
      </c>
      <c r="D961" s="169">
        <v>0</v>
      </c>
      <c r="E961" t="e">
        <f>VLOOKUP(A:A,הוצאות!B:B,1,0)</f>
        <v>#N/A</v>
      </c>
    </row>
    <row r="962" spans="1:7">
      <c r="A962">
        <v>1848502840</v>
      </c>
      <c r="B962" t="s">
        <v>390</v>
      </c>
      <c r="C962" s="169">
        <v>0</v>
      </c>
      <c r="D962" s="169">
        <v>0</v>
      </c>
      <c r="E962" t="e">
        <f>VLOOKUP(A:A,הוצאות!B:B,1,0)</f>
        <v>#N/A</v>
      </c>
      <c r="F962" s="156" t="e">
        <f>VLOOKUP(A:A,הוצאות!B:O,14,0)</f>
        <v>#N/A</v>
      </c>
      <c r="G962" s="180" t="e">
        <f>D962-F962</f>
        <v>#N/A</v>
      </c>
    </row>
    <row r="963" spans="1:7">
      <c r="A963">
        <v>1848502850</v>
      </c>
      <c r="B963" t="s">
        <v>392</v>
      </c>
      <c r="C963" s="169">
        <v>0</v>
      </c>
      <c r="D963" s="169">
        <v>0</v>
      </c>
      <c r="E963" t="e">
        <f>VLOOKUP(A:A,הוצאות!B:B,1,0)</f>
        <v>#N/A</v>
      </c>
      <c r="F963" s="156" t="e">
        <f>VLOOKUP(A:A,הוצאות!B:O,14,0)</f>
        <v>#N/A</v>
      </c>
      <c r="G963" s="180" t="e">
        <f>D963-F963</f>
        <v>#N/A</v>
      </c>
    </row>
    <row r="964" spans="1:7" hidden="1">
      <c r="A964">
        <v>1849000840</v>
      </c>
      <c r="B964" t="s">
        <v>1860</v>
      </c>
      <c r="C964" s="169">
        <v>0</v>
      </c>
      <c r="D964" s="169">
        <v>0</v>
      </c>
      <c r="E964" t="e">
        <f>VLOOKUP(A:A,הוצאות!B:B,1,0)</f>
        <v>#N/A</v>
      </c>
    </row>
    <row r="965" spans="1:7" hidden="1">
      <c r="A965">
        <v>1849999399</v>
      </c>
      <c r="B965" t="s">
        <v>47</v>
      </c>
      <c r="C965" s="169">
        <v>0</v>
      </c>
      <c r="D965" s="169">
        <v>0</v>
      </c>
      <c r="E965" t="e">
        <f>VLOOKUP(A:A,הוצאות!B:B,1,0)</f>
        <v>#N/A</v>
      </c>
    </row>
    <row r="966" spans="1:7" hidden="1">
      <c r="A966">
        <v>1853000110</v>
      </c>
      <c r="B966" t="s">
        <v>1861</v>
      </c>
      <c r="C966" s="169">
        <v>0</v>
      </c>
      <c r="D966" s="169">
        <v>0</v>
      </c>
      <c r="E966" t="e">
        <f>VLOOKUP(A:A,הוצאות!B:B,1,0)</f>
        <v>#N/A</v>
      </c>
    </row>
    <row r="967" spans="1:7" hidden="1">
      <c r="A967">
        <v>1853000320</v>
      </c>
      <c r="B967" t="s">
        <v>25</v>
      </c>
      <c r="C967" s="169">
        <v>0</v>
      </c>
      <c r="D967" s="169">
        <v>0</v>
      </c>
      <c r="E967" t="e">
        <f>VLOOKUP(A:A,הוצאות!B:B,1,0)</f>
        <v>#N/A</v>
      </c>
    </row>
    <row r="968" spans="1:7" hidden="1">
      <c r="A968">
        <v>1853000431</v>
      </c>
      <c r="B968" t="s">
        <v>1862</v>
      </c>
      <c r="C968" s="169">
        <v>0</v>
      </c>
      <c r="D968" s="169">
        <v>0</v>
      </c>
      <c r="E968">
        <f>VLOOKUP(A:A,הוצאות!B:B,1,0)</f>
        <v>1853000431</v>
      </c>
    </row>
    <row r="969" spans="1:7">
      <c r="A969">
        <v>1853000432</v>
      </c>
      <c r="B969" t="s">
        <v>393</v>
      </c>
      <c r="C969" s="169">
        <v>14990</v>
      </c>
      <c r="D969" s="169">
        <v>10380.200000000001</v>
      </c>
      <c r="E969">
        <f>VLOOKUP(A:A,הוצאות!B:B,1,0)</f>
        <v>1853000432</v>
      </c>
      <c r="F969" s="156">
        <f>VLOOKUP(A:A,הוצאות!B:O,14,0)</f>
        <v>10380.200000000001</v>
      </c>
      <c r="G969" s="180">
        <f>D969-F969</f>
        <v>0</v>
      </c>
    </row>
    <row r="970" spans="1:7">
      <c r="A970">
        <v>1853000750</v>
      </c>
      <c r="B970" t="s">
        <v>1863</v>
      </c>
      <c r="C970" s="169">
        <v>14990</v>
      </c>
      <c r="D970" s="169">
        <v>0</v>
      </c>
      <c r="E970">
        <f>VLOOKUP(A:A,הוצאות!B:B,1,0)</f>
        <v>1853000750</v>
      </c>
      <c r="F970" s="156">
        <f>VLOOKUP(A:A,הוצאות!B:O,14,0)</f>
        <v>0</v>
      </c>
      <c r="G970" s="180">
        <f>D970-F970</f>
        <v>0</v>
      </c>
    </row>
    <row r="971" spans="1:7">
      <c r="A971">
        <v>1853000780</v>
      </c>
      <c r="B971" t="s">
        <v>18</v>
      </c>
      <c r="C971" s="169">
        <v>33320</v>
      </c>
      <c r="D971" s="169">
        <v>0</v>
      </c>
      <c r="E971">
        <f>VLOOKUP(A:A,הוצאות!B:B,1,0)</f>
        <v>1853000780</v>
      </c>
      <c r="F971" s="156">
        <f>VLOOKUP(A:A,הוצאות!B:O,14,0)</f>
        <v>0</v>
      </c>
      <c r="G971" s="180">
        <f>D971-F971</f>
        <v>0</v>
      </c>
    </row>
    <row r="972" spans="1:7" hidden="1">
      <c r="A972">
        <v>1853000810</v>
      </c>
      <c r="B972" t="s">
        <v>1711</v>
      </c>
      <c r="C972" s="169">
        <v>0</v>
      </c>
      <c r="D972" s="169">
        <v>0</v>
      </c>
      <c r="E972" t="e">
        <f>VLOOKUP(A:A,הוצאות!B:B,1,0)</f>
        <v>#N/A</v>
      </c>
    </row>
    <row r="973" spans="1:7" hidden="1">
      <c r="A973">
        <v>1859999399</v>
      </c>
      <c r="B973" t="s">
        <v>47</v>
      </c>
      <c r="C973" s="169">
        <v>0</v>
      </c>
      <c r="D973" s="169">
        <v>0</v>
      </c>
      <c r="E973" t="e">
        <f>VLOOKUP(A:A,הוצאות!B:B,1,0)</f>
        <v>#N/A</v>
      </c>
    </row>
    <row r="974" spans="1:7" hidden="1">
      <c r="A974">
        <v>1879000750</v>
      </c>
      <c r="B974" t="s">
        <v>1714</v>
      </c>
      <c r="C974" s="169">
        <v>0</v>
      </c>
      <c r="D974" s="169">
        <v>0</v>
      </c>
      <c r="E974" t="e">
        <f>VLOOKUP(A:A,הוצאות!B:B,1,0)</f>
        <v>#N/A</v>
      </c>
    </row>
    <row r="975" spans="1:7" hidden="1">
      <c r="A975">
        <v>1879000780</v>
      </c>
      <c r="B975" t="s">
        <v>1864</v>
      </c>
      <c r="C975" s="169">
        <v>0</v>
      </c>
      <c r="D975" s="169">
        <v>0</v>
      </c>
      <c r="E975" t="e">
        <f>VLOOKUP(A:A,הוצאות!B:B,1,0)</f>
        <v>#N/A</v>
      </c>
    </row>
    <row r="976" spans="1:7">
      <c r="A976">
        <v>1879000830</v>
      </c>
      <c r="B976" t="s">
        <v>395</v>
      </c>
      <c r="C976" s="169">
        <v>29160</v>
      </c>
      <c r="D976" s="169">
        <v>0</v>
      </c>
      <c r="E976">
        <f>VLOOKUP(A:A,הוצאות!B:B,1,0)</f>
        <v>1879000830</v>
      </c>
      <c r="F976" s="156">
        <f>VLOOKUP(A:A,הוצאות!B:O,14,0)</f>
        <v>0</v>
      </c>
      <c r="G976" s="180">
        <f>D976-F976</f>
        <v>0</v>
      </c>
    </row>
    <row r="977" spans="1:7">
      <c r="A977">
        <v>1911000110</v>
      </c>
      <c r="B977" t="s">
        <v>396</v>
      </c>
      <c r="C977" s="169">
        <v>76640</v>
      </c>
      <c r="D977" s="169">
        <v>73643.23</v>
      </c>
      <c r="E977">
        <f>VLOOKUP(A:A,הוצאות!B:B,1,0)</f>
        <v>1911000110</v>
      </c>
      <c r="F977" s="156">
        <f>VLOOKUP(A:A,הוצאות!B:O,14,0)</f>
        <v>73643.23</v>
      </c>
      <c r="G977" s="180">
        <f>D977-F977</f>
        <v>0</v>
      </c>
    </row>
    <row r="978" spans="1:7" hidden="1">
      <c r="A978">
        <v>1911000320</v>
      </c>
      <c r="B978" t="s">
        <v>1865</v>
      </c>
      <c r="C978" s="169">
        <v>0</v>
      </c>
      <c r="D978" s="169">
        <v>0</v>
      </c>
      <c r="E978" t="e">
        <f>VLOOKUP(A:A,הוצאות!B:B,1,0)</f>
        <v>#N/A</v>
      </c>
    </row>
    <row r="979" spans="1:7">
      <c r="A979">
        <v>1911000540</v>
      </c>
      <c r="B979" t="s">
        <v>397</v>
      </c>
      <c r="C979" s="169">
        <v>0</v>
      </c>
      <c r="D979" s="169">
        <v>0</v>
      </c>
      <c r="E979">
        <f>VLOOKUP(A:A,הוצאות!B:B,1,0)</f>
        <v>1911000540</v>
      </c>
      <c r="F979" s="156">
        <f>VLOOKUP(A:A,הוצאות!B:O,14,0)</f>
        <v>0</v>
      </c>
      <c r="G979" s="180">
        <f>D979-F979</f>
        <v>0</v>
      </c>
    </row>
    <row r="980" spans="1:7" hidden="1">
      <c r="A980">
        <v>1913000110</v>
      </c>
      <c r="B980" t="s">
        <v>1866</v>
      </c>
      <c r="C980" s="169">
        <v>0</v>
      </c>
      <c r="D980" s="169">
        <v>0</v>
      </c>
      <c r="E980" t="e">
        <f>VLOOKUP(A:A,הוצאות!B:B,1,0)</f>
        <v>#N/A</v>
      </c>
    </row>
    <row r="981" spans="1:7">
      <c r="A981">
        <v>1913000720</v>
      </c>
      <c r="B981" t="s">
        <v>32</v>
      </c>
      <c r="C981" s="169">
        <v>37490</v>
      </c>
      <c r="D981" s="169">
        <v>17588.61</v>
      </c>
      <c r="E981">
        <f>VLOOKUP(A:A,הוצאות!B:B,1,0)</f>
        <v>1913000720</v>
      </c>
      <c r="F981" s="156">
        <f>VLOOKUP(A:A,הוצאות!B:O,14,0)</f>
        <v>17588.61</v>
      </c>
      <c r="G981" s="180">
        <f>D981-F981</f>
        <v>0</v>
      </c>
    </row>
    <row r="982" spans="1:7" hidden="1">
      <c r="A982">
        <v>1913000730</v>
      </c>
      <c r="B982" t="s">
        <v>1867</v>
      </c>
      <c r="C982" s="169">
        <v>0</v>
      </c>
      <c r="D982" s="169">
        <v>0</v>
      </c>
      <c r="E982" t="e">
        <f>VLOOKUP(A:A,הוצאות!B:B,1,0)</f>
        <v>#N/A</v>
      </c>
    </row>
    <row r="983" spans="1:7" hidden="1">
      <c r="A983">
        <v>1913000731</v>
      </c>
      <c r="B983" t="s">
        <v>1868</v>
      </c>
      <c r="C983" s="169">
        <v>0</v>
      </c>
      <c r="D983" s="169">
        <v>0</v>
      </c>
      <c r="E983" t="e">
        <f>VLOOKUP(A:A,הוצאות!B:B,1,0)</f>
        <v>#N/A</v>
      </c>
    </row>
    <row r="984" spans="1:7" hidden="1">
      <c r="A984">
        <v>1913000732</v>
      </c>
      <c r="B984" t="s">
        <v>1869</v>
      </c>
      <c r="C984" s="169">
        <v>0</v>
      </c>
      <c r="D984" s="169">
        <v>0</v>
      </c>
      <c r="E984" t="e">
        <f>VLOOKUP(A:A,הוצאות!B:B,1,0)</f>
        <v>#N/A</v>
      </c>
    </row>
    <row r="985" spans="1:7" hidden="1">
      <c r="A985">
        <v>1913000733</v>
      </c>
      <c r="B985" t="s">
        <v>1870</v>
      </c>
      <c r="C985" s="169">
        <v>0</v>
      </c>
      <c r="D985" s="169">
        <v>0</v>
      </c>
      <c r="E985" t="e">
        <f>VLOOKUP(A:A,הוצאות!B:B,1,0)</f>
        <v>#N/A</v>
      </c>
    </row>
    <row r="986" spans="1:7">
      <c r="A986">
        <v>1913000740</v>
      </c>
      <c r="B986" t="s">
        <v>155</v>
      </c>
      <c r="C986" s="169">
        <v>0</v>
      </c>
      <c r="D986" s="169">
        <v>0</v>
      </c>
      <c r="E986">
        <f>VLOOKUP(A:A,הוצאות!B:B,1,0)</f>
        <v>1913000740</v>
      </c>
      <c r="F986" s="156">
        <f>VLOOKUP(A:A,הוצאות!B:O,14,0)</f>
        <v>0</v>
      </c>
      <c r="G986" s="180">
        <f>D986-F986</f>
        <v>0</v>
      </c>
    </row>
    <row r="987" spans="1:7">
      <c r="A987">
        <v>1913000750</v>
      </c>
      <c r="B987" t="s">
        <v>62</v>
      </c>
      <c r="C987" s="169">
        <v>15830</v>
      </c>
      <c r="D987" s="169">
        <v>3978</v>
      </c>
      <c r="E987">
        <f>VLOOKUP(A:A,הוצאות!B:B,1,0)</f>
        <v>1913000750</v>
      </c>
      <c r="F987" s="156">
        <f>VLOOKUP(A:A,הוצאות!B:O,14,0)</f>
        <v>3978</v>
      </c>
      <c r="G987" s="180">
        <f>D987-F987</f>
        <v>0</v>
      </c>
    </row>
    <row r="988" spans="1:7" hidden="1">
      <c r="A988">
        <v>1913000771</v>
      </c>
      <c r="B988" t="s">
        <v>26</v>
      </c>
      <c r="C988" s="169">
        <v>0</v>
      </c>
      <c r="D988" s="169">
        <v>0</v>
      </c>
      <c r="E988" t="e">
        <f>VLOOKUP(A:A,הוצאות!B:B,1,0)</f>
        <v>#N/A</v>
      </c>
    </row>
    <row r="989" spans="1:7">
      <c r="A989">
        <v>1913000780</v>
      </c>
      <c r="B989" t="s">
        <v>398</v>
      </c>
      <c r="C989" s="169">
        <v>127030</v>
      </c>
      <c r="D989" s="169">
        <v>735929.81</v>
      </c>
      <c r="E989">
        <f>VLOOKUP(A:A,הוצאות!B:B,1,0)</f>
        <v>1913000780</v>
      </c>
      <c r="F989" s="156">
        <f>VLOOKUP(A:A,הוצאות!B:O,14,0)</f>
        <v>735929.81</v>
      </c>
      <c r="G989" s="180">
        <f>D989-F989</f>
        <v>0</v>
      </c>
    </row>
    <row r="990" spans="1:7" hidden="1">
      <c r="A990">
        <v>1913000910</v>
      </c>
      <c r="B990" t="s">
        <v>1739</v>
      </c>
      <c r="C990" s="169">
        <v>0</v>
      </c>
      <c r="D990" s="169">
        <v>0</v>
      </c>
      <c r="E990" t="e">
        <f>VLOOKUP(A:A,הוצאות!B:B,1,0)</f>
        <v>#N/A</v>
      </c>
    </row>
    <row r="991" spans="1:7" hidden="1">
      <c r="A991">
        <v>1913100523</v>
      </c>
      <c r="B991" t="s">
        <v>1871</v>
      </c>
      <c r="C991" s="169">
        <v>0</v>
      </c>
      <c r="D991" s="169">
        <v>0</v>
      </c>
      <c r="E991" t="e">
        <f>VLOOKUP(A:A,הוצאות!B:B,1,0)</f>
        <v>#N/A</v>
      </c>
    </row>
    <row r="992" spans="1:7">
      <c r="A992">
        <v>1913100772</v>
      </c>
      <c r="B992" t="s">
        <v>399</v>
      </c>
      <c r="C992" s="169">
        <v>1299480</v>
      </c>
      <c r="D992" s="169">
        <v>2162712.7799999998</v>
      </c>
      <c r="E992">
        <f>VLOOKUP(A:A,הוצאות!B:B,1,0)</f>
        <v>1913100772</v>
      </c>
      <c r="F992" s="156">
        <f>VLOOKUP(A:A,הוצאות!B:O,14,0)</f>
        <v>2162712.7799999998</v>
      </c>
      <c r="G992" s="180">
        <f>D992-F992</f>
        <v>0</v>
      </c>
    </row>
    <row r="993" spans="1:7" hidden="1">
      <c r="A993">
        <v>1913101772</v>
      </c>
      <c r="B993" t="s">
        <v>1872</v>
      </c>
      <c r="C993" s="169">
        <v>0</v>
      </c>
      <c r="D993" s="169">
        <v>0</v>
      </c>
      <c r="E993" t="e">
        <f>VLOOKUP(A:A,הוצאות!B:B,1,0)</f>
        <v>#N/A</v>
      </c>
    </row>
    <row r="994" spans="1:7" hidden="1">
      <c r="A994">
        <v>1919999399</v>
      </c>
      <c r="B994" t="s">
        <v>47</v>
      </c>
      <c r="C994" s="169">
        <v>0</v>
      </c>
      <c r="D994" s="169">
        <v>0</v>
      </c>
      <c r="E994" t="e">
        <f>VLOOKUP(A:A,הוצאות!B:B,1,0)</f>
        <v>#N/A</v>
      </c>
    </row>
    <row r="995" spans="1:7">
      <c r="A995">
        <v>1938000420</v>
      </c>
      <c r="B995" t="s">
        <v>150</v>
      </c>
      <c r="C995" s="169">
        <v>29160</v>
      </c>
      <c r="D995" s="169">
        <v>0</v>
      </c>
      <c r="E995">
        <f>VLOOKUP(A:A,הוצאות!B:B,1,0)</f>
        <v>1938000420</v>
      </c>
      <c r="F995" s="156">
        <f>VLOOKUP(A:A,הוצאות!B:O,14,0)</f>
        <v>0</v>
      </c>
      <c r="G995" s="180">
        <f>D995-F995</f>
        <v>0</v>
      </c>
    </row>
    <row r="996" spans="1:7" hidden="1">
      <c r="A996">
        <v>1938000431</v>
      </c>
      <c r="B996" t="s">
        <v>26</v>
      </c>
      <c r="C996" s="169">
        <v>0</v>
      </c>
      <c r="D996" s="169">
        <v>0</v>
      </c>
      <c r="E996" t="e">
        <f>VLOOKUP(A:A,הוצאות!B:B,1,0)</f>
        <v>#N/A</v>
      </c>
    </row>
    <row r="997" spans="1:7">
      <c r="A997">
        <v>1938000432</v>
      </c>
      <c r="B997" t="s">
        <v>165</v>
      </c>
      <c r="C997" s="169">
        <v>41650</v>
      </c>
      <c r="D997" s="169">
        <v>0</v>
      </c>
      <c r="E997">
        <f>VLOOKUP(A:A,הוצאות!B:B,1,0)</f>
        <v>1938000432</v>
      </c>
      <c r="F997" s="156">
        <f>VLOOKUP(A:A,הוצאות!B:O,14,0)</f>
        <v>0</v>
      </c>
      <c r="G997" s="180">
        <f>D997-F997</f>
        <v>0</v>
      </c>
    </row>
    <row r="998" spans="1:7" hidden="1">
      <c r="A998">
        <v>1938000433</v>
      </c>
      <c r="B998" t="s">
        <v>144</v>
      </c>
      <c r="C998" s="169">
        <v>0</v>
      </c>
      <c r="D998" s="169">
        <v>0</v>
      </c>
      <c r="E998" t="e">
        <f>VLOOKUP(A:A,הוצאות!B:B,1,0)</f>
        <v>#N/A</v>
      </c>
    </row>
    <row r="999" spans="1:7">
      <c r="A999">
        <v>1938000511</v>
      </c>
      <c r="B999" t="s">
        <v>400</v>
      </c>
      <c r="C999" s="169">
        <v>24990</v>
      </c>
      <c r="D999" s="169">
        <v>0</v>
      </c>
      <c r="E999">
        <f>VLOOKUP(A:A,הוצאות!B:B,1,0)</f>
        <v>1938000511</v>
      </c>
      <c r="F999" s="156">
        <f>VLOOKUP(A:A,הוצאות!B:O,14,0)</f>
        <v>0</v>
      </c>
      <c r="G999" s="180">
        <f>D999-F999</f>
        <v>0</v>
      </c>
    </row>
    <row r="1000" spans="1:7">
      <c r="A1000">
        <v>1938000540</v>
      </c>
      <c r="B1000" t="s">
        <v>401</v>
      </c>
      <c r="C1000" s="169">
        <v>62480</v>
      </c>
      <c r="D1000" s="169">
        <v>1822.43</v>
      </c>
      <c r="E1000">
        <f>VLOOKUP(A:A,הוצאות!B:B,1,0)</f>
        <v>1938000540</v>
      </c>
      <c r="F1000" s="156">
        <f>VLOOKUP(A:A,הוצאות!B:O,14,0)</f>
        <v>1822.43</v>
      </c>
      <c r="G1000" s="180">
        <f>D1000-F1000</f>
        <v>0</v>
      </c>
    </row>
    <row r="1001" spans="1:7" hidden="1">
      <c r="A1001">
        <v>1938000550</v>
      </c>
      <c r="B1001" t="s">
        <v>30</v>
      </c>
      <c r="C1001" s="169">
        <v>0</v>
      </c>
      <c r="D1001" s="169">
        <v>0</v>
      </c>
      <c r="E1001" t="e">
        <f>VLOOKUP(A:A,הוצאות!B:B,1,0)</f>
        <v>#N/A</v>
      </c>
    </row>
    <row r="1002" spans="1:7">
      <c r="A1002">
        <v>1938000560</v>
      </c>
      <c r="B1002" t="s">
        <v>14</v>
      </c>
      <c r="C1002" s="169">
        <v>66640</v>
      </c>
      <c r="D1002" s="169">
        <v>105121</v>
      </c>
      <c r="E1002">
        <f>VLOOKUP(A:A,הוצאות!B:B,1,0)</f>
        <v>1938000560</v>
      </c>
      <c r="F1002" s="156">
        <f>VLOOKUP(A:A,הוצאות!B:O,14,0)</f>
        <v>105121</v>
      </c>
      <c r="G1002" s="180">
        <f>D1002-F1002</f>
        <v>0</v>
      </c>
    </row>
    <row r="1003" spans="1:7" hidden="1">
      <c r="A1003">
        <v>1938000710</v>
      </c>
      <c r="B1003" t="s">
        <v>1873</v>
      </c>
      <c r="C1003" s="169">
        <v>0</v>
      </c>
      <c r="D1003" s="169">
        <v>0</v>
      </c>
      <c r="E1003" t="e">
        <f>VLOOKUP(A:A,הוצאות!B:B,1,0)</f>
        <v>#N/A</v>
      </c>
    </row>
    <row r="1004" spans="1:7" hidden="1">
      <c r="A1004">
        <v>1938000720</v>
      </c>
      <c r="B1004" t="s">
        <v>32</v>
      </c>
      <c r="C1004" s="169">
        <v>0</v>
      </c>
      <c r="D1004" s="169">
        <v>0</v>
      </c>
      <c r="E1004" t="e">
        <f>VLOOKUP(A:A,הוצאות!B:B,1,0)</f>
        <v>#N/A</v>
      </c>
    </row>
    <row r="1005" spans="1:7" hidden="1">
      <c r="A1005">
        <v>1938000740</v>
      </c>
      <c r="B1005" t="s">
        <v>33</v>
      </c>
      <c r="C1005" s="169">
        <v>0</v>
      </c>
      <c r="D1005" s="169">
        <v>0</v>
      </c>
      <c r="E1005" t="e">
        <f>VLOOKUP(A:A,הוצאות!B:B,1,0)</f>
        <v>#N/A</v>
      </c>
    </row>
    <row r="1006" spans="1:7">
      <c r="A1006">
        <v>1938000750</v>
      </c>
      <c r="B1006" t="s">
        <v>62</v>
      </c>
      <c r="C1006" s="169">
        <v>16660</v>
      </c>
      <c r="D1006" s="169">
        <v>3700</v>
      </c>
      <c r="E1006">
        <f>VLOOKUP(A:A,הוצאות!B:B,1,0)</f>
        <v>1938000750</v>
      </c>
      <c r="F1006" s="156">
        <f>VLOOKUP(A:A,הוצאות!B:O,14,0)</f>
        <v>3700</v>
      </c>
      <c r="G1006" s="180">
        <f>D1006-F1006</f>
        <v>0</v>
      </c>
    </row>
    <row r="1007" spans="1:7" hidden="1">
      <c r="A1007">
        <v>1938000780</v>
      </c>
      <c r="B1007" t="s">
        <v>58</v>
      </c>
      <c r="C1007" s="169">
        <v>0</v>
      </c>
      <c r="D1007" s="169">
        <v>0</v>
      </c>
      <c r="E1007" t="e">
        <f>VLOOKUP(A:A,הוצאות!B:B,1,0)</f>
        <v>#N/A</v>
      </c>
    </row>
    <row r="1008" spans="1:7">
      <c r="A1008">
        <v>1938000930</v>
      </c>
      <c r="B1008" t="s">
        <v>19</v>
      </c>
      <c r="C1008" s="169">
        <v>0</v>
      </c>
      <c r="D1008" s="169">
        <v>0</v>
      </c>
      <c r="E1008">
        <f>VLOOKUP(A:A,הוצאות!B:B,1,0)</f>
        <v>1938000930</v>
      </c>
      <c r="F1008" s="156">
        <f>VLOOKUP(A:A,הוצאות!B:O,14,0)</f>
        <v>0</v>
      </c>
      <c r="G1008" s="180">
        <f t="shared" ref="G1008:G1016" si="21">D1008-F1008</f>
        <v>0</v>
      </c>
    </row>
    <row r="1009" spans="1:7">
      <c r="A1009">
        <v>1972000691</v>
      </c>
      <c r="B1009" t="s">
        <v>402</v>
      </c>
      <c r="C1009" s="169">
        <v>127030</v>
      </c>
      <c r="D1009" s="169">
        <v>396746.2</v>
      </c>
      <c r="E1009">
        <f>VLOOKUP(A:A,הוצאות!B:B,1,0)</f>
        <v>1972000691</v>
      </c>
      <c r="F1009" s="156">
        <f>VLOOKUP(A:A,הוצאות!B:O,14,0)</f>
        <v>396746.2</v>
      </c>
      <c r="G1009" s="180">
        <f t="shared" si="21"/>
        <v>0</v>
      </c>
    </row>
    <row r="1010" spans="1:7">
      <c r="A1010">
        <v>1972000692</v>
      </c>
      <c r="B1010" t="s">
        <v>403</v>
      </c>
      <c r="C1010" s="169">
        <v>42480</v>
      </c>
      <c r="D1010" s="169">
        <v>121529.58</v>
      </c>
      <c r="E1010">
        <f>VLOOKUP(A:A,הוצאות!B:B,1,0)</f>
        <v>1972000692</v>
      </c>
      <c r="F1010" s="156">
        <f>VLOOKUP(A:A,הוצאות!B:O,14,0)</f>
        <v>121529.58</v>
      </c>
      <c r="G1010" s="180">
        <f t="shared" si="21"/>
        <v>0</v>
      </c>
    </row>
    <row r="1011" spans="1:7">
      <c r="A1011">
        <v>1972000693</v>
      </c>
      <c r="B1011" t="s">
        <v>404</v>
      </c>
      <c r="C1011" s="169">
        <v>41650</v>
      </c>
      <c r="D1011" s="169">
        <v>117511.3</v>
      </c>
      <c r="E1011">
        <f>VLOOKUP(A:A,הוצאות!B:B,1,0)</f>
        <v>1972000693</v>
      </c>
      <c r="F1011" s="156">
        <f>VLOOKUP(A:A,הוצאות!B:O,14,0)</f>
        <v>117511.3</v>
      </c>
      <c r="G1011" s="180">
        <f t="shared" si="21"/>
        <v>0</v>
      </c>
    </row>
    <row r="1012" spans="1:7">
      <c r="A1012">
        <v>1972000720</v>
      </c>
      <c r="B1012" t="s">
        <v>405</v>
      </c>
      <c r="C1012" s="169">
        <v>0</v>
      </c>
      <c r="D1012" s="169">
        <v>0</v>
      </c>
      <c r="E1012" t="e">
        <f>VLOOKUP(A:A,הוצאות!B:B,1,0)</f>
        <v>#N/A</v>
      </c>
      <c r="F1012" s="156" t="e">
        <f>VLOOKUP(A:A,הוצאות!B:O,14,0)</f>
        <v>#N/A</v>
      </c>
      <c r="G1012" s="180" t="e">
        <f t="shared" si="21"/>
        <v>#N/A</v>
      </c>
    </row>
    <row r="1013" spans="1:7">
      <c r="A1013">
        <v>1972000750</v>
      </c>
      <c r="B1013" t="s">
        <v>406</v>
      </c>
      <c r="C1013" s="169">
        <v>83300</v>
      </c>
      <c r="D1013" s="169">
        <v>368701.52</v>
      </c>
      <c r="E1013">
        <f>VLOOKUP(A:A,הוצאות!B:B,1,0)</f>
        <v>1972000750</v>
      </c>
      <c r="F1013" s="156">
        <f>VLOOKUP(A:A,הוצאות!B:O,14,0)</f>
        <v>368701.52</v>
      </c>
      <c r="G1013" s="180">
        <f t="shared" si="21"/>
        <v>0</v>
      </c>
    </row>
    <row r="1014" spans="1:7">
      <c r="A1014">
        <v>1972000751</v>
      </c>
      <c r="B1014" t="s">
        <v>407</v>
      </c>
      <c r="C1014" s="169">
        <v>33320</v>
      </c>
      <c r="D1014" s="169">
        <v>67933.7</v>
      </c>
      <c r="E1014">
        <f>VLOOKUP(A:A,הוצאות!B:B,1,0)</f>
        <v>1972000751</v>
      </c>
      <c r="F1014" s="156">
        <f>VLOOKUP(A:A,הוצאות!B:O,14,0)</f>
        <v>67933.7</v>
      </c>
      <c r="G1014" s="180">
        <f t="shared" si="21"/>
        <v>0</v>
      </c>
    </row>
    <row r="1015" spans="1:7">
      <c r="A1015">
        <v>1972000771</v>
      </c>
      <c r="B1015" t="s">
        <v>408</v>
      </c>
      <c r="C1015" s="169">
        <v>20830</v>
      </c>
      <c r="D1015" s="169">
        <v>50696.57</v>
      </c>
      <c r="E1015">
        <f>VLOOKUP(A:A,הוצאות!B:B,1,0)</f>
        <v>1972000771</v>
      </c>
      <c r="F1015" s="156">
        <f>VLOOKUP(A:A,הוצאות!B:O,14,0)</f>
        <v>50696.57</v>
      </c>
      <c r="G1015" s="180">
        <f t="shared" si="21"/>
        <v>0</v>
      </c>
    </row>
    <row r="1016" spans="1:7">
      <c r="A1016">
        <v>1973000760</v>
      </c>
      <c r="B1016" t="s">
        <v>409</v>
      </c>
      <c r="C1016" s="169">
        <v>229080</v>
      </c>
      <c r="D1016" s="169">
        <v>647164.03</v>
      </c>
      <c r="E1016">
        <f>VLOOKUP(A:A,הוצאות!B:B,1,0)</f>
        <v>1973000760</v>
      </c>
      <c r="F1016" s="156">
        <f>VLOOKUP(A:A,הוצאות!B:O,14,0)</f>
        <v>647164.03</v>
      </c>
      <c r="G1016" s="180">
        <f t="shared" si="21"/>
        <v>0</v>
      </c>
    </row>
    <row r="1017" spans="1:7" hidden="1">
      <c r="A1017">
        <v>1973000780</v>
      </c>
      <c r="B1017" t="s">
        <v>1874</v>
      </c>
      <c r="C1017" s="169">
        <v>0</v>
      </c>
      <c r="D1017" s="169">
        <v>0</v>
      </c>
      <c r="E1017" t="e">
        <f>VLOOKUP(A:A,הוצאות!B:B,1,0)</f>
        <v>#N/A</v>
      </c>
    </row>
    <row r="1018" spans="1:7" hidden="1">
      <c r="A1018">
        <v>1974000750</v>
      </c>
      <c r="B1018" t="s">
        <v>1875</v>
      </c>
      <c r="C1018" s="169">
        <v>0</v>
      </c>
      <c r="D1018" s="169">
        <v>0</v>
      </c>
      <c r="E1018" t="e">
        <f>VLOOKUP(A:A,הוצאות!B:B,1,0)</f>
        <v>#N/A</v>
      </c>
    </row>
    <row r="1019" spans="1:7" hidden="1">
      <c r="A1019">
        <v>1979000830</v>
      </c>
      <c r="B1019" t="s">
        <v>1876</v>
      </c>
      <c r="C1019" s="169">
        <v>0</v>
      </c>
      <c r="D1019" s="169">
        <v>0</v>
      </c>
      <c r="E1019" t="e">
        <f>VLOOKUP(A:A,הוצאות!B:B,1,0)</f>
        <v>#N/A</v>
      </c>
    </row>
    <row r="1020" spans="1:7" hidden="1">
      <c r="A1020">
        <v>1992000960</v>
      </c>
      <c r="B1020" t="s">
        <v>1877</v>
      </c>
      <c r="C1020" s="169">
        <v>0</v>
      </c>
      <c r="D1020" s="169">
        <v>0</v>
      </c>
      <c r="E1020" t="e">
        <f>VLOOKUP(A:A,הוצאות!B:B,1,0)</f>
        <v>#N/A</v>
      </c>
    </row>
    <row r="1021" spans="1:7" hidden="1">
      <c r="A1021">
        <v>1992100960</v>
      </c>
      <c r="B1021" t="s">
        <v>1878</v>
      </c>
      <c r="C1021" s="169">
        <v>0</v>
      </c>
      <c r="D1021" s="169">
        <v>0</v>
      </c>
      <c r="E1021" t="e">
        <f>VLOOKUP(A:A,הוצאות!B:B,1,0)</f>
        <v>#N/A</v>
      </c>
    </row>
    <row r="1022" spans="1:7">
      <c r="A1022">
        <v>1993000780</v>
      </c>
      <c r="B1022" t="s">
        <v>410</v>
      </c>
      <c r="C1022" s="169">
        <v>124950</v>
      </c>
      <c r="D1022" s="169">
        <v>70000</v>
      </c>
      <c r="E1022">
        <f>VLOOKUP(A:A,הוצאות!B:B,1,0)</f>
        <v>1993000780</v>
      </c>
      <c r="F1022" s="156">
        <f>VLOOKUP(A:A,הוצאות!B:O,14,0)</f>
        <v>70000</v>
      </c>
      <c r="G1022" s="180">
        <f>D1022-F1022</f>
        <v>0</v>
      </c>
    </row>
    <row r="1023" spans="1:7">
      <c r="A1023">
        <v>1995000860</v>
      </c>
      <c r="B1023" t="s">
        <v>411</v>
      </c>
      <c r="C1023" s="169">
        <v>3332000</v>
      </c>
      <c r="D1023" s="169">
        <v>3536485.83</v>
      </c>
      <c r="E1023">
        <f>VLOOKUP(A:A,הוצאות!B:B,1,0)</f>
        <v>1995000860</v>
      </c>
      <c r="F1023" s="156">
        <f>VLOOKUP(A:A,הוצאות!B:O,14,0)</f>
        <v>3536485.83</v>
      </c>
      <c r="G1023" s="180">
        <f>D1023-F1023</f>
        <v>0</v>
      </c>
    </row>
    <row r="1024" spans="1:7" hidden="1">
      <c r="A1024">
        <v>1996000990</v>
      </c>
      <c r="B1024" t="s">
        <v>1879</v>
      </c>
      <c r="C1024" s="169">
        <v>0</v>
      </c>
      <c r="D1024" s="169">
        <v>0</v>
      </c>
      <c r="E1024" t="e">
        <f>VLOOKUP(A:A,הוצאות!B:B,1,0)</f>
        <v>#N/A</v>
      </c>
    </row>
    <row r="1025" spans="1:7">
      <c r="A1025">
        <v>1999000110</v>
      </c>
      <c r="B1025" t="s">
        <v>412</v>
      </c>
      <c r="C1025" s="169">
        <v>0</v>
      </c>
      <c r="D1025" s="169">
        <v>12611.2</v>
      </c>
      <c r="E1025">
        <f>VLOOKUP(A:A,הוצאות!B:B,1,0)</f>
        <v>1999000110</v>
      </c>
      <c r="F1025" s="156">
        <f>VLOOKUP(A:A,הוצאות!B:O,14,0)</f>
        <v>0</v>
      </c>
      <c r="G1025" s="180">
        <f>D1025-F1025</f>
        <v>12611.2</v>
      </c>
    </row>
    <row r="1026" spans="1:7">
      <c r="A1026">
        <v>1999000310</v>
      </c>
      <c r="B1026" t="s">
        <v>413</v>
      </c>
      <c r="C1026" s="169">
        <v>459820</v>
      </c>
      <c r="D1026" s="169">
        <v>390328.2</v>
      </c>
      <c r="E1026">
        <f>VLOOKUP(A:A,הוצאות!B:B,1,0)</f>
        <v>1999000310</v>
      </c>
      <c r="F1026" s="156">
        <f>VLOOKUP(A:A,הוצאות!B:O,14,0)</f>
        <v>390328.2</v>
      </c>
      <c r="G1026" s="180">
        <f>D1026-F1026</f>
        <v>0</v>
      </c>
    </row>
    <row r="1027" spans="1:7" hidden="1">
      <c r="A1027">
        <v>1999000691</v>
      </c>
      <c r="B1027" t="s">
        <v>1880</v>
      </c>
      <c r="C1027" s="169">
        <v>0</v>
      </c>
      <c r="D1027" s="169">
        <v>0</v>
      </c>
      <c r="E1027" t="e">
        <f>VLOOKUP(A:A,הוצאות!B:B,1,0)</f>
        <v>#N/A</v>
      </c>
    </row>
    <row r="1028" spans="1:7" hidden="1">
      <c r="A1028">
        <v>1999000692</v>
      </c>
      <c r="B1028" t="s">
        <v>1881</v>
      </c>
      <c r="C1028" s="169">
        <v>0</v>
      </c>
      <c r="D1028" s="169">
        <v>0</v>
      </c>
      <c r="E1028" t="e">
        <f>VLOOKUP(A:A,הוצאות!B:B,1,0)</f>
        <v>#N/A</v>
      </c>
    </row>
    <row r="1029" spans="1:7" hidden="1">
      <c r="A1029">
        <v>1999000693</v>
      </c>
      <c r="B1029" t="s">
        <v>1882</v>
      </c>
      <c r="C1029" s="169">
        <v>0</v>
      </c>
      <c r="D1029" s="169">
        <v>0</v>
      </c>
      <c r="E1029" t="e">
        <f>VLOOKUP(A:A,הוצאות!B:B,1,0)</f>
        <v>#N/A</v>
      </c>
    </row>
    <row r="1030" spans="1:7">
      <c r="A1030">
        <v>1999000980</v>
      </c>
      <c r="B1030" t="s">
        <v>414</v>
      </c>
      <c r="C1030" s="169">
        <v>731710</v>
      </c>
      <c r="D1030" s="169">
        <v>-18318.2</v>
      </c>
      <c r="E1030">
        <f>VLOOKUP(A:A,הוצאות!B:B,1,0)</f>
        <v>1999000980</v>
      </c>
      <c r="F1030" s="156">
        <f>VLOOKUP(A:A,הוצאות!B:O,14,0)</f>
        <v>611665</v>
      </c>
      <c r="G1030" s="180">
        <f>D1030-F1030</f>
        <v>-629983.19999999995</v>
      </c>
    </row>
    <row r="1031" spans="1:7">
      <c r="A1031">
        <v>1999100980</v>
      </c>
      <c r="B1031" t="s">
        <v>415</v>
      </c>
      <c r="C1031" s="169">
        <v>0</v>
      </c>
      <c r="D1031" s="169">
        <v>0</v>
      </c>
      <c r="E1031">
        <f>VLOOKUP(A:A,הוצאות!B:B,1,0)</f>
        <v>1999100980</v>
      </c>
      <c r="F1031" s="156">
        <f>VLOOKUP(A:A,הוצאות!B:O,14,0)</f>
        <v>0</v>
      </c>
      <c r="G1031" s="180">
        <f>D1031-F1031</f>
        <v>0</v>
      </c>
    </row>
    <row r="1032" spans="1:7" hidden="1">
      <c r="A1032">
        <v>1999200980</v>
      </c>
      <c r="B1032" t="s">
        <v>1720</v>
      </c>
      <c r="C1032" s="169">
        <v>0</v>
      </c>
      <c r="D1032" s="169">
        <v>0</v>
      </c>
      <c r="E1032" t="e">
        <f>VLOOKUP(A:A,הוצאות!B:B,1,0)</f>
        <v>#N/A</v>
      </c>
    </row>
    <row r="1033" spans="1:7">
      <c r="A1033">
        <v>1999900980</v>
      </c>
      <c r="B1033" t="s">
        <v>1883</v>
      </c>
      <c r="C1033" s="169">
        <v>0</v>
      </c>
      <c r="D1033" s="169">
        <v>0</v>
      </c>
      <c r="E1033">
        <f>VLOOKUP(A:A,הוצאות!B:B,1,0)</f>
        <v>1999900980</v>
      </c>
      <c r="F1033" s="156">
        <f>VLOOKUP(A:A,הוצאות!B:O,14,0)</f>
        <v>0</v>
      </c>
      <c r="G1033" s="180">
        <f>D1033-F1033</f>
        <v>0</v>
      </c>
    </row>
    <row r="1034" spans="1:7">
      <c r="A1034" s="178">
        <v>1999900990</v>
      </c>
      <c r="B1034" s="178" t="s">
        <v>1884</v>
      </c>
      <c r="C1034" s="179">
        <v>1795210</v>
      </c>
      <c r="D1034" s="179">
        <v>0</v>
      </c>
      <c r="E1034" s="178">
        <f>VLOOKUP(A:A,הוצאות!B:B,1,0)</f>
        <v>1999900990</v>
      </c>
      <c r="F1034" s="156">
        <f>VLOOKUP(A:A,הוצאות!B:O,14,0)</f>
        <v>0</v>
      </c>
      <c r="G1034" s="180">
        <f>D1034-F1034</f>
        <v>0</v>
      </c>
    </row>
    <row r="1035" spans="1:7">
      <c r="D1035" s="169">
        <f>SUM(D291:D1034)</f>
        <v>65325400.130000018</v>
      </c>
    </row>
  </sheetData>
  <autoFilter ref="A290:E1035" xr:uid="{00000000-0009-0000-0000-00001A000000}">
    <filterColumn colId="4">
      <filters blank="1">
        <filter val="1611100110"/>
        <filter val="1611100511"/>
        <filter val="1611100514"/>
        <filter val="1611100521"/>
        <filter val="1611100522"/>
        <filter val="1611100523"/>
        <filter val="1611100530"/>
        <filter val="1611100531"/>
        <filter val="1611100532"/>
        <filter val="1611100533"/>
        <filter val="1611100540"/>
        <filter val="1611100560"/>
        <filter val="1611100750"/>
        <filter val="1611100751"/>
        <filter val="1611100760"/>
        <filter val="1611100780"/>
        <filter val="1611100930"/>
        <filter val="1611110110"/>
        <filter val="1612000523"/>
        <filter val="1612000550"/>
        <filter val="1612000930"/>
        <filter val="1613000110"/>
        <filter val="1613000320"/>
        <filter val="1613000431"/>
        <filter val="1613000511"/>
        <filter val="1613000522"/>
        <filter val="1613000523"/>
        <filter val="1613000540"/>
        <filter val="1613000550"/>
        <filter val="1613000560"/>
        <filter val="1613000710"/>
        <filter val="1613000720"/>
        <filter val="1613000740"/>
        <filter val="1613000750"/>
        <filter val="1613000780"/>
        <filter val="1613000810"/>
        <filter val="1613000830"/>
        <filter val="1613000970"/>
        <filter val="1613100110"/>
        <filter val="1615000110"/>
        <filter val="1615000760"/>
        <filter val="1615100110"/>
        <filter val="1615200110"/>
        <filter val="1616000521"/>
        <filter val="1616100521"/>
        <filter val="1617000581"/>
        <filter val="1617000582"/>
        <filter val="1617000750"/>
        <filter val="1617000751"/>
        <filter val="1619000780"/>
        <filter val="1619999399"/>
        <filter val="1621200110"/>
        <filter val="1621300110"/>
        <filter val="1621300521"/>
        <filter val="1621300523"/>
        <filter val="1621300540"/>
        <filter val="1621300550"/>
        <filter val="1621300560"/>
        <filter val="1621300570"/>
        <filter val="1621300571"/>
        <filter val="1621300750"/>
        <filter val="1621300751"/>
        <filter val="1621300752"/>
        <filter val="1621300780"/>
        <filter val="1621300930"/>
        <filter val="1623000110"/>
        <filter val="1623000320"/>
        <filter val="1623000540"/>
        <filter val="1623000550"/>
        <filter val="1623000560"/>
        <filter val="1623000570"/>
        <filter val="1623000582"/>
        <filter val="1623000750"/>
        <filter val="1623000751"/>
        <filter val="1623000780"/>
        <filter val="1623000930"/>
        <filter val="1629999399"/>
        <filter val="1631000610"/>
        <filter val="1632000620"/>
        <filter val="1632000640"/>
        <filter val="1632000650"/>
        <filter val="1632000660"/>
        <filter val="1640000690"/>
        <filter val="1648000691"/>
        <filter val="1648000692"/>
        <filter val="1648000693"/>
        <filter val="1649100691"/>
        <filter val="1649100692"/>
        <filter val="1649100693"/>
        <filter val="1649200691"/>
        <filter val="1649200692"/>
        <filter val="1649200693"/>
        <filter val="1712200540"/>
        <filter val="1712200740"/>
        <filter val="1712200750"/>
        <filter val="1712200751"/>
        <filter val="1712200780"/>
        <filter val="1712300740"/>
        <filter val="1712300750"/>
        <filter val="1712300751"/>
        <filter val="1712300930"/>
        <filter val="1713000110"/>
        <filter val="1714100830"/>
        <filter val="1715300720"/>
        <filter val="1715300740"/>
        <filter val="1715300750"/>
        <filter val="1715300930"/>
        <filter val="1719999399"/>
        <filter val="1722000110"/>
        <filter val="1722000730"/>
        <filter val="1722000731"/>
        <filter val="1722000732"/>
        <filter val="1722000733"/>
        <filter val="1722000780"/>
        <filter val="1722002110"/>
        <filter val="1722002780"/>
        <filter val="1723000750"/>
        <filter val="1723000810"/>
        <filter val="1723000811"/>
        <filter val="1723000930"/>
        <filter val="1724000760"/>
        <filter val="1724000830"/>
        <filter val="1725000110"/>
        <filter val="1725000750"/>
        <filter val="1726100750"/>
        <filter val="1726100780"/>
        <filter val="1729999399"/>
        <filter val="1731000110"/>
        <filter val="1731000440"/>
        <filter val="1731000523"/>
        <filter val="1731000540"/>
        <filter val="1731000560"/>
        <filter val="1731000780"/>
        <filter val="1731000930"/>
        <filter val="1732100750"/>
        <filter val="1732100950"/>
        <filter val="1733400750"/>
        <filter val="1739999399"/>
        <filter val="1741000110"/>
        <filter val="1741000320"/>
        <filter val="1741000540"/>
        <filter val="1741000720"/>
        <filter val="1741000731"/>
        <filter val="1741000732"/>
        <filter val="1741000733"/>
        <filter val="1741000740"/>
        <filter val="1741000750"/>
        <filter val="1743000750"/>
        <filter val="1743000771"/>
        <filter val="1744000750"/>
        <filter val="1744000780"/>
        <filter val="1745000750"/>
        <filter val="1745000830"/>
        <filter val="1747200110"/>
        <filter val="1747200320"/>
        <filter val="1747200431"/>
        <filter val="1747200432"/>
        <filter val="1747200433"/>
        <filter val="1747200440"/>
        <filter val="1747200540"/>
        <filter val="1747200720"/>
        <filter val="1747200730"/>
        <filter val="1747200740"/>
        <filter val="1747200750"/>
        <filter val="1747200780"/>
        <filter val="1747200930"/>
        <filter val="1747210440"/>
        <filter val="1748000432"/>
        <filter val="1752000780"/>
        <filter val="1766000870"/>
        <filter val="1767000441"/>
        <filter val="1767000442"/>
        <filter val="1769500540"/>
        <filter val="1769500560"/>
        <filter val="1769500720"/>
        <filter val="1769500750"/>
        <filter val="1769500780"/>
        <filter val="1811000110"/>
        <filter val="1811000320"/>
        <filter val="1811000521"/>
        <filter val="1811000522"/>
        <filter val="1811000523"/>
        <filter val="1811000540"/>
        <filter val="1811000550"/>
        <filter val="1811000560"/>
        <filter val="1811000570"/>
        <filter val="1811000750"/>
        <filter val="1811000780"/>
        <filter val="1811000910"/>
        <filter val="1811000930"/>
        <filter val="1811000960"/>
        <filter val="1811010930"/>
        <filter val="1811020750"/>
        <filter val="1812200110"/>
        <filter val="1812200420"/>
        <filter val="1812200431"/>
        <filter val="1812200432"/>
        <filter val="1812200433"/>
        <filter val="1812200720"/>
        <filter val="1812200740"/>
        <filter val="1812200750"/>
        <filter val="1812200751"/>
        <filter val="1812200760"/>
        <filter val="1812200780"/>
        <filter val="1812200810"/>
        <filter val="1812200840"/>
        <filter val="1812200930"/>
        <filter val="1812300110"/>
        <filter val="1812300320"/>
        <filter val="1812300410"/>
        <filter val="1812300411"/>
        <filter val="1812300420"/>
        <filter val="1812300431"/>
        <filter val="1812300432"/>
        <filter val="1812300433"/>
        <filter val="1812300521"/>
        <filter val="1812300540"/>
        <filter val="1812300560"/>
        <filter val="1812300720"/>
        <filter val="1812300740"/>
        <filter val="1812300750"/>
        <filter val="1812300760"/>
        <filter val="1812300780"/>
        <filter val="1812300930"/>
        <filter val="1812310110"/>
        <filter val="1812310540"/>
        <filter val="1812310930"/>
        <filter val="1812400110"/>
        <filter val="1812400710"/>
        <filter val="1812400720"/>
        <filter val="1812500110"/>
        <filter val="1812500410"/>
        <filter val="1812500420"/>
        <filter val="1812500431"/>
        <filter val="1812500432"/>
        <filter val="1812500930"/>
        <filter val="1813200110"/>
        <filter val="1813200750"/>
        <filter val="1813200760"/>
        <filter val="1813200780"/>
        <filter val="1813201750"/>
        <filter val="1813210110"/>
        <filter val="1813210420"/>
        <filter val="1813210431"/>
        <filter val="1813210432"/>
        <filter val="1813210433"/>
        <filter val="1813210434"/>
        <filter val="1813210540"/>
        <filter val="1813210560"/>
        <filter val="1813210720"/>
        <filter val="1813210740"/>
        <filter val="1813210750"/>
        <filter val="1813210780"/>
        <filter val="1813210870"/>
        <filter val="1813210871"/>
        <filter val="1813210930"/>
        <filter val="1813220110"/>
        <filter val="1813220320"/>
        <filter val="1813220420"/>
        <filter val="1813220431"/>
        <filter val="1813220432"/>
        <filter val="1813220433"/>
        <filter val="1813220434"/>
        <filter val="1813220540"/>
        <filter val="1813220560"/>
        <filter val="1813220720"/>
        <filter val="1813220750"/>
        <filter val="1813220780"/>
        <filter val="1813220870"/>
        <filter val="1813220871"/>
        <filter val="1813220930"/>
        <filter val="1813230110"/>
        <filter val="1813230320"/>
        <filter val="1813230420"/>
        <filter val="1813230431"/>
        <filter val="1813230432"/>
        <filter val="1813230433"/>
        <filter val="1813230434"/>
        <filter val="1813230540"/>
        <filter val="1813230560"/>
        <filter val="1813230720"/>
        <filter val="1813230740"/>
        <filter val="1813230750"/>
        <filter val="1813230780"/>
        <filter val="1813230870"/>
        <filter val="1813230871"/>
        <filter val="1813230930"/>
        <filter val="1813240110"/>
        <filter val="1813240431"/>
        <filter val="1813240432"/>
        <filter val="1813240540"/>
        <filter val="1813240750"/>
        <filter val="1813240870"/>
        <filter val="1813250110"/>
        <filter val="1813250710"/>
        <filter val="1813250750"/>
        <filter val="1813300110"/>
        <filter val="1813300320"/>
        <filter val="1813300540"/>
        <filter val="1813300560"/>
        <filter val="1813300720"/>
        <filter val="1813300721"/>
        <filter val="1813300740"/>
        <filter val="1813300750"/>
        <filter val="1813300780"/>
        <filter val="1813300781"/>
        <filter val="1813300870"/>
        <filter val="1813300930"/>
        <filter val="1813303760"/>
        <filter val="1814000110"/>
        <filter val="1814000320"/>
        <filter val="1814000420"/>
        <filter val="1814000431"/>
        <filter val="1814000432"/>
        <filter val="1814000433"/>
        <filter val="1814000434"/>
        <filter val="1814000540"/>
        <filter val="1814000560"/>
        <filter val="1814000720"/>
        <filter val="1814000740"/>
        <filter val="1814000750"/>
        <filter val="1814000780"/>
        <filter val="1814000870"/>
        <filter val="1814000930"/>
        <filter val="1815200110"/>
        <filter val="1815200320"/>
        <filter val="1815200420"/>
        <filter val="1815200431"/>
        <filter val="1815200432"/>
        <filter val="1815200433"/>
        <filter val="1815200434"/>
        <filter val="1815200450"/>
        <filter val="1815200540"/>
        <filter val="1815200560"/>
        <filter val="1815200720"/>
        <filter val="1815200740"/>
        <filter val="1815200750"/>
        <filter val="1815200760"/>
        <filter val="1815200780"/>
        <filter val="1815200870"/>
        <filter val="1817300110"/>
        <filter val="1817300320"/>
        <filter val="1817300521"/>
        <filter val="1817300930"/>
        <filter val="1817301750"/>
        <filter val="1817400320"/>
        <filter val="1817400930"/>
        <filter val="1817401720"/>
        <filter val="1817500441"/>
        <filter val="1817600780"/>
        <filter val="1817600930"/>
        <filter val="1817610110"/>
        <filter val="1817610870"/>
        <filter val="1817620780"/>
        <filter val="1817630110"/>
        <filter val="1817630780"/>
        <filter val="1817700110"/>
        <filter val="1817700431"/>
        <filter val="1817700432"/>
        <filter val="1817700780"/>
        <filter val="1817710110"/>
        <filter val="1817710720"/>
        <filter val="1817710780"/>
        <filter val="1817720720"/>
        <filter val="1817800110"/>
        <filter val="1817800320"/>
        <filter val="1817800710"/>
        <filter val="1817900110"/>
        <filter val="1817900320"/>
        <filter val="1817910110"/>
        <filter val="1817910320"/>
        <filter val="1817910710"/>
        <filter val="1817910780"/>
        <filter val="1817910810"/>
        <filter val="1817911110"/>
        <filter val="1817911750"/>
        <filter val="1817912750"/>
        <filter val="1817913110"/>
        <filter val="1817913750"/>
        <filter val="1824000110"/>
        <filter val="1824000431"/>
        <filter val="1824000432"/>
        <filter val="1824010870"/>
        <filter val="1824020870"/>
        <filter val="1824030110"/>
        <filter val="1824030870"/>
        <filter val="1824050870"/>
        <filter val="1824060870"/>
        <filter val="1828100110"/>
        <filter val="1828300110"/>
        <filter val="1828300320"/>
        <filter val="1828300760"/>
        <filter val="1828300780"/>
        <filter val="1828400110"/>
        <filter val="1828400750"/>
        <filter val="1828400780"/>
        <filter val="1829000431"/>
        <filter val="1829100110"/>
        <filter val="1829200110"/>
        <filter val="1829200431"/>
        <filter val="1829200432"/>
        <filter val="1829200540"/>
        <filter val="1829200720"/>
        <filter val="1829200740"/>
        <filter val="1829200750"/>
        <filter val="1829200780"/>
        <filter val="1829200781"/>
        <filter val="1829200930"/>
        <filter val="1829201780"/>
        <filter val="1829201781"/>
        <filter val="1829202780"/>
        <filter val="1829210110"/>
        <filter val="1829300750"/>
        <filter val="1829999399"/>
        <filter val="1832000431"/>
        <filter val="1832300110"/>
        <filter val="1832300431"/>
        <filter val="1832300441"/>
        <filter val="1832300540"/>
        <filter val="1832300780"/>
        <filter val="1832400110"/>
        <filter val="1832400320"/>
        <filter val="1832400431"/>
        <filter val="1832400432"/>
        <filter val="1832400750"/>
        <filter val="1832400780"/>
        <filter val="1836100830"/>
        <filter val="1838020840"/>
        <filter val="1839999399"/>
        <filter val="1841000420"/>
        <filter val="1841000431"/>
        <filter val="1841000523"/>
        <filter val="1841000780"/>
        <filter val="1841001110"/>
        <filter val="1841001320"/>
        <filter val="1841002840"/>
        <filter val="1841003410"/>
        <filter val="1841003420"/>
        <filter val="1841003431"/>
        <filter val="1841003540"/>
        <filter val="1841003560"/>
        <filter val="1841003570"/>
        <filter val="1841003720"/>
        <filter val="1841003750"/>
        <filter val="1841003780"/>
        <filter val="1841003930"/>
        <filter val="1842202840"/>
        <filter val="1842203780"/>
        <filter val="1842203840"/>
        <filter val="1842204710"/>
        <filter val="1842204840"/>
        <filter val="1842205710"/>
        <filter val="1842205780"/>
        <filter val="1842205840"/>
        <filter val="1842206840"/>
        <filter val="1842401840"/>
        <filter val="1842402840"/>
        <filter val="1843501110"/>
        <filter val="1843501840"/>
        <filter val="1843502840"/>
        <filter val="1843503750"/>
        <filter val="1843503840"/>
        <filter val="1843504720"/>
        <filter val="1843504721"/>
        <filter val="1843504750"/>
        <filter val="1843504780"/>
        <filter val="1843801840"/>
        <filter val="1843900840"/>
        <filter val="1843901521"/>
        <filter val="1843901750"/>
        <filter val="1843901840"/>
        <filter val="1843901930"/>
        <filter val="1844300840"/>
        <filter val="1844401110"/>
        <filter val="1844401320"/>
        <filter val="1844401431"/>
        <filter val="1844401432"/>
        <filter val="1844401433"/>
        <filter val="1844401540"/>
        <filter val="1844401750"/>
        <filter val="1844402840"/>
        <filter val="1844403840"/>
        <filter val="1844500110"/>
        <filter val="1844500840"/>
        <filter val="1845100840"/>
        <filter val="1845101840"/>
        <filter val="1845102840"/>
        <filter val="1845103840"/>
        <filter val="1845104840"/>
        <filter val="1845200840"/>
        <filter val="1845201110"/>
        <filter val="1845201840"/>
        <filter val="1845202840"/>
        <filter val="1845203840"/>
        <filter val="1845204840"/>
        <filter val="1845205840"/>
        <filter val="1845301840"/>
        <filter val="1845302840"/>
        <filter val="1845303840"/>
        <filter val="1845304840"/>
        <filter val="1845800840"/>
        <filter val="1846301840"/>
        <filter val="1846302840"/>
        <filter val="1846401840"/>
        <filter val="1846402840"/>
        <filter val="1846500840"/>
        <filter val="1846501840"/>
        <filter val="1846601840"/>
        <filter val="1846602840"/>
        <filter val="1846603840"/>
        <filter val="1846701840"/>
        <filter val="1846702840"/>
        <filter val="1846703840"/>
        <filter val="1846704840"/>
        <filter val="1846801840"/>
        <filter val="1847101710"/>
        <filter val="1847101780"/>
        <filter val="1847101840"/>
        <filter val="1847103840"/>
        <filter val="1847104840"/>
        <filter val="1847201840"/>
        <filter val="1847202840"/>
        <filter val="1847301840"/>
        <filter val="1847302840"/>
        <filter val="1847400840"/>
        <filter val="1847500840"/>
        <filter val="1848501780"/>
        <filter val="1848502840"/>
        <filter val="1848502850"/>
        <filter val="1853000432"/>
        <filter val="1853000750"/>
        <filter val="1853000780"/>
        <filter val="1879000830"/>
        <filter val="1911000110"/>
        <filter val="1911000540"/>
        <filter val="1913000720"/>
        <filter val="1913000740"/>
        <filter val="1913000750"/>
        <filter val="1913000780"/>
        <filter val="1913100772"/>
        <filter val="1938000420"/>
        <filter val="1938000432"/>
        <filter val="1938000511"/>
        <filter val="1938000540"/>
        <filter val="1938000560"/>
        <filter val="1938000750"/>
        <filter val="1938000930"/>
        <filter val="1972000691"/>
        <filter val="1972000692"/>
        <filter val="1972000693"/>
        <filter val="1972000720"/>
        <filter val="1972000750"/>
        <filter val="1972000751"/>
        <filter val="1972000771"/>
        <filter val="1973000760"/>
        <filter val="1993000780"/>
        <filter val="1995000860"/>
        <filter val="1999000110"/>
        <filter val="1999000310"/>
        <filter val="1999000980"/>
        <filter val="1999100980"/>
        <filter val="1999900980"/>
        <filter val="1999900990"/>
      </filters>
    </filterColumn>
  </autoFilter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C811"/>
  <sheetViews>
    <sheetView rightToLeft="1" topLeftCell="A773" workbookViewId="0">
      <selection activeCell="N30" sqref="N30"/>
    </sheetView>
  </sheetViews>
  <sheetFormatPr defaultRowHeight="14.25"/>
  <cols>
    <col min="1" max="1" width="11" style="3" customWidth="1"/>
    <col min="2" max="2" width="27.875" bestFit="1" customWidth="1"/>
    <col min="3" max="3" width="10.875" bestFit="1" customWidth="1"/>
  </cols>
  <sheetData>
    <row r="1" spans="1:3" ht="15.75">
      <c r="A1" s="97" t="s">
        <v>0</v>
      </c>
      <c r="B1" s="49" t="s">
        <v>1</v>
      </c>
    </row>
    <row r="2" spans="1:3" ht="15.75">
      <c r="A2" s="50">
        <v>1111000100</v>
      </c>
      <c r="B2" s="51" t="s">
        <v>426</v>
      </c>
      <c r="C2">
        <f>VLOOKUP(A:A,'דוח כספי 1-10.17'!A:A,1,0)</f>
        <v>1111000100</v>
      </c>
    </row>
    <row r="3" spans="1:3" ht="15.75">
      <c r="A3" s="50">
        <v>1111200100</v>
      </c>
      <c r="B3" s="51" t="s">
        <v>427</v>
      </c>
      <c r="C3">
        <f>VLOOKUP(A:A,'דוח כספי 1-10.17'!A:A,1,0)</f>
        <v>1111200100</v>
      </c>
    </row>
    <row r="4" spans="1:3" ht="15.75">
      <c r="A4" s="50">
        <v>1116000100</v>
      </c>
      <c r="B4" s="51" t="s">
        <v>428</v>
      </c>
      <c r="C4">
        <f>VLOOKUP(A:A,'דוח כספי 1-10.17'!A:A,1,0)</f>
        <v>1116000100</v>
      </c>
    </row>
    <row r="5" spans="1:3" ht="15.75">
      <c r="A5" s="50">
        <v>1111000102</v>
      </c>
      <c r="B5" s="106" t="s">
        <v>1668</v>
      </c>
      <c r="C5">
        <f>VLOOKUP(A:A,'דוח כספי 1-10.17'!A:A,1,0)</f>
        <v>1111000102</v>
      </c>
    </row>
    <row r="6" spans="1:3" ht="15.75">
      <c r="A6" s="50">
        <v>1111000110</v>
      </c>
      <c r="B6" s="106" t="s">
        <v>1670</v>
      </c>
      <c r="C6">
        <f>VLOOKUP(A:A,'דוח כספי 1-10.17'!A:A,1,0)</f>
        <v>1111000110</v>
      </c>
    </row>
    <row r="7" spans="1:3" ht="15.75">
      <c r="A7" s="50">
        <v>1111000114</v>
      </c>
      <c r="B7" s="106" t="s">
        <v>1671</v>
      </c>
      <c r="C7">
        <f>VLOOKUP(A:A,'דוח כספי 1-10.17'!A:A,1,0)</f>
        <v>1111000114</v>
      </c>
    </row>
    <row r="8" spans="1:3" ht="15.75">
      <c r="A8" s="50">
        <v>1111000500</v>
      </c>
      <c r="B8" s="106" t="s">
        <v>1677</v>
      </c>
      <c r="C8">
        <f>VLOOKUP(A:A,'דוח כספי 1-10.17'!A:A,1,0)</f>
        <v>1111000500</v>
      </c>
    </row>
    <row r="9" spans="1:3" ht="15.75">
      <c r="A9" s="50">
        <v>1111000700</v>
      </c>
      <c r="B9" s="106" t="s">
        <v>1679</v>
      </c>
      <c r="C9">
        <f>VLOOKUP(A:A,'דוח כספי 1-10.17'!A:A,1,0)</f>
        <v>1111000700</v>
      </c>
    </row>
    <row r="10" spans="1:3" ht="15.75">
      <c r="A10" s="50">
        <v>1121000290</v>
      </c>
      <c r="B10" s="51" t="s">
        <v>429</v>
      </c>
      <c r="C10">
        <f>VLOOKUP(A:A,'דוח כספי 1-10.17'!A:A,1,0)</f>
        <v>1121000290</v>
      </c>
    </row>
    <row r="11" spans="1:3" ht="15.75">
      <c r="A11" s="50">
        <v>1121000291</v>
      </c>
      <c r="B11" s="51" t="s">
        <v>430</v>
      </c>
      <c r="C11">
        <f>VLOOKUP(A:A,'דוח כספי 1-10.17'!A:A,1,0)</f>
        <v>1121000291</v>
      </c>
    </row>
    <row r="12" spans="1:3" ht="15.75">
      <c r="A12" s="50">
        <v>1191000910</v>
      </c>
      <c r="B12" s="51" t="s">
        <v>431</v>
      </c>
      <c r="C12">
        <f>VLOOKUP(A:A,'דוח כספי 1-10.17'!A:A,1,0)</f>
        <v>1191000910</v>
      </c>
    </row>
    <row r="13" spans="1:3" ht="15.75">
      <c r="A13" s="50">
        <v>1192000910</v>
      </c>
      <c r="B13" s="51" t="s">
        <v>432</v>
      </c>
      <c r="C13">
        <f>VLOOKUP(A:A,'דוח כספי 1-10.17'!A:A,1,0)</f>
        <v>1192000910</v>
      </c>
    </row>
    <row r="14" spans="1:3" ht="15.75">
      <c r="A14" s="50">
        <v>1192010910</v>
      </c>
      <c r="B14" s="51" t="s">
        <v>433</v>
      </c>
      <c r="C14">
        <f>VLOOKUP(A:A,'דוח כספי 1-10.17'!A:A,1,0)</f>
        <v>1192010910</v>
      </c>
    </row>
    <row r="15" spans="1:3" ht="15.75">
      <c r="A15" s="50">
        <v>1196000910</v>
      </c>
      <c r="B15" s="51" t="s">
        <v>434</v>
      </c>
      <c r="C15">
        <f>VLOOKUP(A:A,'דוח כספי 1-10.17'!A:A,1,0)</f>
        <v>1196000910</v>
      </c>
    </row>
    <row r="16" spans="1:3" ht="15.75">
      <c r="A16" s="50">
        <v>1197000910</v>
      </c>
      <c r="B16" s="51" t="s">
        <v>435</v>
      </c>
      <c r="C16">
        <f>VLOOKUP(A:A,'דוח כספי 1-10.17'!A:A,1,0)</f>
        <v>1197000910</v>
      </c>
    </row>
    <row r="17" spans="1:3" ht="15.75">
      <c r="A17" s="50">
        <v>1212300220</v>
      </c>
      <c r="B17" s="51" t="s">
        <v>436</v>
      </c>
      <c r="C17">
        <f>VLOOKUP(A:A,'דוח כספי 1-10.17'!A:A,1,0)</f>
        <v>1212300220</v>
      </c>
    </row>
    <row r="18" spans="1:3" ht="15.75">
      <c r="A18" s="50">
        <v>1215300990</v>
      </c>
      <c r="B18" s="51" t="s">
        <v>437</v>
      </c>
      <c r="C18">
        <f>VLOOKUP(A:A,'דוח כספי 1-10.17'!A:A,1,0)</f>
        <v>1215300990</v>
      </c>
    </row>
    <row r="19" spans="1:3" ht="15.75">
      <c r="A19" s="50">
        <v>1224000970</v>
      </c>
      <c r="B19" s="51" t="s">
        <v>92</v>
      </c>
      <c r="C19">
        <f>VLOOKUP(A:A,'דוח כספי 1-10.17'!A:A,1,0)</f>
        <v>1224000970</v>
      </c>
    </row>
    <row r="20" spans="1:3" ht="15.75">
      <c r="A20" s="50">
        <v>1232100420</v>
      </c>
      <c r="B20" s="51" t="s">
        <v>438</v>
      </c>
      <c r="C20">
        <f>VLOOKUP(A:A,'דוח כספי 1-10.17'!A:A,1,0)</f>
        <v>1232100420</v>
      </c>
    </row>
    <row r="21" spans="1:3" ht="15.75">
      <c r="A21" s="50">
        <v>1233100220</v>
      </c>
      <c r="B21" s="51" t="s">
        <v>439</v>
      </c>
      <c r="C21">
        <f>VLOOKUP(A:A,'דוח כספי 1-10.17'!A:A,1,0)</f>
        <v>1233100220</v>
      </c>
    </row>
    <row r="22" spans="1:3" ht="15.75">
      <c r="A22" s="50">
        <v>1233100710</v>
      </c>
      <c r="B22" s="51" t="s">
        <v>440</v>
      </c>
      <c r="C22">
        <f>VLOOKUP(A:A,'דוח כספי 1-10.17'!A:A,1,0)</f>
        <v>1233100710</v>
      </c>
    </row>
    <row r="23" spans="1:3" ht="15.75">
      <c r="A23" s="50">
        <v>1233400290</v>
      </c>
      <c r="B23" s="51" t="s">
        <v>441</v>
      </c>
      <c r="C23">
        <f>VLOOKUP(A:A,'דוח כספי 1-10.17'!A:A,1,0)</f>
        <v>1233400290</v>
      </c>
    </row>
    <row r="24" spans="1:3" ht="15.75">
      <c r="A24" s="50">
        <v>1233400710</v>
      </c>
      <c r="B24" s="51" t="s">
        <v>442</v>
      </c>
      <c r="C24">
        <f>VLOOKUP(A:A,'דוח כספי 1-10.17'!A:A,1,0)</f>
        <v>1233400710</v>
      </c>
    </row>
    <row r="25" spans="1:3" ht="15.75">
      <c r="A25" s="50">
        <v>1233400790</v>
      </c>
      <c r="B25" s="51" t="s">
        <v>443</v>
      </c>
      <c r="C25">
        <f>VLOOKUP(A:A,'דוח כספי 1-10.17'!A:A,1,0)</f>
        <v>1233400790</v>
      </c>
    </row>
    <row r="26" spans="1:3" ht="15.75">
      <c r="A26" s="50">
        <v>1233410290</v>
      </c>
      <c r="B26" s="51" t="s">
        <v>444</v>
      </c>
      <c r="C26">
        <f>VLOOKUP(A:A,'דוח כספי 1-10.17'!A:A,1,0)</f>
        <v>1233410290</v>
      </c>
    </row>
    <row r="27" spans="1:3" ht="15.75">
      <c r="A27" s="50">
        <v>1242200810</v>
      </c>
      <c r="B27" s="51" t="s">
        <v>445</v>
      </c>
      <c r="C27">
        <f>VLOOKUP(A:A,'דוח כספי 1-10.17'!A:A,1,0)</f>
        <v>1242200810</v>
      </c>
    </row>
    <row r="28" spans="1:3" ht="15.75">
      <c r="A28" s="50">
        <v>1244000990</v>
      </c>
      <c r="B28" s="51" t="s">
        <v>94</v>
      </c>
      <c r="C28">
        <f>VLOOKUP(A:A,'דוח כספי 1-10.17'!A:A,1,0)</f>
        <v>1244000990</v>
      </c>
    </row>
    <row r="29" spans="1:3" ht="15.75">
      <c r="A29" s="50">
        <v>1269000690</v>
      </c>
      <c r="B29" s="51" t="s">
        <v>446</v>
      </c>
      <c r="C29">
        <f>VLOOKUP(A:A,'דוח כספי 1-10.17'!A:A,1,0)</f>
        <v>1269000690</v>
      </c>
    </row>
    <row r="30" spans="1:3" ht="15.75">
      <c r="A30" s="50">
        <v>1269000692</v>
      </c>
      <c r="B30" s="51" t="s">
        <v>1683</v>
      </c>
      <c r="C30">
        <f>VLOOKUP(A:A,'דוח כספי 1-10.17'!A:A,1,0)</f>
        <v>1269000692</v>
      </c>
    </row>
    <row r="31" spans="1:3" ht="15.75">
      <c r="A31" s="50">
        <v>1269000694</v>
      </c>
      <c r="B31" s="51" t="s">
        <v>1684</v>
      </c>
      <c r="C31">
        <f>VLOOKUP(A:A,'דוח כספי 1-10.17'!A:A,1,0)</f>
        <v>1269000694</v>
      </c>
    </row>
    <row r="32" spans="1:3" ht="15.75">
      <c r="A32" s="50">
        <v>1269000691</v>
      </c>
      <c r="B32" s="51" t="s">
        <v>447</v>
      </c>
      <c r="C32">
        <f>VLOOKUP(A:A,'דוח כספי 1-10.17'!A:A,1,0)</f>
        <v>1269000691</v>
      </c>
    </row>
    <row r="33" spans="1:3" ht="15.75">
      <c r="A33" s="50">
        <v>1311000740</v>
      </c>
      <c r="B33" s="51" t="s">
        <v>448</v>
      </c>
      <c r="C33">
        <f>VLOOKUP(A:A,'דוח כספי 1-10.17'!A:A,1,0)</f>
        <v>1311000740</v>
      </c>
    </row>
    <row r="34" spans="1:3" ht="15.75">
      <c r="A34" s="50">
        <v>1311000920</v>
      </c>
      <c r="B34" s="51" t="s">
        <v>449</v>
      </c>
      <c r="C34">
        <f>VLOOKUP(A:A,'דוח כספי 1-10.17'!A:A,1,0)</f>
        <v>1311000920</v>
      </c>
    </row>
    <row r="35" spans="1:3" ht="15.75">
      <c r="A35" s="50">
        <v>1311020920</v>
      </c>
      <c r="B35" s="51" t="s">
        <v>139</v>
      </c>
      <c r="C35">
        <f>VLOOKUP(A:A,'דוח כספי 1-10.17'!A:A,1,0)</f>
        <v>1311020920</v>
      </c>
    </row>
    <row r="36" spans="1:3" ht="15.75">
      <c r="A36" s="50">
        <v>1312000920</v>
      </c>
      <c r="B36" s="51" t="s">
        <v>450</v>
      </c>
      <c r="C36">
        <f>VLOOKUP(A:A,'דוח כספי 1-10.17'!A:A,1,0)</f>
        <v>1312000920</v>
      </c>
    </row>
    <row r="37" spans="1:3" ht="15.75">
      <c r="A37" s="50">
        <v>1312200410</v>
      </c>
      <c r="B37" s="51" t="s">
        <v>142</v>
      </c>
      <c r="C37">
        <f>VLOOKUP(A:A,'דוח כספי 1-10.17'!A:A,1,0)</f>
        <v>1312200410</v>
      </c>
    </row>
    <row r="38" spans="1:3" ht="15.75">
      <c r="A38" s="50">
        <v>1312200920</v>
      </c>
      <c r="B38" s="51" t="s">
        <v>451</v>
      </c>
      <c r="C38">
        <f>VLOOKUP(A:A,'דוח כספי 1-10.17'!A:A,1,0)</f>
        <v>1312200920</v>
      </c>
    </row>
    <row r="39" spans="1:3" ht="15.75">
      <c r="A39" s="50">
        <v>1312202920</v>
      </c>
      <c r="B39" s="51" t="s">
        <v>1648</v>
      </c>
      <c r="C39">
        <f>VLOOKUP(A:A,'דוח כספי 1-10.17'!A:A,1,0)</f>
        <v>1312202920</v>
      </c>
    </row>
    <row r="40" spans="1:3" ht="15.75">
      <c r="A40" s="50">
        <v>1312201920</v>
      </c>
      <c r="B40" s="51" t="s">
        <v>452</v>
      </c>
      <c r="C40">
        <f>VLOOKUP(A:A,'דוח כספי 1-10.17'!A:A,1,0)</f>
        <v>1312201920</v>
      </c>
    </row>
    <row r="41" spans="1:3" ht="15.75">
      <c r="A41" s="50">
        <v>1312300410</v>
      </c>
      <c r="B41" s="51" t="s">
        <v>453</v>
      </c>
      <c r="C41">
        <f>VLOOKUP(A:A,'דוח כספי 1-10.17'!A:A,1,0)</f>
        <v>1312300410</v>
      </c>
    </row>
    <row r="42" spans="1:3" ht="15.75">
      <c r="A42" s="50">
        <v>1312300920</v>
      </c>
      <c r="B42" s="51" t="s">
        <v>454</v>
      </c>
      <c r="C42">
        <f>VLOOKUP(A:A,'דוח כספי 1-10.17'!A:A,1,0)</f>
        <v>1312300920</v>
      </c>
    </row>
    <row r="43" spans="1:3" ht="15.75">
      <c r="A43" s="50">
        <v>1312300923</v>
      </c>
      <c r="B43" s="51" t="s">
        <v>455</v>
      </c>
      <c r="C43">
        <f>VLOOKUP(A:A,'דוח כספי 1-10.17'!A:A,1,0)</f>
        <v>1312300923</v>
      </c>
    </row>
    <row r="44" spans="1:3" ht="15.75">
      <c r="A44" s="50">
        <v>1312300929</v>
      </c>
      <c r="B44" s="51" t="s">
        <v>456</v>
      </c>
      <c r="C44">
        <f>VLOOKUP(A:A,'דוח כספי 1-10.17'!A:A,1,0)</f>
        <v>1312300929</v>
      </c>
    </row>
    <row r="45" spans="1:3" ht="15.75">
      <c r="A45" s="50">
        <v>1312310920</v>
      </c>
      <c r="B45" s="51" t="s">
        <v>1628</v>
      </c>
      <c r="C45">
        <f>VLOOKUP(A:A,'דוח כספי 1-10.17'!A:A,1,0)</f>
        <v>1312310920</v>
      </c>
    </row>
    <row r="46" spans="1:3" ht="15.75">
      <c r="A46" s="50">
        <v>1313200410</v>
      </c>
      <c r="B46" s="51" t="s">
        <v>457</v>
      </c>
      <c r="C46">
        <f>VLOOKUP(A:A,'דוח כספי 1-10.17'!A:A,1,0)</f>
        <v>1313200410</v>
      </c>
    </row>
    <row r="47" spans="1:3" ht="15.75">
      <c r="A47" s="50">
        <v>1313200920</v>
      </c>
      <c r="B47" s="51" t="s">
        <v>1654</v>
      </c>
      <c r="C47">
        <f>VLOOKUP(A:A,'דוח כספי 1-10.17'!A:A,1,0)</f>
        <v>1313200920</v>
      </c>
    </row>
    <row r="48" spans="1:3" ht="15.75">
      <c r="A48" s="50">
        <v>1313200921</v>
      </c>
      <c r="B48" s="51" t="s">
        <v>459</v>
      </c>
      <c r="C48">
        <f>VLOOKUP(A:A,'דוח כספי 1-10.17'!A:A,1,0)</f>
        <v>1313200921</v>
      </c>
    </row>
    <row r="49" spans="1:3" ht="15.75">
      <c r="A49" s="50">
        <v>1313200922</v>
      </c>
      <c r="B49" s="51" t="s">
        <v>455</v>
      </c>
      <c r="C49">
        <f>VLOOKUP(A:A,'דוח כספי 1-10.17'!A:A,1,0)</f>
        <v>1313200922</v>
      </c>
    </row>
    <row r="50" spans="1:3" ht="15.75">
      <c r="A50" s="50">
        <v>1313200925</v>
      </c>
      <c r="B50" s="51" t="s">
        <v>460</v>
      </c>
      <c r="C50">
        <f>VLOOKUP(A:A,'דוח כספי 1-10.17'!A:A,1,0)</f>
        <v>1313200925</v>
      </c>
    </row>
    <row r="51" spans="1:3" ht="15.75">
      <c r="A51" s="50">
        <v>1313200927</v>
      </c>
      <c r="B51" s="51" t="s">
        <v>461</v>
      </c>
      <c r="C51">
        <f>VLOOKUP(A:A,'דוח כספי 1-10.17'!A:A,1,0)</f>
        <v>1313200927</v>
      </c>
    </row>
    <row r="52" spans="1:3" ht="15.75">
      <c r="A52" s="50">
        <v>1313200990</v>
      </c>
      <c r="B52" s="51" t="s">
        <v>1650</v>
      </c>
      <c r="C52">
        <f>VLOOKUP(A:A,'דוח כספי 1-10.17'!A:A,1,0)</f>
        <v>1313200990</v>
      </c>
    </row>
    <row r="53" spans="1:3" ht="15.75">
      <c r="A53" s="50">
        <v>1313201920</v>
      </c>
      <c r="B53" s="51" t="s">
        <v>1649</v>
      </c>
      <c r="C53">
        <f>VLOOKUP(A:A,'דוח כספי 1-10.17'!A:A,1,0)</f>
        <v>1313201920</v>
      </c>
    </row>
    <row r="54" spans="1:3" ht="15.75">
      <c r="A54" s="50">
        <v>1313210420</v>
      </c>
      <c r="B54" s="51" t="s">
        <v>462</v>
      </c>
      <c r="C54">
        <f>VLOOKUP(A:A,'דוח כספי 1-10.17'!A:A,1,0)</f>
        <v>1313210420</v>
      </c>
    </row>
    <row r="55" spans="1:3" ht="15.75">
      <c r="A55" s="50">
        <v>1313210920</v>
      </c>
      <c r="B55" s="51" t="s">
        <v>463</v>
      </c>
      <c r="C55">
        <f>VLOOKUP(A:A,'דוח כספי 1-10.17'!A:A,1,0)</f>
        <v>1313210920</v>
      </c>
    </row>
    <row r="56" spans="1:3" ht="15.75">
      <c r="A56" s="50">
        <v>1313210921</v>
      </c>
      <c r="B56" s="51" t="s">
        <v>464</v>
      </c>
      <c r="C56">
        <f>VLOOKUP(A:A,'דוח כספי 1-10.17'!A:A,1,0)</f>
        <v>1313210921</v>
      </c>
    </row>
    <row r="57" spans="1:3" ht="15.75">
      <c r="A57" s="50">
        <v>1313210922</v>
      </c>
      <c r="B57" s="51" t="s">
        <v>465</v>
      </c>
      <c r="C57">
        <f>VLOOKUP(A:A,'דוח כספי 1-10.17'!A:A,1,0)</f>
        <v>1313210922</v>
      </c>
    </row>
    <row r="58" spans="1:3" ht="15.75">
      <c r="A58" s="50">
        <v>1313210923</v>
      </c>
      <c r="B58" s="51" t="s">
        <v>466</v>
      </c>
      <c r="C58">
        <f>VLOOKUP(A:A,'דוח כספי 1-10.17'!A:A,1,0)</f>
        <v>1313210923</v>
      </c>
    </row>
    <row r="59" spans="1:3" ht="15.75">
      <c r="A59" s="50">
        <v>1313210924</v>
      </c>
      <c r="B59" s="51" t="s">
        <v>467</v>
      </c>
      <c r="C59">
        <f>VLOOKUP(A:A,'דוח כספי 1-10.17'!A:A,1,0)</f>
        <v>1313210924</v>
      </c>
    </row>
    <row r="60" spans="1:3" ht="15.75">
      <c r="A60" s="50">
        <v>1313210925</v>
      </c>
      <c r="B60" s="51" t="s">
        <v>468</v>
      </c>
      <c r="C60">
        <f>VLOOKUP(A:A,'דוח כספי 1-10.17'!A:A,1,0)</f>
        <v>1313210925</v>
      </c>
    </row>
    <row r="61" spans="1:3" ht="15.75">
      <c r="A61" s="50">
        <v>1313210929</v>
      </c>
      <c r="B61" s="51" t="s">
        <v>470</v>
      </c>
      <c r="C61">
        <f>VLOOKUP(A:A,'דוח כספי 1-10.17'!A:A,1,0)</f>
        <v>1313210929</v>
      </c>
    </row>
    <row r="62" spans="1:3" ht="15.75">
      <c r="A62" s="50">
        <v>1313220420</v>
      </c>
      <c r="B62" s="51" t="s">
        <v>471</v>
      </c>
      <c r="C62">
        <f>VLOOKUP(A:A,'דוח כספי 1-10.17'!A:A,1,0)</f>
        <v>1313220420</v>
      </c>
    </row>
    <row r="63" spans="1:3" ht="15.75">
      <c r="A63" s="50">
        <v>1313220740</v>
      </c>
      <c r="B63" s="51" t="s">
        <v>472</v>
      </c>
      <c r="C63">
        <f>VLOOKUP(A:A,'דוח כספי 1-10.17'!A:A,1,0)</f>
        <v>1313220740</v>
      </c>
    </row>
    <row r="64" spans="1:3" ht="15.75">
      <c r="A64" s="50">
        <v>1313220920</v>
      </c>
      <c r="B64" s="51" t="s">
        <v>473</v>
      </c>
      <c r="C64">
        <f>VLOOKUP(A:A,'דוח כספי 1-10.17'!A:A,1,0)</f>
        <v>1313220920</v>
      </c>
    </row>
    <row r="65" spans="1:3" ht="15.75">
      <c r="A65" s="50">
        <v>1313220921</v>
      </c>
      <c r="B65" s="51" t="s">
        <v>474</v>
      </c>
      <c r="C65">
        <f>VLOOKUP(A:A,'דוח כספי 1-10.17'!A:A,1,0)</f>
        <v>1313220921</v>
      </c>
    </row>
    <row r="66" spans="1:3" ht="15.75">
      <c r="A66" s="50">
        <v>1313220922</v>
      </c>
      <c r="B66" s="51" t="s">
        <v>475</v>
      </c>
      <c r="C66">
        <f>VLOOKUP(A:A,'דוח כספי 1-10.17'!A:A,1,0)</f>
        <v>1313220922</v>
      </c>
    </row>
    <row r="67" spans="1:3" ht="15.75">
      <c r="A67" s="50">
        <v>1313220923</v>
      </c>
      <c r="B67" s="51" t="s">
        <v>476</v>
      </c>
      <c r="C67">
        <f>VLOOKUP(A:A,'דוח כספי 1-10.17'!A:A,1,0)</f>
        <v>1313220923</v>
      </c>
    </row>
    <row r="68" spans="1:3" ht="15.75">
      <c r="A68" s="50">
        <v>1313220924</v>
      </c>
      <c r="B68" s="51" t="s">
        <v>477</v>
      </c>
      <c r="C68">
        <f>VLOOKUP(A:A,'דוח כספי 1-10.17'!A:A,1,0)</f>
        <v>1313220924</v>
      </c>
    </row>
    <row r="69" spans="1:3" ht="15.75">
      <c r="A69" s="50">
        <v>1313220925</v>
      </c>
      <c r="B69" s="51" t="s">
        <v>478</v>
      </c>
      <c r="C69">
        <f>VLOOKUP(A:A,'דוח כספי 1-10.17'!A:A,1,0)</f>
        <v>1313220925</v>
      </c>
    </row>
    <row r="70" spans="1:3" ht="15.75">
      <c r="A70" s="50">
        <v>1313220926</v>
      </c>
      <c r="B70" s="51" t="s">
        <v>469</v>
      </c>
      <c r="C70">
        <f>VLOOKUP(A:A,'דוח כספי 1-10.17'!A:A,1,0)</f>
        <v>1313220926</v>
      </c>
    </row>
    <row r="71" spans="1:3" ht="15.75">
      <c r="A71" s="50">
        <v>1313220929</v>
      </c>
      <c r="B71" s="51" t="s">
        <v>479</v>
      </c>
      <c r="C71">
        <f>VLOOKUP(A:A,'דוח כספי 1-10.17'!A:A,1,0)</f>
        <v>1313220929</v>
      </c>
    </row>
    <row r="72" spans="1:3" ht="15.75">
      <c r="A72" s="50">
        <v>1313230420</v>
      </c>
      <c r="B72" s="51" t="s">
        <v>480</v>
      </c>
      <c r="C72">
        <f>VLOOKUP(A:A,'דוח כספי 1-10.17'!A:A,1,0)</f>
        <v>1313230420</v>
      </c>
    </row>
    <row r="73" spans="1:3" ht="15.75">
      <c r="A73" s="50">
        <v>1313230920</v>
      </c>
      <c r="B73" s="51" t="s">
        <v>481</v>
      </c>
      <c r="C73">
        <f>VLOOKUP(A:A,'דוח כספי 1-10.17'!A:A,1,0)</f>
        <v>1313230920</v>
      </c>
    </row>
    <row r="74" spans="1:3" ht="15.75">
      <c r="A74" s="50">
        <v>1313230921</v>
      </c>
      <c r="B74" s="51" t="s">
        <v>482</v>
      </c>
      <c r="C74">
        <f>VLOOKUP(A:A,'דוח כספי 1-10.17'!A:A,1,0)</f>
        <v>1313230921</v>
      </c>
    </row>
    <row r="75" spans="1:3" ht="15.75">
      <c r="A75" s="50">
        <v>1313230922</v>
      </c>
      <c r="B75" s="51" t="s">
        <v>483</v>
      </c>
      <c r="C75">
        <f>VLOOKUP(A:A,'דוח כספי 1-10.17'!A:A,1,0)</f>
        <v>1313230922</v>
      </c>
    </row>
    <row r="76" spans="1:3" ht="15.75">
      <c r="A76" s="50">
        <v>1313230923</v>
      </c>
      <c r="B76" s="51" t="s">
        <v>484</v>
      </c>
      <c r="C76">
        <f>VLOOKUP(A:A,'דוח כספי 1-10.17'!A:A,1,0)</f>
        <v>1313230923</v>
      </c>
    </row>
    <row r="77" spans="1:3" ht="15.75">
      <c r="A77" s="50">
        <v>1313230924</v>
      </c>
      <c r="B77" s="51" t="s">
        <v>485</v>
      </c>
      <c r="C77">
        <f>VLOOKUP(A:A,'דוח כספי 1-10.17'!A:A,1,0)</f>
        <v>1313230924</v>
      </c>
    </row>
    <row r="78" spans="1:3" ht="15.75">
      <c r="A78" s="50">
        <v>1313230925</v>
      </c>
      <c r="B78" s="51" t="s">
        <v>486</v>
      </c>
      <c r="C78">
        <f>VLOOKUP(A:A,'דוח כספי 1-10.17'!A:A,1,0)</f>
        <v>1313230925</v>
      </c>
    </row>
    <row r="79" spans="1:3" ht="15.75">
      <c r="A79" s="50">
        <v>1313230926</v>
      </c>
      <c r="B79" s="51" t="s">
        <v>469</v>
      </c>
      <c r="C79">
        <f>VLOOKUP(A:A,'דוח כספי 1-10.17'!A:A,1,0)</f>
        <v>1313230926</v>
      </c>
    </row>
    <row r="80" spans="1:3" ht="15.75">
      <c r="A80" s="50">
        <v>1313230929</v>
      </c>
      <c r="B80" s="51" t="s">
        <v>487</v>
      </c>
      <c r="C80">
        <f>VLOOKUP(A:A,'דוח כספי 1-10.17'!A:A,1,0)</f>
        <v>1313230929</v>
      </c>
    </row>
    <row r="81" spans="1:3" ht="15.75">
      <c r="A81" s="50">
        <v>1313240920</v>
      </c>
      <c r="B81" s="51" t="s">
        <v>488</v>
      </c>
      <c r="C81">
        <f>VLOOKUP(A:A,'דוח כספי 1-10.17'!A:A,1,0)</f>
        <v>1313240920</v>
      </c>
    </row>
    <row r="82" spans="1:3" ht="15.75">
      <c r="A82" s="50">
        <v>1313240921</v>
      </c>
      <c r="B82" s="51" t="s">
        <v>489</v>
      </c>
      <c r="C82">
        <f>VLOOKUP(A:A,'דוח כספי 1-10.17'!A:A,1,0)</f>
        <v>1313240921</v>
      </c>
    </row>
    <row r="83" spans="1:3" ht="15.75">
      <c r="A83" s="50">
        <v>1313240922</v>
      </c>
      <c r="B83" s="51" t="s">
        <v>490</v>
      </c>
      <c r="C83">
        <f>VLOOKUP(A:A,'דוח כספי 1-10.17'!A:A,1,0)</f>
        <v>1313240922</v>
      </c>
    </row>
    <row r="84" spans="1:3" ht="15.75">
      <c r="A84" s="50">
        <v>1313300210</v>
      </c>
      <c r="B84" s="51" t="s">
        <v>491</v>
      </c>
      <c r="C84">
        <f>VLOOKUP(A:A,'דוח כספי 1-10.17'!A:A,1,0)</f>
        <v>1313300210</v>
      </c>
    </row>
    <row r="85" spans="1:3" ht="15.75">
      <c r="A85" s="50">
        <v>1313300690</v>
      </c>
      <c r="B85" s="51" t="s">
        <v>492</v>
      </c>
      <c r="C85">
        <f>VLOOKUP(A:A,'דוח כספי 1-10.17'!A:A,1,0)</f>
        <v>1313300690</v>
      </c>
    </row>
    <row r="86" spans="1:3" ht="15.75">
      <c r="A86" s="50">
        <v>1313300790</v>
      </c>
      <c r="B86" s="51" t="s">
        <v>493</v>
      </c>
      <c r="C86">
        <f>VLOOKUP(A:A,'דוח כספי 1-10.17'!A:A,1,0)</f>
        <v>1313300790</v>
      </c>
    </row>
    <row r="87" spans="1:3" ht="15.75">
      <c r="A87" s="50">
        <v>1313300920</v>
      </c>
      <c r="B87" s="51" t="s">
        <v>494</v>
      </c>
      <c r="C87">
        <f>VLOOKUP(A:A,'דוח כספי 1-10.17'!A:A,1,0)</f>
        <v>1313300920</v>
      </c>
    </row>
    <row r="88" spans="1:3" ht="15.75">
      <c r="A88" s="50">
        <v>1313300921</v>
      </c>
      <c r="B88" s="51" t="s">
        <v>495</v>
      </c>
      <c r="C88">
        <f>VLOOKUP(A:A,'דוח כספי 1-10.17'!A:A,1,0)</f>
        <v>1313300921</v>
      </c>
    </row>
    <row r="89" spans="1:3" ht="15.75">
      <c r="A89" s="50">
        <v>1313300922</v>
      </c>
      <c r="B89" s="51" t="s">
        <v>496</v>
      </c>
      <c r="C89">
        <f>VLOOKUP(A:A,'דוח כספי 1-10.17'!A:A,1,0)</f>
        <v>1313300922</v>
      </c>
    </row>
    <row r="90" spans="1:3" ht="15.75">
      <c r="A90" s="50">
        <v>1313300923</v>
      </c>
      <c r="B90" s="51" t="s">
        <v>497</v>
      </c>
      <c r="C90">
        <f>VLOOKUP(A:A,'דוח כספי 1-10.17'!A:A,1,0)</f>
        <v>1313300923</v>
      </c>
    </row>
    <row r="91" spans="1:3" ht="15.75">
      <c r="A91" s="50">
        <v>1313300924</v>
      </c>
      <c r="B91" s="51" t="s">
        <v>498</v>
      </c>
      <c r="C91">
        <f>VLOOKUP(A:A,'דוח כספי 1-10.17'!A:A,1,0)</f>
        <v>1313300924</v>
      </c>
    </row>
    <row r="92" spans="1:3" ht="15.75">
      <c r="A92" s="50">
        <v>1313300925</v>
      </c>
      <c r="B92" s="51" t="s">
        <v>499</v>
      </c>
      <c r="C92">
        <f>VLOOKUP(A:A,'דוח כספי 1-10.17'!A:A,1,0)</f>
        <v>1313300925</v>
      </c>
    </row>
    <row r="93" spans="1:3" ht="15.75">
      <c r="A93" s="50">
        <v>1313300926</v>
      </c>
      <c r="B93" s="51" t="s">
        <v>500</v>
      </c>
      <c r="C93">
        <f>VLOOKUP(A:A,'דוח כספי 1-10.17'!A:A,1,0)</f>
        <v>1313300926</v>
      </c>
    </row>
    <row r="94" spans="1:3" ht="15.75">
      <c r="A94" s="50">
        <v>1313300929</v>
      </c>
      <c r="B94" s="51" t="s">
        <v>501</v>
      </c>
      <c r="C94">
        <f>VLOOKUP(A:A,'דוח כספי 1-10.17'!A:A,1,0)</f>
        <v>1313300929</v>
      </c>
    </row>
    <row r="95" spans="1:3" ht="15.75">
      <c r="A95" s="50">
        <v>1313800920</v>
      </c>
      <c r="B95" s="51" t="s">
        <v>1620</v>
      </c>
      <c r="C95">
        <f>VLOOKUP(A:A,'דוח כספי 1-10.17'!A:A,1,0)</f>
        <v>1313800920</v>
      </c>
    </row>
    <row r="96" spans="1:3" ht="15.75">
      <c r="A96" s="50">
        <v>1314000420</v>
      </c>
      <c r="B96" s="51" t="s">
        <v>480</v>
      </c>
      <c r="C96">
        <f>VLOOKUP(A:A,'דוח כספי 1-10.17'!A:A,1,0)</f>
        <v>1314000420</v>
      </c>
    </row>
    <row r="97" spans="1:3" ht="15.75">
      <c r="A97" s="50">
        <v>1314000920</v>
      </c>
      <c r="B97" s="51" t="s">
        <v>502</v>
      </c>
      <c r="C97">
        <f>VLOOKUP(A:A,'דוח כספי 1-10.17'!A:A,1,0)</f>
        <v>1314000920</v>
      </c>
    </row>
    <row r="98" spans="1:3" ht="15.75">
      <c r="A98" s="50">
        <v>1314000921</v>
      </c>
      <c r="B98" s="51" t="s">
        <v>503</v>
      </c>
      <c r="C98">
        <f>VLOOKUP(A:A,'דוח כספי 1-10.17'!A:A,1,0)</f>
        <v>1314000921</v>
      </c>
    </row>
    <row r="99" spans="1:3" ht="15.75">
      <c r="A99" s="50">
        <v>1314000922</v>
      </c>
      <c r="B99" s="51" t="s">
        <v>504</v>
      </c>
      <c r="C99">
        <f>VLOOKUP(A:A,'דוח כספי 1-10.17'!A:A,1,0)</f>
        <v>1314000922</v>
      </c>
    </row>
    <row r="100" spans="1:3" ht="15.75">
      <c r="A100" s="50">
        <v>1314000923</v>
      </c>
      <c r="B100" s="51" t="s">
        <v>505</v>
      </c>
      <c r="C100">
        <f>VLOOKUP(A:A,'דוח כספי 1-10.17'!A:A,1,0)</f>
        <v>1314000923</v>
      </c>
    </row>
    <row r="101" spans="1:3" ht="15.75">
      <c r="A101" s="50">
        <v>1314000924</v>
      </c>
      <c r="B101" s="51" t="s">
        <v>506</v>
      </c>
      <c r="C101">
        <f>VLOOKUP(A:A,'דוח כספי 1-10.17'!A:A,1,0)</f>
        <v>1314000924</v>
      </c>
    </row>
    <row r="102" spans="1:3" ht="15.75">
      <c r="A102" s="50">
        <v>1314001920</v>
      </c>
      <c r="B102" s="51" t="s">
        <v>507</v>
      </c>
      <c r="C102">
        <f>VLOOKUP(A:A,'דוח כספי 1-10.17'!A:A,1,0)</f>
        <v>1314001920</v>
      </c>
    </row>
    <row r="103" spans="1:3" ht="15.75">
      <c r="A103" s="50">
        <v>1315200490</v>
      </c>
      <c r="B103" s="51" t="s">
        <v>508</v>
      </c>
      <c r="C103">
        <f>VLOOKUP(A:A,'דוח כספי 1-10.17'!A:A,1,0)</f>
        <v>1315200490</v>
      </c>
    </row>
    <row r="104" spans="1:3" ht="15.75">
      <c r="A104" s="50">
        <v>1315200920</v>
      </c>
      <c r="B104" s="51" t="s">
        <v>509</v>
      </c>
      <c r="C104">
        <f>VLOOKUP(A:A,'דוח כספי 1-10.17'!A:A,1,0)</f>
        <v>1315200920</v>
      </c>
    </row>
    <row r="105" spans="1:3" ht="15.75">
      <c r="A105" s="50">
        <v>1315200921</v>
      </c>
      <c r="B105" s="51" t="s">
        <v>510</v>
      </c>
      <c r="C105">
        <f>VLOOKUP(A:A,'דוח כספי 1-10.17'!A:A,1,0)</f>
        <v>1315200921</v>
      </c>
    </row>
    <row r="106" spans="1:3" ht="15.75">
      <c r="A106" s="50">
        <v>1315200922</v>
      </c>
      <c r="B106" s="51" t="s">
        <v>511</v>
      </c>
      <c r="C106">
        <f>VLOOKUP(A:A,'דוח כספי 1-10.17'!A:A,1,0)</f>
        <v>1315200922</v>
      </c>
    </row>
    <row r="107" spans="1:3" ht="15.75">
      <c r="A107" s="50">
        <v>1315200923</v>
      </c>
      <c r="B107" s="51" t="s">
        <v>512</v>
      </c>
      <c r="C107">
        <f>VLOOKUP(A:A,'דוח כספי 1-10.17'!A:A,1,0)</f>
        <v>1315200923</v>
      </c>
    </row>
    <row r="108" spans="1:3" ht="15.75">
      <c r="A108" s="50">
        <v>1315200924</v>
      </c>
      <c r="B108" s="51" t="s">
        <v>506</v>
      </c>
      <c r="C108">
        <f>VLOOKUP(A:A,'דוח כספי 1-10.17'!A:A,1,0)</f>
        <v>1315200924</v>
      </c>
    </row>
    <row r="109" spans="1:3" ht="15.75">
      <c r="A109" s="50">
        <v>1315200925</v>
      </c>
      <c r="B109" s="51" t="s">
        <v>513</v>
      </c>
      <c r="C109">
        <f>VLOOKUP(A:A,'דוח כספי 1-10.17'!A:A,1,0)</f>
        <v>1315200925</v>
      </c>
    </row>
    <row r="110" spans="1:3" ht="15.75">
      <c r="A110" s="50">
        <v>1315200926</v>
      </c>
      <c r="B110" s="51" t="s">
        <v>514</v>
      </c>
      <c r="C110">
        <f>VLOOKUP(A:A,'דוח כספי 1-10.17'!A:A,1,0)</f>
        <v>1315200926</v>
      </c>
    </row>
    <row r="111" spans="1:3" ht="15.75">
      <c r="A111" s="50">
        <v>1315200927</v>
      </c>
      <c r="B111" s="51" t="s">
        <v>455</v>
      </c>
      <c r="C111">
        <f>VLOOKUP(A:A,'דוח כספי 1-10.17'!A:A,1,0)</f>
        <v>1315200927</v>
      </c>
    </row>
    <row r="112" spans="1:3" ht="15.75">
      <c r="A112" s="50">
        <v>1315200928</v>
      </c>
      <c r="B112" s="51" t="s">
        <v>515</v>
      </c>
      <c r="C112">
        <f>VLOOKUP(A:A,'דוח כספי 1-10.17'!A:A,1,0)</f>
        <v>1315200928</v>
      </c>
    </row>
    <row r="113" spans="1:3" ht="15.75">
      <c r="A113" s="50">
        <v>1315200929</v>
      </c>
      <c r="B113" s="51" t="s">
        <v>516</v>
      </c>
      <c r="C113">
        <f>VLOOKUP(A:A,'דוח כספי 1-10.17'!A:A,1,0)</f>
        <v>1315200929</v>
      </c>
    </row>
    <row r="114" spans="1:3" ht="15.75">
      <c r="A114" s="50">
        <v>1315201920</v>
      </c>
      <c r="B114" s="51" t="s">
        <v>517</v>
      </c>
      <c r="C114">
        <f>VLOOKUP(A:A,'דוח כספי 1-10.17'!A:A,1,0)</f>
        <v>1315201920</v>
      </c>
    </row>
    <row r="115" spans="1:3" ht="15.75">
      <c r="A115" s="50">
        <v>1315201921</v>
      </c>
      <c r="B115" s="51" t="s">
        <v>461</v>
      </c>
      <c r="C115">
        <f>VLOOKUP(A:A,'דוח כספי 1-10.17'!A:A,1,0)</f>
        <v>1315201921</v>
      </c>
    </row>
    <row r="116" spans="1:3" ht="15.75">
      <c r="A116" s="50">
        <v>1315202920</v>
      </c>
      <c r="B116" s="51" t="s">
        <v>518</v>
      </c>
      <c r="C116">
        <f>VLOOKUP(A:A,'דוח כספי 1-10.17'!A:A,1,0)</f>
        <v>1315202920</v>
      </c>
    </row>
    <row r="117" spans="1:3" ht="15.75">
      <c r="A117" s="50">
        <v>1315203920</v>
      </c>
      <c r="B117" s="51" t="s">
        <v>519</v>
      </c>
      <c r="C117">
        <f>VLOOKUP(A:A,'דוח כספי 1-10.17'!A:A,1,0)</f>
        <v>1315203920</v>
      </c>
    </row>
    <row r="118" spans="1:3" ht="15.75">
      <c r="A118" s="50">
        <v>1315204920</v>
      </c>
      <c r="B118" s="51" t="s">
        <v>520</v>
      </c>
      <c r="C118">
        <f>VLOOKUP(A:A,'דוח כספי 1-10.17'!A:A,1,0)</f>
        <v>1315204920</v>
      </c>
    </row>
    <row r="119" spans="1:3" ht="15.75">
      <c r="A119" s="50">
        <v>1315205920</v>
      </c>
      <c r="B119" s="51" t="s">
        <v>521</v>
      </c>
      <c r="C119">
        <f>VLOOKUP(A:A,'דוח כספי 1-10.17'!A:A,1,0)</f>
        <v>1315205920</v>
      </c>
    </row>
    <row r="120" spans="1:3" ht="15.75">
      <c r="A120" s="50">
        <v>1315206920</v>
      </c>
      <c r="B120" s="51" t="s">
        <v>522</v>
      </c>
      <c r="C120">
        <f>VLOOKUP(A:A,'דוח כספי 1-10.17'!A:A,1,0)</f>
        <v>1315206920</v>
      </c>
    </row>
    <row r="121" spans="1:3" ht="15.75">
      <c r="A121" s="50">
        <v>1315207420</v>
      </c>
      <c r="B121" s="51" t="s">
        <v>480</v>
      </c>
      <c r="C121">
        <f>VLOOKUP(A:A,'דוח כספי 1-10.17'!A:A,1,0)</f>
        <v>1315207420</v>
      </c>
    </row>
    <row r="122" spans="1:3" ht="15.75">
      <c r="A122" s="50">
        <v>1315208920</v>
      </c>
      <c r="B122" s="51" t="s">
        <v>523</v>
      </c>
      <c r="C122">
        <f>VLOOKUP(A:A,'דוח כספי 1-10.17'!A:A,1,0)</f>
        <v>1315208920</v>
      </c>
    </row>
    <row r="123" spans="1:3" ht="15.75">
      <c r="A123" s="50">
        <v>1317100990</v>
      </c>
      <c r="B123" s="51" t="s">
        <v>524</v>
      </c>
      <c r="C123">
        <f>VLOOKUP(A:A,'דוח כספי 1-10.17'!A:A,1,0)</f>
        <v>1317100990</v>
      </c>
    </row>
    <row r="124" spans="1:3" ht="15.75">
      <c r="A124" s="50">
        <v>1317301920</v>
      </c>
      <c r="B124" s="51" t="s">
        <v>525</v>
      </c>
      <c r="C124">
        <f>VLOOKUP(A:A,'דוח כספי 1-10.17'!A:A,1,0)</f>
        <v>1317301920</v>
      </c>
    </row>
    <row r="125" spans="1:3" ht="15.75">
      <c r="A125" s="50">
        <v>1317302920</v>
      </c>
      <c r="B125" s="51" t="s">
        <v>526</v>
      </c>
      <c r="C125">
        <f>VLOOKUP(A:A,'דוח כספי 1-10.17'!A:A,1,0)</f>
        <v>1317302920</v>
      </c>
    </row>
    <row r="126" spans="1:3" ht="15.75">
      <c r="A126" s="50">
        <v>1317610920</v>
      </c>
      <c r="B126" s="51" t="s">
        <v>527</v>
      </c>
      <c r="C126">
        <f>VLOOKUP(A:A,'דוח כספי 1-10.17'!A:A,1,0)</f>
        <v>1317610920</v>
      </c>
    </row>
    <row r="127" spans="1:3" ht="15.75">
      <c r="A127" s="50">
        <v>1317610921</v>
      </c>
      <c r="B127" s="51" t="s">
        <v>528</v>
      </c>
      <c r="C127">
        <f>VLOOKUP(A:A,'דוח כספי 1-10.17'!A:A,1,0)</f>
        <v>1317610921</v>
      </c>
    </row>
    <row r="128" spans="1:3" ht="15.75">
      <c r="A128" s="50">
        <v>1317610980</v>
      </c>
      <c r="B128" s="51" t="s">
        <v>529</v>
      </c>
      <c r="C128">
        <f>VLOOKUP(A:A,'דוח כספי 1-10.17'!A:A,1,0)</f>
        <v>1317610980</v>
      </c>
    </row>
    <row r="129" spans="1:3" ht="15.75">
      <c r="A129" s="50">
        <v>1317620420</v>
      </c>
      <c r="B129" s="51" t="s">
        <v>530</v>
      </c>
      <c r="C129">
        <f>VLOOKUP(A:A,'דוח כספי 1-10.17'!A:A,1,0)</f>
        <v>1317620420</v>
      </c>
    </row>
    <row r="130" spans="1:3" ht="15.75">
      <c r="A130" s="50">
        <v>1317620920</v>
      </c>
      <c r="B130" s="51" t="s">
        <v>391</v>
      </c>
      <c r="C130">
        <f>VLOOKUP(A:A,'דוח כספי 1-10.17'!A:A,1,0)</f>
        <v>1317620920</v>
      </c>
    </row>
    <row r="131" spans="1:3" ht="15.75">
      <c r="A131" s="50">
        <v>1317630920</v>
      </c>
      <c r="B131" s="51" t="s">
        <v>531</v>
      </c>
      <c r="C131">
        <f>VLOOKUP(A:A,'דוח כספי 1-10.17'!A:A,1,0)</f>
        <v>1317630920</v>
      </c>
    </row>
    <row r="132" spans="1:3" ht="15.75">
      <c r="A132" s="50">
        <v>1317700410</v>
      </c>
      <c r="B132" s="51" t="s">
        <v>532</v>
      </c>
      <c r="C132">
        <f>VLOOKUP(A:A,'דוח כספי 1-10.17'!A:A,1,0)</f>
        <v>1317700410</v>
      </c>
    </row>
    <row r="133" spans="1:3" ht="15.75">
      <c r="A133" s="50">
        <v>1317700920</v>
      </c>
      <c r="B133" s="51" t="s">
        <v>533</v>
      </c>
      <c r="C133">
        <f>VLOOKUP(A:A,'דוח כספי 1-10.17'!A:A,1,0)</f>
        <v>1317700920</v>
      </c>
    </row>
    <row r="134" spans="1:3" ht="15.75">
      <c r="A134" s="50">
        <v>1317701920</v>
      </c>
      <c r="B134" s="51" t="s">
        <v>534</v>
      </c>
      <c r="C134">
        <f>VLOOKUP(A:A,'דוח כספי 1-10.17'!A:A,1,0)</f>
        <v>1317701920</v>
      </c>
    </row>
    <row r="135" spans="1:3" ht="15.75">
      <c r="A135" s="50">
        <v>1317710920</v>
      </c>
      <c r="B135" s="51" t="s">
        <v>535</v>
      </c>
      <c r="C135">
        <f>VLOOKUP(A:A,'דוח כספי 1-10.17'!A:A,1,0)</f>
        <v>1317710920</v>
      </c>
    </row>
    <row r="136" spans="1:3" ht="15.75">
      <c r="A136" s="50">
        <v>1317720920</v>
      </c>
      <c r="B136" s="51" t="s">
        <v>1662</v>
      </c>
      <c r="C136">
        <f>VLOOKUP(A:A,'דוח כספי 1-10.17'!A:A,1,0)</f>
        <v>1317720920</v>
      </c>
    </row>
    <row r="137" spans="1:3" ht="15.75">
      <c r="A137" s="50">
        <v>1317800420</v>
      </c>
      <c r="B137" s="51" t="s">
        <v>536</v>
      </c>
      <c r="C137">
        <f>VLOOKUP(A:A,'דוח כספי 1-10.17'!A:A,1,0)</f>
        <v>1317800420</v>
      </c>
    </row>
    <row r="138" spans="1:3" ht="15.75">
      <c r="A138" s="50">
        <v>1317800920</v>
      </c>
      <c r="B138" s="51" t="s">
        <v>269</v>
      </c>
      <c r="C138">
        <f>VLOOKUP(A:A,'דוח כספי 1-10.17'!A:A,1,0)</f>
        <v>1317800920</v>
      </c>
    </row>
    <row r="139" spans="1:3" ht="15.75">
      <c r="A139" s="50">
        <v>1317810920</v>
      </c>
      <c r="B139" s="51" t="s">
        <v>537</v>
      </c>
      <c r="C139">
        <f>VLOOKUP(A:A,'דוח כספי 1-10.17'!A:A,1,0)</f>
        <v>1317810920</v>
      </c>
    </row>
    <row r="140" spans="1:3" ht="15.75">
      <c r="A140" s="50">
        <v>1317820690</v>
      </c>
      <c r="B140" s="51" t="s">
        <v>538</v>
      </c>
      <c r="C140">
        <f>VLOOKUP(A:A,'דוח כספי 1-10.17'!A:A,1,0)</f>
        <v>1317820690</v>
      </c>
    </row>
    <row r="141" spans="1:3" ht="15.75">
      <c r="A141" s="50">
        <v>1317820920</v>
      </c>
      <c r="B141" s="51" t="s">
        <v>539</v>
      </c>
      <c r="C141">
        <f>VLOOKUP(A:A,'דוח כספי 1-10.17'!A:A,1,0)</f>
        <v>1317820920</v>
      </c>
    </row>
    <row r="142" spans="1:3" ht="15.75">
      <c r="A142" s="50">
        <v>1312201923</v>
      </c>
      <c r="B142" s="51" t="s">
        <v>1685</v>
      </c>
      <c r="C142">
        <f>VLOOKUP(A:A,'דוח כספי 1-10.17'!A:A,1,0)</f>
        <v>1312201923</v>
      </c>
    </row>
    <row r="143" spans="1:3" ht="15.75">
      <c r="A143" s="50">
        <v>1312311920</v>
      </c>
      <c r="B143" s="51" t="s">
        <v>1886</v>
      </c>
      <c r="C143">
        <f>VLOOKUP(A:A,'דוח כספי 1-10.17'!A:A,1,0)</f>
        <v>1312311920</v>
      </c>
    </row>
    <row r="144" spans="1:3" ht="15.75">
      <c r="A144" s="50">
        <v>1313210928</v>
      </c>
      <c r="B144" s="51" t="s">
        <v>1690</v>
      </c>
      <c r="C144">
        <f>VLOOKUP(A:A,'דוח כספי 1-10.17'!A:A,1,0)</f>
        <v>1313210928</v>
      </c>
    </row>
    <row r="145" spans="1:3" ht="15.75">
      <c r="A145" s="50">
        <v>1313600420</v>
      </c>
      <c r="B145" s="51" t="s">
        <v>1691</v>
      </c>
      <c r="C145">
        <f>VLOOKUP(A:A,'דוח כספי 1-10.17'!A:A,1,0)</f>
        <v>1313600420</v>
      </c>
    </row>
    <row r="146" spans="1:3" ht="15.75">
      <c r="A146" s="50">
        <v>1317900920</v>
      </c>
      <c r="B146" s="51" t="s">
        <v>540</v>
      </c>
      <c r="C146">
        <f>VLOOKUP(A:A,'דוח כספי 1-10.17'!A:A,1,0)</f>
        <v>1317900920</v>
      </c>
    </row>
    <row r="147" spans="1:3" ht="15.75">
      <c r="A147" s="50">
        <v>1319100920</v>
      </c>
      <c r="B147" s="160" t="s">
        <v>1645</v>
      </c>
      <c r="C147">
        <f>VLOOKUP(A:A,'דוח כספי 1-10.17'!A:A,1,0)</f>
        <v>1319100920</v>
      </c>
    </row>
    <row r="148" spans="1:3" ht="15.75">
      <c r="A148" s="50">
        <v>1328400420</v>
      </c>
      <c r="B148" s="51" t="s">
        <v>541</v>
      </c>
      <c r="C148">
        <f>VLOOKUP(A:A,'דוח כספי 1-10.17'!A:A,1,0)</f>
        <v>1328400420</v>
      </c>
    </row>
    <row r="149" spans="1:3" ht="15.75">
      <c r="A149" s="50">
        <v>1324000920</v>
      </c>
      <c r="B149" s="51" t="s">
        <v>1625</v>
      </c>
      <c r="C149">
        <f>VLOOKUP(A:A,'דוח כספי 1-10.17'!A:A,1,0)</f>
        <v>1324000920</v>
      </c>
    </row>
    <row r="150" spans="1:3" ht="15.75">
      <c r="A150" s="50">
        <v>1328500920</v>
      </c>
      <c r="B150" s="51" t="s">
        <v>1658</v>
      </c>
      <c r="C150">
        <f>VLOOKUP(A:A,'דוח כספי 1-10.17'!A:A,1,0)</f>
        <v>1328500920</v>
      </c>
    </row>
    <row r="151" spans="1:3" ht="15.75">
      <c r="A151" s="50">
        <v>1329000420</v>
      </c>
      <c r="B151" s="51" t="s">
        <v>587</v>
      </c>
      <c r="C151">
        <f>VLOOKUP(A:A,'דוח כספי 1-10.17'!A:A,1,0)</f>
        <v>1329000420</v>
      </c>
    </row>
    <row r="152" spans="1:3" ht="15.75">
      <c r="A152" s="50">
        <v>1329100790</v>
      </c>
      <c r="B152" s="51" t="s">
        <v>542</v>
      </c>
      <c r="C152">
        <f>VLOOKUP(A:A,'דוח כספי 1-10.17'!A:A,1,0)</f>
        <v>1329100790</v>
      </c>
    </row>
    <row r="153" spans="1:3" ht="15.75">
      <c r="A153" s="50">
        <v>1329200420</v>
      </c>
      <c r="B153" s="51" t="s">
        <v>543</v>
      </c>
      <c r="C153">
        <f>VLOOKUP(A:A,'דוח כספי 1-10.17'!A:A,1,0)</f>
        <v>1329200420</v>
      </c>
    </row>
    <row r="154" spans="1:3" ht="15.75">
      <c r="A154" s="50">
        <v>1329200990</v>
      </c>
      <c r="B154" s="51" t="s">
        <v>544</v>
      </c>
      <c r="C154">
        <f>VLOOKUP(A:A,'דוח כספי 1-10.17'!A:A,1,0)</f>
        <v>1329200990</v>
      </c>
    </row>
    <row r="155" spans="1:3" ht="15.75">
      <c r="A155" s="50">
        <v>1332300940</v>
      </c>
      <c r="B155" s="51" t="s">
        <v>545</v>
      </c>
      <c r="C155">
        <f>VLOOKUP(A:A,'דוח כספי 1-10.17'!A:A,1,0)</f>
        <v>1332300940</v>
      </c>
    </row>
    <row r="156" spans="1:3" ht="15.75">
      <c r="A156" s="50">
        <v>1329200650</v>
      </c>
      <c r="B156" s="51" t="s">
        <v>1700</v>
      </c>
      <c r="C156">
        <f>VLOOKUP(A:A,'דוח כספי 1-10.17'!A:A,1,0)</f>
        <v>1329200650</v>
      </c>
    </row>
    <row r="157" spans="1:3" ht="15.75">
      <c r="A157" s="50">
        <v>1332400940</v>
      </c>
      <c r="B157" s="51" t="s">
        <v>546</v>
      </c>
      <c r="C157">
        <f>VLOOKUP(A:A,'דוח כספי 1-10.17'!A:A,1,0)</f>
        <v>1332400940</v>
      </c>
    </row>
    <row r="158" spans="1:3" ht="15.75">
      <c r="A158" s="50">
        <v>1341000420</v>
      </c>
      <c r="B158" s="51" t="s">
        <v>547</v>
      </c>
      <c r="C158">
        <f>VLOOKUP(A:A,'דוח כספי 1-10.17'!A:A,1,0)</f>
        <v>1341000420</v>
      </c>
    </row>
    <row r="159" spans="1:3" ht="15.75">
      <c r="A159" s="50">
        <v>1341001930</v>
      </c>
      <c r="B159" s="51" t="s">
        <v>548</v>
      </c>
      <c r="C159">
        <f>VLOOKUP(A:A,'דוח כספי 1-10.17'!A:A,1,0)</f>
        <v>1341001930</v>
      </c>
    </row>
    <row r="160" spans="1:3" ht="15.75">
      <c r="A160" s="50">
        <v>1341002930</v>
      </c>
      <c r="B160" s="51" t="s">
        <v>549</v>
      </c>
      <c r="C160">
        <f>VLOOKUP(A:A,'דוח כספי 1-10.17'!A:A,1,0)</f>
        <v>1341002930</v>
      </c>
    </row>
    <row r="161" spans="1:3" ht="15.75">
      <c r="A161" s="50">
        <v>1342202930</v>
      </c>
      <c r="B161" s="51" t="s">
        <v>550</v>
      </c>
      <c r="C161">
        <f>VLOOKUP(A:A,'דוח כספי 1-10.17'!A:A,1,0)</f>
        <v>1342202930</v>
      </c>
    </row>
    <row r="162" spans="1:3" ht="15.75">
      <c r="A162" s="50">
        <v>1342203420</v>
      </c>
      <c r="B162" s="51" t="s">
        <v>317</v>
      </c>
      <c r="C162">
        <f>VLOOKUP(A:A,'דוח כספי 1-10.17'!A:A,1,0)</f>
        <v>1342203420</v>
      </c>
    </row>
    <row r="163" spans="1:3" ht="15.75">
      <c r="A163" s="50">
        <v>1342203930</v>
      </c>
      <c r="B163" s="51" t="s">
        <v>317</v>
      </c>
      <c r="C163">
        <f>VLOOKUP(A:A,'דוח כספי 1-10.17'!A:A,1,0)</f>
        <v>1342203930</v>
      </c>
    </row>
    <row r="164" spans="1:3" ht="15.75">
      <c r="A164" s="50">
        <v>1342204930</v>
      </c>
      <c r="B164" s="51" t="s">
        <v>551</v>
      </c>
      <c r="C164">
        <f>VLOOKUP(A:A,'דוח כספי 1-10.17'!A:A,1,0)</f>
        <v>1342204930</v>
      </c>
    </row>
    <row r="165" spans="1:3" ht="15.75">
      <c r="A165" s="50">
        <v>1342205930</v>
      </c>
      <c r="B165" s="51" t="s">
        <v>322</v>
      </c>
      <c r="C165">
        <f>VLOOKUP(A:A,'דוח כספי 1-10.17'!A:A,1,0)</f>
        <v>1342205930</v>
      </c>
    </row>
    <row r="166" spans="1:3" ht="15.75">
      <c r="A166" s="50">
        <v>1342206930</v>
      </c>
      <c r="B166" s="51" t="s">
        <v>323</v>
      </c>
      <c r="C166">
        <f>VLOOKUP(A:A,'דוח כספי 1-10.17'!A:A,1,0)</f>
        <v>1342206930</v>
      </c>
    </row>
    <row r="167" spans="1:3" ht="15.75">
      <c r="A167" s="50">
        <v>1342401930</v>
      </c>
      <c r="B167" s="51" t="s">
        <v>324</v>
      </c>
      <c r="C167">
        <f>VLOOKUP(A:A,'דוח כספי 1-10.17'!A:A,1,0)</f>
        <v>1342401930</v>
      </c>
    </row>
    <row r="168" spans="1:3" ht="15.75">
      <c r="A168" s="50">
        <v>1342402930</v>
      </c>
      <c r="B168" s="51" t="s">
        <v>325</v>
      </c>
      <c r="C168">
        <f>VLOOKUP(A:A,'דוח כספי 1-10.17'!A:A,1,0)</f>
        <v>1342402930</v>
      </c>
    </row>
    <row r="169" spans="1:3" ht="15.75">
      <c r="A169" s="50">
        <v>1343501930</v>
      </c>
      <c r="B169" s="51" t="s">
        <v>552</v>
      </c>
      <c r="C169">
        <f>VLOOKUP(A:A,'דוח כספי 1-10.17'!A:A,1,0)</f>
        <v>1343501930</v>
      </c>
    </row>
    <row r="170" spans="1:3" ht="15.75">
      <c r="A170" s="50">
        <v>1343502930</v>
      </c>
      <c r="B170" s="51" t="s">
        <v>553</v>
      </c>
      <c r="C170">
        <f>VLOOKUP(A:A,'דוח כספי 1-10.17'!A:A,1,0)</f>
        <v>1343502930</v>
      </c>
    </row>
    <row r="171" spans="1:3" ht="15.75">
      <c r="A171" s="50">
        <v>1343503420</v>
      </c>
      <c r="B171" s="51" t="s">
        <v>329</v>
      </c>
      <c r="C171">
        <f>VLOOKUP(A:A,'דוח כספי 1-10.17'!A:A,1,0)</f>
        <v>1343503420</v>
      </c>
    </row>
    <row r="172" spans="1:3" ht="15.75">
      <c r="A172" s="50">
        <v>1343503930</v>
      </c>
      <c r="B172" s="51" t="s">
        <v>329</v>
      </c>
      <c r="C172">
        <f>VLOOKUP(A:A,'דוח כספי 1-10.17'!A:A,1,0)</f>
        <v>1343503930</v>
      </c>
    </row>
    <row r="173" spans="1:3" ht="15.75">
      <c r="A173" s="50">
        <v>1343504420</v>
      </c>
      <c r="B173" s="51" t="s">
        <v>334</v>
      </c>
      <c r="C173">
        <f>VLOOKUP(A:A,'דוח כספי 1-10.17'!A:A,1,0)</f>
        <v>1343504420</v>
      </c>
    </row>
    <row r="174" spans="1:3" ht="15.75">
      <c r="A174" s="50">
        <v>1343504930</v>
      </c>
      <c r="B174" s="51" t="s">
        <v>334</v>
      </c>
      <c r="C174">
        <f>VLOOKUP(A:A,'דוח כספי 1-10.17'!A:A,1,0)</f>
        <v>1343504930</v>
      </c>
    </row>
    <row r="175" spans="1:3" ht="15.75">
      <c r="A175" s="50">
        <v>1343801930</v>
      </c>
      <c r="B175" s="51" t="s">
        <v>335</v>
      </c>
      <c r="C175">
        <f>VLOOKUP(A:A,'דוח כספי 1-10.17'!A:A,1,0)</f>
        <v>1343801930</v>
      </c>
    </row>
    <row r="176" spans="1:3" ht="15.75">
      <c r="A176" s="50">
        <v>1343900930</v>
      </c>
      <c r="B176" s="160" t="s">
        <v>1636</v>
      </c>
      <c r="C176">
        <f>VLOOKUP(A:A,'דוח כספי 1-10.17'!A:A,1,0)</f>
        <v>1343900930</v>
      </c>
    </row>
    <row r="177" spans="1:3" ht="15.75">
      <c r="A177" s="50">
        <v>1343901930</v>
      </c>
      <c r="B177" s="51" t="s">
        <v>338</v>
      </c>
      <c r="C177">
        <f>VLOOKUP(A:A,'דוח כספי 1-10.17'!A:A,1,0)</f>
        <v>1343901930</v>
      </c>
    </row>
    <row r="178" spans="1:3" ht="15.75">
      <c r="A178" s="50">
        <v>1343901932</v>
      </c>
      <c r="B178" s="51" t="s">
        <v>554</v>
      </c>
      <c r="C178">
        <f>VLOOKUP(A:A,'דוח כספי 1-10.17'!A:A,1,0)</f>
        <v>1343901932</v>
      </c>
    </row>
    <row r="179" spans="1:3" ht="15.75">
      <c r="A179" s="50">
        <v>1344300930</v>
      </c>
      <c r="B179" s="51" t="s">
        <v>340</v>
      </c>
      <c r="C179">
        <f>VLOOKUP(A:A,'דוח כספי 1-10.17'!A:A,1,0)</f>
        <v>1344300930</v>
      </c>
    </row>
    <row r="180" spans="1:3" ht="15.75">
      <c r="A180" s="50">
        <v>1344402930</v>
      </c>
      <c r="B180" s="51" t="s">
        <v>345</v>
      </c>
      <c r="C180">
        <f>VLOOKUP(A:A,'דוח כספי 1-10.17'!A:A,1,0)</f>
        <v>1344402930</v>
      </c>
    </row>
    <row r="181" spans="1:3" ht="15.75">
      <c r="A181" s="50">
        <v>1344403930</v>
      </c>
      <c r="B181" s="51" t="s">
        <v>555</v>
      </c>
      <c r="C181">
        <f>VLOOKUP(A:A,'דוח כספי 1-10.17'!A:A,1,0)</f>
        <v>1344403930</v>
      </c>
    </row>
    <row r="182" spans="1:3" ht="15.75">
      <c r="A182" s="50">
        <v>1344500930</v>
      </c>
      <c r="B182" s="51" t="s">
        <v>348</v>
      </c>
      <c r="C182">
        <f>VLOOKUP(A:A,'דוח כספי 1-10.17'!A:A,1,0)</f>
        <v>1344500930</v>
      </c>
    </row>
    <row r="183" spans="1:3" ht="15.75">
      <c r="A183" s="50">
        <v>1345100930</v>
      </c>
      <c r="B183" s="51" t="s">
        <v>349</v>
      </c>
      <c r="C183">
        <f>VLOOKUP(A:A,'דוח כספי 1-10.17'!A:A,1,0)</f>
        <v>1345100930</v>
      </c>
    </row>
    <row r="184" spans="1:3" ht="15.75">
      <c r="A184" s="50">
        <v>1345101420</v>
      </c>
      <c r="B184" s="51" t="s">
        <v>350</v>
      </c>
      <c r="C184">
        <f>VLOOKUP(A:A,'דוח כספי 1-10.17'!A:A,1,0)</f>
        <v>1345101420</v>
      </c>
    </row>
    <row r="185" spans="1:3" ht="15.75">
      <c r="A185" s="50">
        <v>1345101930</v>
      </c>
      <c r="B185" s="51" t="s">
        <v>350</v>
      </c>
      <c r="C185">
        <f>VLOOKUP(A:A,'דוח כספי 1-10.17'!A:A,1,0)</f>
        <v>1345101930</v>
      </c>
    </row>
    <row r="186" spans="1:3" ht="15.75">
      <c r="A186" s="50">
        <v>1345102930</v>
      </c>
      <c r="B186" s="51" t="s">
        <v>351</v>
      </c>
      <c r="C186">
        <f>VLOOKUP(A:A,'דוח כספי 1-10.17'!A:A,1,0)</f>
        <v>1345102930</v>
      </c>
    </row>
    <row r="187" spans="1:3" ht="15.75">
      <c r="A187" s="50">
        <v>1345103930</v>
      </c>
      <c r="B187" s="51" t="s">
        <v>352</v>
      </c>
      <c r="C187">
        <f>VLOOKUP(A:A,'דוח כספי 1-10.17'!A:A,1,0)</f>
        <v>1345103930</v>
      </c>
    </row>
    <row r="188" spans="1:3" ht="15.75">
      <c r="A188" s="50">
        <v>1345104930</v>
      </c>
      <c r="B188" s="51" t="s">
        <v>353</v>
      </c>
      <c r="C188">
        <f>VLOOKUP(A:A,'דוח כספי 1-10.17'!A:A,1,0)</f>
        <v>1345104930</v>
      </c>
    </row>
    <row r="189" spans="1:3" ht="15.75">
      <c r="A189" s="50">
        <v>1345200930</v>
      </c>
      <c r="B189" s="51" t="s">
        <v>354</v>
      </c>
      <c r="C189">
        <f>VLOOKUP(A:A,'דוח כספי 1-10.17'!A:A,1,0)</f>
        <v>1345200930</v>
      </c>
    </row>
    <row r="190" spans="1:3" ht="15.75">
      <c r="A190" s="50">
        <v>1345201420</v>
      </c>
      <c r="B190" s="51" t="s">
        <v>356</v>
      </c>
      <c r="C190">
        <f>VLOOKUP(A:A,'דוח כספי 1-10.17'!A:A,1,0)</f>
        <v>1345201420</v>
      </c>
    </row>
    <row r="191" spans="1:3" ht="15.75">
      <c r="A191" s="50">
        <v>1345201930</v>
      </c>
      <c r="B191" s="51" t="s">
        <v>356</v>
      </c>
      <c r="C191">
        <f>VLOOKUP(A:A,'דוח כספי 1-10.17'!A:A,1,0)</f>
        <v>1345201930</v>
      </c>
    </row>
    <row r="192" spans="1:3" ht="15.75">
      <c r="A192" s="50">
        <v>1345201931</v>
      </c>
      <c r="B192" s="51" t="s">
        <v>556</v>
      </c>
      <c r="C192">
        <f>VLOOKUP(A:A,'דוח כספי 1-10.17'!A:A,1,0)</f>
        <v>1345201931</v>
      </c>
    </row>
    <row r="193" spans="1:3" ht="15.75">
      <c r="A193" s="50">
        <v>1345202930</v>
      </c>
      <c r="B193" s="51" t="s">
        <v>357</v>
      </c>
      <c r="C193">
        <f>VLOOKUP(A:A,'דוח כספי 1-10.17'!A:A,1,0)</f>
        <v>1345202930</v>
      </c>
    </row>
    <row r="194" spans="1:3" ht="15.75">
      <c r="A194" s="50">
        <v>1345202931</v>
      </c>
      <c r="B194" s="51" t="s">
        <v>557</v>
      </c>
      <c r="C194">
        <f>VLOOKUP(A:A,'דוח כספי 1-10.17'!A:A,1,0)</f>
        <v>1345202931</v>
      </c>
    </row>
    <row r="195" spans="1:3" ht="15.75">
      <c r="A195" s="50">
        <v>1345203930</v>
      </c>
      <c r="B195" s="51" t="s">
        <v>558</v>
      </c>
      <c r="C195">
        <f>VLOOKUP(A:A,'דוח כספי 1-10.17'!A:A,1,0)</f>
        <v>1345203930</v>
      </c>
    </row>
    <row r="196" spans="1:3" ht="15.75">
      <c r="A196" s="50">
        <v>1345301930</v>
      </c>
      <c r="B196" s="51" t="s">
        <v>361</v>
      </c>
      <c r="C196">
        <f>VLOOKUP(A:A,'דוח כספי 1-10.17'!A:A,1,0)</f>
        <v>1345301930</v>
      </c>
    </row>
    <row r="197" spans="1:3" ht="15.75">
      <c r="A197" s="50">
        <v>1345302420</v>
      </c>
      <c r="B197" s="51" t="s">
        <v>362</v>
      </c>
      <c r="C197">
        <f>VLOOKUP(A:A,'דוח כספי 1-10.17'!A:A,1,0)</f>
        <v>1345302420</v>
      </c>
    </row>
    <row r="198" spans="1:3" ht="15.75">
      <c r="A198" s="50">
        <v>1345302930</v>
      </c>
      <c r="B198" s="51" t="s">
        <v>362</v>
      </c>
      <c r="C198">
        <f>VLOOKUP(A:A,'דוח כספי 1-10.17'!A:A,1,0)</f>
        <v>1345302930</v>
      </c>
    </row>
    <row r="199" spans="1:3" ht="15.75">
      <c r="A199" s="50">
        <v>1345303930</v>
      </c>
      <c r="B199" s="51" t="s">
        <v>559</v>
      </c>
      <c r="C199">
        <f>VLOOKUP(A:A,'דוח כספי 1-10.17'!A:A,1,0)</f>
        <v>1345303930</v>
      </c>
    </row>
    <row r="200" spans="1:3" ht="15.75">
      <c r="A200" s="50">
        <v>1346301930</v>
      </c>
      <c r="B200" s="51" t="s">
        <v>560</v>
      </c>
      <c r="C200">
        <f>VLOOKUP(A:A,'דוח כספי 1-10.17'!A:A,1,0)</f>
        <v>1346301930</v>
      </c>
    </row>
    <row r="201" spans="1:3" ht="15.75">
      <c r="A201" s="50">
        <v>1346302930</v>
      </c>
      <c r="B201" s="51" t="s">
        <v>561</v>
      </c>
      <c r="C201">
        <f>VLOOKUP(A:A,'דוח כספי 1-10.17'!A:A,1,0)</f>
        <v>1346302930</v>
      </c>
    </row>
    <row r="202" spans="1:3" ht="15.75">
      <c r="A202" s="50">
        <v>1346401930</v>
      </c>
      <c r="B202" s="51" t="s">
        <v>562</v>
      </c>
      <c r="C202">
        <f>VLOOKUP(A:A,'דוח כספי 1-10.17'!A:A,1,0)</f>
        <v>1346401930</v>
      </c>
    </row>
    <row r="203" spans="1:3" ht="15.75">
      <c r="A203" s="50">
        <v>1346402930</v>
      </c>
      <c r="B203" s="51" t="s">
        <v>368</v>
      </c>
      <c r="C203">
        <f>VLOOKUP(A:A,'דוח כספי 1-10.17'!A:A,1,0)</f>
        <v>1346402930</v>
      </c>
    </row>
    <row r="204" spans="1:3" ht="15.75">
      <c r="A204" s="50">
        <v>1346500930</v>
      </c>
      <c r="B204" s="51" t="s">
        <v>364</v>
      </c>
      <c r="C204">
        <f>VLOOKUP(A:A,'דוח כספי 1-10.17'!A:A,1,0)</f>
        <v>1346500930</v>
      </c>
    </row>
    <row r="205" spans="1:3" ht="15.75">
      <c r="A205" s="50">
        <v>1346501420</v>
      </c>
      <c r="B205" s="51" t="s">
        <v>563</v>
      </c>
      <c r="C205">
        <f>VLOOKUP(A:A,'דוח כספי 1-10.17'!A:A,1,0)</f>
        <v>1346501420</v>
      </c>
    </row>
    <row r="206" spans="1:3" ht="15.75">
      <c r="A206" s="50">
        <v>1346501930</v>
      </c>
      <c r="B206" s="51" t="s">
        <v>563</v>
      </c>
      <c r="C206">
        <f>VLOOKUP(A:A,'דוח כספי 1-10.17'!A:A,1,0)</f>
        <v>1346501930</v>
      </c>
    </row>
    <row r="207" spans="1:3" ht="15.75">
      <c r="A207" s="50">
        <v>1346601930</v>
      </c>
      <c r="B207" s="51" t="s">
        <v>370</v>
      </c>
      <c r="C207">
        <f>VLOOKUP(A:A,'דוח כספי 1-10.17'!A:A,1,0)</f>
        <v>1346601930</v>
      </c>
    </row>
    <row r="208" spans="1:3" ht="15.75">
      <c r="A208" s="50">
        <v>1346602930</v>
      </c>
      <c r="B208" s="51" t="s">
        <v>371</v>
      </c>
      <c r="C208">
        <f>VLOOKUP(A:A,'דוח כספי 1-10.17'!A:A,1,0)</f>
        <v>1346602930</v>
      </c>
    </row>
    <row r="209" spans="1:3" ht="15.75">
      <c r="A209" s="50">
        <v>1346603930</v>
      </c>
      <c r="B209" s="106" t="s">
        <v>1710</v>
      </c>
      <c r="C209">
        <f>VLOOKUP(A:A,'דוח כספי 1-10.17'!A:A,1,0)</f>
        <v>1346603930</v>
      </c>
    </row>
    <row r="210" spans="1:3" ht="15.75">
      <c r="A210" s="50">
        <v>1346701930</v>
      </c>
      <c r="B210" s="51" t="s">
        <v>564</v>
      </c>
      <c r="C210">
        <f>VLOOKUP(A:A,'דוח כספי 1-10.17'!A:A,1,0)</f>
        <v>1346701930</v>
      </c>
    </row>
    <row r="211" spans="1:3" ht="15.75">
      <c r="A211" s="50">
        <v>1346702930</v>
      </c>
      <c r="B211" s="51" t="s">
        <v>373</v>
      </c>
      <c r="C211">
        <f>VLOOKUP(A:A,'דוח כספי 1-10.17'!A:A,1,0)</f>
        <v>1346702930</v>
      </c>
    </row>
    <row r="212" spans="1:3" ht="15.75">
      <c r="A212" s="50">
        <v>1346703930</v>
      </c>
      <c r="B212" s="51" t="s">
        <v>374</v>
      </c>
      <c r="C212">
        <f>VLOOKUP(A:A,'דוח כספי 1-10.17'!A:A,1,0)</f>
        <v>1346703930</v>
      </c>
    </row>
    <row r="213" spans="1:3" ht="15.75">
      <c r="A213" s="50">
        <v>1346704930</v>
      </c>
      <c r="B213" s="51" t="s">
        <v>375</v>
      </c>
      <c r="C213">
        <f>VLOOKUP(A:A,'דוח כספי 1-10.17'!A:A,1,0)</f>
        <v>1346704930</v>
      </c>
    </row>
    <row r="214" spans="1:3" ht="15.75">
      <c r="A214" s="50">
        <v>1346800930</v>
      </c>
      <c r="B214" s="51" t="s">
        <v>565</v>
      </c>
      <c r="C214">
        <f>VLOOKUP(A:A,'דוח כספי 1-10.17'!A:A,1,0)</f>
        <v>1346800930</v>
      </c>
    </row>
    <row r="215" spans="1:3" ht="15.75">
      <c r="A215" s="50">
        <v>1346801930</v>
      </c>
      <c r="B215" s="51" t="s">
        <v>376</v>
      </c>
      <c r="C215">
        <f>VLOOKUP(A:A,'דוח כספי 1-10.17'!A:A,1,0)</f>
        <v>1346801930</v>
      </c>
    </row>
    <row r="216" spans="1:3" ht="15.75">
      <c r="A216" s="50">
        <v>1346802930</v>
      </c>
      <c r="B216" s="51" t="s">
        <v>377</v>
      </c>
      <c r="C216">
        <f>VLOOKUP(A:A,'דוח כספי 1-10.17'!A:A,1,0)</f>
        <v>1346802930</v>
      </c>
    </row>
    <row r="217" spans="1:3" ht="15.75">
      <c r="A217" s="50">
        <v>1347100930</v>
      </c>
      <c r="B217" s="51" t="s">
        <v>566</v>
      </c>
      <c r="C217">
        <f>VLOOKUP(A:A,'דוח כספי 1-10.17'!A:A,1,0)</f>
        <v>1347100930</v>
      </c>
    </row>
    <row r="218" spans="1:3" ht="15.75">
      <c r="A218" s="50">
        <v>1347101930</v>
      </c>
      <c r="B218" s="51" t="s">
        <v>567</v>
      </c>
      <c r="C218">
        <f>VLOOKUP(A:A,'דוח כספי 1-10.17'!A:A,1,0)</f>
        <v>1347101930</v>
      </c>
    </row>
    <row r="219" spans="1:3" ht="15.75">
      <c r="A219" s="50">
        <v>1347102930</v>
      </c>
      <c r="B219" s="51" t="s">
        <v>381</v>
      </c>
      <c r="C219">
        <f>VLOOKUP(A:A,'דוח כספי 1-10.17'!A:A,1,0)</f>
        <v>1347102930</v>
      </c>
    </row>
    <row r="220" spans="1:3" ht="15.75">
      <c r="A220" s="50">
        <v>1347103930</v>
      </c>
      <c r="B220" s="51" t="s">
        <v>382</v>
      </c>
      <c r="C220">
        <f>VLOOKUP(A:A,'דוח כספי 1-10.17'!A:A,1,0)</f>
        <v>1347103930</v>
      </c>
    </row>
    <row r="221" spans="1:3" ht="15.75">
      <c r="A221" s="50">
        <v>1347104930</v>
      </c>
      <c r="B221" s="51" t="s">
        <v>383</v>
      </c>
      <c r="C221">
        <f>VLOOKUP(A:A,'דוח כספי 1-10.17'!A:A,1,0)</f>
        <v>1347104930</v>
      </c>
    </row>
    <row r="222" spans="1:3" ht="15.75">
      <c r="A222" s="50">
        <v>1347105930</v>
      </c>
      <c r="B222" s="51" t="s">
        <v>568</v>
      </c>
      <c r="C222">
        <f>VLOOKUP(A:A,'דוח כספי 1-10.17'!A:A,1,0)</f>
        <v>1347105930</v>
      </c>
    </row>
    <row r="223" spans="1:3" ht="15.75">
      <c r="A223" s="50">
        <v>1347106930</v>
      </c>
      <c r="B223" s="51" t="s">
        <v>384</v>
      </c>
      <c r="C223">
        <f>VLOOKUP(A:A,'דוח כספי 1-10.17'!A:A,1,0)</f>
        <v>1347106930</v>
      </c>
    </row>
    <row r="224" spans="1:3" ht="15.75">
      <c r="A224" s="50">
        <v>1347201930</v>
      </c>
      <c r="B224" s="51" t="s">
        <v>385</v>
      </c>
      <c r="C224">
        <f>VLOOKUP(A:A,'דוח כספי 1-10.17'!A:A,1,0)</f>
        <v>1347201930</v>
      </c>
    </row>
    <row r="225" spans="1:3" ht="15.75">
      <c r="A225" s="50">
        <v>1347202930</v>
      </c>
      <c r="B225" s="51" t="s">
        <v>569</v>
      </c>
      <c r="C225">
        <f>VLOOKUP(A:A,'דוח כספי 1-10.17'!A:A,1,0)</f>
        <v>1347202930</v>
      </c>
    </row>
    <row r="226" spans="1:3" ht="15.75">
      <c r="A226" s="50">
        <v>1347301930</v>
      </c>
      <c r="B226" s="51" t="s">
        <v>570</v>
      </c>
      <c r="C226">
        <f>VLOOKUP(A:A,'דוח כספי 1-10.17'!A:A,1,0)</f>
        <v>1347301930</v>
      </c>
    </row>
    <row r="227" spans="1:3" ht="15.75">
      <c r="A227" s="50">
        <v>1347302930</v>
      </c>
      <c r="B227" s="51" t="s">
        <v>387</v>
      </c>
      <c r="C227">
        <f>VLOOKUP(A:A,'דוח כספי 1-10.17'!A:A,1,0)</f>
        <v>1347302930</v>
      </c>
    </row>
    <row r="228" spans="1:3" ht="15.75">
      <c r="A228" s="50">
        <v>1347400930</v>
      </c>
      <c r="B228" s="51" t="s">
        <v>571</v>
      </c>
      <c r="C228">
        <f>VLOOKUP(A:A,'דוח כספי 1-10.17'!A:A,1,0)</f>
        <v>1347400930</v>
      </c>
    </row>
    <row r="229" spans="1:3" ht="15.75">
      <c r="A229" s="50">
        <v>1347500930</v>
      </c>
      <c r="B229" s="160" t="s">
        <v>1639</v>
      </c>
      <c r="C229">
        <f>VLOOKUP(A:A,'דוח כספי 1-10.17'!A:A,1,0)</f>
        <v>1347500930</v>
      </c>
    </row>
    <row r="230" spans="1:3" ht="15.75">
      <c r="A230" s="50">
        <v>1348500930</v>
      </c>
      <c r="B230" s="160" t="s">
        <v>1637</v>
      </c>
      <c r="C230">
        <f>VLOOKUP(A:A,'דוח כספי 1-10.17'!A:A,1,0)</f>
        <v>1348500930</v>
      </c>
    </row>
    <row r="231" spans="1:3" ht="15.75">
      <c r="A231" s="50">
        <v>1348501420</v>
      </c>
      <c r="B231" s="51" t="s">
        <v>572</v>
      </c>
      <c r="C231">
        <f>VLOOKUP(A:A,'דוח כספי 1-10.17'!A:A,1,0)</f>
        <v>1348501420</v>
      </c>
    </row>
    <row r="232" spans="1:3" ht="15.75">
      <c r="A232" s="50">
        <v>1348501930</v>
      </c>
      <c r="B232" s="51" t="s">
        <v>573</v>
      </c>
      <c r="C232">
        <f>VLOOKUP(A:A,'דוח כספי 1-10.17'!A:A,1,0)</f>
        <v>1348501930</v>
      </c>
    </row>
    <row r="233" spans="1:3" ht="15.75">
      <c r="A233" s="50">
        <v>1348502930</v>
      </c>
      <c r="B233" s="51" t="s">
        <v>390</v>
      </c>
      <c r="C233">
        <f>VLOOKUP(A:A,'דוח כספי 1-10.17'!A:A,1,0)</f>
        <v>1348502930</v>
      </c>
    </row>
    <row r="234" spans="1:3" ht="15.75">
      <c r="A234" s="50">
        <v>1413100210</v>
      </c>
      <c r="B234" s="51" t="s">
        <v>574</v>
      </c>
      <c r="C234">
        <f>VLOOKUP(A:A,'דוח כספי 1-10.17'!A:A,1,0)</f>
        <v>1413100210</v>
      </c>
    </row>
    <row r="235" spans="1:3" ht="15.75">
      <c r="A235" s="50">
        <v>1413110210</v>
      </c>
      <c r="B235" s="51" t="s">
        <v>575</v>
      </c>
      <c r="C235">
        <f>VLOOKUP(A:A,'דוח כספי 1-10.17'!A:A,1,0)</f>
        <v>1413110210</v>
      </c>
    </row>
    <row r="236" spans="1:3" ht="15.75">
      <c r="A236" s="50">
        <v>1413200220</v>
      </c>
      <c r="B236" s="51" t="s">
        <v>576</v>
      </c>
      <c r="C236">
        <f>VLOOKUP(A:A,'דוח כספי 1-10.17'!A:A,1,0)</f>
        <v>1413200220</v>
      </c>
    </row>
    <row r="237" spans="1:3" ht="15.75">
      <c r="A237" s="50">
        <v>1413300810</v>
      </c>
      <c r="B237" s="51" t="s">
        <v>577</v>
      </c>
      <c r="C237">
        <f>VLOOKUP(A:A,'דוח כספי 1-10.17'!A:A,1,0)</f>
        <v>1413300810</v>
      </c>
    </row>
    <row r="238" spans="1:3" ht="15.75">
      <c r="A238" s="50">
        <v>1414300810</v>
      </c>
      <c r="B238" s="51" t="s">
        <v>578</v>
      </c>
      <c r="C238">
        <f>VLOOKUP(A:A,'דוח כספי 1-10.17'!A:A,1,0)</f>
        <v>1414300810</v>
      </c>
    </row>
    <row r="239" spans="1:3" ht="15.75">
      <c r="A239" s="50">
        <v>1433000290</v>
      </c>
      <c r="B239" s="51" t="s">
        <v>579</v>
      </c>
      <c r="C239">
        <f>VLOOKUP(A:A,'דוח כספי 1-10.17'!A:A,1,0)</f>
        <v>1433000290</v>
      </c>
    </row>
    <row r="240" spans="1:3" ht="15.75">
      <c r="A240" s="50">
        <v>1438000410</v>
      </c>
      <c r="B240" s="51" t="s">
        <v>580</v>
      </c>
      <c r="C240">
        <f>VLOOKUP(A:A,'דוח כספי 1-10.17'!A:A,1,0)</f>
        <v>1438000410</v>
      </c>
    </row>
    <row r="241" spans="1:3" ht="15.75">
      <c r="A241" s="50">
        <v>1472000210</v>
      </c>
      <c r="B241" s="51" t="s">
        <v>581</v>
      </c>
      <c r="C241">
        <f>VLOOKUP(A:A,'דוח כספי 1-10.17'!A:A,1,0)</f>
        <v>1472000210</v>
      </c>
    </row>
    <row r="242" spans="1:3" ht="15.75">
      <c r="A242" s="50">
        <v>1472000810</v>
      </c>
      <c r="B242" s="51" t="s">
        <v>582</v>
      </c>
      <c r="C242">
        <f>VLOOKUP(A:A,'דוח כספי 1-10.17'!A:A,1,0)</f>
        <v>1472000810</v>
      </c>
    </row>
    <row r="243" spans="1:3" ht="15.75">
      <c r="A243" s="50">
        <v>1599100910</v>
      </c>
      <c r="B243" s="51" t="s">
        <v>583</v>
      </c>
      <c r="C243">
        <f>VLOOKUP(A:A,'דוח כספי 1-10.17'!A:A,1,0)</f>
        <v>1599100910</v>
      </c>
    </row>
    <row r="244" spans="1:3" ht="15.75">
      <c r="A244" s="50">
        <v>1599900790</v>
      </c>
      <c r="B244" s="51" t="s">
        <v>584</v>
      </c>
      <c r="C244">
        <f>VLOOKUP(A:A,'דוח כספי 1-10.17'!A:A,1,0)</f>
        <v>1599900790</v>
      </c>
    </row>
    <row r="245" spans="1:3" ht="15.75">
      <c r="A245" s="51">
        <v>1611100110</v>
      </c>
      <c r="C245">
        <f>VLOOKUP(A:A,'דוח כספי 1-10.17'!A:A,1,0)</f>
        <v>1611100110</v>
      </c>
    </row>
    <row r="246" spans="1:3" ht="15.75">
      <c r="A246" s="51">
        <v>1611100511</v>
      </c>
      <c r="C246">
        <f>VLOOKUP(A:A,'דוח כספי 1-10.17'!A:A,1,0)</f>
        <v>1611100511</v>
      </c>
    </row>
    <row r="247" spans="1:3" ht="15.75">
      <c r="A247" s="51">
        <v>1611100514</v>
      </c>
      <c r="C247">
        <f>VLOOKUP(A:A,'דוח כספי 1-10.17'!A:A,1,0)</f>
        <v>1611100514</v>
      </c>
    </row>
    <row r="248" spans="1:3" ht="15.75">
      <c r="A248" s="51">
        <v>1611100521</v>
      </c>
      <c r="C248">
        <f>VLOOKUP(A:A,'דוח כספי 1-10.17'!A:A,1,0)</f>
        <v>1611100521</v>
      </c>
    </row>
    <row r="249" spans="1:3" ht="15.75">
      <c r="A249" s="51">
        <v>1611100522</v>
      </c>
      <c r="C249">
        <f>VLOOKUP(A:A,'דוח כספי 1-10.17'!A:A,1,0)</f>
        <v>1611100522</v>
      </c>
    </row>
    <row r="250" spans="1:3" ht="15.75">
      <c r="A250" s="51">
        <v>1611100523</v>
      </c>
      <c r="C250">
        <f>VLOOKUP(A:A,'דוח כספי 1-10.17'!A:A,1,0)</f>
        <v>1611100523</v>
      </c>
    </row>
    <row r="251" spans="1:3" ht="15.75">
      <c r="A251" s="51">
        <v>1611100530</v>
      </c>
      <c r="C251">
        <f>VLOOKUP(A:A,'דוח כספי 1-10.17'!A:A,1,0)</f>
        <v>1611100530</v>
      </c>
    </row>
    <row r="252" spans="1:3" ht="15.75">
      <c r="A252" s="51">
        <v>1611100531</v>
      </c>
      <c r="C252">
        <f>VLOOKUP(A:A,'דוח כספי 1-10.17'!A:A,1,0)</f>
        <v>1611100531</v>
      </c>
    </row>
    <row r="253" spans="1:3" ht="15.75">
      <c r="A253" s="51">
        <v>1611100532</v>
      </c>
      <c r="C253">
        <f>VLOOKUP(A:A,'דוח כספי 1-10.17'!A:A,1,0)</f>
        <v>1611100532</v>
      </c>
    </row>
    <row r="254" spans="1:3" ht="15.75">
      <c r="A254" s="51">
        <v>1611100533</v>
      </c>
      <c r="C254">
        <f>VLOOKUP(A:A,'דוח כספי 1-10.17'!A:A,1,0)</f>
        <v>1611100533</v>
      </c>
    </row>
    <row r="255" spans="1:3" ht="15.75">
      <c r="A255" s="51">
        <v>1611100540</v>
      </c>
      <c r="C255">
        <f>VLOOKUP(A:A,'דוח כספי 1-10.17'!A:A,1,0)</f>
        <v>1611100540</v>
      </c>
    </row>
    <row r="256" spans="1:3" ht="15.75">
      <c r="A256" s="51">
        <v>1611100560</v>
      </c>
      <c r="C256">
        <f>VLOOKUP(A:A,'דוח כספי 1-10.17'!A:A,1,0)</f>
        <v>1611100560</v>
      </c>
    </row>
    <row r="257" spans="1:3" ht="15.75">
      <c r="A257" s="51">
        <v>1611100750</v>
      </c>
      <c r="C257">
        <f>VLOOKUP(A:A,'דוח כספי 1-10.17'!A:A,1,0)</f>
        <v>1611100750</v>
      </c>
    </row>
    <row r="258" spans="1:3" ht="15.75">
      <c r="A258" s="51">
        <v>1611100751</v>
      </c>
      <c r="C258">
        <f>VLOOKUP(A:A,'דוח כספי 1-10.17'!A:A,1,0)</f>
        <v>1611100751</v>
      </c>
    </row>
    <row r="259" spans="1:3" ht="15.75">
      <c r="A259" s="51">
        <v>1611100760</v>
      </c>
      <c r="C259">
        <f>VLOOKUP(A:A,'דוח כספי 1-10.17'!A:A,1,0)</f>
        <v>1611100760</v>
      </c>
    </row>
    <row r="260" spans="1:3" ht="15.75">
      <c r="A260" s="51">
        <v>1611100780</v>
      </c>
      <c r="C260">
        <f>VLOOKUP(A:A,'דוח כספי 1-10.17'!A:A,1,0)</f>
        <v>1611100780</v>
      </c>
    </row>
    <row r="261" spans="1:3" ht="15.75">
      <c r="A261" s="51">
        <v>1611100930</v>
      </c>
      <c r="C261">
        <f>VLOOKUP(A:A,'דוח כספי 1-10.17'!A:A,1,0)</f>
        <v>1611100930</v>
      </c>
    </row>
    <row r="262" spans="1:3" ht="15.75">
      <c r="A262" s="51">
        <v>1611110110</v>
      </c>
      <c r="C262">
        <f>VLOOKUP(A:A,'דוח כספי 1-10.17'!A:A,1,0)</f>
        <v>1611110110</v>
      </c>
    </row>
    <row r="263" spans="1:3" ht="15.75">
      <c r="A263" s="51">
        <v>1612000523</v>
      </c>
      <c r="C263">
        <f>VLOOKUP(A:A,'דוח כספי 1-10.17'!A:A,1,0)</f>
        <v>1612000523</v>
      </c>
    </row>
    <row r="264" spans="1:3" ht="15.75">
      <c r="A264" s="51">
        <v>1612000550</v>
      </c>
      <c r="C264">
        <f>VLOOKUP(A:A,'דוח כספי 1-10.17'!A:A,1,0)</f>
        <v>1612000550</v>
      </c>
    </row>
    <row r="265" spans="1:3" ht="15.75">
      <c r="A265" s="51">
        <v>1612000930</v>
      </c>
      <c r="C265">
        <f>VLOOKUP(A:A,'דוח כספי 1-10.17'!A:A,1,0)</f>
        <v>1612000930</v>
      </c>
    </row>
    <row r="266" spans="1:3" ht="15.75">
      <c r="A266" s="51">
        <v>1613000110</v>
      </c>
      <c r="C266">
        <f>VLOOKUP(A:A,'דוח כספי 1-10.17'!A:A,1,0)</f>
        <v>1613000110</v>
      </c>
    </row>
    <row r="267" spans="1:3" ht="15.75">
      <c r="A267" s="51">
        <v>1613100110</v>
      </c>
      <c r="C267">
        <f>VLOOKUP(A:A,'דוח כספי 1-10.17'!A:A,1,0)</f>
        <v>1613100110</v>
      </c>
    </row>
    <row r="268" spans="1:3" ht="15.75">
      <c r="A268" s="51">
        <v>1613000320</v>
      </c>
      <c r="C268">
        <f>VLOOKUP(A:A,'דוח כספי 1-10.17'!A:A,1,0)</f>
        <v>1613000320</v>
      </c>
    </row>
    <row r="269" spans="1:3" ht="15.75">
      <c r="A269" s="51">
        <v>1613000431</v>
      </c>
      <c r="C269">
        <f>VLOOKUP(A:A,'דוח כספי 1-10.17'!A:A,1,0)</f>
        <v>1613000431</v>
      </c>
    </row>
    <row r="270" spans="1:3" ht="15.75">
      <c r="A270" s="51">
        <v>1613000511</v>
      </c>
      <c r="C270">
        <f>VLOOKUP(A:A,'דוח כספי 1-10.17'!A:A,1,0)</f>
        <v>1613000511</v>
      </c>
    </row>
    <row r="271" spans="1:3" ht="15.75">
      <c r="A271" s="51">
        <v>1613000522</v>
      </c>
      <c r="C271">
        <f>VLOOKUP(A:A,'דוח כספי 1-10.17'!A:A,1,0)</f>
        <v>1613000522</v>
      </c>
    </row>
    <row r="272" spans="1:3" ht="15.75">
      <c r="A272" s="51">
        <v>1613000523</v>
      </c>
      <c r="C272">
        <f>VLOOKUP(A:A,'דוח כספי 1-10.17'!A:A,1,0)</f>
        <v>1613000523</v>
      </c>
    </row>
    <row r="273" spans="1:3" ht="15.75">
      <c r="A273" s="51">
        <v>1613000540</v>
      </c>
      <c r="C273">
        <f>VLOOKUP(A:A,'דוח כספי 1-10.17'!A:A,1,0)</f>
        <v>1613000540</v>
      </c>
    </row>
    <row r="274" spans="1:3" ht="15.75">
      <c r="A274" s="51">
        <v>1613000550</v>
      </c>
      <c r="C274">
        <f>VLOOKUP(A:A,'דוח כספי 1-10.17'!A:A,1,0)</f>
        <v>1613000550</v>
      </c>
    </row>
    <row r="275" spans="1:3" ht="15.75">
      <c r="A275" s="51">
        <v>1613000560</v>
      </c>
      <c r="C275">
        <f>VLOOKUP(A:A,'דוח כספי 1-10.17'!A:A,1,0)</f>
        <v>1613000560</v>
      </c>
    </row>
    <row r="276" spans="1:3" ht="15.75">
      <c r="A276" s="51">
        <v>1613000710</v>
      </c>
      <c r="C276">
        <f>VLOOKUP(A:A,'דוח כספי 1-10.17'!A:A,1,0)</f>
        <v>1613000710</v>
      </c>
    </row>
    <row r="277" spans="1:3" ht="15.75">
      <c r="A277" s="51">
        <v>1613000720</v>
      </c>
      <c r="C277">
        <f>VLOOKUP(A:A,'דוח כספי 1-10.17'!A:A,1,0)</f>
        <v>1613000720</v>
      </c>
    </row>
    <row r="278" spans="1:3" ht="15.75">
      <c r="A278" s="51">
        <v>1613000740</v>
      </c>
      <c r="C278">
        <f>VLOOKUP(A:A,'דוח כספי 1-10.17'!A:A,1,0)</f>
        <v>1613000740</v>
      </c>
    </row>
    <row r="279" spans="1:3" ht="15.75">
      <c r="A279" s="51">
        <v>1613000750</v>
      </c>
      <c r="C279">
        <f>VLOOKUP(A:A,'דוח כספי 1-10.17'!A:A,1,0)</f>
        <v>1613000750</v>
      </c>
    </row>
    <row r="280" spans="1:3" ht="15.75">
      <c r="A280" s="51">
        <v>1613000780</v>
      </c>
      <c r="C280">
        <f>VLOOKUP(A:A,'דוח כספי 1-10.17'!A:A,1,0)</f>
        <v>1613000780</v>
      </c>
    </row>
    <row r="281" spans="1:3" ht="15.75">
      <c r="A281" s="51">
        <v>1613000810</v>
      </c>
      <c r="C281">
        <f>VLOOKUP(A:A,'דוח כספי 1-10.17'!A:A,1,0)</f>
        <v>1613000810</v>
      </c>
    </row>
    <row r="282" spans="1:3" ht="15.75">
      <c r="A282" s="51">
        <v>1613000830</v>
      </c>
      <c r="C282">
        <f>VLOOKUP(A:A,'דוח כספי 1-10.17'!A:A,1,0)</f>
        <v>1613000830</v>
      </c>
    </row>
    <row r="283" spans="1:3" ht="15.75">
      <c r="A283" s="51">
        <v>1613000970</v>
      </c>
      <c r="C283">
        <f>VLOOKUP(A:A,'דוח כספי 1-10.17'!A:A,1,0)</f>
        <v>1613000970</v>
      </c>
    </row>
    <row r="284" spans="1:3" ht="15.75">
      <c r="A284" s="51">
        <v>1615000110</v>
      </c>
      <c r="C284">
        <f>VLOOKUP(A:A,'דוח כספי 1-10.17'!A:A,1,0)</f>
        <v>1615000110</v>
      </c>
    </row>
    <row r="285" spans="1:3" ht="15.75">
      <c r="A285" s="51">
        <v>1615100110</v>
      </c>
      <c r="C285">
        <f>VLOOKUP(A:A,'דוח כספי 1-10.17'!A:A,1,0)</f>
        <v>1615100110</v>
      </c>
    </row>
    <row r="286" spans="1:3" ht="15.75">
      <c r="A286" s="51">
        <v>1615200110</v>
      </c>
      <c r="C286">
        <f>VLOOKUP(A:A,'דוח כספי 1-10.17'!A:A,1,0)</f>
        <v>1615200110</v>
      </c>
    </row>
    <row r="287" spans="1:3" ht="15.75">
      <c r="A287" s="51">
        <v>1615000760</v>
      </c>
      <c r="C287">
        <f>VLOOKUP(A:A,'דוח כספי 1-10.17'!A:A,1,0)</f>
        <v>1615000760</v>
      </c>
    </row>
    <row r="288" spans="1:3" ht="15.75">
      <c r="A288" s="51">
        <v>1616000521</v>
      </c>
      <c r="C288">
        <f>VLOOKUP(A:A,'דוח כספי 1-10.17'!A:A,1,0)</f>
        <v>1616000521</v>
      </c>
    </row>
    <row r="289" spans="1:3" ht="15.75">
      <c r="A289" s="51">
        <v>1616100521</v>
      </c>
      <c r="C289">
        <f>VLOOKUP(A:A,'דוח כספי 1-10.17'!A:A,1,0)</f>
        <v>1616100521</v>
      </c>
    </row>
    <row r="290" spans="1:3" ht="15.75">
      <c r="A290" s="51">
        <v>1617000581</v>
      </c>
      <c r="C290">
        <f>VLOOKUP(A:A,'דוח כספי 1-10.17'!A:A,1,0)</f>
        <v>1617000581</v>
      </c>
    </row>
    <row r="291" spans="1:3" ht="15.75">
      <c r="A291" s="51">
        <v>1617000582</v>
      </c>
      <c r="C291">
        <f>VLOOKUP(A:A,'דוח כספי 1-10.17'!A:A,1,0)</f>
        <v>1617000582</v>
      </c>
    </row>
    <row r="292" spans="1:3" ht="15.75">
      <c r="A292" s="51">
        <v>1617000750</v>
      </c>
      <c r="C292">
        <f>VLOOKUP(A:A,'דוח כספי 1-10.17'!A:A,1,0)</f>
        <v>1617000750</v>
      </c>
    </row>
    <row r="293" spans="1:3" ht="15.75">
      <c r="A293" s="51">
        <v>1617000751</v>
      </c>
      <c r="C293">
        <f>VLOOKUP(A:A,'דוח כספי 1-10.17'!A:A,1,0)</f>
        <v>1617000751</v>
      </c>
    </row>
    <row r="294" spans="1:3" ht="15.75">
      <c r="A294" s="51">
        <v>1619000780</v>
      </c>
      <c r="C294">
        <f>VLOOKUP(A:A,'דוח כספי 1-10.17'!A:A,1,0)</f>
        <v>1619000780</v>
      </c>
    </row>
    <row r="295" spans="1:3" ht="15.75">
      <c r="A295" s="51">
        <v>1619999399</v>
      </c>
      <c r="C295">
        <f>VLOOKUP(A:A,'דוח כספי 1-10.17'!A:A,1,0)</f>
        <v>1619999399</v>
      </c>
    </row>
    <row r="296" spans="1:3" ht="15.75">
      <c r="A296" s="51">
        <v>1621200110</v>
      </c>
      <c r="C296">
        <f>VLOOKUP(A:A,'דוח כספי 1-10.17'!A:A,1,0)</f>
        <v>1621200110</v>
      </c>
    </row>
    <row r="297" spans="1:3" ht="15.75">
      <c r="A297" s="51">
        <v>1621300110</v>
      </c>
      <c r="C297">
        <f>VLOOKUP(A:A,'דוח כספי 1-10.17'!A:A,1,0)</f>
        <v>1621300110</v>
      </c>
    </row>
    <row r="298" spans="1:3" ht="15.75">
      <c r="A298" s="51">
        <v>1621300521</v>
      </c>
      <c r="C298">
        <f>VLOOKUP(A:A,'דוח כספי 1-10.17'!A:A,1,0)</f>
        <v>1621300521</v>
      </c>
    </row>
    <row r="299" spans="1:3" ht="15.75">
      <c r="A299" s="51">
        <v>1621300523</v>
      </c>
      <c r="C299">
        <f>VLOOKUP(A:A,'דוח כספי 1-10.17'!A:A,1,0)</f>
        <v>1621300523</v>
      </c>
    </row>
    <row r="300" spans="1:3" ht="15.75">
      <c r="A300" s="51">
        <v>1621300540</v>
      </c>
      <c r="C300">
        <f>VLOOKUP(A:A,'דוח כספי 1-10.17'!A:A,1,0)</f>
        <v>1621300540</v>
      </c>
    </row>
    <row r="301" spans="1:3" ht="15.75">
      <c r="A301" s="51">
        <v>1621300550</v>
      </c>
      <c r="C301">
        <f>VLOOKUP(A:A,'דוח כספי 1-10.17'!A:A,1,0)</f>
        <v>1621300550</v>
      </c>
    </row>
    <row r="302" spans="1:3" ht="15.75">
      <c r="A302" s="51">
        <v>1621300560</v>
      </c>
      <c r="C302">
        <f>VLOOKUP(A:A,'דוח כספי 1-10.17'!A:A,1,0)</f>
        <v>1621300560</v>
      </c>
    </row>
    <row r="303" spans="1:3" ht="15.75">
      <c r="A303" s="51">
        <v>1621300570</v>
      </c>
      <c r="C303">
        <f>VLOOKUP(A:A,'דוח כספי 1-10.17'!A:A,1,0)</f>
        <v>1621300570</v>
      </c>
    </row>
    <row r="304" spans="1:3" ht="15.75">
      <c r="A304" s="51">
        <v>1621300571</v>
      </c>
      <c r="C304">
        <f>VLOOKUP(A:A,'דוח כספי 1-10.17'!A:A,1,0)</f>
        <v>1621300571</v>
      </c>
    </row>
    <row r="305" spans="1:3" ht="15.75">
      <c r="A305" s="51">
        <v>1621300750</v>
      </c>
      <c r="C305">
        <f>VLOOKUP(A:A,'דוח כספי 1-10.17'!A:A,1,0)</f>
        <v>1621300750</v>
      </c>
    </row>
    <row r="306" spans="1:3" ht="15.75">
      <c r="A306" s="51">
        <v>1621300751</v>
      </c>
      <c r="C306">
        <f>VLOOKUP(A:A,'דוח כספי 1-10.17'!A:A,1,0)</f>
        <v>1621300751</v>
      </c>
    </row>
    <row r="307" spans="1:3" ht="15.75">
      <c r="A307" s="51">
        <v>1621300752</v>
      </c>
      <c r="C307">
        <f>VLOOKUP(A:A,'דוח כספי 1-10.17'!A:A,1,0)</f>
        <v>1621300752</v>
      </c>
    </row>
    <row r="308" spans="1:3" ht="15.75">
      <c r="A308" s="51">
        <v>1621300780</v>
      </c>
      <c r="C308">
        <f>VLOOKUP(A:A,'דוח כספי 1-10.17'!A:A,1,0)</f>
        <v>1621300780</v>
      </c>
    </row>
    <row r="309" spans="1:3" ht="15.75">
      <c r="A309" s="51">
        <v>1621300930</v>
      </c>
      <c r="C309">
        <f>VLOOKUP(A:A,'דוח כספי 1-10.17'!A:A,1,0)</f>
        <v>1621300930</v>
      </c>
    </row>
    <row r="310" spans="1:3" ht="15.75">
      <c r="A310" s="51">
        <v>1623000110</v>
      </c>
      <c r="C310">
        <f>VLOOKUP(A:A,'דוח כספי 1-10.17'!A:A,1,0)</f>
        <v>1623000110</v>
      </c>
    </row>
    <row r="311" spans="1:3" ht="15.75">
      <c r="A311" s="51">
        <v>1623000320</v>
      </c>
      <c r="C311">
        <f>VLOOKUP(A:A,'דוח כספי 1-10.17'!A:A,1,0)</f>
        <v>1623000320</v>
      </c>
    </row>
    <row r="312" spans="1:3" ht="15.75">
      <c r="A312" s="51">
        <v>1623000540</v>
      </c>
      <c r="C312">
        <f>VLOOKUP(A:A,'דוח כספי 1-10.17'!A:A,1,0)</f>
        <v>1623000540</v>
      </c>
    </row>
    <row r="313" spans="1:3" ht="15.75">
      <c r="A313" s="51">
        <v>1623000550</v>
      </c>
      <c r="C313">
        <f>VLOOKUP(A:A,'דוח כספי 1-10.17'!A:A,1,0)</f>
        <v>1623000550</v>
      </c>
    </row>
    <row r="314" spans="1:3" ht="15.75">
      <c r="A314" s="51">
        <v>1623000560</v>
      </c>
      <c r="C314">
        <f>VLOOKUP(A:A,'דוח כספי 1-10.17'!A:A,1,0)</f>
        <v>1623000560</v>
      </c>
    </row>
    <row r="315" spans="1:3" ht="15.75">
      <c r="A315" s="51">
        <v>1623000570</v>
      </c>
      <c r="C315">
        <f>VLOOKUP(A:A,'דוח כספי 1-10.17'!A:A,1,0)</f>
        <v>1623000570</v>
      </c>
    </row>
    <row r="316" spans="1:3" ht="15.75">
      <c r="A316" s="51">
        <v>1623000582</v>
      </c>
      <c r="C316">
        <f>VLOOKUP(A:A,'דוח כספי 1-10.17'!A:A,1,0)</f>
        <v>1623000582</v>
      </c>
    </row>
    <row r="317" spans="1:3" ht="15.75">
      <c r="A317" s="51">
        <v>1623000750</v>
      </c>
      <c r="C317">
        <f>VLOOKUP(A:A,'דוח כספי 1-10.17'!A:A,1,0)</f>
        <v>1623000750</v>
      </c>
    </row>
    <row r="318" spans="1:3" ht="15.75">
      <c r="A318" s="51">
        <v>1623000751</v>
      </c>
      <c r="C318">
        <f>VLOOKUP(A:A,'דוח כספי 1-10.17'!A:A,1,0)</f>
        <v>1623000751</v>
      </c>
    </row>
    <row r="319" spans="1:3" ht="15.75">
      <c r="A319" s="51">
        <v>1623000780</v>
      </c>
      <c r="C319">
        <f>VLOOKUP(A:A,'דוח כספי 1-10.17'!A:A,1,0)</f>
        <v>1623000780</v>
      </c>
    </row>
    <row r="320" spans="1:3" ht="15.75">
      <c r="A320" s="51">
        <v>1623000930</v>
      </c>
      <c r="C320">
        <f>VLOOKUP(A:A,'דוח כספי 1-10.17'!A:A,1,0)</f>
        <v>1623000930</v>
      </c>
    </row>
    <row r="321" spans="1:3" ht="15.75">
      <c r="A321" s="51">
        <v>1629999399</v>
      </c>
      <c r="C321">
        <f>VLOOKUP(A:A,'דוח כספי 1-10.17'!A:A,1,0)</f>
        <v>1629999399</v>
      </c>
    </row>
    <row r="322" spans="1:3" ht="15.75">
      <c r="A322" s="51">
        <v>1631000610</v>
      </c>
      <c r="C322">
        <f>VLOOKUP(A:A,'דוח כספי 1-10.17'!A:A,1,0)</f>
        <v>1631000610</v>
      </c>
    </row>
    <row r="323" spans="1:3" ht="15.75">
      <c r="A323" s="51">
        <v>1632000620</v>
      </c>
      <c r="C323">
        <f>VLOOKUP(A:A,'דוח כספי 1-10.17'!A:A,1,0)</f>
        <v>1632000620</v>
      </c>
    </row>
    <row r="324" spans="1:3" ht="15.75">
      <c r="A324" s="51">
        <v>1632000640</v>
      </c>
      <c r="C324">
        <f>VLOOKUP(A:A,'דוח כספי 1-10.17'!A:A,1,0)</f>
        <v>1632000640</v>
      </c>
    </row>
    <row r="325" spans="1:3" ht="15.75">
      <c r="A325" s="51">
        <v>1632000650</v>
      </c>
      <c r="C325">
        <f>VLOOKUP(A:A,'דוח כספי 1-10.17'!A:A,1,0)</f>
        <v>1632000650</v>
      </c>
    </row>
    <row r="326" spans="1:3" ht="15.75">
      <c r="A326" s="51">
        <v>1632000660</v>
      </c>
      <c r="C326">
        <f>VLOOKUP(A:A,'דוח כספי 1-10.17'!A:A,1,0)</f>
        <v>1632000660</v>
      </c>
    </row>
    <row r="327" spans="1:3" ht="15.75">
      <c r="A327" s="51">
        <v>1640000690</v>
      </c>
      <c r="C327">
        <f>VLOOKUP(A:A,'דוח כספי 1-10.17'!A:A,1,0)</f>
        <v>1640000690</v>
      </c>
    </row>
    <row r="328" spans="1:3" ht="15.75">
      <c r="A328" s="51">
        <v>1648000691</v>
      </c>
      <c r="C328">
        <f>VLOOKUP(A:A,'דוח כספי 1-10.17'!A:A,1,0)</f>
        <v>1648000691</v>
      </c>
    </row>
    <row r="329" spans="1:3" ht="15.75">
      <c r="A329" s="51">
        <v>1648000692</v>
      </c>
      <c r="C329">
        <f>VLOOKUP(A:A,'דוח כספי 1-10.17'!A:A,1,0)</f>
        <v>1648000692</v>
      </c>
    </row>
    <row r="330" spans="1:3" ht="15.75">
      <c r="A330" s="51">
        <v>1648000693</v>
      </c>
      <c r="C330">
        <f>VLOOKUP(A:A,'דוח כספי 1-10.17'!A:A,1,0)</f>
        <v>1648000693</v>
      </c>
    </row>
    <row r="331" spans="1:3" ht="15.75">
      <c r="A331" s="51">
        <v>1649100691</v>
      </c>
      <c r="C331">
        <f>VLOOKUP(A:A,'דוח כספי 1-10.17'!A:A,1,0)</f>
        <v>1649100691</v>
      </c>
    </row>
    <row r="332" spans="1:3" ht="15.75">
      <c r="A332" s="51">
        <v>1649100692</v>
      </c>
      <c r="C332">
        <f>VLOOKUP(A:A,'דוח כספי 1-10.17'!A:A,1,0)</f>
        <v>1649100692</v>
      </c>
    </row>
    <row r="333" spans="1:3" ht="15.75">
      <c r="A333" s="51">
        <v>1649100693</v>
      </c>
      <c r="C333">
        <f>VLOOKUP(A:A,'דוח כספי 1-10.17'!A:A,1,0)</f>
        <v>1649100693</v>
      </c>
    </row>
    <row r="334" spans="1:3" ht="15.75">
      <c r="A334" s="51">
        <v>1649200691</v>
      </c>
      <c r="C334">
        <f>VLOOKUP(A:A,'דוח כספי 1-10.17'!A:A,1,0)</f>
        <v>1649200691</v>
      </c>
    </row>
    <row r="335" spans="1:3" ht="15.75">
      <c r="A335" s="51">
        <v>1649200692</v>
      </c>
      <c r="C335">
        <f>VLOOKUP(A:A,'דוח כספי 1-10.17'!A:A,1,0)</f>
        <v>1649200692</v>
      </c>
    </row>
    <row r="336" spans="1:3" ht="15.75">
      <c r="A336" s="51">
        <v>1649200693</v>
      </c>
      <c r="C336">
        <f>VLOOKUP(A:A,'דוח כספי 1-10.17'!A:A,1,0)</f>
        <v>1649200693</v>
      </c>
    </row>
    <row r="337" spans="1:3" ht="15.75">
      <c r="A337" s="51">
        <v>1712200740</v>
      </c>
      <c r="C337">
        <f>VLOOKUP(A:A,'דוח כספי 1-10.17'!A:A,1,0)</f>
        <v>1712200740</v>
      </c>
    </row>
    <row r="338" spans="1:3" ht="15.75">
      <c r="A338" s="175">
        <v>1712200540</v>
      </c>
      <c r="C338">
        <f>VLOOKUP(A:A,'דוח כספי 1-10.17'!A:A,1,0)</f>
        <v>1712200540</v>
      </c>
    </row>
    <row r="339" spans="1:3" ht="15.75">
      <c r="A339" s="51">
        <v>1712200740</v>
      </c>
      <c r="C339">
        <f>VLOOKUP(A:A,'דוח כספי 1-10.17'!A:A,1,0)</f>
        <v>1712200740</v>
      </c>
    </row>
    <row r="340" spans="1:3" ht="15.75">
      <c r="A340" s="51">
        <v>1712200750</v>
      </c>
      <c r="C340">
        <f>VLOOKUP(A:A,'דוח כספי 1-10.17'!A:A,1,0)</f>
        <v>1712200750</v>
      </c>
    </row>
    <row r="341" spans="1:3" ht="15.75">
      <c r="A341" s="51">
        <v>1712200751</v>
      </c>
      <c r="C341">
        <f>VLOOKUP(A:A,'דוח כספי 1-10.17'!A:A,1,0)</f>
        <v>1712200751</v>
      </c>
    </row>
    <row r="342" spans="1:3" ht="15.75">
      <c r="A342" s="51">
        <v>1712200780</v>
      </c>
      <c r="C342">
        <f>VLOOKUP(A:A,'דוח כספי 1-10.17'!A:A,1,0)</f>
        <v>1712200780</v>
      </c>
    </row>
    <row r="343" spans="1:3" ht="15.75">
      <c r="A343" s="51">
        <v>1712300740</v>
      </c>
      <c r="C343">
        <f>VLOOKUP(A:A,'דוח כספי 1-10.17'!A:A,1,0)</f>
        <v>1712300740</v>
      </c>
    </row>
    <row r="344" spans="1:3" ht="15.75">
      <c r="A344" s="51">
        <v>1712300750</v>
      </c>
      <c r="C344">
        <f>VLOOKUP(A:A,'דוח כספי 1-10.17'!A:A,1,0)</f>
        <v>1712300750</v>
      </c>
    </row>
    <row r="345" spans="1:3" ht="15.75">
      <c r="A345" s="51">
        <v>1712300751</v>
      </c>
      <c r="C345">
        <f>VLOOKUP(A:A,'דוח כספי 1-10.17'!A:A,1,0)</f>
        <v>1712300751</v>
      </c>
    </row>
    <row r="346" spans="1:3" ht="15.75">
      <c r="A346" s="51">
        <v>1712300930</v>
      </c>
      <c r="C346">
        <f>VLOOKUP(A:A,'דוח כספי 1-10.17'!A:A,1,0)</f>
        <v>1712300930</v>
      </c>
    </row>
    <row r="347" spans="1:3" ht="15.75">
      <c r="A347" s="51">
        <v>1713000110</v>
      </c>
      <c r="C347">
        <f>VLOOKUP(A:A,'דוח כספי 1-10.17'!A:A,1,0)</f>
        <v>1713000110</v>
      </c>
    </row>
    <row r="348" spans="1:3" ht="15.75">
      <c r="A348" s="51">
        <v>1714100830</v>
      </c>
      <c r="C348">
        <f>VLOOKUP(A:A,'דוח כספי 1-10.17'!A:A,1,0)</f>
        <v>1714100830</v>
      </c>
    </row>
    <row r="349" spans="1:3" ht="15.75">
      <c r="A349" s="51">
        <v>1715300720</v>
      </c>
      <c r="C349">
        <f>VLOOKUP(A:A,'דוח כספי 1-10.17'!A:A,1,0)</f>
        <v>1715300720</v>
      </c>
    </row>
    <row r="350" spans="1:3" ht="15.75">
      <c r="A350" s="51">
        <v>1715300740</v>
      </c>
      <c r="C350">
        <f>VLOOKUP(A:A,'דוח כספי 1-10.17'!A:A,1,0)</f>
        <v>1715300740</v>
      </c>
    </row>
    <row r="351" spans="1:3" ht="15.75">
      <c r="A351" s="51">
        <v>1715300750</v>
      </c>
      <c r="C351">
        <f>VLOOKUP(A:A,'דוח כספי 1-10.17'!A:A,1,0)</f>
        <v>1715300750</v>
      </c>
    </row>
    <row r="352" spans="1:3" ht="15.75">
      <c r="A352" s="51">
        <v>1715300930</v>
      </c>
      <c r="C352">
        <f>VLOOKUP(A:A,'דוח כספי 1-10.17'!A:A,1,0)</f>
        <v>1715300930</v>
      </c>
    </row>
    <row r="353" spans="1:3" ht="15.75">
      <c r="A353" s="51">
        <v>1719999399</v>
      </c>
      <c r="C353">
        <f>VLOOKUP(A:A,'דוח כספי 1-10.17'!A:A,1,0)</f>
        <v>1719999399</v>
      </c>
    </row>
    <row r="354" spans="1:3" ht="15.75">
      <c r="A354" s="51">
        <v>1722000110</v>
      </c>
      <c r="C354">
        <f>VLOOKUP(A:A,'דוח כספי 1-10.17'!A:A,1,0)</f>
        <v>1722000110</v>
      </c>
    </row>
    <row r="355" spans="1:3" ht="15.75">
      <c r="A355" s="51">
        <v>1722002110</v>
      </c>
      <c r="C355">
        <f>VLOOKUP(A:A,'דוח כספי 1-10.17'!A:A,1,0)</f>
        <v>1722002110</v>
      </c>
    </row>
    <row r="356" spans="1:3" ht="15.75">
      <c r="A356" s="51">
        <v>1722000731</v>
      </c>
      <c r="C356">
        <f>VLOOKUP(A:A,'דוח כספי 1-10.17'!A:A,1,0)</f>
        <v>1722000731</v>
      </c>
    </row>
    <row r="357" spans="1:3" ht="15.75">
      <c r="A357" s="51">
        <v>1722000731</v>
      </c>
      <c r="C357">
        <f>VLOOKUP(A:A,'דוח כספי 1-10.17'!A:A,1,0)</f>
        <v>1722000731</v>
      </c>
    </row>
    <row r="358" spans="1:3" ht="15.75">
      <c r="A358" s="51">
        <v>1722000732</v>
      </c>
      <c r="C358">
        <f>VLOOKUP(A:A,'דוח כספי 1-10.17'!A:A,1,0)</f>
        <v>1722000732</v>
      </c>
    </row>
    <row r="359" spans="1:3" ht="15.75">
      <c r="A359" s="51">
        <v>1722000733</v>
      </c>
      <c r="C359">
        <f>VLOOKUP(A:A,'דוח כספי 1-10.17'!A:A,1,0)</f>
        <v>1722000733</v>
      </c>
    </row>
    <row r="360" spans="1:3" ht="15.75">
      <c r="A360" s="51">
        <v>1722000780</v>
      </c>
      <c r="C360">
        <f>VLOOKUP(A:A,'דוח כספי 1-10.17'!A:A,1,0)</f>
        <v>1722000780</v>
      </c>
    </row>
    <row r="361" spans="1:3" ht="15.75">
      <c r="A361" s="175">
        <v>1722000730</v>
      </c>
      <c r="C361">
        <f>VLOOKUP(A:A,'דוח כספי 1-10.17'!A:A,1,0)</f>
        <v>1722000730</v>
      </c>
    </row>
    <row r="362" spans="1:3" ht="15.75">
      <c r="A362" s="175">
        <v>1722002780</v>
      </c>
      <c r="C362">
        <f>VLOOKUP(A:A,'דוח כספי 1-10.17'!A:A,1,0)</f>
        <v>1722002780</v>
      </c>
    </row>
    <row r="363" spans="1:3" ht="15.75">
      <c r="A363" s="51">
        <v>1723000750</v>
      </c>
      <c r="C363">
        <f>VLOOKUP(A:A,'דוח כספי 1-10.17'!A:A,1,0)</f>
        <v>1723000750</v>
      </c>
    </row>
    <row r="364" spans="1:3" ht="15.75">
      <c r="A364" s="51">
        <v>1723000810</v>
      </c>
      <c r="C364">
        <f>VLOOKUP(A:A,'דוח כספי 1-10.17'!A:A,1,0)</f>
        <v>1723000810</v>
      </c>
    </row>
    <row r="365" spans="1:3" ht="15.75">
      <c r="A365" s="51">
        <v>1723000930</v>
      </c>
      <c r="C365">
        <f>VLOOKUP(A:A,'דוח כספי 1-10.17'!A:A,1,0)</f>
        <v>1723000930</v>
      </c>
    </row>
    <row r="366" spans="1:3" ht="15.75">
      <c r="A366" s="51">
        <v>1723000811</v>
      </c>
      <c r="C366">
        <f>VLOOKUP(A:A,'דוח כספי 1-10.17'!A:A,1,0)</f>
        <v>1723000811</v>
      </c>
    </row>
    <row r="367" spans="1:3" ht="15.75">
      <c r="A367" s="51">
        <v>1724000760</v>
      </c>
      <c r="C367">
        <f>VLOOKUP(A:A,'דוח כספי 1-10.17'!A:A,1,0)</f>
        <v>1724000760</v>
      </c>
    </row>
    <row r="368" spans="1:3" ht="15.75">
      <c r="A368" s="51">
        <v>1724000830</v>
      </c>
      <c r="C368">
        <f>VLOOKUP(A:A,'דוח כספי 1-10.17'!A:A,1,0)</f>
        <v>1724000830</v>
      </c>
    </row>
    <row r="369" spans="1:3" ht="15.75">
      <c r="A369" s="51">
        <v>1725000750</v>
      </c>
      <c r="C369">
        <f>VLOOKUP(A:A,'דוח כספי 1-10.17'!A:A,1,0)</f>
        <v>1725000750</v>
      </c>
    </row>
    <row r="370" spans="1:3" ht="15.75">
      <c r="A370" s="51">
        <v>1725000110</v>
      </c>
      <c r="C370">
        <f>VLOOKUP(A:A,'דוח כספי 1-10.17'!A:A,1,0)</f>
        <v>1725000110</v>
      </c>
    </row>
    <row r="371" spans="1:3" ht="15.75">
      <c r="A371" s="51">
        <v>1726100750</v>
      </c>
      <c r="C371">
        <f>VLOOKUP(A:A,'דוח כספי 1-10.17'!A:A,1,0)</f>
        <v>1726100750</v>
      </c>
    </row>
    <row r="372" spans="1:3" ht="15.75">
      <c r="A372" s="51">
        <v>1726100780</v>
      </c>
      <c r="C372">
        <f>VLOOKUP(A:A,'דוח כספי 1-10.17'!A:A,1,0)</f>
        <v>1726100780</v>
      </c>
    </row>
    <row r="373" spans="1:3" ht="15.75">
      <c r="A373" s="51">
        <v>1729999399</v>
      </c>
      <c r="C373">
        <f>VLOOKUP(A:A,'דוח כספי 1-10.17'!A:A,1,0)</f>
        <v>1729999399</v>
      </c>
    </row>
    <row r="374" spans="1:3" ht="15.75">
      <c r="A374" s="51">
        <v>1731000110</v>
      </c>
      <c r="C374">
        <f>VLOOKUP(A:A,'דוח כספי 1-10.17'!A:A,1,0)</f>
        <v>1731000110</v>
      </c>
    </row>
    <row r="375" spans="1:3" ht="15.75">
      <c r="A375" s="51">
        <v>1731000440</v>
      </c>
      <c r="C375">
        <f>VLOOKUP(A:A,'דוח כספי 1-10.17'!A:A,1,0)</f>
        <v>1731000440</v>
      </c>
    </row>
    <row r="376" spans="1:3" ht="15.75">
      <c r="A376" s="51">
        <v>1731000523</v>
      </c>
      <c r="C376">
        <f>VLOOKUP(A:A,'דוח כספי 1-10.17'!A:A,1,0)</f>
        <v>1731000523</v>
      </c>
    </row>
    <row r="377" spans="1:3" ht="15.75">
      <c r="A377" s="51">
        <v>1731000540</v>
      </c>
      <c r="C377">
        <f>VLOOKUP(A:A,'דוח כספי 1-10.17'!A:A,1,0)</f>
        <v>1731000540</v>
      </c>
    </row>
    <row r="378" spans="1:3" ht="15.75">
      <c r="A378" s="51">
        <v>1731000560</v>
      </c>
      <c r="C378">
        <f>VLOOKUP(A:A,'דוח כספי 1-10.17'!A:A,1,0)</f>
        <v>1731000560</v>
      </c>
    </row>
    <row r="379" spans="1:3" ht="15.75">
      <c r="A379" s="51">
        <v>1731000780</v>
      </c>
      <c r="C379">
        <f>VLOOKUP(A:A,'דוח כספי 1-10.17'!A:A,1,0)</f>
        <v>1731000780</v>
      </c>
    </row>
    <row r="380" spans="1:3" ht="15.75">
      <c r="A380" s="51">
        <v>1731000930</v>
      </c>
      <c r="C380">
        <f>VLOOKUP(A:A,'דוח כספי 1-10.17'!A:A,1,0)</f>
        <v>1731000930</v>
      </c>
    </row>
    <row r="381" spans="1:3" ht="15.75">
      <c r="A381" s="51">
        <v>1732100750</v>
      </c>
      <c r="C381">
        <f>VLOOKUP(A:A,'דוח כספי 1-10.17'!A:A,1,0)</f>
        <v>1732100750</v>
      </c>
    </row>
    <row r="382" spans="1:3" ht="15.75">
      <c r="A382" s="51">
        <v>1732100950</v>
      </c>
      <c r="C382">
        <f>VLOOKUP(A:A,'דוח כספי 1-10.17'!A:A,1,0)</f>
        <v>1732100950</v>
      </c>
    </row>
    <row r="383" spans="1:3" ht="15.75">
      <c r="A383" s="51">
        <v>1733400750</v>
      </c>
      <c r="C383">
        <f>VLOOKUP(A:A,'דוח כספי 1-10.17'!A:A,1,0)</f>
        <v>1733400750</v>
      </c>
    </row>
    <row r="384" spans="1:3" ht="15.75">
      <c r="A384" s="51">
        <v>1739999399</v>
      </c>
      <c r="C384">
        <f>VLOOKUP(A:A,'דוח כספי 1-10.17'!A:A,1,0)</f>
        <v>1739999399</v>
      </c>
    </row>
    <row r="385" spans="1:3" ht="15.75">
      <c r="A385" s="51">
        <v>1741000110</v>
      </c>
      <c r="C385">
        <f>VLOOKUP(A:A,'דוח כספי 1-10.17'!A:A,1,0)</f>
        <v>1741000110</v>
      </c>
    </row>
    <row r="386" spans="1:3" ht="15.75">
      <c r="A386" s="51">
        <v>1741000320</v>
      </c>
      <c r="C386">
        <f>VLOOKUP(A:A,'דוח כספי 1-10.17'!A:A,1,0)</f>
        <v>1741000320</v>
      </c>
    </row>
    <row r="387" spans="1:3" ht="15.75">
      <c r="A387" s="51">
        <v>1741000540</v>
      </c>
      <c r="C387">
        <f>VLOOKUP(A:A,'דוח כספי 1-10.17'!A:A,1,0)</f>
        <v>1741000540</v>
      </c>
    </row>
    <row r="388" spans="1:3" ht="15.75">
      <c r="A388" s="51">
        <v>1741000720</v>
      </c>
      <c r="C388">
        <f>VLOOKUP(A:A,'דוח כספי 1-10.17'!A:A,1,0)</f>
        <v>1741000720</v>
      </c>
    </row>
    <row r="389" spans="1:3" ht="15.75">
      <c r="A389" s="51">
        <v>1741000731</v>
      </c>
      <c r="C389">
        <f>VLOOKUP(A:A,'דוח כספי 1-10.17'!A:A,1,0)</f>
        <v>1741000731</v>
      </c>
    </row>
    <row r="390" spans="1:3" ht="15.75">
      <c r="A390" s="51">
        <v>1741000732</v>
      </c>
      <c r="C390">
        <f>VLOOKUP(A:A,'דוח כספי 1-10.17'!A:A,1,0)</f>
        <v>1741000732</v>
      </c>
    </row>
    <row r="391" spans="1:3" ht="15.75">
      <c r="A391" s="51">
        <v>1741000733</v>
      </c>
      <c r="C391">
        <f>VLOOKUP(A:A,'דוח כספי 1-10.17'!A:A,1,0)</f>
        <v>1741000733</v>
      </c>
    </row>
    <row r="392" spans="1:3" ht="15.75">
      <c r="A392" s="51">
        <v>1741000740</v>
      </c>
      <c r="C392">
        <f>VLOOKUP(A:A,'דוח כספי 1-10.17'!A:A,1,0)</f>
        <v>1741000740</v>
      </c>
    </row>
    <row r="393" spans="1:3" ht="15.75">
      <c r="A393" s="51">
        <v>1741000750</v>
      </c>
      <c r="C393">
        <f>VLOOKUP(A:A,'דוח כספי 1-10.17'!A:A,1,0)</f>
        <v>1741000750</v>
      </c>
    </row>
    <row r="394" spans="1:3" ht="15.75">
      <c r="A394" s="51">
        <v>1743000750</v>
      </c>
      <c r="C394">
        <f>VLOOKUP(A:A,'דוח כספי 1-10.17'!A:A,1,0)</f>
        <v>1743000750</v>
      </c>
    </row>
    <row r="395" spans="1:3" ht="15.75">
      <c r="A395" s="51">
        <v>1743000771</v>
      </c>
      <c r="C395">
        <f>VLOOKUP(A:A,'דוח כספי 1-10.17'!A:A,1,0)</f>
        <v>1743000771</v>
      </c>
    </row>
    <row r="396" spans="1:3" ht="15.75">
      <c r="A396" s="51">
        <v>1744000750</v>
      </c>
      <c r="C396">
        <f>VLOOKUP(A:A,'דוח כספי 1-10.17'!A:A,1,0)</f>
        <v>1744000750</v>
      </c>
    </row>
    <row r="397" spans="1:3" ht="15.75">
      <c r="A397" s="51">
        <v>1744000780</v>
      </c>
      <c r="C397">
        <f>VLOOKUP(A:A,'דוח כספי 1-10.17'!A:A,1,0)</f>
        <v>1744000780</v>
      </c>
    </row>
    <row r="398" spans="1:3" ht="15.75">
      <c r="A398" s="51">
        <v>1745000750</v>
      </c>
      <c r="C398">
        <f>VLOOKUP(A:A,'דוח כספי 1-10.17'!A:A,1,0)</f>
        <v>1745000750</v>
      </c>
    </row>
    <row r="399" spans="1:3" ht="15.75">
      <c r="A399" s="51">
        <v>1745000830</v>
      </c>
      <c r="C399">
        <f>VLOOKUP(A:A,'דוח כספי 1-10.17'!A:A,1,0)</f>
        <v>1745000830</v>
      </c>
    </row>
    <row r="400" spans="1:3" ht="15.75">
      <c r="A400" s="51">
        <v>1747200110</v>
      </c>
      <c r="C400">
        <f>VLOOKUP(A:A,'דוח כספי 1-10.17'!A:A,1,0)</f>
        <v>1747200110</v>
      </c>
    </row>
    <row r="401" spans="1:3" ht="15.75">
      <c r="A401" s="51">
        <v>1747200320</v>
      </c>
      <c r="C401">
        <f>VLOOKUP(A:A,'דוח כספי 1-10.17'!A:A,1,0)</f>
        <v>1747200320</v>
      </c>
    </row>
    <row r="402" spans="1:3" ht="15.75">
      <c r="A402" s="51">
        <v>1747200431</v>
      </c>
      <c r="C402">
        <f>VLOOKUP(A:A,'דוח כספי 1-10.17'!A:A,1,0)</f>
        <v>1747200431</v>
      </c>
    </row>
    <row r="403" spans="1:3" ht="15.75">
      <c r="A403" s="51">
        <v>1747200432</v>
      </c>
      <c r="C403">
        <f>VLOOKUP(A:A,'דוח כספי 1-10.17'!A:A,1,0)</f>
        <v>1747200432</v>
      </c>
    </row>
    <row r="404" spans="1:3" ht="15.75">
      <c r="A404" s="51">
        <v>1747200433</v>
      </c>
      <c r="C404">
        <f>VLOOKUP(A:A,'דוח כספי 1-10.17'!A:A,1,0)</f>
        <v>1747200433</v>
      </c>
    </row>
    <row r="405" spans="1:3" ht="15.75">
      <c r="A405" s="51">
        <v>1747200440</v>
      </c>
      <c r="C405">
        <f>VLOOKUP(A:A,'דוח כספי 1-10.17'!A:A,1,0)</f>
        <v>1747200440</v>
      </c>
    </row>
    <row r="406" spans="1:3" ht="15.75">
      <c r="A406" s="51">
        <v>1747200540</v>
      </c>
      <c r="C406">
        <f>VLOOKUP(A:A,'דוח כספי 1-10.17'!A:A,1,0)</f>
        <v>1747200540</v>
      </c>
    </row>
    <row r="407" spans="1:3" ht="15.75">
      <c r="A407" s="51">
        <v>1747200720</v>
      </c>
      <c r="C407">
        <f>VLOOKUP(A:A,'דוח כספי 1-10.17'!A:A,1,0)</f>
        <v>1747200720</v>
      </c>
    </row>
    <row r="408" spans="1:3" ht="15.75">
      <c r="A408" s="51">
        <v>1747200730</v>
      </c>
      <c r="C408">
        <f>VLOOKUP(A:A,'דוח כספי 1-10.17'!A:A,1,0)</f>
        <v>1747200730</v>
      </c>
    </row>
    <row r="409" spans="1:3" ht="15.75">
      <c r="A409" s="51">
        <v>1747200740</v>
      </c>
      <c r="C409">
        <f>VLOOKUP(A:A,'דוח כספי 1-10.17'!A:A,1,0)</f>
        <v>1747200740</v>
      </c>
    </row>
    <row r="410" spans="1:3" ht="15.75">
      <c r="A410" s="51">
        <v>1747200750</v>
      </c>
      <c r="C410">
        <f>VLOOKUP(A:A,'דוח כספי 1-10.17'!A:A,1,0)</f>
        <v>1747200750</v>
      </c>
    </row>
    <row r="411" spans="1:3" ht="15.75">
      <c r="A411" s="51">
        <v>1747200780</v>
      </c>
      <c r="C411">
        <f>VLOOKUP(A:A,'דוח כספי 1-10.17'!A:A,1,0)</f>
        <v>1747200780</v>
      </c>
    </row>
    <row r="412" spans="1:3" ht="15.75">
      <c r="A412" s="51">
        <v>1747200930</v>
      </c>
      <c r="C412">
        <f>VLOOKUP(A:A,'דוח כספי 1-10.17'!A:A,1,0)</f>
        <v>1747200930</v>
      </c>
    </row>
    <row r="413" spans="1:3" ht="15.75">
      <c r="A413" s="51">
        <v>1747210440</v>
      </c>
      <c r="C413">
        <f>VLOOKUP(A:A,'דוח כספי 1-10.17'!A:A,1,0)</f>
        <v>1747210440</v>
      </c>
    </row>
    <row r="414" spans="1:3" ht="15.75">
      <c r="A414" s="51">
        <v>1748000432</v>
      </c>
      <c r="C414">
        <f>VLOOKUP(A:A,'דוח כספי 1-10.17'!A:A,1,0)</f>
        <v>1748000432</v>
      </c>
    </row>
    <row r="415" spans="1:3" ht="15.75">
      <c r="A415" s="51">
        <v>1752000780</v>
      </c>
      <c r="C415">
        <f>VLOOKUP(A:A,'דוח כספי 1-10.17'!A:A,1,0)</f>
        <v>1752000780</v>
      </c>
    </row>
    <row r="416" spans="1:3" ht="15.75">
      <c r="A416" s="51">
        <v>1766000870</v>
      </c>
      <c r="C416">
        <f>VLOOKUP(A:A,'דוח כספי 1-10.17'!A:A,1,0)</f>
        <v>1766000870</v>
      </c>
    </row>
    <row r="417" spans="1:3" ht="15.75">
      <c r="A417" s="51">
        <v>1767000441</v>
      </c>
      <c r="C417">
        <f>VLOOKUP(A:A,'דוח כספי 1-10.17'!A:A,1,0)</f>
        <v>1767000441</v>
      </c>
    </row>
    <row r="418" spans="1:3" ht="15.75">
      <c r="A418" s="51">
        <v>1767000442</v>
      </c>
      <c r="C418">
        <f>VLOOKUP(A:A,'דוח כספי 1-10.17'!A:A,1,0)</f>
        <v>1767000442</v>
      </c>
    </row>
    <row r="419" spans="1:3" ht="15.75">
      <c r="A419" s="51">
        <v>1769500540</v>
      </c>
      <c r="C419">
        <f>VLOOKUP(A:A,'דוח כספי 1-10.17'!A:A,1,0)</f>
        <v>1769500540</v>
      </c>
    </row>
    <row r="420" spans="1:3" ht="15.75">
      <c r="A420" s="51">
        <v>1769500560</v>
      </c>
      <c r="C420">
        <f>VLOOKUP(A:A,'דוח כספי 1-10.17'!A:A,1,0)</f>
        <v>1769500560</v>
      </c>
    </row>
    <row r="421" spans="1:3" ht="15.75">
      <c r="A421" s="51">
        <v>1769500720</v>
      </c>
      <c r="C421">
        <f>VLOOKUP(A:A,'דוח כספי 1-10.17'!A:A,1,0)</f>
        <v>1769500720</v>
      </c>
    </row>
    <row r="422" spans="1:3" ht="15.75">
      <c r="A422" s="51">
        <v>1769500750</v>
      </c>
      <c r="C422">
        <f>VLOOKUP(A:A,'דוח כספי 1-10.17'!A:A,1,0)</f>
        <v>1769500750</v>
      </c>
    </row>
    <row r="423" spans="1:3" ht="15.75">
      <c r="A423" s="51">
        <v>1769500780</v>
      </c>
      <c r="C423">
        <f>VLOOKUP(A:A,'דוח כספי 1-10.17'!A:A,1,0)</f>
        <v>1769500780</v>
      </c>
    </row>
    <row r="424" spans="1:3" ht="15.75">
      <c r="A424" s="51">
        <v>1811000110</v>
      </c>
      <c r="C424">
        <f>VLOOKUP(A:A,'דוח כספי 1-10.17'!A:A,1,0)</f>
        <v>1811000110</v>
      </c>
    </row>
    <row r="425" spans="1:3" ht="15.75">
      <c r="A425" s="51">
        <v>1811000320</v>
      </c>
      <c r="C425">
        <f>VLOOKUP(A:A,'דוח כספי 1-10.17'!A:A,1,0)</f>
        <v>1811000320</v>
      </c>
    </row>
    <row r="426" spans="1:3" ht="15.75">
      <c r="A426" s="51">
        <v>1811000521</v>
      </c>
      <c r="C426">
        <f>VLOOKUP(A:A,'דוח כספי 1-10.17'!A:A,1,0)</f>
        <v>1811000521</v>
      </c>
    </row>
    <row r="427" spans="1:3" ht="15.75">
      <c r="A427" s="51">
        <v>1811000522</v>
      </c>
      <c r="C427">
        <f>VLOOKUP(A:A,'דוח כספי 1-10.17'!A:A,1,0)</f>
        <v>1811000522</v>
      </c>
    </row>
    <row r="428" spans="1:3" ht="15.75">
      <c r="A428" s="51">
        <v>1811000523</v>
      </c>
      <c r="C428">
        <f>VLOOKUP(A:A,'דוח כספי 1-10.17'!A:A,1,0)</f>
        <v>1811000523</v>
      </c>
    </row>
    <row r="429" spans="1:3" ht="15.75">
      <c r="A429" s="51">
        <v>1811000540</v>
      </c>
      <c r="C429">
        <f>VLOOKUP(A:A,'דוח כספי 1-10.17'!A:A,1,0)</f>
        <v>1811000540</v>
      </c>
    </row>
    <row r="430" spans="1:3" ht="15.75">
      <c r="A430" s="51">
        <v>1811000550</v>
      </c>
      <c r="C430">
        <f>VLOOKUP(A:A,'דוח כספי 1-10.17'!A:A,1,0)</f>
        <v>1811000550</v>
      </c>
    </row>
    <row r="431" spans="1:3" ht="15.75">
      <c r="A431" s="51">
        <v>1811000560</v>
      </c>
      <c r="C431">
        <f>VLOOKUP(A:A,'דוח כספי 1-10.17'!A:A,1,0)</f>
        <v>1811000560</v>
      </c>
    </row>
    <row r="432" spans="1:3" ht="15.75">
      <c r="A432" s="51">
        <v>1811000570</v>
      </c>
      <c r="C432">
        <f>VLOOKUP(A:A,'דוח כספי 1-10.17'!A:A,1,0)</f>
        <v>1811000570</v>
      </c>
    </row>
    <row r="433" spans="1:3" ht="15.75">
      <c r="A433" s="51">
        <v>1811000750</v>
      </c>
      <c r="C433">
        <f>VLOOKUP(A:A,'דוח כספי 1-10.17'!A:A,1,0)</f>
        <v>1811000750</v>
      </c>
    </row>
    <row r="434" spans="1:3" ht="15.75">
      <c r="A434" s="51">
        <v>1811000780</v>
      </c>
      <c r="C434">
        <f>VLOOKUP(A:A,'דוח כספי 1-10.17'!A:A,1,0)</f>
        <v>1811000780</v>
      </c>
    </row>
    <row r="435" spans="1:3" ht="15.75">
      <c r="A435" s="51">
        <v>1811000910</v>
      </c>
      <c r="C435">
        <f>VLOOKUP(A:A,'דוח כספי 1-10.17'!A:A,1,0)</f>
        <v>1811000910</v>
      </c>
    </row>
    <row r="436" spans="1:3" ht="15.75">
      <c r="A436" s="51">
        <v>1811000930</v>
      </c>
      <c r="C436">
        <f>VLOOKUP(A:A,'דוח כספי 1-10.17'!A:A,1,0)</f>
        <v>1811000930</v>
      </c>
    </row>
    <row r="437" spans="1:3" ht="15.75">
      <c r="A437" s="51">
        <v>1811000960</v>
      </c>
      <c r="C437">
        <f>VLOOKUP(A:A,'דוח כספי 1-10.17'!A:A,1,0)</f>
        <v>1811000960</v>
      </c>
    </row>
    <row r="438" spans="1:3" ht="15.75">
      <c r="A438" s="51">
        <v>1811010930</v>
      </c>
      <c r="C438">
        <f>VLOOKUP(A:A,'דוח כספי 1-10.17'!A:A,1,0)</f>
        <v>1811010930</v>
      </c>
    </row>
    <row r="439" spans="1:3" ht="15.75">
      <c r="A439" s="51">
        <v>1811020750</v>
      </c>
      <c r="C439">
        <f>VLOOKUP(A:A,'דוח כספי 1-10.17'!A:A,1,0)</f>
        <v>1811020750</v>
      </c>
    </row>
    <row r="440" spans="1:3" ht="15.75">
      <c r="A440" s="51">
        <v>1812200110</v>
      </c>
      <c r="C440">
        <f>VLOOKUP(A:A,'דוח כספי 1-10.17'!A:A,1,0)</f>
        <v>1812200110</v>
      </c>
    </row>
    <row r="441" spans="1:3" ht="15.75">
      <c r="A441" s="51">
        <v>1812200420</v>
      </c>
      <c r="C441">
        <f>VLOOKUP(A:A,'דוח כספי 1-10.17'!A:A,1,0)</f>
        <v>1812200420</v>
      </c>
    </row>
    <row r="442" spans="1:3" ht="15.75">
      <c r="A442" s="51">
        <v>1812200431</v>
      </c>
      <c r="C442">
        <f>VLOOKUP(A:A,'דוח כספי 1-10.17'!A:A,1,0)</f>
        <v>1812200431</v>
      </c>
    </row>
    <row r="443" spans="1:3" ht="15.75">
      <c r="A443" s="51">
        <v>1812200432</v>
      </c>
      <c r="C443">
        <f>VLOOKUP(A:A,'דוח כספי 1-10.17'!A:A,1,0)</f>
        <v>1812200432</v>
      </c>
    </row>
    <row r="444" spans="1:3" ht="15.75">
      <c r="A444" s="51">
        <v>1812200433</v>
      </c>
      <c r="C444">
        <f>VLOOKUP(A:A,'דוח כספי 1-10.17'!A:A,1,0)</f>
        <v>1812200433</v>
      </c>
    </row>
    <row r="445" spans="1:3" ht="15.75">
      <c r="A445" s="51">
        <v>1812200720</v>
      </c>
      <c r="C445">
        <f>VLOOKUP(A:A,'דוח כספי 1-10.17'!A:A,1,0)</f>
        <v>1812200720</v>
      </c>
    </row>
    <row r="446" spans="1:3" ht="15.75">
      <c r="A446" s="51">
        <v>1812200740</v>
      </c>
      <c r="C446">
        <f>VLOOKUP(A:A,'דוח כספי 1-10.17'!A:A,1,0)</f>
        <v>1812200740</v>
      </c>
    </row>
    <row r="447" spans="1:3" ht="15.75">
      <c r="A447" s="51">
        <v>1812200750</v>
      </c>
      <c r="C447">
        <f>VLOOKUP(A:A,'דוח כספי 1-10.17'!A:A,1,0)</f>
        <v>1812200750</v>
      </c>
    </row>
    <row r="448" spans="1:3" ht="15.75">
      <c r="A448" s="51">
        <v>1812200780</v>
      </c>
      <c r="C448">
        <f>VLOOKUP(A:A,'דוח כספי 1-10.17'!A:A,1,0)</f>
        <v>1812200780</v>
      </c>
    </row>
    <row r="449" spans="1:3" ht="15">
      <c r="A449" s="177"/>
      <c r="C449" t="e">
        <f>VLOOKUP(A:A,'דוח כספי 1-10.17'!A:A,1,0)</f>
        <v>#N/A</v>
      </c>
    </row>
    <row r="450" spans="1:3" ht="15.75">
      <c r="A450" s="51">
        <v>1812200810</v>
      </c>
      <c r="C450">
        <f>VLOOKUP(A:A,'דוח כספי 1-10.17'!A:A,1,0)</f>
        <v>1812200810</v>
      </c>
    </row>
    <row r="451" spans="1:3" ht="15.75">
      <c r="A451" s="51">
        <v>1812200840</v>
      </c>
      <c r="C451">
        <f>VLOOKUP(A:A,'דוח כספי 1-10.17'!A:A,1,0)</f>
        <v>1812200840</v>
      </c>
    </row>
    <row r="452" spans="1:3" ht="15.75">
      <c r="A452" s="51">
        <v>1812200930</v>
      </c>
      <c r="C452">
        <f>VLOOKUP(A:A,'דוח כספי 1-10.17'!A:A,1,0)</f>
        <v>1812200930</v>
      </c>
    </row>
    <row r="453" spans="1:3" ht="15.75">
      <c r="A453" s="51">
        <v>1812300110</v>
      </c>
      <c r="C453">
        <f>VLOOKUP(A:A,'דוח כספי 1-10.17'!A:A,1,0)</f>
        <v>1812300110</v>
      </c>
    </row>
    <row r="454" spans="1:3" ht="15.75">
      <c r="A454" s="51">
        <v>1812300320</v>
      </c>
      <c r="C454">
        <f>VLOOKUP(A:A,'דוח כספי 1-10.17'!A:A,1,0)</f>
        <v>1812300320</v>
      </c>
    </row>
    <row r="455" spans="1:3" ht="15.75">
      <c r="A455" s="51">
        <v>1812300410</v>
      </c>
      <c r="C455">
        <f>VLOOKUP(A:A,'דוח כספי 1-10.17'!A:A,1,0)</f>
        <v>1812300410</v>
      </c>
    </row>
    <row r="456" spans="1:3" ht="15.75">
      <c r="A456" s="51">
        <v>1812300411</v>
      </c>
      <c r="C456">
        <f>VLOOKUP(A:A,'דוח כספי 1-10.17'!A:A,1,0)</f>
        <v>1812300411</v>
      </c>
    </row>
    <row r="457" spans="1:3" ht="15.75">
      <c r="A457" s="51">
        <v>1812300420</v>
      </c>
      <c r="C457">
        <f>VLOOKUP(A:A,'דוח כספי 1-10.17'!A:A,1,0)</f>
        <v>1812300420</v>
      </c>
    </row>
    <row r="458" spans="1:3" ht="15.75">
      <c r="A458" s="51">
        <v>1812300431</v>
      </c>
      <c r="C458">
        <f>VLOOKUP(A:A,'דוח כספי 1-10.17'!A:A,1,0)</f>
        <v>1812300431</v>
      </c>
    </row>
    <row r="459" spans="1:3" ht="15.75">
      <c r="A459" s="51">
        <v>1812300432</v>
      </c>
      <c r="C459">
        <f>VLOOKUP(A:A,'דוח כספי 1-10.17'!A:A,1,0)</f>
        <v>1812300432</v>
      </c>
    </row>
    <row r="460" spans="1:3" ht="15.75">
      <c r="A460" s="51">
        <v>1812300433</v>
      </c>
      <c r="C460">
        <f>VLOOKUP(A:A,'דוח כספי 1-10.17'!A:A,1,0)</f>
        <v>1812300433</v>
      </c>
    </row>
    <row r="461" spans="1:3" ht="15.75">
      <c r="A461" s="51">
        <v>1812300521</v>
      </c>
      <c r="C461">
        <f>VLOOKUP(A:A,'דוח כספי 1-10.17'!A:A,1,0)</f>
        <v>1812300521</v>
      </c>
    </row>
    <row r="462" spans="1:3" ht="15.75">
      <c r="A462" s="51">
        <v>1812300540</v>
      </c>
      <c r="C462">
        <f>VLOOKUP(A:A,'דוח כספי 1-10.17'!A:A,1,0)</f>
        <v>1812300540</v>
      </c>
    </row>
    <row r="463" spans="1:3" ht="15.75">
      <c r="A463" s="51">
        <v>1812300560</v>
      </c>
      <c r="C463">
        <f>VLOOKUP(A:A,'דוח כספי 1-10.17'!A:A,1,0)</f>
        <v>1812300560</v>
      </c>
    </row>
    <row r="464" spans="1:3" ht="15.75">
      <c r="A464" s="51">
        <v>1812300720</v>
      </c>
      <c r="C464">
        <f>VLOOKUP(A:A,'דוח כספי 1-10.17'!A:A,1,0)</f>
        <v>1812300720</v>
      </c>
    </row>
    <row r="465" spans="1:3" ht="15.75">
      <c r="A465" s="51">
        <v>1812300740</v>
      </c>
      <c r="C465">
        <f>VLOOKUP(A:A,'דוח כספי 1-10.17'!A:A,1,0)</f>
        <v>1812300740</v>
      </c>
    </row>
    <row r="466" spans="1:3" ht="15.75">
      <c r="A466" s="51">
        <v>1812300750</v>
      </c>
      <c r="C466">
        <f>VLOOKUP(A:A,'דוח כספי 1-10.17'!A:A,1,0)</f>
        <v>1812300750</v>
      </c>
    </row>
    <row r="467" spans="1:3" ht="15.75">
      <c r="A467" s="51">
        <v>1812300760</v>
      </c>
      <c r="C467">
        <f>VLOOKUP(A:A,'דוח כספי 1-10.17'!A:A,1,0)</f>
        <v>1812300760</v>
      </c>
    </row>
    <row r="468" spans="1:3" ht="15.75">
      <c r="A468" s="51">
        <v>1812300780</v>
      </c>
      <c r="C468">
        <f>VLOOKUP(A:A,'דוח כספי 1-10.17'!A:A,1,0)</f>
        <v>1812300780</v>
      </c>
    </row>
    <row r="469" spans="1:3" ht="15.75">
      <c r="A469" s="51">
        <v>1812300930</v>
      </c>
      <c r="C469">
        <f>VLOOKUP(A:A,'דוח כספי 1-10.17'!A:A,1,0)</f>
        <v>1812300930</v>
      </c>
    </row>
    <row r="470" spans="1:3" ht="15.75">
      <c r="A470" s="51">
        <v>1812310540</v>
      </c>
      <c r="C470">
        <f>VLOOKUP(A:A,'דוח כספי 1-10.17'!A:A,1,0)</f>
        <v>1812310540</v>
      </c>
    </row>
    <row r="471" spans="1:3" ht="15.75">
      <c r="A471" s="51">
        <v>1812310930</v>
      </c>
      <c r="C471">
        <f>VLOOKUP(A:A,'דוח כספי 1-10.17'!A:A,1,0)</f>
        <v>1812310930</v>
      </c>
    </row>
    <row r="472" spans="1:3" ht="15.75">
      <c r="A472" s="51">
        <v>1812400110</v>
      </c>
      <c r="C472">
        <f>VLOOKUP(A:A,'דוח כספי 1-10.17'!A:A,1,0)</f>
        <v>1812400110</v>
      </c>
    </row>
    <row r="473" spans="1:3" ht="15.75">
      <c r="A473" s="51">
        <v>1812400710</v>
      </c>
      <c r="C473">
        <f>VLOOKUP(A:A,'דוח כספי 1-10.17'!A:A,1,0)</f>
        <v>1812400710</v>
      </c>
    </row>
    <row r="474" spans="1:3" ht="15.75">
      <c r="A474" s="51">
        <v>1812400720</v>
      </c>
      <c r="C474">
        <f>VLOOKUP(A:A,'דוח כספי 1-10.17'!A:A,1,0)</f>
        <v>1812400720</v>
      </c>
    </row>
    <row r="475" spans="1:3" ht="15.75">
      <c r="A475" s="51">
        <v>1812500110</v>
      </c>
      <c r="C475">
        <f>VLOOKUP(A:A,'דוח כספי 1-10.17'!A:A,1,0)</f>
        <v>1812500110</v>
      </c>
    </row>
    <row r="476" spans="1:3" ht="15.75">
      <c r="A476" s="51">
        <v>1812500410</v>
      </c>
      <c r="C476">
        <f>VLOOKUP(A:A,'דוח כספי 1-10.17'!A:A,1,0)</f>
        <v>1812500410</v>
      </c>
    </row>
    <row r="477" spans="1:3" ht="15.75">
      <c r="A477" s="51">
        <v>1812500420</v>
      </c>
      <c r="C477">
        <f>VLOOKUP(A:A,'דוח כספי 1-10.17'!A:A,1,0)</f>
        <v>1812500420</v>
      </c>
    </row>
    <row r="478" spans="1:3" ht="15.75">
      <c r="A478" s="51">
        <v>1812500431</v>
      </c>
      <c r="C478">
        <f>VLOOKUP(A:A,'דוח כספי 1-10.17'!A:A,1,0)</f>
        <v>1812500431</v>
      </c>
    </row>
    <row r="479" spans="1:3" ht="15.75">
      <c r="A479" s="51">
        <v>1812500432</v>
      </c>
      <c r="C479">
        <f>VLOOKUP(A:A,'דוח כספי 1-10.17'!A:A,1,0)</f>
        <v>1812500432</v>
      </c>
    </row>
    <row r="480" spans="1:3" ht="15.75">
      <c r="A480" s="51">
        <v>1812500930</v>
      </c>
      <c r="C480">
        <f>VLOOKUP(A:A,'דוח כספי 1-10.17'!A:A,1,0)</f>
        <v>1812500930</v>
      </c>
    </row>
    <row r="481" spans="1:3" ht="15.75">
      <c r="A481" s="51">
        <v>1813200110</v>
      </c>
      <c r="C481">
        <f>VLOOKUP(A:A,'דוח כספי 1-10.17'!A:A,1,0)</f>
        <v>1813200110</v>
      </c>
    </row>
    <row r="482" spans="1:3" ht="15.75">
      <c r="A482" s="51">
        <v>1813200750</v>
      </c>
      <c r="C482">
        <f>VLOOKUP(A:A,'דוח כספי 1-10.17'!A:A,1,0)</f>
        <v>1813200750</v>
      </c>
    </row>
    <row r="483" spans="1:3" ht="15.75">
      <c r="A483" s="51">
        <v>1813200760</v>
      </c>
      <c r="C483">
        <f>VLOOKUP(A:A,'דוח כספי 1-10.17'!A:A,1,0)</f>
        <v>1813200760</v>
      </c>
    </row>
    <row r="484" spans="1:3" ht="15.75">
      <c r="A484" s="51">
        <v>1813200780</v>
      </c>
      <c r="C484">
        <f>VLOOKUP(A:A,'דוח כספי 1-10.17'!A:A,1,0)</f>
        <v>1813200780</v>
      </c>
    </row>
    <row r="485" spans="1:3" ht="15.75">
      <c r="A485" s="51">
        <v>1813210110</v>
      </c>
      <c r="C485">
        <f>VLOOKUP(A:A,'דוח כספי 1-10.17'!A:A,1,0)</f>
        <v>1813210110</v>
      </c>
    </row>
    <row r="486" spans="1:3" ht="15.75">
      <c r="A486" s="51">
        <v>1813210420</v>
      </c>
      <c r="C486">
        <f>VLOOKUP(A:A,'דוח כספי 1-10.17'!A:A,1,0)</f>
        <v>1813210420</v>
      </c>
    </row>
    <row r="487" spans="1:3" ht="15.75">
      <c r="A487" s="51">
        <v>1813210431</v>
      </c>
      <c r="C487">
        <f>VLOOKUP(A:A,'דוח כספי 1-10.17'!A:A,1,0)</f>
        <v>1813210431</v>
      </c>
    </row>
    <row r="488" spans="1:3" ht="15.75">
      <c r="A488" s="51">
        <v>1813210432</v>
      </c>
      <c r="C488">
        <f>VLOOKUP(A:A,'דוח כספי 1-10.17'!A:A,1,0)</f>
        <v>1813210432</v>
      </c>
    </row>
    <row r="489" spans="1:3" ht="15.75">
      <c r="A489" s="51">
        <v>1813210433</v>
      </c>
      <c r="C489">
        <f>VLOOKUP(A:A,'דוח כספי 1-10.17'!A:A,1,0)</f>
        <v>1813210433</v>
      </c>
    </row>
    <row r="490" spans="1:3" ht="15.75">
      <c r="A490" s="51">
        <v>1813210434</v>
      </c>
      <c r="C490">
        <f>VLOOKUP(A:A,'דוח כספי 1-10.17'!A:A,1,0)</f>
        <v>1813210434</v>
      </c>
    </row>
    <row r="491" spans="1:3" ht="15.75">
      <c r="A491" s="51">
        <v>1813210540</v>
      </c>
      <c r="C491">
        <f>VLOOKUP(A:A,'דוח כספי 1-10.17'!A:A,1,0)</f>
        <v>1813210540</v>
      </c>
    </row>
    <row r="492" spans="1:3" ht="15.75">
      <c r="A492" s="51">
        <v>1813210560</v>
      </c>
      <c r="C492">
        <f>VLOOKUP(A:A,'דוח כספי 1-10.17'!A:A,1,0)</f>
        <v>1813210560</v>
      </c>
    </row>
    <row r="493" spans="1:3" ht="15.75">
      <c r="A493" s="51">
        <v>1813210720</v>
      </c>
      <c r="C493">
        <f>VLOOKUP(A:A,'דוח כספי 1-10.17'!A:A,1,0)</f>
        <v>1813210720</v>
      </c>
    </row>
    <row r="494" spans="1:3" ht="15.75">
      <c r="A494" s="51">
        <v>1813210740</v>
      </c>
      <c r="C494">
        <f>VLOOKUP(A:A,'דוח כספי 1-10.17'!A:A,1,0)</f>
        <v>1813210740</v>
      </c>
    </row>
    <row r="495" spans="1:3" ht="15.75">
      <c r="A495" s="51">
        <v>1813210750</v>
      </c>
      <c r="C495">
        <f>VLOOKUP(A:A,'דוח כספי 1-10.17'!A:A,1,0)</f>
        <v>1813210750</v>
      </c>
    </row>
    <row r="496" spans="1:3" ht="15.75">
      <c r="A496" s="51">
        <v>1813210780</v>
      </c>
      <c r="C496">
        <f>VLOOKUP(A:A,'דוח כספי 1-10.17'!A:A,1,0)</f>
        <v>1813210780</v>
      </c>
    </row>
    <row r="497" spans="1:3" ht="15.75">
      <c r="A497" s="51">
        <v>1813210870</v>
      </c>
      <c r="C497">
        <f>VLOOKUP(A:A,'דוח כספי 1-10.17'!A:A,1,0)</f>
        <v>1813210870</v>
      </c>
    </row>
    <row r="498" spans="1:3" ht="15.75">
      <c r="A498" s="51">
        <v>1813210871</v>
      </c>
      <c r="C498">
        <f>VLOOKUP(A:A,'דוח כספי 1-10.17'!A:A,1,0)</f>
        <v>1813210871</v>
      </c>
    </row>
    <row r="499" spans="1:3" ht="15.75">
      <c r="A499" s="51">
        <v>1813210930</v>
      </c>
      <c r="C499">
        <f>VLOOKUP(A:A,'דוח כספי 1-10.17'!A:A,1,0)</f>
        <v>1813210930</v>
      </c>
    </row>
    <row r="500" spans="1:3" ht="15.75">
      <c r="A500" s="51">
        <v>1813220110</v>
      </c>
      <c r="C500">
        <f>VLOOKUP(A:A,'דוח כספי 1-10.17'!A:A,1,0)</f>
        <v>1813220110</v>
      </c>
    </row>
    <row r="501" spans="1:3" ht="15.75">
      <c r="A501" s="51">
        <v>1813220320</v>
      </c>
      <c r="C501">
        <f>VLOOKUP(A:A,'דוח כספי 1-10.17'!A:A,1,0)</f>
        <v>1813220320</v>
      </c>
    </row>
    <row r="502" spans="1:3" ht="15.75">
      <c r="A502" s="51">
        <v>1813220420</v>
      </c>
      <c r="C502">
        <f>VLOOKUP(A:A,'דוח כספי 1-10.17'!A:A,1,0)</f>
        <v>1813220420</v>
      </c>
    </row>
    <row r="503" spans="1:3" ht="15.75">
      <c r="A503" s="51">
        <v>1813220431</v>
      </c>
      <c r="C503">
        <f>VLOOKUP(A:A,'דוח כספי 1-10.17'!A:A,1,0)</f>
        <v>1813220431</v>
      </c>
    </row>
    <row r="504" spans="1:3" ht="15.75">
      <c r="A504" s="51">
        <v>1813220432</v>
      </c>
      <c r="C504">
        <f>VLOOKUP(A:A,'דוח כספי 1-10.17'!A:A,1,0)</f>
        <v>1813220432</v>
      </c>
    </row>
    <row r="505" spans="1:3" ht="15.75">
      <c r="A505" s="51">
        <v>1813220433</v>
      </c>
      <c r="C505">
        <f>VLOOKUP(A:A,'דוח כספי 1-10.17'!A:A,1,0)</f>
        <v>1813220433</v>
      </c>
    </row>
    <row r="506" spans="1:3" ht="15.75">
      <c r="A506" s="51">
        <v>1813220434</v>
      </c>
      <c r="C506">
        <f>VLOOKUP(A:A,'דוח כספי 1-10.17'!A:A,1,0)</f>
        <v>1813220434</v>
      </c>
    </row>
    <row r="507" spans="1:3" ht="15.75">
      <c r="A507" s="51">
        <v>1813220540</v>
      </c>
      <c r="C507">
        <f>VLOOKUP(A:A,'דוח כספי 1-10.17'!A:A,1,0)</f>
        <v>1813220540</v>
      </c>
    </row>
    <row r="508" spans="1:3" ht="15.75">
      <c r="A508" s="51">
        <v>1813220560</v>
      </c>
      <c r="C508">
        <f>VLOOKUP(A:A,'דוח כספי 1-10.17'!A:A,1,0)</f>
        <v>1813220560</v>
      </c>
    </row>
    <row r="509" spans="1:3" ht="15.75">
      <c r="A509" s="51">
        <v>1813220720</v>
      </c>
      <c r="C509">
        <f>VLOOKUP(A:A,'דוח כספי 1-10.17'!A:A,1,0)</f>
        <v>1813220720</v>
      </c>
    </row>
    <row r="510" spans="1:3" ht="15.75">
      <c r="A510" s="51">
        <v>1813220750</v>
      </c>
      <c r="C510">
        <f>VLOOKUP(A:A,'דוח כספי 1-10.17'!A:A,1,0)</f>
        <v>1813220750</v>
      </c>
    </row>
    <row r="511" spans="1:3" ht="15.75">
      <c r="A511" s="51">
        <v>1813220780</v>
      </c>
      <c r="C511">
        <f>VLOOKUP(A:A,'דוח כספי 1-10.17'!A:A,1,0)</f>
        <v>1813220780</v>
      </c>
    </row>
    <row r="512" spans="1:3" ht="15.75">
      <c r="A512" s="51">
        <v>1813220870</v>
      </c>
      <c r="C512">
        <f>VLOOKUP(A:A,'דוח כספי 1-10.17'!A:A,1,0)</f>
        <v>1813220870</v>
      </c>
    </row>
    <row r="513" spans="1:3" ht="15.75">
      <c r="A513" s="51">
        <v>1813220871</v>
      </c>
      <c r="C513">
        <f>VLOOKUP(A:A,'דוח כספי 1-10.17'!A:A,1,0)</f>
        <v>1813220871</v>
      </c>
    </row>
    <row r="514" spans="1:3" ht="15.75">
      <c r="A514" s="51">
        <v>1813220930</v>
      </c>
      <c r="C514">
        <f>VLOOKUP(A:A,'דוח כספי 1-10.17'!A:A,1,0)</f>
        <v>1813220930</v>
      </c>
    </row>
    <row r="515" spans="1:3" ht="15.75">
      <c r="A515" s="51">
        <v>1813230110</v>
      </c>
      <c r="C515">
        <f>VLOOKUP(A:A,'דוח כספי 1-10.17'!A:A,1,0)</f>
        <v>1813230110</v>
      </c>
    </row>
    <row r="516" spans="1:3" ht="15.75">
      <c r="A516" s="51">
        <v>1813230320</v>
      </c>
      <c r="C516">
        <f>VLOOKUP(A:A,'דוח כספי 1-10.17'!A:A,1,0)</f>
        <v>1813230320</v>
      </c>
    </row>
    <row r="517" spans="1:3" ht="15.75">
      <c r="A517" s="51">
        <v>1813230420</v>
      </c>
      <c r="C517">
        <f>VLOOKUP(A:A,'דוח כספי 1-10.17'!A:A,1,0)</f>
        <v>1813230420</v>
      </c>
    </row>
    <row r="518" spans="1:3" ht="15.75">
      <c r="A518" s="51">
        <v>1813230431</v>
      </c>
      <c r="C518">
        <f>VLOOKUP(A:A,'דוח כספי 1-10.17'!A:A,1,0)</f>
        <v>1813230431</v>
      </c>
    </row>
    <row r="519" spans="1:3" ht="15.75">
      <c r="A519" s="51">
        <v>1813230432</v>
      </c>
      <c r="C519">
        <f>VLOOKUP(A:A,'דוח כספי 1-10.17'!A:A,1,0)</f>
        <v>1813230432</v>
      </c>
    </row>
    <row r="520" spans="1:3" ht="15.75">
      <c r="A520" s="51">
        <v>1813230433</v>
      </c>
      <c r="C520">
        <f>VLOOKUP(A:A,'דוח כספי 1-10.17'!A:A,1,0)</f>
        <v>1813230433</v>
      </c>
    </row>
    <row r="521" spans="1:3" ht="15.75">
      <c r="A521" s="51">
        <v>1813230434</v>
      </c>
      <c r="C521">
        <f>VLOOKUP(A:A,'דוח כספי 1-10.17'!A:A,1,0)</f>
        <v>1813230434</v>
      </c>
    </row>
    <row r="522" spans="1:3" ht="15.75">
      <c r="A522" s="51">
        <v>1813230540</v>
      </c>
      <c r="C522">
        <f>VLOOKUP(A:A,'דוח כספי 1-10.17'!A:A,1,0)</f>
        <v>1813230540</v>
      </c>
    </row>
    <row r="523" spans="1:3" ht="15.75">
      <c r="A523" s="51">
        <v>1813230560</v>
      </c>
      <c r="C523">
        <f>VLOOKUP(A:A,'דוח כספי 1-10.17'!A:A,1,0)</f>
        <v>1813230560</v>
      </c>
    </row>
    <row r="524" spans="1:3" ht="15.75">
      <c r="A524" s="51">
        <v>1813230720</v>
      </c>
      <c r="C524">
        <f>VLOOKUP(A:A,'דוח כספי 1-10.17'!A:A,1,0)</f>
        <v>1813230720</v>
      </c>
    </row>
    <row r="525" spans="1:3" ht="15.75">
      <c r="A525" s="51">
        <v>1813230740</v>
      </c>
      <c r="C525">
        <f>VLOOKUP(A:A,'דוח כספי 1-10.17'!A:A,1,0)</f>
        <v>1813230740</v>
      </c>
    </row>
    <row r="526" spans="1:3" ht="15.75">
      <c r="A526" s="51">
        <v>1813230750</v>
      </c>
      <c r="C526">
        <f>VLOOKUP(A:A,'דוח כספי 1-10.17'!A:A,1,0)</f>
        <v>1813230750</v>
      </c>
    </row>
    <row r="527" spans="1:3" ht="15.75">
      <c r="A527" s="51">
        <v>1813230780</v>
      </c>
      <c r="C527">
        <f>VLOOKUP(A:A,'דוח כספי 1-10.17'!A:A,1,0)</f>
        <v>1813230780</v>
      </c>
    </row>
    <row r="528" spans="1:3" ht="15.75">
      <c r="A528" s="51">
        <v>1813230870</v>
      </c>
      <c r="C528">
        <f>VLOOKUP(A:A,'דוח כספי 1-10.17'!A:A,1,0)</f>
        <v>1813230870</v>
      </c>
    </row>
    <row r="529" spans="1:3" ht="15.75">
      <c r="A529" s="51">
        <v>1813230871</v>
      </c>
      <c r="C529">
        <f>VLOOKUP(A:A,'דוח כספי 1-10.17'!A:A,1,0)</f>
        <v>1813230871</v>
      </c>
    </row>
    <row r="530" spans="1:3" ht="15.75">
      <c r="A530" s="51">
        <v>1813230930</v>
      </c>
      <c r="C530">
        <f>VLOOKUP(A:A,'דוח כספי 1-10.17'!A:A,1,0)</f>
        <v>1813230930</v>
      </c>
    </row>
    <row r="531" spans="1:3" ht="15.75">
      <c r="A531" s="51">
        <v>1813240110</v>
      </c>
      <c r="C531">
        <f>VLOOKUP(A:A,'דוח כספי 1-10.17'!A:A,1,0)</f>
        <v>1813240110</v>
      </c>
    </row>
    <row r="532" spans="1:3" ht="15.75">
      <c r="A532" s="51">
        <v>1813240431</v>
      </c>
      <c r="C532">
        <f>VLOOKUP(A:A,'דוח כספי 1-10.17'!A:A,1,0)</f>
        <v>1813240431</v>
      </c>
    </row>
    <row r="533" spans="1:3" ht="15.75">
      <c r="A533" s="51">
        <v>1813240432</v>
      </c>
      <c r="C533">
        <f>VLOOKUP(A:A,'דוח כספי 1-10.17'!A:A,1,0)</f>
        <v>1813240432</v>
      </c>
    </row>
    <row r="534" spans="1:3" ht="15.75">
      <c r="A534" s="51">
        <v>1813240540</v>
      </c>
      <c r="C534">
        <f>VLOOKUP(A:A,'דוח כספי 1-10.17'!A:A,1,0)</f>
        <v>1813240540</v>
      </c>
    </row>
    <row r="535" spans="1:3" ht="15.75">
      <c r="A535" s="51">
        <v>1813240750</v>
      </c>
      <c r="C535">
        <f>VLOOKUP(A:A,'דוח כספי 1-10.17'!A:A,1,0)</f>
        <v>1813240750</v>
      </c>
    </row>
    <row r="536" spans="1:3" ht="15.75">
      <c r="A536" s="51">
        <v>1813240870</v>
      </c>
      <c r="C536">
        <f>VLOOKUP(A:A,'דוח כספי 1-10.17'!A:A,1,0)</f>
        <v>1813240870</v>
      </c>
    </row>
    <row r="537" spans="1:3" ht="15.75">
      <c r="A537" s="51">
        <v>1813250110</v>
      </c>
      <c r="C537">
        <f>VLOOKUP(A:A,'דוח כספי 1-10.17'!A:A,1,0)</f>
        <v>1813250110</v>
      </c>
    </row>
    <row r="538" spans="1:3" ht="15.75">
      <c r="A538" s="51">
        <v>1813250710</v>
      </c>
      <c r="C538">
        <f>VLOOKUP(A:A,'דוח כספי 1-10.17'!A:A,1,0)</f>
        <v>1813250710</v>
      </c>
    </row>
    <row r="539" spans="1:3" ht="15.75">
      <c r="A539" s="51">
        <v>1813250750</v>
      </c>
      <c r="C539">
        <f>VLOOKUP(A:A,'דוח כספי 1-10.17'!A:A,1,0)</f>
        <v>1813250750</v>
      </c>
    </row>
    <row r="540" spans="1:3" ht="15.75">
      <c r="A540" s="51">
        <v>1813300110</v>
      </c>
      <c r="C540">
        <f>VLOOKUP(A:A,'דוח כספי 1-10.17'!A:A,1,0)</f>
        <v>1813300110</v>
      </c>
    </row>
    <row r="541" spans="1:3" ht="15.75">
      <c r="A541" s="51">
        <v>1813300320</v>
      </c>
      <c r="C541">
        <f>VLOOKUP(A:A,'דוח כספי 1-10.17'!A:A,1,0)</f>
        <v>1813300320</v>
      </c>
    </row>
    <row r="542" spans="1:3" ht="15.75">
      <c r="A542" s="51">
        <v>1813300540</v>
      </c>
      <c r="C542">
        <f>VLOOKUP(A:A,'דוח כספי 1-10.17'!A:A,1,0)</f>
        <v>1813300540</v>
      </c>
    </row>
    <row r="543" spans="1:3" ht="15.75">
      <c r="A543" s="51">
        <v>1813300560</v>
      </c>
      <c r="C543">
        <f>VLOOKUP(A:A,'דוח כספי 1-10.17'!A:A,1,0)</f>
        <v>1813300560</v>
      </c>
    </row>
    <row r="544" spans="1:3" ht="15.75">
      <c r="A544" s="51">
        <v>1813300720</v>
      </c>
      <c r="C544">
        <f>VLOOKUP(A:A,'דוח כספי 1-10.17'!A:A,1,0)</f>
        <v>1813300720</v>
      </c>
    </row>
    <row r="545" spans="1:3" ht="15.75">
      <c r="A545" s="51">
        <v>1813300721</v>
      </c>
      <c r="C545">
        <f>VLOOKUP(A:A,'דוח כספי 1-10.17'!A:A,1,0)</f>
        <v>1813300721</v>
      </c>
    </row>
    <row r="546" spans="1:3" ht="15.75">
      <c r="A546" s="51">
        <v>1813300740</v>
      </c>
      <c r="C546">
        <f>VLOOKUP(A:A,'דוח כספי 1-10.17'!A:A,1,0)</f>
        <v>1813300740</v>
      </c>
    </row>
    <row r="547" spans="1:3" ht="15.75">
      <c r="A547" s="51">
        <v>1813300750</v>
      </c>
      <c r="C547">
        <f>VLOOKUP(A:A,'דוח כספי 1-10.17'!A:A,1,0)</f>
        <v>1813300750</v>
      </c>
    </row>
    <row r="548" spans="1:3" ht="15.75">
      <c r="A548" s="51">
        <v>1813300780</v>
      </c>
      <c r="C548">
        <f>VLOOKUP(A:A,'דוח כספי 1-10.17'!A:A,1,0)</f>
        <v>1813300780</v>
      </c>
    </row>
    <row r="549" spans="1:3" ht="15.75">
      <c r="A549" s="51">
        <v>1813300781</v>
      </c>
      <c r="C549">
        <f>VLOOKUP(A:A,'דוח כספי 1-10.17'!A:A,1,0)</f>
        <v>1813300781</v>
      </c>
    </row>
    <row r="550" spans="1:3" ht="15.75">
      <c r="A550" s="51">
        <v>1813300870</v>
      </c>
      <c r="C550">
        <f>VLOOKUP(A:A,'דוח כספי 1-10.17'!A:A,1,0)</f>
        <v>1813300870</v>
      </c>
    </row>
    <row r="551" spans="1:3" ht="15.75">
      <c r="A551" s="51">
        <v>1813300930</v>
      </c>
      <c r="C551">
        <f>VLOOKUP(A:A,'דוח כספי 1-10.17'!A:A,1,0)</f>
        <v>1813300930</v>
      </c>
    </row>
    <row r="552" spans="1:3" ht="15.75">
      <c r="A552" s="51">
        <v>1813303760</v>
      </c>
      <c r="C552">
        <f>VLOOKUP(A:A,'דוח כספי 1-10.17'!A:A,1,0)</f>
        <v>1813303760</v>
      </c>
    </row>
    <row r="553" spans="1:3" ht="15.75">
      <c r="A553" s="51">
        <v>1814000110</v>
      </c>
      <c r="C553">
        <f>VLOOKUP(A:A,'דוח כספי 1-10.17'!A:A,1,0)</f>
        <v>1814000110</v>
      </c>
    </row>
    <row r="554" spans="1:3" ht="15.75">
      <c r="A554" s="51">
        <v>1814000420</v>
      </c>
      <c r="C554">
        <f>VLOOKUP(A:A,'דוח כספי 1-10.17'!A:A,1,0)</f>
        <v>1814000420</v>
      </c>
    </row>
    <row r="555" spans="1:3" ht="15.75">
      <c r="A555" s="51">
        <v>1814000431</v>
      </c>
      <c r="C555">
        <f>VLOOKUP(A:A,'דוח כספי 1-10.17'!A:A,1,0)</f>
        <v>1814000431</v>
      </c>
    </row>
    <row r="556" spans="1:3" ht="15.75">
      <c r="A556" s="51">
        <v>1814000432</v>
      </c>
      <c r="C556">
        <f>VLOOKUP(A:A,'דוח כספי 1-10.17'!A:A,1,0)</f>
        <v>1814000432</v>
      </c>
    </row>
    <row r="557" spans="1:3" ht="15.75">
      <c r="A557" s="51">
        <v>1814000433</v>
      </c>
      <c r="C557">
        <f>VLOOKUP(A:A,'דוח כספי 1-10.17'!A:A,1,0)</f>
        <v>1814000433</v>
      </c>
    </row>
    <row r="558" spans="1:3" ht="15.75">
      <c r="A558" s="51">
        <v>1814000434</v>
      </c>
      <c r="C558">
        <f>VLOOKUP(A:A,'דוח כספי 1-10.17'!A:A,1,0)</f>
        <v>1814000434</v>
      </c>
    </row>
    <row r="559" spans="1:3" ht="15.75">
      <c r="A559" s="51">
        <v>1814000540</v>
      </c>
      <c r="C559">
        <f>VLOOKUP(A:A,'דוח כספי 1-10.17'!A:A,1,0)</f>
        <v>1814000540</v>
      </c>
    </row>
    <row r="560" spans="1:3" ht="15.75">
      <c r="A560" s="51">
        <v>1814000560</v>
      </c>
      <c r="C560">
        <f>VLOOKUP(A:A,'דוח כספי 1-10.17'!A:A,1,0)</f>
        <v>1814000560</v>
      </c>
    </row>
    <row r="561" spans="1:3" ht="15.75">
      <c r="A561" s="51">
        <v>1814000720</v>
      </c>
      <c r="C561">
        <f>VLOOKUP(A:A,'דוח כספי 1-10.17'!A:A,1,0)</f>
        <v>1814000720</v>
      </c>
    </row>
    <row r="562" spans="1:3" ht="15.75">
      <c r="A562" s="51">
        <v>1814000740</v>
      </c>
      <c r="C562">
        <f>VLOOKUP(A:A,'דוח כספי 1-10.17'!A:A,1,0)</f>
        <v>1814000740</v>
      </c>
    </row>
    <row r="563" spans="1:3" ht="15.75">
      <c r="A563" s="51">
        <v>1814000750</v>
      </c>
      <c r="C563">
        <f>VLOOKUP(A:A,'דוח כספי 1-10.17'!A:A,1,0)</f>
        <v>1814000750</v>
      </c>
    </row>
    <row r="564" spans="1:3" ht="15.75">
      <c r="A564" s="51">
        <v>1814000780</v>
      </c>
      <c r="C564">
        <f>VLOOKUP(A:A,'דוח כספי 1-10.17'!A:A,1,0)</f>
        <v>1814000780</v>
      </c>
    </row>
    <row r="565" spans="1:3" ht="15.75">
      <c r="A565" s="51">
        <v>1814000870</v>
      </c>
      <c r="C565">
        <f>VLOOKUP(A:A,'דוח כספי 1-10.17'!A:A,1,0)</f>
        <v>1814000870</v>
      </c>
    </row>
    <row r="566" spans="1:3" ht="15.75">
      <c r="A566" s="51">
        <v>1814000930</v>
      </c>
      <c r="C566">
        <f>VLOOKUP(A:A,'דוח כספי 1-10.17'!A:A,1,0)</f>
        <v>1814000930</v>
      </c>
    </row>
    <row r="567" spans="1:3" ht="15.75">
      <c r="A567" s="51">
        <v>1815200110</v>
      </c>
      <c r="C567">
        <f>VLOOKUP(A:A,'דוח כספי 1-10.17'!A:A,1,0)</f>
        <v>1815200110</v>
      </c>
    </row>
    <row r="568" spans="1:3" ht="15.75">
      <c r="A568" s="51">
        <v>1815200320</v>
      </c>
      <c r="C568">
        <f>VLOOKUP(A:A,'דוח כספי 1-10.17'!A:A,1,0)</f>
        <v>1815200320</v>
      </c>
    </row>
    <row r="569" spans="1:3" ht="15.75">
      <c r="A569" s="51">
        <v>1815200420</v>
      </c>
      <c r="C569">
        <f>VLOOKUP(A:A,'דוח כספי 1-10.17'!A:A,1,0)</f>
        <v>1815200420</v>
      </c>
    </row>
    <row r="570" spans="1:3" ht="15.75">
      <c r="A570" s="51">
        <v>1815200431</v>
      </c>
      <c r="C570">
        <f>VLOOKUP(A:A,'דוח כספי 1-10.17'!A:A,1,0)</f>
        <v>1815200431</v>
      </c>
    </row>
    <row r="571" spans="1:3" ht="15.75">
      <c r="A571" s="51">
        <v>1815200432</v>
      </c>
      <c r="C571">
        <f>VLOOKUP(A:A,'דוח כספי 1-10.17'!A:A,1,0)</f>
        <v>1815200432</v>
      </c>
    </row>
    <row r="572" spans="1:3" ht="15.75">
      <c r="A572" s="51">
        <v>1815200433</v>
      </c>
      <c r="C572">
        <f>VLOOKUP(A:A,'דוח כספי 1-10.17'!A:A,1,0)</f>
        <v>1815200433</v>
      </c>
    </row>
    <row r="573" spans="1:3" ht="15.75">
      <c r="A573" s="51">
        <v>1815200434</v>
      </c>
      <c r="C573">
        <f>VLOOKUP(A:A,'דוח כספי 1-10.17'!A:A,1,0)</f>
        <v>1815200434</v>
      </c>
    </row>
    <row r="574" spans="1:3" ht="15.75">
      <c r="A574" s="51">
        <v>1815200450</v>
      </c>
      <c r="C574">
        <f>VLOOKUP(A:A,'דוח כספי 1-10.17'!A:A,1,0)</f>
        <v>1815200450</v>
      </c>
    </row>
    <row r="575" spans="1:3" ht="15.75">
      <c r="A575" s="51">
        <v>1815200540</v>
      </c>
      <c r="C575">
        <f>VLOOKUP(A:A,'דוח כספי 1-10.17'!A:A,1,0)</f>
        <v>1815200540</v>
      </c>
    </row>
    <row r="576" spans="1:3" ht="15.75">
      <c r="A576" s="51">
        <v>1815200560</v>
      </c>
      <c r="C576">
        <f>VLOOKUP(A:A,'דוח כספי 1-10.17'!A:A,1,0)</f>
        <v>1815200560</v>
      </c>
    </row>
    <row r="577" spans="1:3" ht="15.75">
      <c r="A577" s="51">
        <v>1815200720</v>
      </c>
      <c r="C577">
        <f>VLOOKUP(A:A,'דוח כספי 1-10.17'!A:A,1,0)</f>
        <v>1815200720</v>
      </c>
    </row>
    <row r="578" spans="1:3" ht="15.75">
      <c r="A578" s="51">
        <v>1815200740</v>
      </c>
      <c r="C578">
        <f>VLOOKUP(A:A,'דוח כספי 1-10.17'!A:A,1,0)</f>
        <v>1815200740</v>
      </c>
    </row>
    <row r="579" spans="1:3" ht="15.75">
      <c r="A579" s="51">
        <v>1815200750</v>
      </c>
      <c r="C579">
        <f>VLOOKUP(A:A,'דוח כספי 1-10.17'!A:A,1,0)</f>
        <v>1815200750</v>
      </c>
    </row>
    <row r="580" spans="1:3" ht="15.75">
      <c r="A580" s="51">
        <v>1815200760</v>
      </c>
      <c r="C580">
        <f>VLOOKUP(A:A,'דוח כספי 1-10.17'!A:A,1,0)</f>
        <v>1815200760</v>
      </c>
    </row>
    <row r="581" spans="1:3" ht="15.75">
      <c r="A581" s="51">
        <v>1815200780</v>
      </c>
      <c r="C581">
        <f>VLOOKUP(A:A,'דוח כספי 1-10.17'!A:A,1,0)</f>
        <v>1815200780</v>
      </c>
    </row>
    <row r="582" spans="1:3" ht="15.75">
      <c r="A582" s="51">
        <v>1815200870</v>
      </c>
      <c r="C582">
        <f>VLOOKUP(A:A,'דוח כספי 1-10.17'!A:A,1,0)</f>
        <v>1815200870</v>
      </c>
    </row>
    <row r="583" spans="1:3" ht="15.75">
      <c r="A583" s="51">
        <v>1817300110</v>
      </c>
      <c r="C583">
        <f>VLOOKUP(A:A,'דוח כספי 1-10.17'!A:A,1,0)</f>
        <v>1817300110</v>
      </c>
    </row>
    <row r="584" spans="1:3" ht="15.75">
      <c r="A584" s="51">
        <v>1817300320</v>
      </c>
      <c r="C584">
        <f>VLOOKUP(A:A,'דוח כספי 1-10.17'!A:A,1,0)</f>
        <v>1817300320</v>
      </c>
    </row>
    <row r="585" spans="1:3" ht="15.75">
      <c r="A585" s="51">
        <v>1817300521</v>
      </c>
      <c r="C585">
        <f>VLOOKUP(A:A,'דוח כספי 1-10.17'!A:A,1,0)</f>
        <v>1817300521</v>
      </c>
    </row>
    <row r="586" spans="1:3" ht="15.75">
      <c r="A586" s="51">
        <v>1817300930</v>
      </c>
      <c r="C586">
        <f>VLOOKUP(A:A,'דוח כספי 1-10.17'!A:A,1,0)</f>
        <v>1817300930</v>
      </c>
    </row>
    <row r="587" spans="1:3" ht="15.75">
      <c r="A587" s="51">
        <v>1817301750</v>
      </c>
      <c r="C587">
        <f>VLOOKUP(A:A,'דוח כספי 1-10.17'!A:A,1,0)</f>
        <v>1817301750</v>
      </c>
    </row>
    <row r="588" spans="1:3" ht="15.75">
      <c r="A588" s="51">
        <v>1817400320</v>
      </c>
      <c r="C588">
        <f>VLOOKUP(A:A,'דוח כספי 1-10.17'!A:A,1,0)</f>
        <v>1817400320</v>
      </c>
    </row>
    <row r="589" spans="1:3" ht="15.75">
      <c r="A589" s="51">
        <v>1817401720</v>
      </c>
      <c r="C589">
        <f>VLOOKUP(A:A,'דוח כספי 1-10.17'!A:A,1,0)</f>
        <v>1817401720</v>
      </c>
    </row>
    <row r="590" spans="1:3" ht="15.75">
      <c r="A590" s="51">
        <v>1817500441</v>
      </c>
      <c r="C590">
        <f>VLOOKUP(A:A,'דוח כספי 1-10.17'!A:A,1,0)</f>
        <v>1817500441</v>
      </c>
    </row>
    <row r="591" spans="1:3" ht="15.75">
      <c r="A591" s="51">
        <v>1817600780</v>
      </c>
      <c r="C591">
        <f>VLOOKUP(A:A,'דוח כספי 1-10.17'!A:A,1,0)</f>
        <v>1817600780</v>
      </c>
    </row>
    <row r="592" spans="1:3" ht="15.75">
      <c r="A592" s="51">
        <v>1817600930</v>
      </c>
      <c r="C592">
        <f>VLOOKUP(A:A,'דוח כספי 1-10.17'!A:A,1,0)</f>
        <v>1817600930</v>
      </c>
    </row>
    <row r="593" spans="1:3" ht="15.75">
      <c r="A593" s="51">
        <v>1817610110</v>
      </c>
      <c r="C593">
        <f>VLOOKUP(A:A,'דוח כספי 1-10.17'!A:A,1,0)</f>
        <v>1817610110</v>
      </c>
    </row>
    <row r="594" spans="1:3" ht="15.75">
      <c r="A594" s="51">
        <v>1817610870</v>
      </c>
      <c r="C594">
        <f>VLOOKUP(A:A,'דוח כספי 1-10.17'!A:A,1,0)</f>
        <v>1817610870</v>
      </c>
    </row>
    <row r="595" spans="1:3" ht="15.75">
      <c r="A595" s="51">
        <v>1817620780</v>
      </c>
      <c r="C595">
        <f>VLOOKUP(A:A,'דוח כספי 1-10.17'!A:A,1,0)</f>
        <v>1817620780</v>
      </c>
    </row>
    <row r="596" spans="1:3" ht="15.75">
      <c r="A596" s="51">
        <v>1817630110</v>
      </c>
      <c r="C596">
        <f>VLOOKUP(A:A,'דוח כספי 1-10.17'!A:A,1,0)</f>
        <v>1817630110</v>
      </c>
    </row>
    <row r="597" spans="1:3" ht="15.75">
      <c r="A597" s="51">
        <v>1817630780</v>
      </c>
      <c r="C597">
        <f>VLOOKUP(A:A,'דוח כספי 1-10.17'!A:A,1,0)</f>
        <v>1817630780</v>
      </c>
    </row>
    <row r="598" spans="1:3" ht="15.75">
      <c r="A598" s="51">
        <v>1817700110</v>
      </c>
      <c r="C598">
        <f>VLOOKUP(A:A,'דוח כספי 1-10.17'!A:A,1,0)</f>
        <v>1817700110</v>
      </c>
    </row>
    <row r="599" spans="1:3" ht="15.75">
      <c r="A599" s="51">
        <v>1817700431</v>
      </c>
      <c r="C599">
        <f>VLOOKUP(A:A,'דוח כספי 1-10.17'!A:A,1,0)</f>
        <v>1817700431</v>
      </c>
    </row>
    <row r="600" spans="1:3" ht="15.75">
      <c r="A600" s="51">
        <v>1817700432</v>
      </c>
      <c r="C600">
        <f>VLOOKUP(A:A,'דוח כספי 1-10.17'!A:A,1,0)</f>
        <v>1817700432</v>
      </c>
    </row>
    <row r="601" spans="1:3" ht="15.75">
      <c r="A601" s="51">
        <v>1817700780</v>
      </c>
      <c r="C601">
        <f>VLOOKUP(A:A,'דוח כספי 1-10.17'!A:A,1,0)</f>
        <v>1817700780</v>
      </c>
    </row>
    <row r="602" spans="1:3" ht="15.75">
      <c r="A602" s="51">
        <v>1817710110</v>
      </c>
      <c r="C602">
        <f>VLOOKUP(A:A,'דוח כספי 1-10.17'!A:A,1,0)</f>
        <v>1817710110</v>
      </c>
    </row>
    <row r="603" spans="1:3" ht="15.75">
      <c r="A603" s="51">
        <v>1817710720</v>
      </c>
      <c r="C603">
        <f>VLOOKUP(A:A,'דוח כספי 1-10.17'!A:A,1,0)</f>
        <v>1817710720</v>
      </c>
    </row>
    <row r="604" spans="1:3" ht="15.75">
      <c r="A604" s="51">
        <v>1817710780</v>
      </c>
      <c r="C604">
        <f>VLOOKUP(A:A,'דוח כספי 1-10.17'!A:A,1,0)</f>
        <v>1817710780</v>
      </c>
    </row>
    <row r="605" spans="1:3" ht="15.75">
      <c r="A605" s="51">
        <v>1817800110</v>
      </c>
      <c r="C605">
        <f>VLOOKUP(A:A,'דוח כספי 1-10.17'!A:A,1,0)</f>
        <v>1817800110</v>
      </c>
    </row>
    <row r="606" spans="1:3" ht="15.75">
      <c r="A606" s="51">
        <v>1817800710</v>
      </c>
      <c r="C606">
        <f>VLOOKUP(A:A,'דוח כספי 1-10.17'!A:A,1,0)</f>
        <v>1817800710</v>
      </c>
    </row>
    <row r="607" spans="1:3" ht="15.75">
      <c r="A607" s="51">
        <v>1817900110</v>
      </c>
      <c r="C607">
        <f>VLOOKUP(A:A,'דוח כספי 1-10.17'!A:A,1,0)</f>
        <v>1817900110</v>
      </c>
    </row>
    <row r="608" spans="1:3" ht="15.75">
      <c r="A608" s="51">
        <v>1817910110</v>
      </c>
      <c r="C608">
        <f>VLOOKUP(A:A,'דוח כספי 1-10.17'!A:A,1,0)</f>
        <v>1817910110</v>
      </c>
    </row>
    <row r="609" spans="1:3" ht="15.75">
      <c r="A609" s="51">
        <v>1817910710</v>
      </c>
      <c r="C609">
        <f>VLOOKUP(A:A,'דוח כספי 1-10.17'!A:A,1,0)</f>
        <v>1817910710</v>
      </c>
    </row>
    <row r="610" spans="1:3" ht="15.75">
      <c r="A610" s="51">
        <v>1817910780</v>
      </c>
      <c r="C610">
        <f>VLOOKUP(A:A,'דוח כספי 1-10.17'!A:A,1,0)</f>
        <v>1817910780</v>
      </c>
    </row>
    <row r="611" spans="1:3" ht="15.75">
      <c r="A611" s="51">
        <v>1817910810</v>
      </c>
      <c r="C611">
        <f>VLOOKUP(A:A,'דוח כספי 1-10.17'!A:A,1,0)</f>
        <v>1817910810</v>
      </c>
    </row>
    <row r="612" spans="1:3" ht="15.75">
      <c r="A612" s="51">
        <v>1817911750</v>
      </c>
      <c r="C612">
        <f>VLOOKUP(A:A,'דוח כספי 1-10.17'!A:A,1,0)</f>
        <v>1817911750</v>
      </c>
    </row>
    <row r="613" spans="1:3" ht="15.75">
      <c r="A613" s="51">
        <v>1817912750</v>
      </c>
      <c r="C613">
        <f>VLOOKUP(A:A,'דוח כספי 1-10.17'!A:A,1,0)</f>
        <v>1817912750</v>
      </c>
    </row>
    <row r="614" spans="1:3" ht="15.75">
      <c r="A614" s="51">
        <v>1812200751</v>
      </c>
      <c r="C614">
        <f>VLOOKUP(A:A,'דוח כספי 1-10.17'!A:A,1,0)</f>
        <v>1812200751</v>
      </c>
    </row>
    <row r="615" spans="1:3" ht="15.75">
      <c r="A615" s="51">
        <v>1812200760</v>
      </c>
      <c r="C615">
        <f>VLOOKUP(A:A,'דוח כספי 1-10.17'!A:A,1,0)</f>
        <v>1812200760</v>
      </c>
    </row>
    <row r="616" spans="1:3" ht="15.75">
      <c r="A616" s="51">
        <v>1812310110</v>
      </c>
      <c r="C616">
        <f>VLOOKUP(A:A,'דוח כספי 1-10.17'!A:A,1,0)</f>
        <v>1812310110</v>
      </c>
    </row>
    <row r="617" spans="1:3" ht="15.75">
      <c r="A617" s="51">
        <v>1813201750</v>
      </c>
      <c r="C617">
        <f>VLOOKUP(A:A,'דוח כספי 1-10.17'!A:A,1,0)</f>
        <v>1813201750</v>
      </c>
    </row>
    <row r="618" spans="1:3" ht="15.75">
      <c r="A618" s="51">
        <v>1814000320</v>
      </c>
      <c r="C618">
        <f>VLOOKUP(A:A,'דוח כספי 1-10.17'!A:A,1,0)</f>
        <v>1814000320</v>
      </c>
    </row>
    <row r="619" spans="1:3" ht="15.75">
      <c r="A619" s="51">
        <v>1817400930</v>
      </c>
      <c r="C619">
        <f>VLOOKUP(A:A,'דוח כספי 1-10.17'!A:A,1,0)</f>
        <v>1817400930</v>
      </c>
    </row>
    <row r="620" spans="1:3" ht="15.75">
      <c r="A620" s="51">
        <v>1817720720</v>
      </c>
      <c r="C620">
        <f>VLOOKUP(A:A,'דוח כספי 1-10.17'!A:A,1,0)</f>
        <v>1817720720</v>
      </c>
    </row>
    <row r="621" spans="1:3" ht="15.75">
      <c r="A621" s="51">
        <v>1817800320</v>
      </c>
      <c r="C621">
        <f>VLOOKUP(A:A,'דוח כספי 1-10.17'!A:A,1,0)</f>
        <v>1817800320</v>
      </c>
    </row>
    <row r="622" spans="1:3" ht="15.75">
      <c r="A622" s="51">
        <v>1817900320</v>
      </c>
      <c r="C622">
        <f>VLOOKUP(A:A,'דוח כספי 1-10.17'!A:A,1,0)</f>
        <v>1817900320</v>
      </c>
    </row>
    <row r="623" spans="1:3" ht="15.75">
      <c r="A623" s="51">
        <v>1817910320</v>
      </c>
      <c r="C623">
        <f>VLOOKUP(A:A,'דוח כספי 1-10.17'!A:A,1,0)</f>
        <v>1817910320</v>
      </c>
    </row>
    <row r="624" spans="1:3" ht="15.75">
      <c r="A624" s="51">
        <v>1817911110</v>
      </c>
      <c r="C624">
        <f>VLOOKUP(A:A,'דוח כספי 1-10.17'!A:A,1,0)</f>
        <v>1817911110</v>
      </c>
    </row>
    <row r="625" spans="1:3" ht="15.75">
      <c r="A625" s="51">
        <v>1817913750</v>
      </c>
      <c r="C625">
        <f>VLOOKUP(A:A,'דוח כספי 1-10.17'!A:A,1,0)</f>
        <v>1817913750</v>
      </c>
    </row>
    <row r="626" spans="1:3" ht="15.75">
      <c r="A626" s="51">
        <v>1817913110</v>
      </c>
      <c r="C626">
        <f>VLOOKUP(A:A,'דוח כספי 1-10.17'!A:A,1,0)</f>
        <v>1817913110</v>
      </c>
    </row>
    <row r="627" spans="1:3" ht="15.75">
      <c r="A627" s="51">
        <v>1824000432</v>
      </c>
      <c r="C627">
        <f>VLOOKUP(A:A,'דוח כספי 1-10.17'!A:A,1,0)</f>
        <v>1824000432</v>
      </c>
    </row>
    <row r="628" spans="1:3" ht="15.75">
      <c r="A628" s="51">
        <v>1824010870</v>
      </c>
      <c r="C628">
        <f>VLOOKUP(A:A,'דוח כספי 1-10.17'!A:A,1,0)</f>
        <v>1824010870</v>
      </c>
    </row>
    <row r="629" spans="1:3" ht="15.75">
      <c r="A629" s="51">
        <v>1824020870</v>
      </c>
      <c r="C629">
        <f>VLOOKUP(A:A,'דוח כספי 1-10.17'!A:A,1,0)</f>
        <v>1824020870</v>
      </c>
    </row>
    <row r="630" spans="1:3" ht="15.75">
      <c r="A630" s="51">
        <v>1824030110</v>
      </c>
      <c r="C630">
        <f>VLOOKUP(A:A,'דוח כספי 1-10.17'!A:A,1,0)</f>
        <v>1824030110</v>
      </c>
    </row>
    <row r="631" spans="1:3" ht="15.75">
      <c r="A631" s="51">
        <v>1824030870</v>
      </c>
      <c r="C631">
        <f>VLOOKUP(A:A,'דוח כספי 1-10.17'!A:A,1,0)</f>
        <v>1824030870</v>
      </c>
    </row>
    <row r="632" spans="1:3" ht="15.75">
      <c r="A632" s="51">
        <v>1824050870</v>
      </c>
      <c r="C632">
        <f>VLOOKUP(A:A,'דוח כספי 1-10.17'!A:A,1,0)</f>
        <v>1824050870</v>
      </c>
    </row>
    <row r="633" spans="1:3" ht="15.75">
      <c r="A633" s="51">
        <v>1824060870</v>
      </c>
      <c r="C633">
        <f>VLOOKUP(A:A,'דוח כספי 1-10.17'!A:A,1,0)</f>
        <v>1824060870</v>
      </c>
    </row>
    <row r="634" spans="1:3" ht="15.75">
      <c r="A634" s="174">
        <v>1828300110</v>
      </c>
      <c r="C634">
        <f>VLOOKUP(A:A,'דוח כספי 1-10.17'!A:A,1,0)</f>
        <v>1828300110</v>
      </c>
    </row>
    <row r="635" spans="1:3" ht="15.75">
      <c r="A635" s="174">
        <v>1828300110</v>
      </c>
      <c r="C635">
        <f>VLOOKUP(A:A,'דוח כספי 1-10.17'!A:A,1,0)</f>
        <v>1828300110</v>
      </c>
    </row>
    <row r="636" spans="1:3" ht="15.75">
      <c r="A636" s="51">
        <v>1828400110</v>
      </c>
      <c r="C636">
        <f>VLOOKUP(A:A,'דוח כספי 1-10.17'!A:A,1,0)</f>
        <v>1828400110</v>
      </c>
    </row>
    <row r="637" spans="1:3" ht="15.75">
      <c r="A637" s="51">
        <v>1828400750</v>
      </c>
      <c r="C637">
        <f>VLOOKUP(A:A,'דוח כספי 1-10.17'!A:A,1,0)</f>
        <v>1828400750</v>
      </c>
    </row>
    <row r="638" spans="1:3" ht="15.75">
      <c r="A638" s="51">
        <v>1828300760</v>
      </c>
      <c r="C638">
        <f>VLOOKUP(A:A,'דוח כספי 1-10.17'!A:A,1,0)</f>
        <v>1828300760</v>
      </c>
    </row>
    <row r="639" spans="1:3" ht="15.75">
      <c r="A639" s="51">
        <v>1828300780</v>
      </c>
      <c r="C639">
        <f>VLOOKUP(A:A,'דוח כספי 1-10.17'!A:A,1,0)</f>
        <v>1828300780</v>
      </c>
    </row>
    <row r="640" spans="1:3" ht="15.75">
      <c r="A640" s="51">
        <v>1828400780</v>
      </c>
      <c r="C640">
        <f>VLOOKUP(A:A,'דוח כספי 1-10.17'!A:A,1,0)</f>
        <v>1828400780</v>
      </c>
    </row>
    <row r="641" spans="1:3" ht="15.75">
      <c r="A641" s="51">
        <v>1829000431</v>
      </c>
      <c r="C641">
        <f>VLOOKUP(A:A,'דוח כספי 1-10.17'!A:A,1,0)</f>
        <v>1829000431</v>
      </c>
    </row>
    <row r="642" spans="1:3" ht="15.75">
      <c r="A642" s="51">
        <v>1829100110</v>
      </c>
      <c r="C642">
        <f>VLOOKUP(A:A,'דוח כספי 1-10.17'!A:A,1,0)</f>
        <v>1829100110</v>
      </c>
    </row>
    <row r="643" spans="1:3" ht="15.75">
      <c r="A643" s="51">
        <v>1829200110</v>
      </c>
      <c r="C643">
        <f>VLOOKUP(A:A,'דוח כספי 1-10.17'!A:A,1,0)</f>
        <v>1829200110</v>
      </c>
    </row>
    <row r="644" spans="1:3" ht="15.75">
      <c r="A644" s="51">
        <v>1829200431</v>
      </c>
      <c r="C644">
        <f>VLOOKUP(A:A,'דוח כספי 1-10.17'!A:A,1,0)</f>
        <v>1829200431</v>
      </c>
    </row>
    <row r="645" spans="1:3" ht="15.75">
      <c r="A645" s="51">
        <v>1829200432</v>
      </c>
      <c r="C645">
        <f>VLOOKUP(A:A,'דוח כספי 1-10.17'!A:A,1,0)</f>
        <v>1829200432</v>
      </c>
    </row>
    <row r="646" spans="1:3" ht="15.75">
      <c r="A646" s="51">
        <v>1829200540</v>
      </c>
      <c r="C646">
        <f>VLOOKUP(A:A,'דוח כספי 1-10.17'!A:A,1,0)</f>
        <v>1829200540</v>
      </c>
    </row>
    <row r="647" spans="1:3" ht="15.75">
      <c r="A647" s="51">
        <v>1829200720</v>
      </c>
      <c r="C647">
        <f>VLOOKUP(A:A,'דוח כספי 1-10.17'!A:A,1,0)</f>
        <v>1829200720</v>
      </c>
    </row>
    <row r="648" spans="1:3" ht="15.75">
      <c r="A648" s="51">
        <v>1829200740</v>
      </c>
      <c r="C648">
        <f>VLOOKUP(A:A,'דוח כספי 1-10.17'!A:A,1,0)</f>
        <v>1829200740</v>
      </c>
    </row>
    <row r="649" spans="1:3" ht="15.75">
      <c r="A649" s="51">
        <v>1829200750</v>
      </c>
      <c r="C649">
        <f>VLOOKUP(A:A,'דוח כספי 1-10.17'!A:A,1,0)</f>
        <v>1829200750</v>
      </c>
    </row>
    <row r="650" spans="1:3" ht="15.75">
      <c r="A650" s="51">
        <v>1829200780</v>
      </c>
      <c r="C650">
        <f>VLOOKUP(A:A,'דוח כספי 1-10.17'!A:A,1,0)</f>
        <v>1829200780</v>
      </c>
    </row>
    <row r="651" spans="1:3" ht="15.75">
      <c r="A651" s="51">
        <v>1829201780</v>
      </c>
      <c r="C651">
        <f>VLOOKUP(A:A,'דוח כספי 1-10.17'!A:A,1,0)</f>
        <v>1829201780</v>
      </c>
    </row>
    <row r="652" spans="1:3" ht="15.75">
      <c r="A652" s="51">
        <v>1829202780</v>
      </c>
      <c r="C652">
        <f>VLOOKUP(A:A,'דוח כספי 1-10.17'!A:A,1,0)</f>
        <v>1829202780</v>
      </c>
    </row>
    <row r="653" spans="1:3" ht="15.75">
      <c r="A653" s="51">
        <v>1829200781</v>
      </c>
      <c r="C653">
        <f>VLOOKUP(A:A,'דוח כספי 1-10.17'!A:A,1,0)</f>
        <v>1829200781</v>
      </c>
    </row>
    <row r="654" spans="1:3" ht="15.75">
      <c r="A654" s="51">
        <v>1829201781</v>
      </c>
      <c r="C654">
        <f>VLOOKUP(A:A,'דוח כספי 1-10.17'!A:A,1,0)</f>
        <v>1829201781</v>
      </c>
    </row>
    <row r="655" spans="1:3" ht="15.75">
      <c r="A655" s="51">
        <v>1829200930</v>
      </c>
      <c r="C655">
        <f>VLOOKUP(A:A,'דוח כספי 1-10.17'!A:A,1,0)</f>
        <v>1829200930</v>
      </c>
    </row>
    <row r="656" spans="1:3" ht="15.75">
      <c r="A656" s="51">
        <v>1829210110</v>
      </c>
      <c r="C656">
        <f>VLOOKUP(A:A,'דוח כספי 1-10.17'!A:A,1,0)</f>
        <v>1829210110</v>
      </c>
    </row>
    <row r="657" spans="1:3" ht="15.75">
      <c r="A657" s="51">
        <v>1829300750</v>
      </c>
      <c r="C657">
        <f>VLOOKUP(A:A,'דוח כספי 1-10.17'!A:A,1,0)</f>
        <v>1829300750</v>
      </c>
    </row>
    <row r="658" spans="1:3" ht="15.75">
      <c r="A658" s="51">
        <v>1824000110</v>
      </c>
      <c r="C658">
        <f>VLOOKUP(A:A,'דוח כספי 1-10.17'!A:A,1,0)</f>
        <v>1824000110</v>
      </c>
    </row>
    <row r="659" spans="1:3" ht="15.75">
      <c r="A659" s="51">
        <v>1824000431</v>
      </c>
      <c r="C659">
        <f>VLOOKUP(A:A,'דוח כספי 1-10.17'!A:A,1,0)</f>
        <v>1824000431</v>
      </c>
    </row>
    <row r="660" spans="1:3" ht="15.75">
      <c r="A660" s="51">
        <v>1828100110</v>
      </c>
      <c r="C660">
        <f>VLOOKUP(A:A,'דוח כספי 1-10.17'!A:A,1,0)</f>
        <v>1828100110</v>
      </c>
    </row>
    <row r="661" spans="1:3" ht="15.75">
      <c r="A661" s="51">
        <v>1828300320</v>
      </c>
      <c r="C661">
        <f>VLOOKUP(A:A,'דוח כספי 1-10.17'!A:A,1,0)</f>
        <v>1828300320</v>
      </c>
    </row>
    <row r="662" spans="1:3" ht="15.75">
      <c r="A662" s="51">
        <v>1829999399</v>
      </c>
      <c r="C662">
        <f>VLOOKUP(A:A,'דוח כספי 1-10.17'!A:A,1,0)</f>
        <v>1829999399</v>
      </c>
    </row>
    <row r="663" spans="1:3" ht="15.75">
      <c r="A663" s="51">
        <v>1832000431</v>
      </c>
      <c r="C663">
        <f>VLOOKUP(A:A,'דוח כספי 1-10.17'!A:A,1,0)</f>
        <v>1832000431</v>
      </c>
    </row>
    <row r="664" spans="1:3" ht="15.75">
      <c r="A664" s="51">
        <v>1832300110</v>
      </c>
      <c r="C664">
        <f>VLOOKUP(A:A,'דוח כספי 1-10.17'!A:A,1,0)</f>
        <v>1832300110</v>
      </c>
    </row>
    <row r="665" spans="1:3" ht="15.75">
      <c r="A665" s="51">
        <v>1832300431</v>
      </c>
      <c r="C665">
        <f>VLOOKUP(A:A,'דוח כספי 1-10.17'!A:A,1,0)</f>
        <v>1832300431</v>
      </c>
    </row>
    <row r="666" spans="1:3" ht="15.75">
      <c r="A666" s="51">
        <v>1832300441</v>
      </c>
      <c r="C666">
        <f>VLOOKUP(A:A,'דוח כספי 1-10.17'!A:A,1,0)</f>
        <v>1832300441</v>
      </c>
    </row>
    <row r="667" spans="1:3" ht="15.75">
      <c r="A667" s="51">
        <v>1832300540</v>
      </c>
      <c r="C667">
        <f>VLOOKUP(A:A,'דוח כספי 1-10.17'!A:A,1,0)</f>
        <v>1832300540</v>
      </c>
    </row>
    <row r="668" spans="1:3" ht="15.75">
      <c r="A668" s="51">
        <v>1832300780</v>
      </c>
      <c r="C668">
        <f>VLOOKUP(A:A,'דוח כספי 1-10.17'!A:A,1,0)</f>
        <v>1832300780</v>
      </c>
    </row>
    <row r="669" spans="1:3" ht="15.75">
      <c r="A669" s="51">
        <v>1832400110</v>
      </c>
      <c r="C669">
        <f>VLOOKUP(A:A,'דוח כספי 1-10.17'!A:A,1,0)</f>
        <v>1832400110</v>
      </c>
    </row>
    <row r="670" spans="1:3" ht="15.75">
      <c r="A670" s="51">
        <v>1832400320</v>
      </c>
      <c r="C670">
        <f>VLOOKUP(A:A,'דוח כספי 1-10.17'!A:A,1,0)</f>
        <v>1832400320</v>
      </c>
    </row>
    <row r="671" spans="1:3" ht="15.75">
      <c r="A671" s="51">
        <v>1832400431</v>
      </c>
      <c r="C671">
        <f>VLOOKUP(A:A,'דוח כספי 1-10.17'!A:A,1,0)</f>
        <v>1832400431</v>
      </c>
    </row>
    <row r="672" spans="1:3" ht="15.75">
      <c r="A672" s="51">
        <v>1832400432</v>
      </c>
      <c r="C672">
        <f>VLOOKUP(A:A,'דוח כספי 1-10.17'!A:A,1,0)</f>
        <v>1832400432</v>
      </c>
    </row>
    <row r="673" spans="1:3" ht="15.75">
      <c r="A673" s="51">
        <v>1832400750</v>
      </c>
      <c r="C673">
        <f>VLOOKUP(A:A,'דוח כספי 1-10.17'!A:A,1,0)</f>
        <v>1832400750</v>
      </c>
    </row>
    <row r="674" spans="1:3" ht="15.75">
      <c r="A674" s="51">
        <v>1832400780</v>
      </c>
      <c r="C674">
        <f>VLOOKUP(A:A,'דוח כספי 1-10.17'!A:A,1,0)</f>
        <v>1832400780</v>
      </c>
    </row>
    <row r="675" spans="1:3" ht="15.75">
      <c r="A675" s="51">
        <v>1836100830</v>
      </c>
      <c r="C675">
        <f>VLOOKUP(A:A,'דוח כספי 1-10.17'!A:A,1,0)</f>
        <v>1836100830</v>
      </c>
    </row>
    <row r="676" spans="1:3" ht="15.75">
      <c r="A676" s="51">
        <v>1838020840</v>
      </c>
      <c r="C676">
        <f>VLOOKUP(A:A,'דוח כספי 1-10.17'!A:A,1,0)</f>
        <v>1838020840</v>
      </c>
    </row>
    <row r="677" spans="1:3" ht="15.75">
      <c r="A677" s="51">
        <v>1839999399</v>
      </c>
      <c r="C677">
        <f>VLOOKUP(A:A,'דוח כספי 1-10.17'!A:A,1,0)</f>
        <v>1839999399</v>
      </c>
    </row>
    <row r="678" spans="1:3" ht="15.75">
      <c r="A678" s="51">
        <v>1841000420</v>
      </c>
      <c r="C678">
        <f>VLOOKUP(A:A,'דוח כספי 1-10.17'!A:A,1,0)</f>
        <v>1841000420</v>
      </c>
    </row>
    <row r="679" spans="1:3" ht="15.75">
      <c r="A679" s="51">
        <v>1841000431</v>
      </c>
      <c r="C679">
        <f>VLOOKUP(A:A,'דוח כספי 1-10.17'!A:A,1,0)</f>
        <v>1841000431</v>
      </c>
    </row>
    <row r="680" spans="1:3" ht="15.75">
      <c r="A680" s="51">
        <v>1841000523</v>
      </c>
      <c r="C680">
        <f>VLOOKUP(A:A,'דוח כספי 1-10.17'!A:A,1,0)</f>
        <v>1841000523</v>
      </c>
    </row>
    <row r="681" spans="1:3" ht="15.75">
      <c r="A681" s="51">
        <v>1841000780</v>
      </c>
      <c r="C681">
        <f>VLOOKUP(A:A,'דוח כספי 1-10.17'!A:A,1,0)</f>
        <v>1841000780</v>
      </c>
    </row>
    <row r="682" spans="1:3" ht="15.75">
      <c r="A682" s="51">
        <v>1841001110</v>
      </c>
      <c r="C682">
        <f>VLOOKUP(A:A,'דוח כספי 1-10.17'!A:A,1,0)</f>
        <v>1841001110</v>
      </c>
    </row>
    <row r="683" spans="1:3" ht="15.75">
      <c r="A683" s="51">
        <v>1841001320</v>
      </c>
      <c r="C683">
        <f>VLOOKUP(A:A,'דוח כספי 1-10.17'!A:A,1,0)</f>
        <v>1841001320</v>
      </c>
    </row>
    <row r="684" spans="1:3" ht="15.75">
      <c r="A684" s="51">
        <v>1841002840</v>
      </c>
      <c r="C684">
        <f>VLOOKUP(A:A,'דוח כספי 1-10.17'!A:A,1,0)</f>
        <v>1841002840</v>
      </c>
    </row>
    <row r="685" spans="1:3" ht="15.75">
      <c r="A685" s="51">
        <v>1841003410</v>
      </c>
      <c r="C685">
        <f>VLOOKUP(A:A,'דוח כספי 1-10.17'!A:A,1,0)</f>
        <v>1841003410</v>
      </c>
    </row>
    <row r="686" spans="1:3" ht="15.75">
      <c r="A686" s="51">
        <v>1841003420</v>
      </c>
      <c r="C686">
        <f>VLOOKUP(A:A,'דוח כספי 1-10.17'!A:A,1,0)</f>
        <v>1841003420</v>
      </c>
    </row>
    <row r="687" spans="1:3" ht="15.75">
      <c r="A687" s="51">
        <v>1841003431</v>
      </c>
      <c r="C687">
        <f>VLOOKUP(A:A,'דוח כספי 1-10.17'!A:A,1,0)</f>
        <v>1841003431</v>
      </c>
    </row>
    <row r="688" spans="1:3" ht="15.75">
      <c r="A688" s="51">
        <v>1841003540</v>
      </c>
      <c r="C688">
        <f>VLOOKUP(A:A,'דוח כספי 1-10.17'!A:A,1,0)</f>
        <v>1841003540</v>
      </c>
    </row>
    <row r="689" spans="1:3" ht="15.75">
      <c r="A689" s="51">
        <v>1841003560</v>
      </c>
      <c r="C689">
        <f>VLOOKUP(A:A,'דוח כספי 1-10.17'!A:A,1,0)</f>
        <v>1841003560</v>
      </c>
    </row>
    <row r="690" spans="1:3" ht="15.75">
      <c r="A690" s="51">
        <v>1841003570</v>
      </c>
      <c r="C690">
        <f>VLOOKUP(A:A,'דוח כספי 1-10.17'!A:A,1,0)</f>
        <v>1841003570</v>
      </c>
    </row>
    <row r="691" spans="1:3" ht="15.75">
      <c r="A691" s="51">
        <v>1841003720</v>
      </c>
      <c r="C691">
        <f>VLOOKUP(A:A,'דוח כספי 1-10.17'!A:A,1,0)</f>
        <v>1841003720</v>
      </c>
    </row>
    <row r="692" spans="1:3" ht="15.75">
      <c r="A692" s="51">
        <v>1841003750</v>
      </c>
      <c r="C692">
        <f>VLOOKUP(A:A,'דוח כספי 1-10.17'!A:A,1,0)</f>
        <v>1841003750</v>
      </c>
    </row>
    <row r="693" spans="1:3" ht="15.75">
      <c r="A693" s="51">
        <v>1841003780</v>
      </c>
      <c r="C693">
        <f>VLOOKUP(A:A,'דוח כספי 1-10.17'!A:A,1,0)</f>
        <v>1841003780</v>
      </c>
    </row>
    <row r="694" spans="1:3" ht="15.75">
      <c r="A694" s="51">
        <v>1841003930</v>
      </c>
      <c r="C694">
        <f>VLOOKUP(A:A,'דוח כספי 1-10.17'!A:A,1,0)</f>
        <v>1841003930</v>
      </c>
    </row>
    <row r="695" spans="1:3" ht="15.75">
      <c r="A695" s="51">
        <v>1842202840</v>
      </c>
      <c r="C695">
        <f>VLOOKUP(A:A,'דוח כספי 1-10.17'!A:A,1,0)</f>
        <v>1842202840</v>
      </c>
    </row>
    <row r="696" spans="1:3" ht="15.75">
      <c r="A696" s="51">
        <v>1842203780</v>
      </c>
      <c r="C696">
        <f>VLOOKUP(A:A,'דוח כספי 1-10.17'!A:A,1,0)</f>
        <v>1842203780</v>
      </c>
    </row>
    <row r="697" spans="1:3" ht="15.75">
      <c r="A697" s="51">
        <v>1842203840</v>
      </c>
      <c r="C697">
        <f>VLOOKUP(A:A,'דוח כספי 1-10.17'!A:A,1,0)</f>
        <v>1842203840</v>
      </c>
    </row>
    <row r="698" spans="1:3" ht="15.75">
      <c r="A698" s="51">
        <v>1842204710</v>
      </c>
      <c r="C698">
        <f>VLOOKUP(A:A,'דוח כספי 1-10.17'!A:A,1,0)</f>
        <v>1842204710</v>
      </c>
    </row>
    <row r="699" spans="1:3" ht="15.75">
      <c r="A699" s="51">
        <v>1842204840</v>
      </c>
      <c r="C699">
        <f>VLOOKUP(A:A,'דוח כספי 1-10.17'!A:A,1,0)</f>
        <v>1842204840</v>
      </c>
    </row>
    <row r="700" spans="1:3" ht="15.75">
      <c r="A700" s="51">
        <v>1842205710</v>
      </c>
      <c r="C700">
        <f>VLOOKUP(A:A,'דוח כספי 1-10.17'!A:A,1,0)</f>
        <v>1842205710</v>
      </c>
    </row>
    <row r="701" spans="1:3" ht="15.75">
      <c r="A701" s="51">
        <v>1842205780</v>
      </c>
      <c r="C701">
        <f>VLOOKUP(A:A,'דוח כספי 1-10.17'!A:A,1,0)</f>
        <v>1842205780</v>
      </c>
    </row>
    <row r="702" spans="1:3" ht="15.75">
      <c r="A702" s="51">
        <v>1842205840</v>
      </c>
      <c r="C702">
        <f>VLOOKUP(A:A,'דוח כספי 1-10.17'!A:A,1,0)</f>
        <v>1842205840</v>
      </c>
    </row>
    <row r="703" spans="1:3" ht="15.75">
      <c r="A703" s="51">
        <v>1842206840</v>
      </c>
      <c r="C703">
        <f>VLOOKUP(A:A,'דוח כספי 1-10.17'!A:A,1,0)</f>
        <v>1842206840</v>
      </c>
    </row>
    <row r="704" spans="1:3" ht="15.75">
      <c r="A704" s="51">
        <v>1842401840</v>
      </c>
      <c r="C704">
        <f>VLOOKUP(A:A,'דוח כספי 1-10.17'!A:A,1,0)</f>
        <v>1842401840</v>
      </c>
    </row>
    <row r="705" spans="1:3" ht="15.75">
      <c r="A705" s="51">
        <v>1842402840</v>
      </c>
      <c r="C705">
        <f>VLOOKUP(A:A,'דוח כספי 1-10.17'!A:A,1,0)</f>
        <v>1842402840</v>
      </c>
    </row>
    <row r="706" spans="1:3" ht="15.75">
      <c r="A706" s="51">
        <v>1843501110</v>
      </c>
      <c r="C706">
        <f>VLOOKUP(A:A,'דוח כספי 1-10.17'!A:A,1,0)</f>
        <v>1843501110</v>
      </c>
    </row>
    <row r="707" spans="1:3" ht="15.75">
      <c r="A707" s="51">
        <v>1843501840</v>
      </c>
      <c r="C707">
        <f>VLOOKUP(A:A,'דוח כספי 1-10.17'!A:A,1,0)</f>
        <v>1843501840</v>
      </c>
    </row>
    <row r="708" spans="1:3" ht="15.75">
      <c r="A708" s="51">
        <v>1843502840</v>
      </c>
      <c r="C708">
        <f>VLOOKUP(A:A,'דוח כספי 1-10.17'!A:A,1,0)</f>
        <v>1843502840</v>
      </c>
    </row>
    <row r="709" spans="1:3" ht="15.75">
      <c r="A709" s="51">
        <v>1843503750</v>
      </c>
      <c r="C709">
        <f>VLOOKUP(A:A,'דוח כספי 1-10.17'!A:A,1,0)</f>
        <v>1843503750</v>
      </c>
    </row>
    <row r="710" spans="1:3" ht="15.75">
      <c r="A710" s="51">
        <v>1843503840</v>
      </c>
      <c r="C710">
        <f>VLOOKUP(A:A,'דוח כספי 1-10.17'!A:A,1,0)</f>
        <v>1843503840</v>
      </c>
    </row>
    <row r="711" spans="1:3" ht="15.75">
      <c r="A711" s="51">
        <v>1843504720</v>
      </c>
      <c r="C711">
        <f>VLOOKUP(A:A,'דוח כספי 1-10.17'!A:A,1,0)</f>
        <v>1843504720</v>
      </c>
    </row>
    <row r="712" spans="1:3" ht="15.75">
      <c r="A712" s="51">
        <v>1843504721</v>
      </c>
      <c r="C712">
        <f>VLOOKUP(A:A,'דוח כספי 1-10.17'!A:A,1,0)</f>
        <v>1843504721</v>
      </c>
    </row>
    <row r="713" spans="1:3" ht="15.75">
      <c r="A713" s="51">
        <v>1843504750</v>
      </c>
      <c r="C713">
        <f>VLOOKUP(A:A,'דוח כספי 1-10.17'!A:A,1,0)</f>
        <v>1843504750</v>
      </c>
    </row>
    <row r="714" spans="1:3" ht="15.75">
      <c r="A714" s="51">
        <v>1843504780</v>
      </c>
      <c r="C714">
        <f>VLOOKUP(A:A,'דוח כספי 1-10.17'!A:A,1,0)</f>
        <v>1843504780</v>
      </c>
    </row>
    <row r="715" spans="1:3" ht="15.75">
      <c r="A715" s="51">
        <v>1843801840</v>
      </c>
      <c r="C715">
        <f>VLOOKUP(A:A,'דוח כספי 1-10.17'!A:A,1,0)</f>
        <v>1843801840</v>
      </c>
    </row>
    <row r="716" spans="1:3" ht="15.75">
      <c r="A716" s="51">
        <v>1843901521</v>
      </c>
      <c r="C716">
        <f>VLOOKUP(A:A,'דוח כספי 1-10.17'!A:A,1,0)</f>
        <v>1843901521</v>
      </c>
    </row>
    <row r="717" spans="1:3" ht="15.75">
      <c r="A717" s="51">
        <v>1843901750</v>
      </c>
      <c r="C717">
        <f>VLOOKUP(A:A,'דוח כספי 1-10.17'!A:A,1,0)</f>
        <v>1843901750</v>
      </c>
    </row>
    <row r="718" spans="1:3" ht="15.75">
      <c r="A718" s="51">
        <v>1843900840</v>
      </c>
      <c r="C718">
        <f>VLOOKUP(A:A,'דוח כספי 1-10.17'!A:A,1,0)</f>
        <v>1843900840</v>
      </c>
    </row>
    <row r="719" spans="1:3" ht="15.75">
      <c r="A719" s="51">
        <v>1843901840</v>
      </c>
      <c r="C719">
        <f>VLOOKUP(A:A,'דוח כספי 1-10.17'!A:A,1,0)</f>
        <v>1843901840</v>
      </c>
    </row>
    <row r="720" spans="1:3" ht="15.75">
      <c r="A720" s="51">
        <v>1843901930</v>
      </c>
      <c r="C720">
        <f>VLOOKUP(A:A,'דוח כספי 1-10.17'!A:A,1,0)</f>
        <v>1843901930</v>
      </c>
    </row>
    <row r="721" spans="1:3" ht="15.75">
      <c r="A721" s="51">
        <v>1844300840</v>
      </c>
      <c r="C721">
        <f>VLOOKUP(A:A,'דוח כספי 1-10.17'!A:A,1,0)</f>
        <v>1844300840</v>
      </c>
    </row>
    <row r="722" spans="1:3" ht="15.75">
      <c r="A722" s="51">
        <v>1844401110</v>
      </c>
      <c r="C722">
        <f>VLOOKUP(A:A,'דוח כספי 1-10.17'!A:A,1,0)</f>
        <v>1844401110</v>
      </c>
    </row>
    <row r="723" spans="1:3" ht="15.75">
      <c r="A723" s="51">
        <v>1844401320</v>
      </c>
      <c r="C723">
        <f>VLOOKUP(A:A,'דוח כספי 1-10.17'!A:A,1,0)</f>
        <v>1844401320</v>
      </c>
    </row>
    <row r="724" spans="1:3" ht="15.75">
      <c r="A724" s="51">
        <v>1844401431</v>
      </c>
      <c r="C724">
        <f>VLOOKUP(A:A,'דוח כספי 1-10.17'!A:A,1,0)</f>
        <v>1844401431</v>
      </c>
    </row>
    <row r="725" spans="1:3" ht="15.75">
      <c r="A725" s="51">
        <v>1844401432</v>
      </c>
      <c r="C725">
        <f>VLOOKUP(A:A,'דוח כספי 1-10.17'!A:A,1,0)</f>
        <v>1844401432</v>
      </c>
    </row>
    <row r="726" spans="1:3" ht="15.75">
      <c r="A726" s="51">
        <v>1844401433</v>
      </c>
      <c r="C726">
        <f>VLOOKUP(A:A,'דוח כספי 1-10.17'!A:A,1,0)</f>
        <v>1844401433</v>
      </c>
    </row>
    <row r="727" spans="1:3" ht="15.75">
      <c r="A727" s="51">
        <v>1844401540</v>
      </c>
      <c r="C727">
        <f>VLOOKUP(A:A,'דוח כספי 1-10.17'!A:A,1,0)</f>
        <v>1844401540</v>
      </c>
    </row>
    <row r="728" spans="1:3" ht="15.75">
      <c r="A728" s="51">
        <v>1844402840</v>
      </c>
      <c r="C728">
        <f>VLOOKUP(A:A,'דוח כספי 1-10.17'!A:A,1,0)</f>
        <v>1844402840</v>
      </c>
    </row>
    <row r="729" spans="1:3" ht="15.75">
      <c r="A729" s="51">
        <v>1844403840</v>
      </c>
      <c r="C729">
        <f>VLOOKUP(A:A,'דוח כספי 1-10.17'!A:A,1,0)</f>
        <v>1844403840</v>
      </c>
    </row>
    <row r="730" spans="1:3" ht="15.75">
      <c r="A730" s="51">
        <v>1844401750</v>
      </c>
      <c r="C730">
        <f>VLOOKUP(A:A,'דוח כספי 1-10.17'!A:A,1,0)</f>
        <v>1844401750</v>
      </c>
    </row>
    <row r="731" spans="1:3" ht="15.75">
      <c r="A731" s="51">
        <v>1844500110</v>
      </c>
      <c r="C731">
        <f>VLOOKUP(A:A,'דוח כספי 1-10.17'!A:A,1,0)</f>
        <v>1844500110</v>
      </c>
    </row>
    <row r="732" spans="1:3" ht="15.75">
      <c r="A732" s="51">
        <v>1844500840</v>
      </c>
      <c r="C732">
        <f>VLOOKUP(A:A,'דוח כספי 1-10.17'!A:A,1,0)</f>
        <v>1844500840</v>
      </c>
    </row>
    <row r="733" spans="1:3" ht="15.75">
      <c r="A733" s="51">
        <v>1845100840</v>
      </c>
      <c r="C733">
        <f>VLOOKUP(A:A,'דוח כספי 1-10.17'!A:A,1,0)</f>
        <v>1845100840</v>
      </c>
    </row>
    <row r="734" spans="1:3" ht="15.75">
      <c r="A734" s="51">
        <v>1845101840</v>
      </c>
      <c r="C734">
        <f>VLOOKUP(A:A,'דוח כספי 1-10.17'!A:A,1,0)</f>
        <v>1845101840</v>
      </c>
    </row>
    <row r="735" spans="1:3" ht="15.75">
      <c r="A735" s="51">
        <v>1845102840</v>
      </c>
      <c r="C735">
        <f>VLOOKUP(A:A,'דוח כספי 1-10.17'!A:A,1,0)</f>
        <v>1845102840</v>
      </c>
    </row>
    <row r="736" spans="1:3" ht="15.75">
      <c r="A736" s="51">
        <v>1845103840</v>
      </c>
      <c r="C736">
        <f>VLOOKUP(A:A,'דוח כספי 1-10.17'!A:A,1,0)</f>
        <v>1845103840</v>
      </c>
    </row>
    <row r="737" spans="1:3" ht="15.75">
      <c r="A737" s="51">
        <v>1845104840</v>
      </c>
      <c r="C737">
        <f>VLOOKUP(A:A,'דוח כספי 1-10.17'!A:A,1,0)</f>
        <v>1845104840</v>
      </c>
    </row>
    <row r="738" spans="1:3" ht="15.75">
      <c r="A738" s="51">
        <v>1845201110</v>
      </c>
      <c r="C738">
        <f>VLOOKUP(A:A,'דוח כספי 1-10.17'!A:A,1,0)</f>
        <v>1845201110</v>
      </c>
    </row>
    <row r="739" spans="1:3" ht="15.75">
      <c r="A739" s="51">
        <v>1845201840</v>
      </c>
      <c r="C739">
        <f>VLOOKUP(A:A,'דוח כספי 1-10.17'!A:A,1,0)</f>
        <v>1845201840</v>
      </c>
    </row>
    <row r="740" spans="1:3" ht="15.75">
      <c r="A740" s="51">
        <v>1845202840</v>
      </c>
      <c r="C740">
        <f>VLOOKUP(A:A,'דוח כספי 1-10.17'!A:A,1,0)</f>
        <v>1845202840</v>
      </c>
    </row>
    <row r="741" spans="1:3" ht="15.75">
      <c r="A741" s="51">
        <v>1845203840</v>
      </c>
      <c r="C741">
        <f>VLOOKUP(A:A,'דוח כספי 1-10.17'!A:A,1,0)</f>
        <v>1845203840</v>
      </c>
    </row>
    <row r="742" spans="1:3" ht="15.75">
      <c r="A742" s="51">
        <v>1845204840</v>
      </c>
      <c r="C742">
        <f>VLOOKUP(A:A,'דוח כספי 1-10.17'!A:A,1,0)</f>
        <v>1845204840</v>
      </c>
    </row>
    <row r="743" spans="1:3" ht="15.75">
      <c r="A743" s="51">
        <v>1845205840</v>
      </c>
      <c r="C743">
        <f>VLOOKUP(A:A,'דוח כספי 1-10.17'!A:A,1,0)</f>
        <v>1845205840</v>
      </c>
    </row>
    <row r="744" spans="1:3" ht="15.75">
      <c r="A744" s="51">
        <v>1845301840</v>
      </c>
      <c r="C744">
        <f>VLOOKUP(A:A,'דוח כספי 1-10.17'!A:A,1,0)</f>
        <v>1845301840</v>
      </c>
    </row>
    <row r="745" spans="1:3" ht="15.75">
      <c r="A745" s="51">
        <v>1845302840</v>
      </c>
      <c r="C745">
        <f>VLOOKUP(A:A,'דוח כספי 1-10.17'!A:A,1,0)</f>
        <v>1845302840</v>
      </c>
    </row>
    <row r="746" spans="1:3" ht="15.75">
      <c r="A746" s="51">
        <v>1845303840</v>
      </c>
      <c r="C746">
        <f>VLOOKUP(A:A,'דוח כספי 1-10.17'!A:A,1,0)</f>
        <v>1845303840</v>
      </c>
    </row>
    <row r="747" spans="1:3" ht="15.75">
      <c r="A747" s="51">
        <v>1845304840</v>
      </c>
      <c r="C747">
        <f>VLOOKUP(A:A,'דוח כספי 1-10.17'!A:A,1,0)</f>
        <v>1845304840</v>
      </c>
    </row>
    <row r="748" spans="1:3" ht="15.75">
      <c r="A748" s="51">
        <v>1845200840</v>
      </c>
      <c r="C748">
        <f>VLOOKUP(A:A,'דוח כספי 1-10.17'!A:A,1,0)</f>
        <v>1845200840</v>
      </c>
    </row>
    <row r="749" spans="1:3" ht="15.75">
      <c r="A749" s="51">
        <v>1846301840</v>
      </c>
      <c r="C749">
        <f>VLOOKUP(A:A,'דוח כספי 1-10.17'!A:A,1,0)</f>
        <v>1846301840</v>
      </c>
    </row>
    <row r="750" spans="1:3" ht="15.75">
      <c r="A750" s="51">
        <v>1846302840</v>
      </c>
      <c r="C750">
        <f>VLOOKUP(A:A,'דוח כספי 1-10.17'!A:A,1,0)</f>
        <v>1846302840</v>
      </c>
    </row>
    <row r="751" spans="1:3" ht="15.75">
      <c r="A751" s="51">
        <v>1846401840</v>
      </c>
      <c r="C751">
        <f>VLOOKUP(A:A,'דוח כספי 1-10.17'!A:A,1,0)</f>
        <v>1846401840</v>
      </c>
    </row>
    <row r="752" spans="1:3" ht="15.75">
      <c r="A752" s="51">
        <v>1846402840</v>
      </c>
      <c r="C752">
        <f>VLOOKUP(A:A,'דוח כספי 1-10.17'!A:A,1,0)</f>
        <v>1846402840</v>
      </c>
    </row>
    <row r="753" spans="1:3" ht="15.75">
      <c r="A753" s="51">
        <v>1846500840</v>
      </c>
      <c r="C753">
        <f>VLOOKUP(A:A,'דוח כספי 1-10.17'!A:A,1,0)</f>
        <v>1846500840</v>
      </c>
    </row>
    <row r="754" spans="1:3" ht="15.75">
      <c r="A754" s="51">
        <v>1846501840</v>
      </c>
      <c r="C754">
        <f>VLOOKUP(A:A,'דוח כספי 1-10.17'!A:A,1,0)</f>
        <v>1846501840</v>
      </c>
    </row>
    <row r="755" spans="1:3" ht="15.75">
      <c r="A755" s="51">
        <v>1846601840</v>
      </c>
      <c r="C755">
        <f>VLOOKUP(A:A,'דוח כספי 1-10.17'!A:A,1,0)</f>
        <v>1846601840</v>
      </c>
    </row>
    <row r="756" spans="1:3" ht="15.75">
      <c r="A756" s="51">
        <v>1846602840</v>
      </c>
      <c r="C756">
        <f>VLOOKUP(A:A,'דוח כספי 1-10.17'!A:A,1,0)</f>
        <v>1846602840</v>
      </c>
    </row>
    <row r="757" spans="1:3" ht="15.75">
      <c r="A757" s="51">
        <v>1846603840</v>
      </c>
      <c r="C757">
        <f>VLOOKUP(A:A,'דוח כספי 1-10.17'!A:A,1,0)</f>
        <v>1846603840</v>
      </c>
    </row>
    <row r="758" spans="1:3" ht="15.75">
      <c r="A758" s="51">
        <v>1846701840</v>
      </c>
      <c r="C758">
        <f>VLOOKUP(A:A,'דוח כספי 1-10.17'!A:A,1,0)</f>
        <v>1846701840</v>
      </c>
    </row>
    <row r="759" spans="1:3" ht="15.75">
      <c r="A759" s="51">
        <v>1846702840</v>
      </c>
      <c r="C759">
        <f>VLOOKUP(A:A,'דוח כספי 1-10.17'!A:A,1,0)</f>
        <v>1846702840</v>
      </c>
    </row>
    <row r="760" spans="1:3" ht="15.75">
      <c r="A760" s="51">
        <v>1846703840</v>
      </c>
      <c r="C760">
        <f>VLOOKUP(A:A,'דוח כספי 1-10.17'!A:A,1,0)</f>
        <v>1846703840</v>
      </c>
    </row>
    <row r="761" spans="1:3" ht="15.75">
      <c r="A761" s="51">
        <v>1846704840</v>
      </c>
      <c r="C761">
        <f>VLOOKUP(A:A,'דוח כספי 1-10.17'!A:A,1,0)</f>
        <v>1846704840</v>
      </c>
    </row>
    <row r="762" spans="1:3" ht="15.75">
      <c r="A762" s="51">
        <v>1846801840</v>
      </c>
      <c r="C762">
        <f>VLOOKUP(A:A,'דוח כספי 1-10.17'!A:A,1,0)</f>
        <v>1846801840</v>
      </c>
    </row>
    <row r="763" spans="1:3" ht="15.75">
      <c r="A763" s="51">
        <v>1847101710</v>
      </c>
      <c r="C763">
        <f>VLOOKUP(A:A,'דוח כספי 1-10.17'!A:A,1,0)</f>
        <v>1847101710</v>
      </c>
    </row>
    <row r="764" spans="1:3" ht="15.75">
      <c r="A764" s="51">
        <v>1847101780</v>
      </c>
      <c r="C764">
        <f>VLOOKUP(A:A,'דוח כספי 1-10.17'!A:A,1,0)</f>
        <v>1847101780</v>
      </c>
    </row>
    <row r="765" spans="1:3" ht="15.75">
      <c r="A765" s="51">
        <v>1847101840</v>
      </c>
      <c r="C765">
        <f>VLOOKUP(A:A,'דוח כספי 1-10.17'!A:A,1,0)</f>
        <v>1847101840</v>
      </c>
    </row>
    <row r="766" spans="1:3" ht="15.75">
      <c r="A766" s="51">
        <v>1847103840</v>
      </c>
      <c r="C766">
        <f>VLOOKUP(A:A,'דוח כספי 1-10.17'!A:A,1,0)</f>
        <v>1847103840</v>
      </c>
    </row>
    <row r="767" spans="1:3" ht="15.75">
      <c r="A767" s="51">
        <v>1847104840</v>
      </c>
      <c r="C767">
        <f>VLOOKUP(A:A,'דוח כספי 1-10.17'!A:A,1,0)</f>
        <v>1847104840</v>
      </c>
    </row>
    <row r="768" spans="1:3" ht="15.75">
      <c r="A768" s="51">
        <v>1847202840</v>
      </c>
      <c r="C768">
        <f>VLOOKUP(A:A,'דוח כספי 1-10.17'!A:A,1,0)</f>
        <v>1847202840</v>
      </c>
    </row>
    <row r="769" spans="1:3" ht="15.75">
      <c r="A769" s="51">
        <v>1847301840</v>
      </c>
      <c r="C769">
        <f>VLOOKUP(A:A,'דוח כספי 1-10.17'!A:A,1,0)</f>
        <v>1847301840</v>
      </c>
    </row>
    <row r="770" spans="1:3" ht="15.75">
      <c r="A770" s="51">
        <v>1847302840</v>
      </c>
      <c r="C770">
        <f>VLOOKUP(A:A,'דוח כספי 1-10.17'!A:A,1,0)</f>
        <v>1847302840</v>
      </c>
    </row>
    <row r="771" spans="1:3" ht="15.75">
      <c r="A771" s="51">
        <v>1847400840</v>
      </c>
      <c r="C771">
        <f>VLOOKUP(A:A,'דוח כספי 1-10.17'!A:A,1,0)</f>
        <v>1847400840</v>
      </c>
    </row>
    <row r="772" spans="1:3" ht="15.75">
      <c r="A772" s="51">
        <v>1847500840</v>
      </c>
      <c r="C772">
        <f>VLOOKUP(A:A,'דוח כספי 1-10.17'!A:A,1,0)</f>
        <v>1847500840</v>
      </c>
    </row>
    <row r="773" spans="1:3" ht="15.75">
      <c r="A773" s="51">
        <v>1847201840</v>
      </c>
      <c r="C773">
        <f>VLOOKUP(A:A,'דוח כספי 1-10.17'!A:A,1,0)</f>
        <v>1847201840</v>
      </c>
    </row>
    <row r="774" spans="1:3" ht="15.75">
      <c r="A774" s="51">
        <v>1845800840</v>
      </c>
      <c r="C774">
        <f>VLOOKUP(A:A,'דוח כספי 1-10.17'!A:A,1,0)</f>
        <v>1845800840</v>
      </c>
    </row>
    <row r="775" spans="1:3" ht="15.75">
      <c r="A775" s="51">
        <v>1848501780</v>
      </c>
      <c r="C775">
        <f>VLOOKUP(A:A,'דוח כספי 1-10.17'!A:A,1,0)</f>
        <v>1848501780</v>
      </c>
    </row>
    <row r="776" spans="1:3" ht="15.75">
      <c r="A776" s="51">
        <v>1848502840</v>
      </c>
      <c r="C776">
        <f>VLOOKUP(A:A,'דוח כספי 1-10.17'!A:A,1,0)</f>
        <v>1848502840</v>
      </c>
    </row>
    <row r="777" spans="1:3" ht="15.75">
      <c r="A777" s="51">
        <v>1848502850</v>
      </c>
      <c r="C777">
        <f>VLOOKUP(A:A,'דוח כספי 1-10.17'!A:A,1,0)</f>
        <v>1848502850</v>
      </c>
    </row>
    <row r="778" spans="1:3" ht="15.75">
      <c r="A778" s="51">
        <v>1853000432</v>
      </c>
      <c r="C778">
        <f>VLOOKUP(A:A,'דוח כספי 1-10.17'!A:A,1,0)</f>
        <v>1853000432</v>
      </c>
    </row>
    <row r="779" spans="1:3" ht="15.75">
      <c r="A779" s="51">
        <v>1853000750</v>
      </c>
      <c r="C779">
        <f>VLOOKUP(A:A,'דוח כספי 1-10.17'!A:A,1,0)</f>
        <v>1853000750</v>
      </c>
    </row>
    <row r="780" spans="1:3" ht="15.75">
      <c r="A780" s="51">
        <v>1853000780</v>
      </c>
      <c r="C780">
        <f>VLOOKUP(A:A,'דוח כספי 1-10.17'!A:A,1,0)</f>
        <v>1853000780</v>
      </c>
    </row>
    <row r="781" spans="1:3" ht="15.75">
      <c r="A781" s="51">
        <v>1879000830</v>
      </c>
      <c r="C781">
        <f>VLOOKUP(A:A,'דוח כספי 1-10.17'!A:A,1,0)</f>
        <v>1879000830</v>
      </c>
    </row>
    <row r="782" spans="1:3" ht="15.75">
      <c r="A782" s="51">
        <v>1911000110</v>
      </c>
      <c r="C782">
        <f>VLOOKUP(A:A,'דוח כספי 1-10.17'!A:A,1,0)</f>
        <v>1911000110</v>
      </c>
    </row>
    <row r="783" spans="1:3" ht="15.75">
      <c r="A783" s="51">
        <v>1911000540</v>
      </c>
      <c r="C783">
        <f>VLOOKUP(A:A,'דוח כספי 1-10.17'!A:A,1,0)</f>
        <v>1911000540</v>
      </c>
    </row>
    <row r="784" spans="1:3" ht="15.75">
      <c r="A784" s="51">
        <v>1913000720</v>
      </c>
      <c r="C784">
        <f>VLOOKUP(A:A,'דוח כספי 1-10.17'!A:A,1,0)</f>
        <v>1913000720</v>
      </c>
    </row>
    <row r="785" spans="1:3" ht="15.75">
      <c r="A785" s="51">
        <v>1913000740</v>
      </c>
      <c r="C785">
        <f>VLOOKUP(A:A,'דוח כספי 1-10.17'!A:A,1,0)</f>
        <v>1913000740</v>
      </c>
    </row>
    <row r="786" spans="1:3" ht="15.75">
      <c r="A786" s="51">
        <v>1913000750</v>
      </c>
      <c r="C786">
        <f>VLOOKUP(A:A,'דוח כספי 1-10.17'!A:A,1,0)</f>
        <v>1913000750</v>
      </c>
    </row>
    <row r="787" spans="1:3" ht="15.75">
      <c r="A787" s="51">
        <v>1913000780</v>
      </c>
      <c r="C787">
        <f>VLOOKUP(A:A,'דוח כספי 1-10.17'!A:A,1,0)</f>
        <v>1913000780</v>
      </c>
    </row>
    <row r="788" spans="1:3" ht="15.75">
      <c r="A788" s="51">
        <v>1913100772</v>
      </c>
      <c r="C788">
        <f>VLOOKUP(A:A,'דוח כספי 1-10.17'!A:A,1,0)</f>
        <v>1913100772</v>
      </c>
    </row>
    <row r="789" spans="1:3" ht="15.75">
      <c r="A789" s="51">
        <v>1938000420</v>
      </c>
      <c r="C789">
        <f>VLOOKUP(A:A,'דוח כספי 1-10.17'!A:A,1,0)</f>
        <v>1938000420</v>
      </c>
    </row>
    <row r="790" spans="1:3" ht="15.75">
      <c r="A790" s="51">
        <v>1938000432</v>
      </c>
      <c r="C790">
        <f>VLOOKUP(A:A,'דוח כספי 1-10.17'!A:A,1,0)</f>
        <v>1938000432</v>
      </c>
    </row>
    <row r="791" spans="1:3" ht="15.75">
      <c r="A791" s="51">
        <v>1938000511</v>
      </c>
      <c r="C791">
        <f>VLOOKUP(A:A,'דוח כספי 1-10.17'!A:A,1,0)</f>
        <v>1938000511</v>
      </c>
    </row>
    <row r="792" spans="1:3" ht="15.75">
      <c r="A792" s="51">
        <v>1938000540</v>
      </c>
      <c r="C792">
        <f>VLOOKUP(A:A,'דוח כספי 1-10.17'!A:A,1,0)</f>
        <v>1938000540</v>
      </c>
    </row>
    <row r="793" spans="1:3" ht="15.75">
      <c r="A793" s="51">
        <v>1938000560</v>
      </c>
      <c r="C793">
        <f>VLOOKUP(A:A,'דוח כספי 1-10.17'!A:A,1,0)</f>
        <v>1938000560</v>
      </c>
    </row>
    <row r="794" spans="1:3" ht="15.75">
      <c r="A794" s="51">
        <v>1938000750</v>
      </c>
      <c r="C794">
        <f>VLOOKUP(A:A,'דוח כספי 1-10.17'!A:A,1,0)</f>
        <v>1938000750</v>
      </c>
    </row>
    <row r="795" spans="1:3" ht="15.75">
      <c r="A795" s="51">
        <v>1938000930</v>
      </c>
      <c r="C795">
        <f>VLOOKUP(A:A,'דוח כספי 1-10.17'!A:A,1,0)</f>
        <v>1938000930</v>
      </c>
    </row>
    <row r="796" spans="1:3" ht="15.75">
      <c r="A796" s="51">
        <v>1972000691</v>
      </c>
      <c r="C796">
        <f>VLOOKUP(A:A,'דוח כספי 1-10.17'!A:A,1,0)</f>
        <v>1972000691</v>
      </c>
    </row>
    <row r="797" spans="1:3" ht="15.75">
      <c r="A797" s="51">
        <v>1972000692</v>
      </c>
      <c r="C797">
        <f>VLOOKUP(A:A,'דוח כספי 1-10.17'!A:A,1,0)</f>
        <v>1972000692</v>
      </c>
    </row>
    <row r="798" spans="1:3" ht="15.75">
      <c r="A798" s="51">
        <v>1972000693</v>
      </c>
      <c r="C798">
        <f>VLOOKUP(A:A,'דוח כספי 1-10.17'!A:A,1,0)</f>
        <v>1972000693</v>
      </c>
    </row>
    <row r="799" spans="1:3" ht="15.75">
      <c r="A799" s="51">
        <v>1972000720</v>
      </c>
      <c r="C799">
        <f>VLOOKUP(A:A,'דוח כספי 1-10.17'!A:A,1,0)</f>
        <v>1972000720</v>
      </c>
    </row>
    <row r="800" spans="1:3" ht="15.75">
      <c r="A800" s="51">
        <v>1972000750</v>
      </c>
      <c r="C800">
        <f>VLOOKUP(A:A,'דוח כספי 1-10.17'!A:A,1,0)</f>
        <v>1972000750</v>
      </c>
    </row>
    <row r="801" spans="1:3" ht="15.75">
      <c r="A801" s="51">
        <v>1972000751</v>
      </c>
      <c r="C801">
        <f>VLOOKUP(A:A,'דוח כספי 1-10.17'!A:A,1,0)</f>
        <v>1972000751</v>
      </c>
    </row>
    <row r="802" spans="1:3" ht="15.75">
      <c r="A802" s="51">
        <v>1972000771</v>
      </c>
      <c r="C802">
        <f>VLOOKUP(A:A,'דוח כספי 1-10.17'!A:A,1,0)</f>
        <v>1972000771</v>
      </c>
    </row>
    <row r="803" spans="1:3" ht="15.75">
      <c r="A803" s="51">
        <v>1973000760</v>
      </c>
      <c r="C803">
        <f>VLOOKUP(A:A,'דוח כספי 1-10.17'!A:A,1,0)</f>
        <v>1973000760</v>
      </c>
    </row>
    <row r="804" spans="1:3" ht="15.75">
      <c r="A804" s="51">
        <v>1993000780</v>
      </c>
      <c r="C804">
        <f>VLOOKUP(A:A,'דוח כספי 1-10.17'!A:A,1,0)</f>
        <v>1993000780</v>
      </c>
    </row>
    <row r="805" spans="1:3" ht="15.75">
      <c r="A805" s="51">
        <v>1995000860</v>
      </c>
      <c r="C805">
        <f>VLOOKUP(A:A,'דוח כספי 1-10.17'!A:A,1,0)</f>
        <v>1995000860</v>
      </c>
    </row>
    <row r="806" spans="1:3" ht="15.75">
      <c r="A806" s="51">
        <v>1999000110</v>
      </c>
      <c r="C806">
        <f>VLOOKUP(A:A,'דוח כספי 1-10.17'!A:A,1,0)</f>
        <v>1999000110</v>
      </c>
    </row>
    <row r="807" spans="1:3" ht="15.75">
      <c r="A807" s="51">
        <v>1999000310</v>
      </c>
      <c r="C807">
        <f>VLOOKUP(A:A,'דוח כספי 1-10.17'!A:A,1,0)</f>
        <v>1999000310</v>
      </c>
    </row>
    <row r="808" spans="1:3" ht="15.75">
      <c r="A808" s="51">
        <v>1999000980</v>
      </c>
      <c r="C808">
        <f>VLOOKUP(A:A,'דוח כספי 1-10.17'!A:A,1,0)</f>
        <v>1999000980</v>
      </c>
    </row>
    <row r="809" spans="1:3" ht="15.75">
      <c r="A809" s="51">
        <v>1999100980</v>
      </c>
      <c r="C809">
        <f>VLOOKUP(A:A,'דוח כספי 1-10.17'!A:A,1,0)</f>
        <v>1999100980</v>
      </c>
    </row>
    <row r="810" spans="1:3" ht="15.75">
      <c r="A810" s="51">
        <v>1999900980</v>
      </c>
      <c r="C810">
        <f>VLOOKUP(A:A,'דוח כספי 1-10.17'!A:A,1,0)</f>
        <v>1999900980</v>
      </c>
    </row>
    <row r="811" spans="1:3" ht="15.75">
      <c r="A811" s="51">
        <v>1999900990</v>
      </c>
      <c r="C811">
        <f>VLOOKUP(A:A,'דוח כספי 1-10.17'!A:A,1,0)</f>
        <v>1999900990</v>
      </c>
    </row>
  </sheetData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B583"/>
  <sheetViews>
    <sheetView rightToLeft="1" topLeftCell="A236" workbookViewId="0">
      <selection activeCell="F379" sqref="F379"/>
    </sheetView>
  </sheetViews>
  <sheetFormatPr defaultRowHeight="14.25"/>
  <cols>
    <col min="1" max="1" width="14.875" customWidth="1"/>
    <col min="2" max="2" width="10.375" customWidth="1"/>
  </cols>
  <sheetData>
    <row r="1" spans="1:2" ht="47.25">
      <c r="A1" s="49" t="s">
        <v>0</v>
      </c>
      <c r="B1" s="166" t="s">
        <v>1663</v>
      </c>
    </row>
    <row r="2" spans="1:2" ht="15.75">
      <c r="A2" s="51">
        <v>1611100110</v>
      </c>
      <c r="B2" s="52">
        <v>771990.61</v>
      </c>
    </row>
    <row r="3" spans="1:2" ht="15.75">
      <c r="A3" s="51">
        <v>1611100511</v>
      </c>
      <c r="B3" s="52">
        <v>19804.29</v>
      </c>
    </row>
    <row r="4" spans="1:2" ht="15.75">
      <c r="A4" s="51">
        <v>1611100514</v>
      </c>
      <c r="B4" s="52">
        <v>0</v>
      </c>
    </row>
    <row r="5" spans="1:2" ht="15.75">
      <c r="A5" s="51">
        <v>1611100521</v>
      </c>
      <c r="B5" s="52">
        <v>1700</v>
      </c>
    </row>
    <row r="6" spans="1:2" ht="15.75">
      <c r="A6" s="51">
        <v>1611100522</v>
      </c>
      <c r="B6" s="52">
        <v>0</v>
      </c>
    </row>
    <row r="7" spans="1:2" ht="15.75">
      <c r="A7" s="51">
        <v>1611100523</v>
      </c>
      <c r="B7" s="52">
        <v>0</v>
      </c>
    </row>
    <row r="8" spans="1:2" ht="15.75">
      <c r="A8" s="51">
        <v>1611100530</v>
      </c>
      <c r="B8" s="52">
        <v>53262.400000000001</v>
      </c>
    </row>
    <row r="9" spans="1:2" ht="15.75">
      <c r="A9" s="51">
        <v>1611100531</v>
      </c>
      <c r="B9" s="52">
        <v>12729.79</v>
      </c>
    </row>
    <row r="10" spans="1:2" ht="15.75">
      <c r="A10" s="51">
        <v>1611100532</v>
      </c>
      <c r="B10" s="52">
        <v>0</v>
      </c>
    </row>
    <row r="11" spans="1:2" ht="15.75">
      <c r="A11" s="51">
        <v>1611100533</v>
      </c>
      <c r="B11" s="52">
        <v>0</v>
      </c>
    </row>
    <row r="12" spans="1:2" ht="15.75">
      <c r="A12" s="51">
        <v>1611100540</v>
      </c>
      <c r="B12" s="52">
        <v>0</v>
      </c>
    </row>
    <row r="13" spans="1:2" ht="15.75">
      <c r="A13" s="51">
        <v>1611100560</v>
      </c>
      <c r="B13" s="52">
        <v>9371</v>
      </c>
    </row>
    <row r="14" spans="1:2" ht="15.75">
      <c r="A14" s="51">
        <v>1611100750</v>
      </c>
      <c r="B14" s="52">
        <v>0</v>
      </c>
    </row>
    <row r="15" spans="1:2" ht="15.75">
      <c r="A15" s="51">
        <v>1611100751</v>
      </c>
      <c r="B15" s="52">
        <v>0</v>
      </c>
    </row>
    <row r="16" spans="1:2" ht="15.75">
      <c r="A16" s="51">
        <v>1611100760</v>
      </c>
      <c r="B16" s="52">
        <v>0</v>
      </c>
    </row>
    <row r="17" spans="1:2" ht="15.75">
      <c r="A17" s="51">
        <v>1611100780</v>
      </c>
      <c r="B17" s="52">
        <v>9821.4</v>
      </c>
    </row>
    <row r="18" spans="1:2" ht="15.75">
      <c r="A18" s="51">
        <v>1611100930</v>
      </c>
      <c r="B18" s="52">
        <v>0</v>
      </c>
    </row>
    <row r="19" spans="1:2" ht="15.75">
      <c r="A19" s="51">
        <v>1611110110</v>
      </c>
      <c r="B19" s="52">
        <v>0</v>
      </c>
    </row>
    <row r="20" spans="1:2" ht="15.75">
      <c r="A20" s="51">
        <v>1612000523</v>
      </c>
      <c r="B20" s="52">
        <v>1150</v>
      </c>
    </row>
    <row r="21" spans="1:2" ht="15.75">
      <c r="A21" s="51">
        <v>1612000550</v>
      </c>
      <c r="B21" s="52">
        <v>0</v>
      </c>
    </row>
    <row r="22" spans="1:2" ht="15.75">
      <c r="A22" s="51">
        <v>1612000930</v>
      </c>
      <c r="B22" s="52">
        <v>0</v>
      </c>
    </row>
    <row r="23" spans="1:2" ht="15.75">
      <c r="A23" s="51">
        <v>1613000110</v>
      </c>
      <c r="B23" s="52">
        <v>532110.85</v>
      </c>
    </row>
    <row r="24" spans="1:2" ht="15.75">
      <c r="A24" s="51">
        <v>1613100110</v>
      </c>
      <c r="B24" s="52">
        <v>0</v>
      </c>
    </row>
    <row r="25" spans="1:2" ht="15.75">
      <c r="A25" s="51">
        <v>1613000320</v>
      </c>
      <c r="B25" s="52">
        <v>0</v>
      </c>
    </row>
    <row r="26" spans="1:2" ht="15.75">
      <c r="A26" s="51">
        <v>1613000431</v>
      </c>
      <c r="B26" s="52">
        <v>5845.15</v>
      </c>
    </row>
    <row r="27" spans="1:2" ht="15.75">
      <c r="A27" s="51">
        <v>1613000511</v>
      </c>
      <c r="B27" s="52">
        <v>0</v>
      </c>
    </row>
    <row r="28" spans="1:2" ht="15.75">
      <c r="A28" s="51">
        <v>1613000522</v>
      </c>
      <c r="B28" s="52">
        <v>0</v>
      </c>
    </row>
    <row r="29" spans="1:2" ht="15.75">
      <c r="A29" s="51">
        <v>1613000523</v>
      </c>
      <c r="B29" s="52">
        <v>790.8</v>
      </c>
    </row>
    <row r="30" spans="1:2" ht="15.75">
      <c r="A30" s="51">
        <v>1613000540</v>
      </c>
      <c r="B30" s="52">
        <v>124281.34</v>
      </c>
    </row>
    <row r="31" spans="1:2" ht="15.75">
      <c r="A31" s="51">
        <v>1613000550</v>
      </c>
      <c r="B31" s="52">
        <v>59721.95</v>
      </c>
    </row>
    <row r="32" spans="1:2" ht="15.75">
      <c r="A32" s="51">
        <v>1613000560</v>
      </c>
      <c r="B32" s="52">
        <v>37859</v>
      </c>
    </row>
    <row r="33" spans="1:2" ht="15.75">
      <c r="A33" s="51">
        <v>1613000710</v>
      </c>
      <c r="B33" s="52">
        <v>0</v>
      </c>
    </row>
    <row r="34" spans="1:2" ht="15.75">
      <c r="A34" s="51">
        <v>1613000720</v>
      </c>
      <c r="B34" s="52">
        <v>0</v>
      </c>
    </row>
    <row r="35" spans="1:2" ht="15.75">
      <c r="A35" s="51">
        <v>1613000740</v>
      </c>
      <c r="B35" s="52">
        <v>0</v>
      </c>
    </row>
    <row r="36" spans="1:2" ht="15.75">
      <c r="A36" s="51">
        <v>1613000750</v>
      </c>
      <c r="B36" s="52">
        <v>72911.899999999994</v>
      </c>
    </row>
    <row r="37" spans="1:2" ht="15.75">
      <c r="A37" s="51">
        <v>1613000780</v>
      </c>
      <c r="B37" s="52">
        <v>11400</v>
      </c>
    </row>
    <row r="38" spans="1:2" ht="15.75">
      <c r="A38" s="51">
        <v>1613000810</v>
      </c>
      <c r="B38" s="52">
        <v>0</v>
      </c>
    </row>
    <row r="39" spans="1:2" ht="15.75">
      <c r="A39" s="51">
        <v>1613000830</v>
      </c>
      <c r="B39" s="52">
        <v>0</v>
      </c>
    </row>
    <row r="40" spans="1:2" ht="15.75">
      <c r="A40" s="51">
        <v>1613000970</v>
      </c>
      <c r="B40" s="52">
        <v>0</v>
      </c>
    </row>
    <row r="41" spans="1:2" ht="15.75">
      <c r="A41" s="51">
        <v>1615000110</v>
      </c>
      <c r="B41" s="52">
        <v>157716.97</v>
      </c>
    </row>
    <row r="42" spans="1:2" ht="15.75">
      <c r="A42" s="51">
        <v>1615100110</v>
      </c>
      <c r="B42" s="52">
        <v>0</v>
      </c>
    </row>
    <row r="43" spans="1:2" ht="15.75">
      <c r="A43" s="51">
        <v>1615200110</v>
      </c>
      <c r="B43" s="52">
        <v>0</v>
      </c>
    </row>
    <row r="44" spans="1:2" ht="15.75">
      <c r="A44" s="51">
        <v>1615000760</v>
      </c>
      <c r="B44" s="52">
        <v>0</v>
      </c>
    </row>
    <row r="45" spans="1:2" ht="15.75">
      <c r="A45" s="51">
        <v>1616000521</v>
      </c>
      <c r="B45" s="52">
        <v>88230</v>
      </c>
    </row>
    <row r="46" spans="1:2" ht="15.75">
      <c r="A46" s="51">
        <v>1616100521</v>
      </c>
      <c r="B46" s="52">
        <v>0</v>
      </c>
    </row>
    <row r="47" spans="1:2" ht="15.75">
      <c r="A47" s="51">
        <v>1617000581</v>
      </c>
      <c r="B47" s="52">
        <v>0</v>
      </c>
    </row>
    <row r="48" spans="1:2" ht="15.75">
      <c r="A48" s="51">
        <v>1617000582</v>
      </c>
      <c r="B48" s="52">
        <v>20779.91</v>
      </c>
    </row>
    <row r="49" spans="1:2" ht="15.75">
      <c r="A49" s="51">
        <v>1617000750</v>
      </c>
      <c r="B49" s="52">
        <v>227078</v>
      </c>
    </row>
    <row r="50" spans="1:2" ht="15.75">
      <c r="A50" s="51">
        <v>1617000751</v>
      </c>
      <c r="B50" s="52">
        <v>0</v>
      </c>
    </row>
    <row r="51" spans="1:2" ht="15.75">
      <c r="A51" s="51">
        <v>1619000780</v>
      </c>
      <c r="B51" s="52">
        <v>0</v>
      </c>
    </row>
    <row r="52" spans="1:2" ht="15.75">
      <c r="A52" s="51">
        <v>1619999399</v>
      </c>
      <c r="B52" s="52">
        <v>0</v>
      </c>
    </row>
    <row r="53" spans="1:2" ht="15.75">
      <c r="A53" s="51">
        <v>1621200110</v>
      </c>
      <c r="B53" s="52">
        <v>39629.89</v>
      </c>
    </row>
    <row r="54" spans="1:2" ht="15.75">
      <c r="A54" s="51">
        <v>1621300110</v>
      </c>
      <c r="B54" s="52">
        <v>482206.92</v>
      </c>
    </row>
    <row r="55" spans="1:2" ht="15.75">
      <c r="A55" s="51">
        <v>1621300521</v>
      </c>
      <c r="B55" s="52">
        <v>3450</v>
      </c>
    </row>
    <row r="56" spans="1:2" ht="15.75">
      <c r="A56" s="51">
        <v>1621300523</v>
      </c>
      <c r="B56" s="52">
        <v>0</v>
      </c>
    </row>
    <row r="57" spans="1:2" ht="15.75">
      <c r="A57" s="51">
        <v>1621300540</v>
      </c>
      <c r="B57" s="52">
        <v>1419.42</v>
      </c>
    </row>
    <row r="58" spans="1:2" ht="15.75">
      <c r="A58" s="51">
        <v>1621300550</v>
      </c>
      <c r="B58" s="52">
        <v>0</v>
      </c>
    </row>
    <row r="59" spans="1:2" ht="15.75">
      <c r="A59" s="51">
        <v>1621300560</v>
      </c>
      <c r="B59" s="52">
        <v>3500</v>
      </c>
    </row>
    <row r="60" spans="1:2" ht="15.75">
      <c r="A60" s="51">
        <v>1621300570</v>
      </c>
      <c r="B60" s="52">
        <v>248362.39</v>
      </c>
    </row>
    <row r="61" spans="1:2" ht="15.75">
      <c r="A61" s="51">
        <v>1621300571</v>
      </c>
      <c r="B61" s="52">
        <v>0</v>
      </c>
    </row>
    <row r="62" spans="1:2" ht="15.75">
      <c r="A62" s="51">
        <v>1621300750</v>
      </c>
      <c r="B62" s="52">
        <v>206140</v>
      </c>
    </row>
    <row r="63" spans="1:2" ht="15.75">
      <c r="A63" s="51">
        <v>1621300751</v>
      </c>
      <c r="B63" s="52">
        <v>331974</v>
      </c>
    </row>
    <row r="64" spans="1:2" ht="15.75">
      <c r="A64" s="51">
        <v>1621300752</v>
      </c>
      <c r="B64" s="52">
        <v>0</v>
      </c>
    </row>
    <row r="65" spans="1:2" ht="15.75">
      <c r="A65" s="51">
        <v>1621300780</v>
      </c>
      <c r="B65" s="52">
        <v>11897.6</v>
      </c>
    </row>
    <row r="66" spans="1:2" ht="15.75">
      <c r="A66" s="51">
        <v>1621300930</v>
      </c>
      <c r="B66" s="52">
        <v>0</v>
      </c>
    </row>
    <row r="67" spans="1:2" ht="15.75">
      <c r="A67" s="51">
        <v>1623000110</v>
      </c>
      <c r="B67" s="52">
        <v>191650.18</v>
      </c>
    </row>
    <row r="68" spans="1:2" ht="15.75">
      <c r="A68" s="51">
        <v>1623000320</v>
      </c>
      <c r="B68" s="52">
        <v>0</v>
      </c>
    </row>
    <row r="69" spans="1:2" ht="15.75">
      <c r="A69" s="51">
        <v>1623000540</v>
      </c>
      <c r="B69" s="52">
        <v>0</v>
      </c>
    </row>
    <row r="70" spans="1:2" ht="15.75">
      <c r="A70" s="51">
        <v>1623000550</v>
      </c>
      <c r="B70" s="52">
        <v>0</v>
      </c>
    </row>
    <row r="71" spans="1:2" ht="15.75">
      <c r="A71" s="51">
        <v>1623000560</v>
      </c>
      <c r="B71" s="52">
        <v>7615</v>
      </c>
    </row>
    <row r="72" spans="1:2" ht="15.75">
      <c r="A72" s="51">
        <v>1623000570</v>
      </c>
      <c r="B72" s="52">
        <v>0</v>
      </c>
    </row>
    <row r="73" spans="1:2" ht="15.75">
      <c r="A73" s="51">
        <v>1623000582</v>
      </c>
      <c r="B73" s="52">
        <v>0</v>
      </c>
    </row>
    <row r="74" spans="1:2" ht="15.75">
      <c r="A74" s="51">
        <v>1623000750</v>
      </c>
      <c r="B74" s="52">
        <v>293202.32</v>
      </c>
    </row>
    <row r="75" spans="1:2" ht="15.75">
      <c r="A75" s="51">
        <v>1623000751</v>
      </c>
      <c r="B75" s="52">
        <v>0</v>
      </c>
    </row>
    <row r="76" spans="1:2" ht="15.75">
      <c r="A76" s="51">
        <v>1623000780</v>
      </c>
      <c r="B76" s="52">
        <v>0</v>
      </c>
    </row>
    <row r="77" spans="1:2" ht="15.75">
      <c r="A77" s="51">
        <v>1623000930</v>
      </c>
      <c r="B77" s="52">
        <v>0</v>
      </c>
    </row>
    <row r="78" spans="1:2" ht="15.75">
      <c r="A78" s="51">
        <v>1629999399</v>
      </c>
      <c r="B78" s="52">
        <v>0</v>
      </c>
    </row>
    <row r="79" spans="1:2" ht="15.75">
      <c r="A79" s="51">
        <v>1631000610</v>
      </c>
      <c r="B79" s="52">
        <v>71954.570000000007</v>
      </c>
    </row>
    <row r="80" spans="1:2" ht="15.75">
      <c r="A80" s="51">
        <v>1632000620</v>
      </c>
      <c r="B80" s="52">
        <v>67381.48</v>
      </c>
    </row>
    <row r="81" spans="1:2" ht="15.75">
      <c r="A81" s="51">
        <v>1632000640</v>
      </c>
      <c r="B81" s="52">
        <v>0</v>
      </c>
    </row>
    <row r="82" spans="1:2" ht="15.75">
      <c r="A82" s="51">
        <v>1632000650</v>
      </c>
      <c r="B82" s="52">
        <v>892349.97</v>
      </c>
    </row>
    <row r="83" spans="1:2" ht="15.75">
      <c r="A83" s="51">
        <v>1632000660</v>
      </c>
      <c r="B83" s="52">
        <v>0</v>
      </c>
    </row>
    <row r="84" spans="1:2" ht="15.75">
      <c r="A84" s="51">
        <v>1640000690</v>
      </c>
      <c r="B84" s="52">
        <v>0</v>
      </c>
    </row>
    <row r="85" spans="1:2" ht="15.75">
      <c r="A85" s="51">
        <v>1648000691</v>
      </c>
      <c r="B85" s="52">
        <v>1111111.1200000001</v>
      </c>
    </row>
    <row r="86" spans="1:2" ht="15.75">
      <c r="A86" s="51">
        <v>1648000692</v>
      </c>
      <c r="B86" s="52">
        <v>842010.67</v>
      </c>
    </row>
    <row r="87" spans="1:2" ht="15.75">
      <c r="A87" s="51">
        <v>1648000693</v>
      </c>
      <c r="B87" s="52">
        <v>104092.02</v>
      </c>
    </row>
    <row r="88" spans="1:2" ht="15.75">
      <c r="A88" s="51">
        <v>1649100691</v>
      </c>
      <c r="B88" s="52">
        <v>0</v>
      </c>
    </row>
    <row r="89" spans="1:2" ht="15.75">
      <c r="A89" s="51">
        <v>1649100692</v>
      </c>
      <c r="B89" s="52">
        <v>-118127.76</v>
      </c>
    </row>
    <row r="90" spans="1:2" ht="15.75">
      <c r="A90" s="51">
        <v>1649100693</v>
      </c>
      <c r="B90" s="52">
        <v>0</v>
      </c>
    </row>
    <row r="91" spans="1:2" ht="15.75">
      <c r="A91" s="51">
        <v>1649200691</v>
      </c>
      <c r="B91" s="52">
        <v>0</v>
      </c>
    </row>
    <row r="92" spans="1:2" ht="15.75">
      <c r="A92" s="51">
        <v>1649200692</v>
      </c>
      <c r="B92" s="52">
        <v>0</v>
      </c>
    </row>
    <row r="93" spans="1:2" ht="15.75">
      <c r="A93" s="51">
        <v>1649200693</v>
      </c>
      <c r="B93" s="52">
        <v>0</v>
      </c>
    </row>
    <row r="94" spans="1:2" ht="15.75">
      <c r="A94" s="51">
        <v>1712200740</v>
      </c>
      <c r="B94" s="52">
        <v>1900</v>
      </c>
    </row>
    <row r="95" spans="1:2" ht="15.75">
      <c r="A95" s="175">
        <v>1712200540</v>
      </c>
      <c r="B95" s="176">
        <v>0</v>
      </c>
    </row>
    <row r="96" spans="1:2" ht="15.75">
      <c r="A96" s="51">
        <v>1712200740</v>
      </c>
      <c r="B96" s="52">
        <v>1900</v>
      </c>
    </row>
    <row r="97" spans="1:2" ht="15.75">
      <c r="A97" s="51">
        <v>1712200750</v>
      </c>
      <c r="B97" s="52">
        <v>517174.25</v>
      </c>
    </row>
    <row r="98" spans="1:2" ht="15.75">
      <c r="A98" s="51">
        <v>1712200751</v>
      </c>
      <c r="B98" s="52">
        <v>0</v>
      </c>
    </row>
    <row r="99" spans="1:2" ht="15.75">
      <c r="A99" s="51">
        <v>1712200780</v>
      </c>
      <c r="B99" s="52">
        <v>0</v>
      </c>
    </row>
    <row r="100" spans="1:2" ht="15.75">
      <c r="A100" s="51">
        <v>1712300740</v>
      </c>
      <c r="B100" s="52">
        <v>0</v>
      </c>
    </row>
    <row r="101" spans="1:2" ht="15.75">
      <c r="A101" s="51">
        <v>1712300750</v>
      </c>
      <c r="B101" s="52">
        <v>0</v>
      </c>
    </row>
    <row r="102" spans="1:2" ht="15.75">
      <c r="A102" s="51">
        <v>1712300751</v>
      </c>
      <c r="B102" s="52">
        <v>3204466.75</v>
      </c>
    </row>
    <row r="103" spans="1:2" ht="15.75">
      <c r="A103" s="51">
        <v>1712300930</v>
      </c>
      <c r="B103" s="52">
        <v>0</v>
      </c>
    </row>
    <row r="104" spans="1:2" ht="15.75">
      <c r="A104" s="51">
        <v>1713000110</v>
      </c>
      <c r="B104" s="52">
        <v>105338.51</v>
      </c>
    </row>
    <row r="105" spans="1:2" ht="15.75">
      <c r="A105" s="51">
        <v>1714100830</v>
      </c>
      <c r="B105" s="52">
        <v>123904</v>
      </c>
    </row>
    <row r="106" spans="1:2" ht="15.75">
      <c r="A106" s="51">
        <v>1715300720</v>
      </c>
      <c r="B106" s="52">
        <v>0</v>
      </c>
    </row>
    <row r="107" spans="1:2" ht="15.75">
      <c r="A107" s="51">
        <v>1715300740</v>
      </c>
      <c r="B107" s="52">
        <v>0</v>
      </c>
    </row>
    <row r="108" spans="1:2" ht="15.75">
      <c r="A108" s="51">
        <v>1715300750</v>
      </c>
      <c r="B108" s="52">
        <v>4500</v>
      </c>
    </row>
    <row r="109" spans="1:2" ht="15.75">
      <c r="A109" s="51">
        <v>1715300930</v>
      </c>
      <c r="B109" s="52">
        <v>0</v>
      </c>
    </row>
    <row r="110" spans="1:2" ht="15.75">
      <c r="A110" s="51">
        <v>1719999399</v>
      </c>
      <c r="B110" s="52">
        <v>0</v>
      </c>
    </row>
    <row r="111" spans="1:2" ht="15.75">
      <c r="A111" s="51">
        <v>1722000110</v>
      </c>
      <c r="B111" s="52">
        <v>183400.42</v>
      </c>
    </row>
    <row r="112" spans="1:2" ht="15.75">
      <c r="A112" s="51">
        <v>1722002110</v>
      </c>
      <c r="B112" s="52">
        <v>0</v>
      </c>
    </row>
    <row r="113" spans="1:2" ht="15.75">
      <c r="A113" s="51">
        <v>1722000731</v>
      </c>
      <c r="B113" s="52">
        <v>21121.35</v>
      </c>
    </row>
    <row r="114" spans="1:2" ht="15.75">
      <c r="A114" s="51">
        <v>1722000731</v>
      </c>
      <c r="B114" s="52">
        <v>21121.35</v>
      </c>
    </row>
    <row r="115" spans="1:2" ht="15.75">
      <c r="A115" s="51">
        <v>1722000732</v>
      </c>
      <c r="B115" s="52">
        <v>8261</v>
      </c>
    </row>
    <row r="116" spans="1:2" ht="15.75">
      <c r="A116" s="51">
        <v>1722000733</v>
      </c>
      <c r="B116" s="52">
        <v>11719</v>
      </c>
    </row>
    <row r="117" spans="1:2" ht="15.75">
      <c r="A117" s="51">
        <v>1722000780</v>
      </c>
      <c r="B117" s="52">
        <v>6453</v>
      </c>
    </row>
    <row r="118" spans="1:2" ht="15.75">
      <c r="A118" s="175">
        <v>1722000730</v>
      </c>
      <c r="B118" s="176">
        <v>0</v>
      </c>
    </row>
    <row r="119" spans="1:2" ht="15.75">
      <c r="A119" s="175">
        <v>1722002780</v>
      </c>
      <c r="B119" s="176">
        <v>0</v>
      </c>
    </row>
    <row r="120" spans="1:2" ht="15.75">
      <c r="A120" s="51">
        <v>1723000750</v>
      </c>
      <c r="B120" s="52">
        <v>0</v>
      </c>
    </row>
    <row r="121" spans="1:2" ht="15.75">
      <c r="A121" s="51">
        <v>1723000810</v>
      </c>
      <c r="B121" s="52">
        <v>59984</v>
      </c>
    </row>
    <row r="122" spans="1:2" ht="15.75">
      <c r="A122" s="51">
        <v>1723000930</v>
      </c>
      <c r="B122" s="52">
        <v>3860</v>
      </c>
    </row>
    <row r="123" spans="1:2" ht="15.75">
      <c r="A123" s="51">
        <v>1723000811</v>
      </c>
      <c r="B123" s="52">
        <v>127290</v>
      </c>
    </row>
    <row r="124" spans="1:2" ht="15.75">
      <c r="A124" s="51">
        <v>1724000760</v>
      </c>
      <c r="B124" s="52">
        <v>12043</v>
      </c>
    </row>
    <row r="125" spans="1:2" ht="15.75">
      <c r="A125" s="51">
        <v>1724000830</v>
      </c>
      <c r="B125" s="52">
        <v>0</v>
      </c>
    </row>
    <row r="126" spans="1:2" ht="15.75">
      <c r="A126" s="51">
        <v>1725000750</v>
      </c>
      <c r="B126" s="52">
        <v>0</v>
      </c>
    </row>
    <row r="127" spans="1:2" ht="15.75">
      <c r="A127" s="51">
        <v>1725000110</v>
      </c>
      <c r="B127" s="52">
        <v>105880.61</v>
      </c>
    </row>
    <row r="128" spans="1:2" ht="15.75">
      <c r="A128" s="51">
        <v>1726100750</v>
      </c>
      <c r="B128" s="52">
        <v>0</v>
      </c>
    </row>
    <row r="129" spans="1:2" ht="15.75">
      <c r="A129" s="51">
        <v>1726100780</v>
      </c>
      <c r="B129" s="52">
        <v>0</v>
      </c>
    </row>
    <row r="130" spans="1:2" ht="15.75">
      <c r="A130" s="51">
        <v>1729999399</v>
      </c>
      <c r="B130" s="52">
        <v>0</v>
      </c>
    </row>
    <row r="131" spans="1:2" ht="15.75">
      <c r="A131" s="51">
        <v>1731000110</v>
      </c>
      <c r="B131" s="52">
        <v>616217.5</v>
      </c>
    </row>
    <row r="132" spans="1:2" ht="15.75">
      <c r="A132" s="51">
        <v>1731000440</v>
      </c>
      <c r="B132" s="52">
        <v>0</v>
      </c>
    </row>
    <row r="133" spans="1:2" ht="15.75">
      <c r="A133" s="51">
        <v>1731000523</v>
      </c>
      <c r="B133" s="52">
        <v>0</v>
      </c>
    </row>
    <row r="134" spans="1:2" ht="15.75">
      <c r="A134" s="51">
        <v>1731000540</v>
      </c>
      <c r="B134" s="52">
        <v>0</v>
      </c>
    </row>
    <row r="135" spans="1:2" ht="15.75">
      <c r="A135" s="51">
        <v>1731000560</v>
      </c>
      <c r="B135" s="52">
        <v>0</v>
      </c>
    </row>
    <row r="136" spans="1:2" ht="15.75">
      <c r="A136" s="51">
        <v>1731000780</v>
      </c>
      <c r="B136" s="52">
        <v>0</v>
      </c>
    </row>
    <row r="137" spans="1:2" ht="15.75">
      <c r="A137" s="51">
        <v>1731000930</v>
      </c>
      <c r="B137" s="52">
        <v>0</v>
      </c>
    </row>
    <row r="138" spans="1:2" ht="15.75">
      <c r="A138" s="51">
        <v>1732100750</v>
      </c>
      <c r="B138" s="52">
        <v>21435</v>
      </c>
    </row>
    <row r="139" spans="1:2" ht="15.75">
      <c r="A139" s="51">
        <v>1732100950</v>
      </c>
      <c r="B139" s="52">
        <v>0</v>
      </c>
    </row>
    <row r="140" spans="1:2" ht="15.75">
      <c r="A140" s="51">
        <v>1733400750</v>
      </c>
      <c r="B140" s="52">
        <v>0</v>
      </c>
    </row>
    <row r="141" spans="1:2" ht="15.75">
      <c r="A141" s="51">
        <v>1739999399</v>
      </c>
      <c r="B141" s="52">
        <v>0</v>
      </c>
    </row>
    <row r="142" spans="1:2" ht="15.75">
      <c r="A142" s="51">
        <v>1741000110</v>
      </c>
      <c r="B142" s="52">
        <v>86028.18</v>
      </c>
    </row>
    <row r="143" spans="1:2" ht="15.75">
      <c r="A143" s="51">
        <v>1741000320</v>
      </c>
      <c r="B143" s="52">
        <v>0</v>
      </c>
    </row>
    <row r="144" spans="1:2" ht="15.75">
      <c r="A144" s="51">
        <v>1741000540</v>
      </c>
      <c r="B144" s="52">
        <v>0</v>
      </c>
    </row>
    <row r="145" spans="1:2" ht="15.75">
      <c r="A145" s="51">
        <v>1741000720</v>
      </c>
      <c r="B145" s="52">
        <v>0</v>
      </c>
    </row>
    <row r="146" spans="1:2" ht="15.75">
      <c r="A146" s="51">
        <v>1741000731</v>
      </c>
      <c r="B146" s="52">
        <v>0</v>
      </c>
    </row>
    <row r="147" spans="1:2" ht="15.75">
      <c r="A147" s="51">
        <v>1741000732</v>
      </c>
      <c r="B147" s="52">
        <v>6305</v>
      </c>
    </row>
    <row r="148" spans="1:2" ht="15.75">
      <c r="A148" s="51">
        <v>1741000733</v>
      </c>
      <c r="B148" s="52">
        <v>0</v>
      </c>
    </row>
    <row r="149" spans="1:2" ht="15.75">
      <c r="A149" s="51">
        <v>1741000740</v>
      </c>
      <c r="B149" s="52">
        <v>0</v>
      </c>
    </row>
    <row r="150" spans="1:2" ht="15.75">
      <c r="A150" s="51">
        <v>1741000750</v>
      </c>
      <c r="B150" s="52">
        <v>60936</v>
      </c>
    </row>
    <row r="151" spans="1:2" ht="15.75">
      <c r="A151" s="51">
        <v>1743000750</v>
      </c>
      <c r="B151" s="52">
        <v>0</v>
      </c>
    </row>
    <row r="152" spans="1:2" ht="15.75">
      <c r="A152" s="51">
        <v>1743000771</v>
      </c>
      <c r="B152" s="52">
        <v>157531.46</v>
      </c>
    </row>
    <row r="153" spans="1:2" ht="15.75">
      <c r="A153" s="51">
        <v>1744000750</v>
      </c>
      <c r="B153" s="52">
        <v>0</v>
      </c>
    </row>
    <row r="154" spans="1:2" ht="15.75">
      <c r="A154" s="51">
        <v>1744000780</v>
      </c>
      <c r="B154" s="52">
        <v>0</v>
      </c>
    </row>
    <row r="155" spans="1:2" ht="15.75">
      <c r="A155" s="51">
        <v>1745000750</v>
      </c>
      <c r="B155" s="52">
        <v>0</v>
      </c>
    </row>
    <row r="156" spans="1:2" ht="15.75">
      <c r="A156" s="51">
        <v>1745000830</v>
      </c>
      <c r="B156" s="52">
        <v>179333</v>
      </c>
    </row>
    <row r="157" spans="1:2" ht="15.75">
      <c r="A157" s="51">
        <v>1747200110</v>
      </c>
      <c r="B157" s="52">
        <v>351979.97</v>
      </c>
    </row>
    <row r="158" spans="1:2" ht="15.75">
      <c r="A158" s="51">
        <v>1747200320</v>
      </c>
      <c r="B158" s="52">
        <v>0</v>
      </c>
    </row>
    <row r="159" spans="1:2" ht="15.75">
      <c r="A159" s="51">
        <v>1747200431</v>
      </c>
      <c r="B159" s="52">
        <v>6678.89</v>
      </c>
    </row>
    <row r="160" spans="1:2" ht="15.75">
      <c r="A160" s="51">
        <v>1747200432</v>
      </c>
      <c r="B160" s="52">
        <v>11460.9</v>
      </c>
    </row>
    <row r="161" spans="1:2" ht="15.75">
      <c r="A161" s="51">
        <v>1747200433</v>
      </c>
      <c r="B161" s="52">
        <v>0</v>
      </c>
    </row>
    <row r="162" spans="1:2" ht="15.75">
      <c r="A162" s="51">
        <v>1747200440</v>
      </c>
      <c r="B162" s="52">
        <v>0</v>
      </c>
    </row>
    <row r="163" spans="1:2" ht="15.75">
      <c r="A163" s="51">
        <v>1747200540</v>
      </c>
      <c r="B163" s="52">
        <v>0</v>
      </c>
    </row>
    <row r="164" spans="1:2" ht="15.75">
      <c r="A164" s="51">
        <v>1747200720</v>
      </c>
      <c r="B164" s="52">
        <v>0</v>
      </c>
    </row>
    <row r="165" spans="1:2" ht="15.75">
      <c r="A165" s="51">
        <v>1747200730</v>
      </c>
      <c r="B165" s="52">
        <v>0</v>
      </c>
    </row>
    <row r="166" spans="1:2" ht="15.75">
      <c r="A166" s="51">
        <v>1747200740</v>
      </c>
      <c r="B166" s="52">
        <v>0</v>
      </c>
    </row>
    <row r="167" spans="1:2" ht="15.75">
      <c r="A167" s="51">
        <v>1747200750</v>
      </c>
      <c r="B167" s="52">
        <v>0</v>
      </c>
    </row>
    <row r="168" spans="1:2" ht="15.75">
      <c r="A168" s="51">
        <v>1747200780</v>
      </c>
      <c r="B168" s="52">
        <v>0</v>
      </c>
    </row>
    <row r="169" spans="1:2" ht="15.75">
      <c r="A169" s="51">
        <v>1747200930</v>
      </c>
      <c r="B169" s="52">
        <v>0</v>
      </c>
    </row>
    <row r="170" spans="1:2" ht="15.75">
      <c r="A170" s="51">
        <v>1747210440</v>
      </c>
      <c r="B170" s="52">
        <v>0</v>
      </c>
    </row>
    <row r="171" spans="1:2" ht="15.75">
      <c r="A171" s="51">
        <v>1748000432</v>
      </c>
      <c r="B171" s="52">
        <v>0</v>
      </c>
    </row>
    <row r="172" spans="1:2" ht="15.75">
      <c r="A172" s="51">
        <v>1752000780</v>
      </c>
      <c r="B172" s="52">
        <v>0</v>
      </c>
    </row>
    <row r="173" spans="1:2" ht="15.75">
      <c r="A173" s="51">
        <v>1766000870</v>
      </c>
      <c r="B173" s="52">
        <v>0</v>
      </c>
    </row>
    <row r="174" spans="1:2" ht="15.75">
      <c r="A174" s="51">
        <v>1767000441</v>
      </c>
      <c r="B174" s="52">
        <v>797147.68</v>
      </c>
    </row>
    <row r="175" spans="1:2" ht="15.75">
      <c r="A175" s="51">
        <v>1767000442</v>
      </c>
      <c r="B175" s="52">
        <v>0</v>
      </c>
    </row>
    <row r="176" spans="1:2" ht="15.75">
      <c r="A176" s="51">
        <v>1769500540</v>
      </c>
      <c r="B176" s="52">
        <v>0</v>
      </c>
    </row>
    <row r="177" spans="1:2" ht="15.75">
      <c r="A177" s="51">
        <v>1769500560</v>
      </c>
      <c r="B177" s="52">
        <v>0</v>
      </c>
    </row>
    <row r="178" spans="1:2" ht="15.75">
      <c r="A178" s="51">
        <v>1769500720</v>
      </c>
      <c r="B178" s="52">
        <v>0</v>
      </c>
    </row>
    <row r="179" spans="1:2" ht="15.75">
      <c r="A179" s="51">
        <v>1769500750</v>
      </c>
      <c r="B179" s="52">
        <v>0</v>
      </c>
    </row>
    <row r="180" spans="1:2" ht="15.75">
      <c r="A180" s="51">
        <v>1769500780</v>
      </c>
      <c r="B180" s="52">
        <v>0</v>
      </c>
    </row>
    <row r="181" spans="1:2" ht="15.75">
      <c r="A181" s="51">
        <v>1811000110</v>
      </c>
      <c r="B181" s="52">
        <v>530182.49</v>
      </c>
    </row>
    <row r="182" spans="1:2" ht="15.75">
      <c r="A182" s="51">
        <v>1811000320</v>
      </c>
      <c r="B182" s="52">
        <v>0</v>
      </c>
    </row>
    <row r="183" spans="1:2" ht="15.75">
      <c r="A183" s="51">
        <v>1811000521</v>
      </c>
      <c r="B183" s="52">
        <v>0</v>
      </c>
    </row>
    <row r="184" spans="1:2" ht="15.75">
      <c r="A184" s="51">
        <v>1811000522</v>
      </c>
      <c r="B184" s="52">
        <v>0</v>
      </c>
    </row>
    <row r="185" spans="1:2" ht="15.75">
      <c r="A185" s="51">
        <v>1811000523</v>
      </c>
      <c r="B185" s="52">
        <v>0</v>
      </c>
    </row>
    <row r="186" spans="1:2" ht="15.75">
      <c r="A186" s="51">
        <v>1811000540</v>
      </c>
      <c r="B186" s="52">
        <v>440</v>
      </c>
    </row>
    <row r="187" spans="1:2" ht="15.75">
      <c r="A187" s="51">
        <v>1811000550</v>
      </c>
      <c r="B187" s="52">
        <v>0</v>
      </c>
    </row>
    <row r="188" spans="1:2" ht="15.75">
      <c r="A188" s="51">
        <v>1811000560</v>
      </c>
      <c r="B188" s="52">
        <v>925</v>
      </c>
    </row>
    <row r="189" spans="1:2" ht="15.75">
      <c r="A189" s="51">
        <v>1811000570</v>
      </c>
      <c r="B189" s="52">
        <v>0</v>
      </c>
    </row>
    <row r="190" spans="1:2" ht="15.75">
      <c r="A190" s="51">
        <v>1811000750</v>
      </c>
      <c r="B190" s="52">
        <v>5700</v>
      </c>
    </row>
    <row r="191" spans="1:2" ht="15.75">
      <c r="A191" s="51">
        <v>1811000780</v>
      </c>
      <c r="B191" s="52">
        <v>0</v>
      </c>
    </row>
    <row r="192" spans="1:2" ht="15.75">
      <c r="A192" s="51">
        <v>1811000910</v>
      </c>
      <c r="B192" s="52">
        <v>0</v>
      </c>
    </row>
    <row r="193" spans="1:2" ht="15.75">
      <c r="A193" s="51">
        <v>1811000930</v>
      </c>
      <c r="B193" s="52">
        <v>0</v>
      </c>
    </row>
    <row r="194" spans="1:2" ht="15.75">
      <c r="A194" s="51">
        <v>1811000960</v>
      </c>
      <c r="B194" s="52">
        <v>0</v>
      </c>
    </row>
    <row r="195" spans="1:2" ht="15.75">
      <c r="A195" s="51">
        <v>1811010930</v>
      </c>
      <c r="B195" s="52">
        <v>19260</v>
      </c>
    </row>
    <row r="196" spans="1:2" ht="15.75">
      <c r="A196" s="51">
        <v>1811020750</v>
      </c>
      <c r="B196" s="52">
        <v>16618</v>
      </c>
    </row>
    <row r="197" spans="1:2" ht="15.75">
      <c r="A197" s="51">
        <v>1812200110</v>
      </c>
      <c r="B197" s="52">
        <v>1146872.44</v>
      </c>
    </row>
    <row r="198" spans="1:2" ht="15.75">
      <c r="A198" s="51">
        <v>1812200420</v>
      </c>
      <c r="B198" s="52">
        <v>36879.800000000003</v>
      </c>
    </row>
    <row r="199" spans="1:2" ht="15.75">
      <c r="A199" s="51">
        <v>1812200431</v>
      </c>
      <c r="B199" s="52">
        <v>21661.52</v>
      </c>
    </row>
    <row r="200" spans="1:2" ht="15.75">
      <c r="A200" s="51">
        <v>1812200432</v>
      </c>
      <c r="B200" s="52">
        <v>48794.1</v>
      </c>
    </row>
    <row r="201" spans="1:2" ht="15.75">
      <c r="A201" s="51">
        <v>1812200433</v>
      </c>
      <c r="B201" s="52">
        <v>0</v>
      </c>
    </row>
    <row r="202" spans="1:2" ht="15.75">
      <c r="A202" s="51">
        <v>1812200720</v>
      </c>
      <c r="B202" s="52">
        <v>23976</v>
      </c>
    </row>
    <row r="203" spans="1:2" ht="15.75">
      <c r="A203" s="51">
        <v>1812200740</v>
      </c>
      <c r="B203" s="52">
        <v>9300</v>
      </c>
    </row>
    <row r="204" spans="1:2" ht="15.75">
      <c r="A204" s="51">
        <v>1812200750</v>
      </c>
      <c r="B204" s="52">
        <v>9300</v>
      </c>
    </row>
    <row r="205" spans="1:2" ht="15.75">
      <c r="A205" s="51">
        <v>1812200780</v>
      </c>
      <c r="B205" s="52">
        <v>46184.9</v>
      </c>
    </row>
    <row r="206" spans="1:2" ht="15.75">
      <c r="A206" s="177"/>
      <c r="B206" s="176">
        <v>0</v>
      </c>
    </row>
    <row r="207" spans="1:2" ht="15.75">
      <c r="A207" s="51">
        <v>1812200810</v>
      </c>
      <c r="B207" s="52">
        <v>0</v>
      </c>
    </row>
    <row r="208" spans="1:2" ht="15.75">
      <c r="A208" s="51">
        <v>1812200840</v>
      </c>
      <c r="B208" s="52">
        <v>0</v>
      </c>
    </row>
    <row r="209" spans="1:2" ht="15.75">
      <c r="A209" s="51">
        <v>1812200930</v>
      </c>
      <c r="B209" s="52">
        <v>0</v>
      </c>
    </row>
    <row r="210" spans="1:2" ht="15.75">
      <c r="A210" s="51">
        <v>1812300110</v>
      </c>
      <c r="B210" s="52">
        <v>2709193.89</v>
      </c>
    </row>
    <row r="211" spans="1:2" ht="15.75">
      <c r="A211" s="51">
        <v>1812300320</v>
      </c>
      <c r="B211" s="52">
        <v>0</v>
      </c>
    </row>
    <row r="212" spans="1:2" ht="15.75">
      <c r="A212" s="51">
        <v>1812300410</v>
      </c>
      <c r="B212" s="52">
        <v>126686</v>
      </c>
    </row>
    <row r="213" spans="1:2" ht="15.75">
      <c r="A213" s="51">
        <v>1812300411</v>
      </c>
      <c r="B213" s="52">
        <v>17673</v>
      </c>
    </row>
    <row r="214" spans="1:2" ht="15.75">
      <c r="A214" s="51">
        <v>1812300420</v>
      </c>
      <c r="B214" s="52">
        <v>0</v>
      </c>
    </row>
    <row r="215" spans="1:2" ht="15.75">
      <c r="A215" s="51">
        <v>1812300431</v>
      </c>
      <c r="B215" s="52">
        <v>30605.62</v>
      </c>
    </row>
    <row r="216" spans="1:2" ht="15.75">
      <c r="A216" s="51">
        <v>1812300432</v>
      </c>
      <c r="B216" s="52">
        <v>11000</v>
      </c>
    </row>
    <row r="217" spans="1:2" ht="15.75">
      <c r="A217" s="51">
        <v>1812300433</v>
      </c>
      <c r="B217" s="52">
        <v>17416</v>
      </c>
    </row>
    <row r="218" spans="1:2" ht="15.75">
      <c r="A218" s="51">
        <v>1812300521</v>
      </c>
      <c r="B218" s="52">
        <v>0</v>
      </c>
    </row>
    <row r="219" spans="1:2" ht="15.75">
      <c r="A219" s="51">
        <v>1812300540</v>
      </c>
      <c r="B219" s="52">
        <v>4790</v>
      </c>
    </row>
    <row r="220" spans="1:2" ht="15.75">
      <c r="A220" s="51">
        <v>1812300560</v>
      </c>
      <c r="B220" s="52">
        <v>0</v>
      </c>
    </row>
    <row r="221" spans="1:2" ht="15.75">
      <c r="A221" s="51">
        <v>1812300720</v>
      </c>
      <c r="B221" s="52">
        <v>22428</v>
      </c>
    </row>
    <row r="222" spans="1:2" ht="15.75">
      <c r="A222" s="51">
        <v>1812300740</v>
      </c>
      <c r="B222" s="52">
        <v>0</v>
      </c>
    </row>
    <row r="223" spans="1:2" ht="15.75">
      <c r="A223" s="51">
        <v>1812300750</v>
      </c>
      <c r="B223" s="52">
        <v>0</v>
      </c>
    </row>
    <row r="224" spans="1:2" ht="15.75">
      <c r="A224" s="51">
        <v>1812300760</v>
      </c>
      <c r="B224" s="52">
        <v>2191827.61</v>
      </c>
    </row>
    <row r="225" spans="1:2" ht="15.75">
      <c r="A225" s="51">
        <v>1812300780</v>
      </c>
      <c r="B225" s="52">
        <v>0</v>
      </c>
    </row>
    <row r="226" spans="1:2" ht="15.75">
      <c r="A226" s="51">
        <v>1812300930</v>
      </c>
      <c r="B226" s="52">
        <v>0</v>
      </c>
    </row>
    <row r="227" spans="1:2" ht="15.75">
      <c r="A227" s="51">
        <v>1812310540</v>
      </c>
      <c r="B227" s="52">
        <v>0</v>
      </c>
    </row>
    <row r="228" spans="1:2" ht="15.75">
      <c r="A228" s="51">
        <v>1812310930</v>
      </c>
      <c r="B228" s="52">
        <v>0</v>
      </c>
    </row>
    <row r="229" spans="1:2" ht="15.75">
      <c r="A229" s="51">
        <v>1812400110</v>
      </c>
      <c r="B229" s="52">
        <v>43727.05</v>
      </c>
    </row>
    <row r="230" spans="1:2" ht="15.75">
      <c r="A230" s="51">
        <v>1812400710</v>
      </c>
      <c r="B230" s="52">
        <v>0</v>
      </c>
    </row>
    <row r="231" spans="1:2" ht="15.75">
      <c r="A231" s="51">
        <v>1812400720</v>
      </c>
      <c r="B231" s="52">
        <v>0</v>
      </c>
    </row>
    <row r="232" spans="1:2" ht="15.75">
      <c r="A232" s="51">
        <v>1812500110</v>
      </c>
      <c r="B232" s="52">
        <v>101783.25</v>
      </c>
    </row>
    <row r="233" spans="1:2" ht="15.75">
      <c r="A233" s="51">
        <v>1812500410</v>
      </c>
      <c r="B233" s="52">
        <v>8190</v>
      </c>
    </row>
    <row r="234" spans="1:2" ht="15.75">
      <c r="A234" s="51">
        <v>1812500420</v>
      </c>
      <c r="B234" s="52">
        <v>0</v>
      </c>
    </row>
    <row r="235" spans="1:2" ht="15.75">
      <c r="A235" s="51">
        <v>1812500431</v>
      </c>
      <c r="B235" s="52">
        <v>0</v>
      </c>
    </row>
    <row r="236" spans="1:2" ht="15.75">
      <c r="A236" s="51">
        <v>1812500432</v>
      </c>
      <c r="B236" s="52">
        <v>44893.5</v>
      </c>
    </row>
    <row r="237" spans="1:2" ht="15.75">
      <c r="A237" s="51">
        <v>1812500930</v>
      </c>
      <c r="B237" s="52">
        <v>0</v>
      </c>
    </row>
    <row r="238" spans="1:2" ht="15.75">
      <c r="A238" s="51">
        <v>1813200110</v>
      </c>
      <c r="B238" s="52">
        <v>145233.22</v>
      </c>
    </row>
    <row r="239" spans="1:2" ht="15.75">
      <c r="A239" s="51">
        <v>1813200750</v>
      </c>
      <c r="B239" s="52">
        <v>9360</v>
      </c>
    </row>
    <row r="240" spans="1:2" ht="15.75">
      <c r="A240" s="51">
        <v>1813200760</v>
      </c>
      <c r="B240" s="52">
        <v>536263.38</v>
      </c>
    </row>
    <row r="241" spans="1:2" ht="15.75">
      <c r="A241" s="51">
        <v>1813200780</v>
      </c>
      <c r="B241" s="52">
        <v>330225.03000000003</v>
      </c>
    </row>
    <row r="242" spans="1:2" ht="15.75">
      <c r="A242" s="51">
        <v>1813210110</v>
      </c>
      <c r="B242" s="52">
        <v>523923.59</v>
      </c>
    </row>
    <row r="243" spans="1:2" ht="15.75">
      <c r="A243" s="51">
        <v>1813210420</v>
      </c>
      <c r="B243" s="52">
        <v>0</v>
      </c>
    </row>
    <row r="244" spans="1:2" ht="15.75">
      <c r="A244" s="51">
        <v>1813210431</v>
      </c>
      <c r="B244" s="52">
        <v>149326.93</v>
      </c>
    </row>
    <row r="245" spans="1:2" ht="15.75">
      <c r="A245" s="51">
        <v>1813210432</v>
      </c>
      <c r="B245" s="52">
        <v>13742.5</v>
      </c>
    </row>
    <row r="246" spans="1:2" ht="15.75">
      <c r="A246" s="51">
        <v>1813210433</v>
      </c>
      <c r="B246" s="52">
        <v>0</v>
      </c>
    </row>
    <row r="247" spans="1:2" ht="15.75">
      <c r="A247" s="51">
        <v>1813210434</v>
      </c>
      <c r="B247" s="52">
        <v>0</v>
      </c>
    </row>
    <row r="248" spans="1:2" ht="15.75">
      <c r="A248" s="51">
        <v>1813210540</v>
      </c>
      <c r="B248" s="52">
        <v>0</v>
      </c>
    </row>
    <row r="249" spans="1:2" ht="15.75">
      <c r="A249" s="51">
        <v>1813210560</v>
      </c>
      <c r="B249" s="52">
        <v>0</v>
      </c>
    </row>
    <row r="250" spans="1:2" ht="15.75">
      <c r="A250" s="51">
        <v>1813210720</v>
      </c>
      <c r="B250" s="52">
        <v>0</v>
      </c>
    </row>
    <row r="251" spans="1:2" ht="15.75">
      <c r="A251" s="51">
        <v>1813210740</v>
      </c>
      <c r="B251" s="52">
        <v>0</v>
      </c>
    </row>
    <row r="252" spans="1:2" ht="15.75">
      <c r="A252" s="51">
        <v>1813210750</v>
      </c>
      <c r="B252" s="52">
        <v>919470.18</v>
      </c>
    </row>
    <row r="253" spans="1:2" ht="15.75">
      <c r="A253" s="51">
        <v>1813210780</v>
      </c>
      <c r="B253" s="52">
        <v>0</v>
      </c>
    </row>
    <row r="254" spans="1:2" ht="15.75">
      <c r="A254" s="51">
        <v>1813210870</v>
      </c>
      <c r="B254" s="52">
        <v>0</v>
      </c>
    </row>
    <row r="255" spans="1:2" ht="15.75">
      <c r="A255" s="51">
        <v>1813210871</v>
      </c>
      <c r="B255" s="52">
        <v>154591.25</v>
      </c>
    </row>
    <row r="256" spans="1:2" ht="15.75">
      <c r="A256" s="51">
        <v>1813210930</v>
      </c>
      <c r="B256" s="52">
        <v>0</v>
      </c>
    </row>
    <row r="257" spans="1:2" ht="15.75">
      <c r="A257" s="51">
        <v>1813220110</v>
      </c>
      <c r="B257" s="52">
        <v>362440.44</v>
      </c>
    </row>
    <row r="258" spans="1:2" ht="15.75">
      <c r="A258" s="51">
        <v>1813220320</v>
      </c>
      <c r="B258" s="52">
        <v>0</v>
      </c>
    </row>
    <row r="259" spans="1:2" ht="15.75">
      <c r="A259" s="51">
        <v>1813220420</v>
      </c>
      <c r="B259" s="52">
        <v>0</v>
      </c>
    </row>
    <row r="260" spans="1:2" ht="15.75">
      <c r="A260" s="51">
        <v>1813220431</v>
      </c>
      <c r="B260" s="52">
        <v>14472.64</v>
      </c>
    </row>
    <row r="261" spans="1:2" ht="15.75">
      <c r="A261" s="51">
        <v>1813220432</v>
      </c>
      <c r="B261" s="52">
        <v>36175.9</v>
      </c>
    </row>
    <row r="262" spans="1:2" ht="15.75">
      <c r="A262" s="51">
        <v>1813220433</v>
      </c>
      <c r="B262" s="52">
        <v>0</v>
      </c>
    </row>
    <row r="263" spans="1:2" ht="15.75">
      <c r="A263" s="51">
        <v>1813220434</v>
      </c>
      <c r="B263" s="52">
        <v>0</v>
      </c>
    </row>
    <row r="264" spans="1:2" ht="15.75">
      <c r="A264" s="51">
        <v>1813220540</v>
      </c>
      <c r="B264" s="52">
        <v>0</v>
      </c>
    </row>
    <row r="265" spans="1:2" ht="15.75">
      <c r="A265" s="51">
        <v>1813220560</v>
      </c>
      <c r="B265" s="52">
        <v>0</v>
      </c>
    </row>
    <row r="266" spans="1:2" ht="15.75">
      <c r="A266" s="51">
        <v>1813220720</v>
      </c>
      <c r="B266" s="52">
        <v>0</v>
      </c>
    </row>
    <row r="267" spans="1:2" ht="15.75">
      <c r="A267" s="51">
        <v>1813220750</v>
      </c>
      <c r="B267" s="52">
        <v>0</v>
      </c>
    </row>
    <row r="268" spans="1:2" ht="15.75">
      <c r="A268" s="51">
        <v>1813220780</v>
      </c>
      <c r="B268" s="52">
        <v>0</v>
      </c>
    </row>
    <row r="269" spans="1:2" ht="15.75">
      <c r="A269" s="51">
        <v>1813220870</v>
      </c>
      <c r="B269" s="52">
        <v>0</v>
      </c>
    </row>
    <row r="270" spans="1:2" ht="15.75">
      <c r="A270" s="51">
        <v>1813220871</v>
      </c>
      <c r="B270" s="52">
        <v>197231.17</v>
      </c>
    </row>
    <row r="271" spans="1:2" ht="15.75">
      <c r="A271" s="51">
        <v>1813220930</v>
      </c>
      <c r="B271" s="52">
        <v>0</v>
      </c>
    </row>
    <row r="272" spans="1:2" ht="15.75">
      <c r="A272" s="51">
        <v>1813230110</v>
      </c>
      <c r="B272" s="52">
        <v>405369.7</v>
      </c>
    </row>
    <row r="273" spans="1:2" ht="15.75">
      <c r="A273" s="51">
        <v>1813230320</v>
      </c>
      <c r="B273" s="52">
        <v>0</v>
      </c>
    </row>
    <row r="274" spans="1:2" ht="15.75">
      <c r="A274" s="51">
        <v>1813230420</v>
      </c>
      <c r="B274" s="52">
        <v>0</v>
      </c>
    </row>
    <row r="275" spans="1:2" ht="15.75">
      <c r="A275" s="51">
        <v>1813230431</v>
      </c>
      <c r="B275" s="52">
        <v>64616.17</v>
      </c>
    </row>
    <row r="276" spans="1:2" ht="15.75">
      <c r="A276" s="51">
        <v>1813230432</v>
      </c>
      <c r="B276" s="52">
        <v>0</v>
      </c>
    </row>
    <row r="277" spans="1:2" ht="15.75">
      <c r="A277" s="51">
        <v>1813230433</v>
      </c>
      <c r="B277" s="52">
        <v>0</v>
      </c>
    </row>
    <row r="278" spans="1:2" ht="15.75">
      <c r="A278" s="51">
        <v>1813230434</v>
      </c>
      <c r="B278" s="52">
        <v>0</v>
      </c>
    </row>
    <row r="279" spans="1:2" ht="15.75">
      <c r="A279" s="51">
        <v>1813230540</v>
      </c>
      <c r="B279" s="52">
        <v>0</v>
      </c>
    </row>
    <row r="280" spans="1:2" ht="15.75">
      <c r="A280" s="51">
        <v>1813230560</v>
      </c>
      <c r="B280" s="52">
        <v>0</v>
      </c>
    </row>
    <row r="281" spans="1:2" ht="15.75">
      <c r="A281" s="51">
        <v>1813230720</v>
      </c>
      <c r="B281" s="52">
        <v>0</v>
      </c>
    </row>
    <row r="282" spans="1:2" ht="15.75">
      <c r="A282" s="51">
        <v>1813230740</v>
      </c>
      <c r="B282" s="52">
        <v>0</v>
      </c>
    </row>
    <row r="283" spans="1:2" ht="15.75">
      <c r="A283" s="51">
        <v>1813230750</v>
      </c>
      <c r="B283" s="52">
        <v>56862</v>
      </c>
    </row>
    <row r="284" spans="1:2" ht="15.75">
      <c r="A284" s="51">
        <v>1813230780</v>
      </c>
      <c r="B284" s="52">
        <v>0</v>
      </c>
    </row>
    <row r="285" spans="1:2" ht="15.75">
      <c r="A285" s="51">
        <v>1813230870</v>
      </c>
      <c r="B285" s="52">
        <v>10000</v>
      </c>
    </row>
    <row r="286" spans="1:2" ht="15.75">
      <c r="A286" s="51">
        <v>1813230871</v>
      </c>
      <c r="B286" s="52">
        <v>331352.92</v>
      </c>
    </row>
    <row r="287" spans="1:2" ht="15.75">
      <c r="A287" s="51">
        <v>1813230930</v>
      </c>
      <c r="B287" s="52">
        <v>0</v>
      </c>
    </row>
    <row r="288" spans="1:2" ht="15.75">
      <c r="A288" s="51">
        <v>1813240110</v>
      </c>
      <c r="B288" s="52">
        <v>166196.96</v>
      </c>
    </row>
    <row r="289" spans="1:2" ht="15.75">
      <c r="A289" s="51">
        <v>1813240431</v>
      </c>
      <c r="B289" s="52">
        <v>0</v>
      </c>
    </row>
    <row r="290" spans="1:2" ht="15.75">
      <c r="A290" s="51">
        <v>1813240432</v>
      </c>
      <c r="B290" s="52">
        <v>24739.599999999999</v>
      </c>
    </row>
    <row r="291" spans="1:2" ht="15.75">
      <c r="A291" s="51">
        <v>1813240540</v>
      </c>
      <c r="B291" s="52">
        <v>0</v>
      </c>
    </row>
    <row r="292" spans="1:2" ht="15.75">
      <c r="A292" s="51">
        <v>1813240750</v>
      </c>
      <c r="B292" s="52">
        <v>43524</v>
      </c>
    </row>
    <row r="293" spans="1:2" ht="15.75">
      <c r="A293" s="51">
        <v>1813240870</v>
      </c>
      <c r="B293" s="52">
        <v>139374.17000000001</v>
      </c>
    </row>
    <row r="294" spans="1:2" ht="15.75">
      <c r="A294" s="51">
        <v>1813250110</v>
      </c>
      <c r="B294" s="52">
        <v>13008.04</v>
      </c>
    </row>
    <row r="295" spans="1:2" ht="15.75">
      <c r="A295" s="51">
        <v>1813250710</v>
      </c>
      <c r="B295" s="52">
        <v>0</v>
      </c>
    </row>
    <row r="296" spans="1:2" ht="15.75">
      <c r="A296" s="51">
        <v>1813250750</v>
      </c>
      <c r="B296" s="52">
        <v>0</v>
      </c>
    </row>
    <row r="297" spans="1:2" ht="15.75">
      <c r="A297" s="51">
        <v>1813300110</v>
      </c>
      <c r="B297" s="52">
        <v>988881.23</v>
      </c>
    </row>
    <row r="298" spans="1:2" ht="15.75">
      <c r="A298" s="51">
        <v>1813300320</v>
      </c>
      <c r="B298" s="52">
        <v>0</v>
      </c>
    </row>
    <row r="299" spans="1:2" ht="15.75">
      <c r="A299" s="51">
        <v>1813300540</v>
      </c>
      <c r="B299" s="52">
        <v>25824.6</v>
      </c>
    </row>
    <row r="300" spans="1:2" ht="15.75">
      <c r="A300" s="51">
        <v>1813300560</v>
      </c>
      <c r="B300" s="52">
        <v>0</v>
      </c>
    </row>
    <row r="301" spans="1:2" ht="15.75">
      <c r="A301" s="51">
        <v>1813300720</v>
      </c>
      <c r="B301" s="52">
        <v>2000</v>
      </c>
    </row>
    <row r="302" spans="1:2" ht="15.75">
      <c r="A302" s="51">
        <v>1813300721</v>
      </c>
      <c r="B302" s="52">
        <v>173335.05</v>
      </c>
    </row>
    <row r="303" spans="1:2" ht="15.75">
      <c r="A303" s="51">
        <v>1813300740</v>
      </c>
      <c r="B303" s="52">
        <v>0</v>
      </c>
    </row>
    <row r="304" spans="1:2" ht="15.75">
      <c r="A304" s="51">
        <v>1813300750</v>
      </c>
      <c r="B304" s="52">
        <v>9010</v>
      </c>
    </row>
    <row r="305" spans="1:2" ht="15.75">
      <c r="A305" s="51">
        <v>1813300780</v>
      </c>
      <c r="B305" s="52">
        <v>22242</v>
      </c>
    </row>
    <row r="306" spans="1:2" ht="15.75">
      <c r="A306" s="51">
        <v>1813300781</v>
      </c>
      <c r="B306" s="52">
        <v>0</v>
      </c>
    </row>
    <row r="307" spans="1:2" ht="15.75">
      <c r="A307" s="51">
        <v>1813300870</v>
      </c>
      <c r="B307" s="52">
        <v>0</v>
      </c>
    </row>
    <row r="308" spans="1:2" ht="15.75">
      <c r="A308" s="51">
        <v>1813300930</v>
      </c>
      <c r="B308" s="52">
        <v>0</v>
      </c>
    </row>
    <row r="309" spans="1:2" ht="15.75">
      <c r="A309" s="51">
        <v>1813303760</v>
      </c>
      <c r="B309" s="52">
        <v>962140</v>
      </c>
    </row>
    <row r="310" spans="1:2" ht="15.75">
      <c r="A310" s="51">
        <v>1814000110</v>
      </c>
      <c r="B310" s="52">
        <v>695749.57</v>
      </c>
    </row>
    <row r="311" spans="1:2" ht="15.75">
      <c r="A311" s="51">
        <v>1814000420</v>
      </c>
      <c r="B311" s="52">
        <v>0</v>
      </c>
    </row>
    <row r="312" spans="1:2" ht="15.75">
      <c r="A312" s="51">
        <v>1814000431</v>
      </c>
      <c r="B312" s="52">
        <v>0</v>
      </c>
    </row>
    <row r="313" spans="1:2" ht="15.75">
      <c r="A313" s="51">
        <v>1814000432</v>
      </c>
      <c r="B313" s="52">
        <v>48931.6</v>
      </c>
    </row>
    <row r="314" spans="1:2" ht="15.75">
      <c r="A314" s="51">
        <v>1814000433</v>
      </c>
      <c r="B314" s="52">
        <v>0</v>
      </c>
    </row>
    <row r="315" spans="1:2" ht="15.75">
      <c r="A315" s="51">
        <v>1814000434</v>
      </c>
      <c r="B315" s="52">
        <v>0</v>
      </c>
    </row>
    <row r="316" spans="1:2" ht="15.75">
      <c r="A316" s="51">
        <v>1814000540</v>
      </c>
      <c r="B316" s="52">
        <v>0</v>
      </c>
    </row>
    <row r="317" spans="1:2" ht="15.75">
      <c r="A317" s="51">
        <v>1814000560</v>
      </c>
      <c r="B317" s="52">
        <v>0</v>
      </c>
    </row>
    <row r="318" spans="1:2" ht="15.75">
      <c r="A318" s="51">
        <v>1814000720</v>
      </c>
      <c r="B318" s="52">
        <v>0</v>
      </c>
    </row>
    <row r="319" spans="1:2" ht="15.75">
      <c r="A319" s="51">
        <v>1814000740</v>
      </c>
      <c r="B319" s="52">
        <v>0</v>
      </c>
    </row>
    <row r="320" spans="1:2" ht="15.75">
      <c r="A320" s="51">
        <v>1814000750</v>
      </c>
      <c r="B320" s="52">
        <v>98835.3</v>
      </c>
    </row>
    <row r="321" spans="1:2" ht="15.75">
      <c r="A321" s="51">
        <v>1814000780</v>
      </c>
      <c r="B321" s="52">
        <v>0</v>
      </c>
    </row>
    <row r="322" spans="1:2" ht="15.75">
      <c r="A322" s="51">
        <v>1814000870</v>
      </c>
      <c r="B322" s="52">
        <v>25000</v>
      </c>
    </row>
    <row r="323" spans="1:2" ht="15.75">
      <c r="A323" s="51">
        <v>1814000930</v>
      </c>
      <c r="B323" s="52">
        <v>0</v>
      </c>
    </row>
    <row r="324" spans="1:2" ht="15.75">
      <c r="A324" s="51">
        <v>1815200110</v>
      </c>
      <c r="B324" s="52">
        <v>5811565.3099999996</v>
      </c>
    </row>
    <row r="325" spans="1:2" ht="15.75">
      <c r="A325" s="51">
        <v>1815200320</v>
      </c>
      <c r="B325" s="52">
        <v>228444</v>
      </c>
    </row>
    <row r="326" spans="1:2" ht="15.75">
      <c r="A326" s="51">
        <v>1815200420</v>
      </c>
      <c r="B326" s="52">
        <v>0</v>
      </c>
    </row>
    <row r="327" spans="1:2" ht="15.75">
      <c r="A327" s="51">
        <v>1815200431</v>
      </c>
      <c r="B327" s="52">
        <v>10917.8</v>
      </c>
    </row>
    <row r="328" spans="1:2" ht="15.75">
      <c r="A328" s="51">
        <v>1815200432</v>
      </c>
      <c r="B328" s="52">
        <v>45553.1</v>
      </c>
    </row>
    <row r="329" spans="1:2" ht="15.75">
      <c r="A329" s="51">
        <v>1815200433</v>
      </c>
      <c r="B329" s="52">
        <v>0</v>
      </c>
    </row>
    <row r="330" spans="1:2" ht="15.75">
      <c r="A330" s="51">
        <v>1815200434</v>
      </c>
      <c r="B330" s="52">
        <v>0</v>
      </c>
    </row>
    <row r="331" spans="1:2" ht="15.75">
      <c r="A331" s="51">
        <v>1815200450</v>
      </c>
      <c r="B331" s="52">
        <v>0</v>
      </c>
    </row>
    <row r="332" spans="1:2" ht="15.75">
      <c r="A332" s="51">
        <v>1815200540</v>
      </c>
      <c r="B332" s="52">
        <v>0</v>
      </c>
    </row>
    <row r="333" spans="1:2" ht="15.75">
      <c r="A333" s="51">
        <v>1815200560</v>
      </c>
      <c r="B333" s="52">
        <v>2960</v>
      </c>
    </row>
    <row r="334" spans="1:2" ht="15.75">
      <c r="A334" s="51">
        <v>1815200720</v>
      </c>
      <c r="B334" s="52">
        <v>0</v>
      </c>
    </row>
    <row r="335" spans="1:2" ht="15.75">
      <c r="A335" s="51">
        <v>1815200740</v>
      </c>
      <c r="B335" s="52">
        <v>0</v>
      </c>
    </row>
    <row r="336" spans="1:2" ht="15.75">
      <c r="A336" s="51">
        <v>1815200750</v>
      </c>
      <c r="B336" s="52">
        <v>768125.14</v>
      </c>
    </row>
    <row r="337" spans="1:2" ht="15.75">
      <c r="A337" s="51">
        <v>1815200760</v>
      </c>
      <c r="B337" s="52">
        <v>56160</v>
      </c>
    </row>
    <row r="338" spans="1:2" ht="15.75">
      <c r="A338" s="51">
        <v>1815200780</v>
      </c>
      <c r="B338" s="52">
        <v>0</v>
      </c>
    </row>
    <row r="339" spans="1:2" ht="15.75">
      <c r="A339" s="51">
        <v>1815200870</v>
      </c>
      <c r="B339" s="52">
        <v>25000</v>
      </c>
    </row>
    <row r="340" spans="1:2" ht="15.75">
      <c r="A340" s="51">
        <v>1817300110</v>
      </c>
      <c r="B340" s="52">
        <v>521462.69</v>
      </c>
    </row>
    <row r="341" spans="1:2" ht="15.75">
      <c r="A341" s="51">
        <v>1817300320</v>
      </c>
      <c r="B341" s="52">
        <v>0</v>
      </c>
    </row>
    <row r="342" spans="1:2" ht="15.75">
      <c r="A342" s="51">
        <v>1817300521</v>
      </c>
      <c r="B342" s="52">
        <v>0</v>
      </c>
    </row>
    <row r="343" spans="1:2" ht="15.75">
      <c r="A343" s="51">
        <v>1817300930</v>
      </c>
      <c r="B343" s="52">
        <v>0</v>
      </c>
    </row>
    <row r="344" spans="1:2" ht="15.75">
      <c r="A344" s="51">
        <v>1817301750</v>
      </c>
      <c r="B344" s="52">
        <v>21000</v>
      </c>
    </row>
    <row r="345" spans="1:2" ht="15.75">
      <c r="A345" s="51">
        <v>1817400320</v>
      </c>
      <c r="B345" s="52">
        <v>0</v>
      </c>
    </row>
    <row r="346" spans="1:2" ht="15.75">
      <c r="A346" s="51">
        <v>1817401720</v>
      </c>
      <c r="B346" s="52">
        <v>0</v>
      </c>
    </row>
    <row r="347" spans="1:2" ht="15.75">
      <c r="A347" s="51">
        <v>1817500441</v>
      </c>
      <c r="B347" s="52">
        <v>303800</v>
      </c>
    </row>
    <row r="348" spans="1:2" ht="15.75">
      <c r="A348" s="51">
        <v>1817600780</v>
      </c>
      <c r="B348" s="52">
        <v>48000</v>
      </c>
    </row>
    <row r="349" spans="1:2" ht="15.75">
      <c r="A349" s="51">
        <v>1817600930</v>
      </c>
      <c r="B349" s="52">
        <v>0</v>
      </c>
    </row>
    <row r="350" spans="1:2" ht="15.75">
      <c r="A350" s="51">
        <v>1817610110</v>
      </c>
      <c r="B350" s="52">
        <v>0</v>
      </c>
    </row>
    <row r="351" spans="1:2" ht="15.75">
      <c r="A351" s="51">
        <v>1817610870</v>
      </c>
      <c r="B351" s="52">
        <v>0</v>
      </c>
    </row>
    <row r="352" spans="1:2" ht="15.75">
      <c r="A352" s="51">
        <v>1817620780</v>
      </c>
      <c r="B352" s="52">
        <v>0</v>
      </c>
    </row>
    <row r="353" spans="1:2" ht="15.75">
      <c r="A353" s="51">
        <v>1817630110</v>
      </c>
      <c r="B353" s="52">
        <v>53386.63</v>
      </c>
    </row>
    <row r="354" spans="1:2" ht="15.75">
      <c r="A354" s="51">
        <v>1817630780</v>
      </c>
      <c r="B354" s="52">
        <v>0</v>
      </c>
    </row>
    <row r="355" spans="1:2" ht="15.75">
      <c r="A355" s="51">
        <v>1817700110</v>
      </c>
      <c r="B355" s="52">
        <v>0</v>
      </c>
    </row>
    <row r="356" spans="1:2" ht="15.75">
      <c r="A356" s="51">
        <v>1817700431</v>
      </c>
      <c r="B356" s="52">
        <v>0</v>
      </c>
    </row>
    <row r="357" spans="1:2" ht="15.75">
      <c r="A357" s="51">
        <v>1817700432</v>
      </c>
      <c r="B357" s="52">
        <v>0</v>
      </c>
    </row>
    <row r="358" spans="1:2" ht="15.75">
      <c r="A358" s="51">
        <v>1817700780</v>
      </c>
      <c r="B358" s="52">
        <v>0</v>
      </c>
    </row>
    <row r="359" spans="1:2" ht="15.75">
      <c r="A359" s="51">
        <v>1817710110</v>
      </c>
      <c r="B359" s="52">
        <v>0</v>
      </c>
    </row>
    <row r="360" spans="1:2" ht="15.75">
      <c r="A360" s="51">
        <v>1817710720</v>
      </c>
      <c r="B360" s="52">
        <v>0</v>
      </c>
    </row>
    <row r="361" spans="1:2" ht="15.75">
      <c r="A361" s="51">
        <v>1817710780</v>
      </c>
      <c r="B361" s="52">
        <v>0</v>
      </c>
    </row>
    <row r="362" spans="1:2" ht="15.75">
      <c r="A362" s="51">
        <v>1817800110</v>
      </c>
      <c r="B362" s="52">
        <v>617516.06000000006</v>
      </c>
    </row>
    <row r="363" spans="1:2" ht="15.75">
      <c r="A363" s="51">
        <v>1817800710</v>
      </c>
      <c r="B363" s="52">
        <v>1764293.39</v>
      </c>
    </row>
    <row r="364" spans="1:2" ht="15.75">
      <c r="A364" s="51">
        <v>1817900110</v>
      </c>
      <c r="B364" s="52">
        <v>65087.95</v>
      </c>
    </row>
    <row r="365" spans="1:2" ht="15.75">
      <c r="A365" s="51">
        <v>1817910110</v>
      </c>
      <c r="B365" s="52">
        <v>233657.69</v>
      </c>
    </row>
    <row r="366" spans="1:2" ht="15.75">
      <c r="A366" s="51">
        <v>1817910710</v>
      </c>
      <c r="B366" s="52">
        <v>0</v>
      </c>
    </row>
    <row r="367" spans="1:2" ht="15.75">
      <c r="A367" s="51">
        <v>1817910780</v>
      </c>
      <c r="B367" s="52">
        <v>23840</v>
      </c>
    </row>
    <row r="368" spans="1:2" ht="15.75">
      <c r="A368" s="51">
        <v>1817910810</v>
      </c>
      <c r="B368" s="52">
        <v>337548.75</v>
      </c>
    </row>
    <row r="369" spans="1:2" ht="15.75">
      <c r="A369" s="51">
        <v>1817911750</v>
      </c>
      <c r="B369" s="52">
        <v>12555</v>
      </c>
    </row>
    <row r="370" spans="1:2" ht="15.75">
      <c r="A370" s="51">
        <v>1817912750</v>
      </c>
      <c r="B370" s="52">
        <v>7102</v>
      </c>
    </row>
    <row r="371" spans="1:2" ht="15.75">
      <c r="A371" s="51">
        <v>1812200751</v>
      </c>
      <c r="B371" s="52">
        <v>76580</v>
      </c>
    </row>
    <row r="372" spans="1:2" ht="15.75">
      <c r="A372" s="51">
        <v>1812200760</v>
      </c>
      <c r="B372" s="52">
        <v>5800</v>
      </c>
    </row>
    <row r="373" spans="1:2" ht="15.75">
      <c r="A373" s="51">
        <v>1812310110</v>
      </c>
      <c r="B373" s="52">
        <v>0</v>
      </c>
    </row>
    <row r="374" spans="1:2" ht="15.75">
      <c r="A374" s="51">
        <v>1813201750</v>
      </c>
      <c r="B374" s="52">
        <v>0</v>
      </c>
    </row>
    <row r="375" spans="1:2" ht="15.75">
      <c r="A375" s="51">
        <v>1814000320</v>
      </c>
      <c r="B375" s="52">
        <v>11803</v>
      </c>
    </row>
    <row r="376" spans="1:2" ht="15.75">
      <c r="A376" s="51">
        <v>1817400930</v>
      </c>
      <c r="B376" s="52">
        <v>112656</v>
      </c>
    </row>
    <row r="377" spans="1:2" ht="15.75">
      <c r="A377" s="51">
        <v>1817720720</v>
      </c>
      <c r="B377" s="52">
        <v>0</v>
      </c>
    </row>
    <row r="378" spans="1:2" ht="15.75">
      <c r="A378" s="51">
        <v>1817800320</v>
      </c>
      <c r="B378" s="52">
        <v>1263</v>
      </c>
    </row>
    <row r="379" spans="1:2" ht="15.75">
      <c r="A379" s="51">
        <v>1817900320</v>
      </c>
      <c r="B379" s="52">
        <v>1230</v>
      </c>
    </row>
    <row r="380" spans="1:2" ht="15.75">
      <c r="A380" s="51">
        <v>1817910320</v>
      </c>
      <c r="B380" s="52">
        <v>1142</v>
      </c>
    </row>
    <row r="381" spans="1:2" ht="15.75">
      <c r="A381" s="51">
        <v>1817911110</v>
      </c>
      <c r="B381" s="52">
        <v>0</v>
      </c>
    </row>
    <row r="382" spans="1:2" ht="15.75">
      <c r="A382" s="51">
        <v>1817913750</v>
      </c>
      <c r="B382" s="52">
        <v>1500</v>
      </c>
    </row>
    <row r="383" spans="1:2" ht="15.75">
      <c r="A383" s="51">
        <v>1817913110</v>
      </c>
      <c r="B383" s="52">
        <v>7800</v>
      </c>
    </row>
    <row r="384" spans="1:2" ht="15.75">
      <c r="A384" s="51">
        <v>1824000432</v>
      </c>
      <c r="B384" s="52">
        <v>0</v>
      </c>
    </row>
    <row r="385" spans="1:2" ht="15.75">
      <c r="A385" s="51">
        <v>1824010870</v>
      </c>
      <c r="B385" s="52">
        <v>0</v>
      </c>
    </row>
    <row r="386" spans="1:2" ht="15.75">
      <c r="A386" s="51">
        <v>1824020870</v>
      </c>
      <c r="B386" s="52">
        <v>0</v>
      </c>
    </row>
    <row r="387" spans="1:2" ht="15.75">
      <c r="A387" s="51">
        <v>1824030110</v>
      </c>
      <c r="B387" s="52">
        <v>83600.92</v>
      </c>
    </row>
    <row r="388" spans="1:2" ht="15.75">
      <c r="A388" s="51">
        <v>1824030870</v>
      </c>
      <c r="B388" s="52">
        <v>0</v>
      </c>
    </row>
    <row r="389" spans="1:2" ht="15.75">
      <c r="A389" s="51">
        <v>1824050870</v>
      </c>
      <c r="B389" s="52">
        <v>0</v>
      </c>
    </row>
    <row r="390" spans="1:2" ht="15.75">
      <c r="A390" s="51">
        <v>1824060870</v>
      </c>
      <c r="B390" s="52">
        <v>0</v>
      </c>
    </row>
    <row r="391" spans="1:2" ht="15.75">
      <c r="A391" s="51">
        <v>1828100110</v>
      </c>
      <c r="B391" s="52">
        <v>149062.46</v>
      </c>
    </row>
    <row r="392" spans="1:2" ht="15.75">
      <c r="A392" s="51">
        <v>1828300110</v>
      </c>
      <c r="B392" s="52">
        <v>44009.68</v>
      </c>
    </row>
    <row r="393" spans="1:2" ht="15.75">
      <c r="A393" s="51">
        <v>1828400110</v>
      </c>
      <c r="B393" s="52">
        <v>0</v>
      </c>
    </row>
    <row r="394" spans="1:2" ht="15.75">
      <c r="A394" s="51">
        <v>1828400750</v>
      </c>
      <c r="B394" s="52">
        <v>548087</v>
      </c>
    </row>
    <row r="395" spans="1:2" ht="15.75">
      <c r="A395" s="51">
        <v>1828300760</v>
      </c>
      <c r="B395" s="52">
        <v>1980</v>
      </c>
    </row>
    <row r="396" spans="1:2" ht="15.75">
      <c r="A396" s="51">
        <v>1828300780</v>
      </c>
      <c r="B396" s="52">
        <v>0</v>
      </c>
    </row>
    <row r="397" spans="1:2" ht="15.75">
      <c r="A397" s="51">
        <v>1828400780</v>
      </c>
      <c r="B397" s="52">
        <v>0</v>
      </c>
    </row>
    <row r="398" spans="1:2" ht="15.75">
      <c r="A398" s="51">
        <v>1829000431</v>
      </c>
      <c r="B398" s="52">
        <v>0</v>
      </c>
    </row>
    <row r="399" spans="1:2" ht="15.75">
      <c r="A399" s="51">
        <v>1829100110</v>
      </c>
      <c r="B399" s="52">
        <v>145998.29</v>
      </c>
    </row>
    <row r="400" spans="1:2" ht="15.75">
      <c r="A400" s="51">
        <v>1829200110</v>
      </c>
      <c r="B400" s="52">
        <v>0</v>
      </c>
    </row>
    <row r="401" spans="1:2" ht="15.75">
      <c r="A401" s="51">
        <v>1829200431</v>
      </c>
      <c r="B401" s="52">
        <v>0</v>
      </c>
    </row>
    <row r="402" spans="1:2" ht="15.75">
      <c r="A402" s="51">
        <v>1829200432</v>
      </c>
      <c r="B402" s="52">
        <v>42093.2</v>
      </c>
    </row>
    <row r="403" spans="1:2" ht="15.75">
      <c r="A403" s="51">
        <v>1829200540</v>
      </c>
      <c r="B403" s="52">
        <v>0</v>
      </c>
    </row>
    <row r="404" spans="1:2" ht="15.75">
      <c r="A404" s="51">
        <v>1829200720</v>
      </c>
      <c r="B404" s="52">
        <v>0</v>
      </c>
    </row>
    <row r="405" spans="1:2" ht="15.75">
      <c r="A405" s="51">
        <v>1829200740</v>
      </c>
      <c r="B405" s="52">
        <v>3055</v>
      </c>
    </row>
    <row r="406" spans="1:2" ht="15.75">
      <c r="A406" s="51">
        <v>1829200750</v>
      </c>
      <c r="B406" s="52">
        <v>52113</v>
      </c>
    </row>
    <row r="407" spans="1:2" ht="15.75">
      <c r="A407" s="51">
        <v>1829200780</v>
      </c>
      <c r="B407" s="52">
        <v>111210</v>
      </c>
    </row>
    <row r="408" spans="1:2" ht="15.75">
      <c r="A408" s="51">
        <v>1829201780</v>
      </c>
      <c r="B408" s="52">
        <v>0</v>
      </c>
    </row>
    <row r="409" spans="1:2" ht="15.75">
      <c r="A409" s="51">
        <v>1829202780</v>
      </c>
      <c r="B409" s="52">
        <v>0</v>
      </c>
    </row>
    <row r="410" spans="1:2" ht="15.75">
      <c r="A410" s="51">
        <v>1829200781</v>
      </c>
      <c r="B410" s="52">
        <v>0</v>
      </c>
    </row>
    <row r="411" spans="1:2" ht="15.75">
      <c r="A411" s="51">
        <v>1829201781</v>
      </c>
      <c r="B411" s="52">
        <v>8650</v>
      </c>
    </row>
    <row r="412" spans="1:2" ht="15.75">
      <c r="A412" s="51">
        <v>1829200930</v>
      </c>
      <c r="B412" s="52">
        <v>0</v>
      </c>
    </row>
    <row r="413" spans="1:2" ht="15.75">
      <c r="A413" s="51">
        <v>1829210110</v>
      </c>
      <c r="B413" s="52">
        <v>72041.25</v>
      </c>
    </row>
    <row r="414" spans="1:2" ht="15.75">
      <c r="A414" s="51">
        <v>1829300750</v>
      </c>
      <c r="B414" s="52">
        <v>251847.4</v>
      </c>
    </row>
    <row r="415" spans="1:2" ht="15.75">
      <c r="A415" s="51">
        <v>1824000110</v>
      </c>
      <c r="B415" s="52">
        <v>3505.34</v>
      </c>
    </row>
    <row r="416" spans="1:2" ht="15.75">
      <c r="A416" s="51">
        <v>1824000431</v>
      </c>
      <c r="B416" s="52">
        <v>20941.37</v>
      </c>
    </row>
    <row r="417" spans="1:2" ht="15.75">
      <c r="A417" s="51">
        <v>1828300320</v>
      </c>
      <c r="B417" s="52">
        <v>3072</v>
      </c>
    </row>
    <row r="418" spans="1:2" ht="15.75">
      <c r="A418" s="51">
        <v>1829999399</v>
      </c>
      <c r="B418" s="52">
        <v>0</v>
      </c>
    </row>
    <row r="419" spans="1:2" ht="15.75">
      <c r="A419" s="103">
        <v>1.82</v>
      </c>
      <c r="B419" s="104">
        <v>1541266.9100000001</v>
      </c>
    </row>
    <row r="420" spans="1:2" ht="15.75">
      <c r="A420" s="103"/>
      <c r="B420" s="52"/>
    </row>
    <row r="421" spans="1:2" ht="15.75">
      <c r="A421" s="51">
        <v>1832000431</v>
      </c>
      <c r="B421" s="52">
        <v>0</v>
      </c>
    </row>
    <row r="422" spans="1:2" ht="15.75">
      <c r="A422" s="51">
        <v>1832300110</v>
      </c>
      <c r="B422" s="52">
        <v>0</v>
      </c>
    </row>
    <row r="423" spans="1:2" ht="15.75">
      <c r="A423" s="51">
        <v>1832300431</v>
      </c>
      <c r="B423" s="52">
        <v>0</v>
      </c>
    </row>
    <row r="424" spans="1:2" ht="15.75">
      <c r="A424" s="51">
        <v>1832300441</v>
      </c>
      <c r="B424" s="52">
        <v>0</v>
      </c>
    </row>
    <row r="425" spans="1:2" ht="15.75">
      <c r="A425" s="51">
        <v>1832300540</v>
      </c>
      <c r="B425" s="52">
        <v>0</v>
      </c>
    </row>
    <row r="426" spans="1:2" ht="15.75">
      <c r="A426" s="51">
        <v>1832300780</v>
      </c>
      <c r="B426" s="52">
        <v>0</v>
      </c>
    </row>
    <row r="427" spans="1:2" ht="15.75">
      <c r="A427" s="51">
        <v>1832400110</v>
      </c>
      <c r="B427" s="52">
        <v>112414.2</v>
      </c>
    </row>
    <row r="428" spans="1:2" ht="15.75">
      <c r="A428" s="51">
        <v>1832400320</v>
      </c>
      <c r="B428" s="52">
        <v>0</v>
      </c>
    </row>
    <row r="429" spans="1:2" ht="15.75">
      <c r="A429" s="51">
        <v>1832400431</v>
      </c>
      <c r="B429" s="52">
        <v>2356.16</v>
      </c>
    </row>
    <row r="430" spans="1:2" ht="15.75">
      <c r="A430" s="51">
        <v>1832400432</v>
      </c>
      <c r="B430" s="52">
        <v>11971.3</v>
      </c>
    </row>
    <row r="431" spans="1:2" ht="15.75">
      <c r="A431" s="51">
        <v>1832400750</v>
      </c>
      <c r="B431" s="52">
        <v>0</v>
      </c>
    </row>
    <row r="432" spans="1:2" ht="15.75">
      <c r="A432" s="51">
        <v>1832400780</v>
      </c>
      <c r="B432" s="52">
        <v>0</v>
      </c>
    </row>
    <row r="433" spans="1:2" ht="15.75">
      <c r="A433" s="51">
        <v>1836100830</v>
      </c>
      <c r="B433" s="52">
        <v>56502</v>
      </c>
    </row>
    <row r="434" spans="1:2" ht="15.75">
      <c r="A434" s="51">
        <v>1838020840</v>
      </c>
      <c r="B434" s="52">
        <v>0</v>
      </c>
    </row>
    <row r="435" spans="1:2" ht="15.75">
      <c r="A435" s="51">
        <v>1839999399</v>
      </c>
      <c r="B435" s="52">
        <v>0</v>
      </c>
    </row>
    <row r="436" spans="1:2" ht="15.75">
      <c r="A436" s="103">
        <v>1.83</v>
      </c>
      <c r="B436" s="104">
        <v>183243.66</v>
      </c>
    </row>
    <row r="437" spans="1:2" ht="15.75">
      <c r="A437" s="103"/>
      <c r="B437" s="52"/>
    </row>
    <row r="438" spans="1:2" ht="15.75">
      <c r="A438" s="51">
        <v>1841000420</v>
      </c>
      <c r="B438" s="52">
        <v>0</v>
      </c>
    </row>
    <row r="439" spans="1:2" ht="15.75">
      <c r="A439" s="51">
        <v>1841000431</v>
      </c>
      <c r="B439" s="52">
        <v>0</v>
      </c>
    </row>
    <row r="440" spans="1:2" ht="15.75">
      <c r="A440" s="51">
        <v>1841000523</v>
      </c>
      <c r="B440" s="52">
        <v>800</v>
      </c>
    </row>
    <row r="441" spans="1:2" ht="15.75">
      <c r="A441" s="51">
        <v>1841000780</v>
      </c>
      <c r="B441" s="52">
        <v>11423.7</v>
      </c>
    </row>
    <row r="442" spans="1:2" ht="15.75">
      <c r="A442" s="51">
        <v>1841001110</v>
      </c>
      <c r="B442" s="52">
        <v>1437220.74</v>
      </c>
    </row>
    <row r="443" spans="1:2" ht="15.75">
      <c r="A443" s="51">
        <v>1841001320</v>
      </c>
      <c r="B443" s="52">
        <v>28604</v>
      </c>
    </row>
    <row r="444" spans="1:2" ht="15.75">
      <c r="A444" s="51">
        <v>1841002840</v>
      </c>
      <c r="B444" s="52">
        <v>0</v>
      </c>
    </row>
    <row r="445" spans="1:2" ht="15.75">
      <c r="A445" s="51">
        <v>1841003410</v>
      </c>
      <c r="B445" s="52">
        <v>95600</v>
      </c>
    </row>
    <row r="446" spans="1:2" ht="15.75">
      <c r="A446" s="51">
        <v>1841003420</v>
      </c>
      <c r="B446" s="52">
        <v>0</v>
      </c>
    </row>
    <row r="447" spans="1:2" ht="15.75">
      <c r="A447" s="51">
        <v>1841003431</v>
      </c>
      <c r="B447" s="52">
        <v>0</v>
      </c>
    </row>
    <row r="448" spans="1:2" ht="15.75">
      <c r="A448" s="51">
        <v>1841003540</v>
      </c>
      <c r="B448" s="52">
        <v>1334</v>
      </c>
    </row>
    <row r="449" spans="1:2" ht="15.75">
      <c r="A449" s="51">
        <v>1841003560</v>
      </c>
      <c r="B449" s="52">
        <v>0</v>
      </c>
    </row>
    <row r="450" spans="1:2" ht="15.75">
      <c r="A450" s="51">
        <v>1841003570</v>
      </c>
      <c r="B450" s="52">
        <v>0</v>
      </c>
    </row>
    <row r="451" spans="1:2" ht="15.75">
      <c r="A451" s="51">
        <v>1841003720</v>
      </c>
      <c r="B451" s="52">
        <v>0</v>
      </c>
    </row>
    <row r="452" spans="1:2" ht="15.75">
      <c r="A452" s="51">
        <v>1841003750</v>
      </c>
      <c r="B452" s="52">
        <v>0</v>
      </c>
    </row>
    <row r="453" spans="1:2" ht="15.75">
      <c r="A453" s="51">
        <v>1841003780</v>
      </c>
      <c r="B453" s="52">
        <v>0</v>
      </c>
    </row>
    <row r="454" spans="1:2" ht="15.75">
      <c r="A454" s="51">
        <v>1841003930</v>
      </c>
      <c r="B454" s="52">
        <v>0</v>
      </c>
    </row>
    <row r="455" spans="1:2" ht="15.75">
      <c r="A455" s="51">
        <v>1842202840</v>
      </c>
      <c r="B455" s="52">
        <v>167426</v>
      </c>
    </row>
    <row r="456" spans="1:2" ht="15.75">
      <c r="A456" s="51">
        <v>1842203780</v>
      </c>
      <c r="B456" s="52">
        <v>0</v>
      </c>
    </row>
    <row r="457" spans="1:2" ht="15.75">
      <c r="A457" s="51">
        <v>1842203840</v>
      </c>
      <c r="B457" s="52">
        <v>0</v>
      </c>
    </row>
    <row r="458" spans="1:2" ht="15.75">
      <c r="A458" s="51">
        <v>1842204710</v>
      </c>
      <c r="B458" s="52">
        <v>0</v>
      </c>
    </row>
    <row r="459" spans="1:2" ht="15.75">
      <c r="A459" s="51">
        <v>1842204840</v>
      </c>
      <c r="B459" s="52">
        <v>0</v>
      </c>
    </row>
    <row r="460" spans="1:2" ht="15.75">
      <c r="A460" s="51">
        <v>1842205710</v>
      </c>
      <c r="B460" s="52">
        <v>0</v>
      </c>
    </row>
    <row r="461" spans="1:2" ht="15.75">
      <c r="A461" s="51">
        <v>1842205780</v>
      </c>
      <c r="B461" s="52">
        <v>0</v>
      </c>
    </row>
    <row r="462" spans="1:2" ht="15.75">
      <c r="A462" s="51">
        <v>1842205840</v>
      </c>
      <c r="B462" s="52">
        <v>0</v>
      </c>
    </row>
    <row r="463" spans="1:2" ht="15.75">
      <c r="A463" s="51">
        <v>1842206840</v>
      </c>
      <c r="B463" s="52">
        <v>43995</v>
      </c>
    </row>
    <row r="464" spans="1:2" ht="15.75">
      <c r="A464" s="51">
        <v>1842401840</v>
      </c>
      <c r="B464" s="52">
        <v>0</v>
      </c>
    </row>
    <row r="465" spans="1:2" ht="15.75">
      <c r="A465" s="51">
        <v>1842402840</v>
      </c>
      <c r="B465" s="52">
        <v>7996</v>
      </c>
    </row>
    <row r="466" spans="1:2" ht="15.75">
      <c r="A466" s="51">
        <v>1843501110</v>
      </c>
      <c r="B466" s="52">
        <v>91040.62</v>
      </c>
    </row>
    <row r="467" spans="1:2" ht="15.75">
      <c r="A467" s="51">
        <v>1843501840</v>
      </c>
      <c r="B467" s="52">
        <v>0</v>
      </c>
    </row>
    <row r="468" spans="1:2" ht="15.75">
      <c r="A468" s="51">
        <v>1843502840</v>
      </c>
      <c r="B468" s="52">
        <v>124307</v>
      </c>
    </row>
    <row r="469" spans="1:2" ht="15.75">
      <c r="A469" s="51">
        <v>1843503750</v>
      </c>
      <c r="B469" s="52">
        <v>0</v>
      </c>
    </row>
    <row r="470" spans="1:2" ht="15.75">
      <c r="A470" s="51">
        <v>1843503840</v>
      </c>
      <c r="B470" s="52">
        <v>846883</v>
      </c>
    </row>
    <row r="471" spans="1:2" ht="15.75">
      <c r="A471" s="51">
        <v>1843504720</v>
      </c>
      <c r="B471" s="52">
        <v>0</v>
      </c>
    </row>
    <row r="472" spans="1:2" ht="15.75">
      <c r="A472" s="51">
        <v>1843504721</v>
      </c>
      <c r="B472" s="52">
        <v>10895.5</v>
      </c>
    </row>
    <row r="473" spans="1:2" ht="15.75">
      <c r="A473" s="51">
        <v>1843504750</v>
      </c>
      <c r="B473" s="52">
        <v>6865</v>
      </c>
    </row>
    <row r="474" spans="1:2" ht="15.75">
      <c r="A474" s="51">
        <v>1843504780</v>
      </c>
      <c r="B474" s="52">
        <v>0</v>
      </c>
    </row>
    <row r="475" spans="1:2" ht="15.75">
      <c r="A475" s="51">
        <v>1843801840</v>
      </c>
      <c r="B475" s="52">
        <v>2633427</v>
      </c>
    </row>
    <row r="476" spans="1:2" ht="15.75">
      <c r="A476" s="51">
        <v>1843901521</v>
      </c>
      <c r="B476" s="52">
        <v>0</v>
      </c>
    </row>
    <row r="477" spans="1:2" ht="15.75">
      <c r="A477" s="51">
        <v>1843901750</v>
      </c>
      <c r="B477" s="52">
        <v>0</v>
      </c>
    </row>
    <row r="478" spans="1:2" ht="15.75">
      <c r="A478" s="51">
        <v>1843900840</v>
      </c>
      <c r="B478" s="52">
        <v>0</v>
      </c>
    </row>
    <row r="479" spans="1:2" ht="15.75">
      <c r="A479" s="51">
        <v>1843901840</v>
      </c>
      <c r="B479" s="52">
        <v>1169522</v>
      </c>
    </row>
    <row r="480" spans="1:2" ht="15.75">
      <c r="A480" s="51">
        <v>1843901930</v>
      </c>
      <c r="B480" s="52">
        <v>0</v>
      </c>
    </row>
    <row r="481" spans="1:2" ht="15.75">
      <c r="A481" s="51">
        <v>1844300840</v>
      </c>
      <c r="B481" s="52">
        <v>0</v>
      </c>
    </row>
    <row r="482" spans="1:2" ht="15.75">
      <c r="A482" s="51">
        <v>1844401110</v>
      </c>
      <c r="B482" s="52">
        <v>54568.65</v>
      </c>
    </row>
    <row r="483" spans="1:2" ht="15.75">
      <c r="A483" s="51">
        <v>1844401320</v>
      </c>
      <c r="B483" s="52">
        <v>0</v>
      </c>
    </row>
    <row r="484" spans="1:2" ht="15.75">
      <c r="A484" s="51">
        <v>1844401431</v>
      </c>
      <c r="B484" s="52">
        <v>0</v>
      </c>
    </row>
    <row r="485" spans="1:2" ht="15.75">
      <c r="A485" s="51">
        <v>1844401432</v>
      </c>
      <c r="B485" s="52">
        <v>0</v>
      </c>
    </row>
    <row r="486" spans="1:2" ht="15.75">
      <c r="A486" s="51">
        <v>1844401433</v>
      </c>
      <c r="B486" s="52">
        <v>0</v>
      </c>
    </row>
    <row r="487" spans="1:2" ht="15.75">
      <c r="A487" s="51">
        <v>1844401540</v>
      </c>
      <c r="B487" s="52">
        <v>0</v>
      </c>
    </row>
    <row r="488" spans="1:2" ht="15.75">
      <c r="A488" s="51">
        <v>1844402840</v>
      </c>
      <c r="B488" s="52">
        <v>742</v>
      </c>
    </row>
    <row r="489" spans="1:2" ht="15.75">
      <c r="A489" s="51">
        <v>1844403840</v>
      </c>
      <c r="B489" s="52">
        <v>0</v>
      </c>
    </row>
    <row r="490" spans="1:2" ht="15.75">
      <c r="A490" s="51">
        <v>1844401750</v>
      </c>
      <c r="B490" s="52"/>
    </row>
    <row r="491" spans="1:2" ht="15.75">
      <c r="A491" s="51">
        <v>1844500110</v>
      </c>
      <c r="B491" s="52">
        <v>0</v>
      </c>
    </row>
    <row r="492" spans="1:2" ht="15.75">
      <c r="A492" s="51">
        <v>1844500840</v>
      </c>
      <c r="B492" s="52">
        <v>0</v>
      </c>
    </row>
    <row r="493" spans="1:2" ht="15.75">
      <c r="A493" s="51">
        <v>1845100840</v>
      </c>
      <c r="B493" s="52">
        <v>37028</v>
      </c>
    </row>
    <row r="494" spans="1:2" ht="15.75">
      <c r="A494" s="51">
        <v>1845101840</v>
      </c>
      <c r="B494" s="52">
        <v>4045135</v>
      </c>
    </row>
    <row r="495" spans="1:2" ht="15.75">
      <c r="A495" s="51">
        <v>1845102840</v>
      </c>
      <c r="B495" s="52">
        <v>0</v>
      </c>
    </row>
    <row r="496" spans="1:2" ht="15.75">
      <c r="A496" s="51">
        <v>1845103840</v>
      </c>
      <c r="B496" s="52">
        <v>23320</v>
      </c>
    </row>
    <row r="497" spans="1:2" ht="15.75">
      <c r="A497" s="51">
        <v>1845104840</v>
      </c>
      <c r="B497" s="52">
        <v>0</v>
      </c>
    </row>
    <row r="498" spans="1:2" ht="15.75">
      <c r="A498" s="51">
        <v>1845201110</v>
      </c>
      <c r="B498" s="52">
        <v>175100.41</v>
      </c>
    </row>
    <row r="499" spans="1:2" ht="15.75">
      <c r="A499" s="51">
        <v>1845201840</v>
      </c>
      <c r="B499" s="52">
        <v>467326</v>
      </c>
    </row>
    <row r="500" spans="1:2" ht="15.75">
      <c r="A500" s="51">
        <v>1845202840</v>
      </c>
      <c r="B500" s="52">
        <v>4375</v>
      </c>
    </row>
    <row r="501" spans="1:2" ht="15.75">
      <c r="A501" s="51">
        <v>1845203840</v>
      </c>
      <c r="B501" s="52">
        <v>0</v>
      </c>
    </row>
    <row r="502" spans="1:2" ht="15.75">
      <c r="A502" s="51">
        <v>1845204840</v>
      </c>
      <c r="B502" s="52">
        <v>344440</v>
      </c>
    </row>
    <row r="503" spans="1:2" ht="15.75">
      <c r="A503" s="51">
        <v>1845205840</v>
      </c>
      <c r="B503" s="52">
        <v>0</v>
      </c>
    </row>
    <row r="504" spans="1:2" ht="15.75">
      <c r="A504" s="51">
        <v>1845301840</v>
      </c>
      <c r="B504" s="52">
        <v>0</v>
      </c>
    </row>
    <row r="505" spans="1:2" ht="15.75">
      <c r="A505" s="51">
        <v>1845302840</v>
      </c>
      <c r="B505" s="52">
        <v>17945</v>
      </c>
    </row>
    <row r="506" spans="1:2" ht="15.75">
      <c r="A506" s="51">
        <v>1845303840</v>
      </c>
      <c r="B506" s="52">
        <v>130734</v>
      </c>
    </row>
    <row r="507" spans="1:2" ht="15.75">
      <c r="A507" s="51">
        <v>1845304840</v>
      </c>
      <c r="B507" s="52">
        <v>0</v>
      </c>
    </row>
    <row r="508" spans="1:2" ht="15.75">
      <c r="A508" s="51">
        <v>1845200840</v>
      </c>
      <c r="B508" s="52">
        <v>32280</v>
      </c>
    </row>
    <row r="509" spans="1:2" ht="15.75">
      <c r="A509" s="51">
        <v>1846301840</v>
      </c>
      <c r="B509" s="52">
        <v>0</v>
      </c>
    </row>
    <row r="510" spans="1:2" ht="15.75">
      <c r="A510" s="51">
        <v>1846302840</v>
      </c>
      <c r="B510" s="52">
        <v>4279</v>
      </c>
    </row>
    <row r="511" spans="1:2" ht="15.75">
      <c r="A511" s="51">
        <v>1846401840</v>
      </c>
      <c r="B511" s="52">
        <v>0</v>
      </c>
    </row>
    <row r="512" spans="1:2" ht="15.75">
      <c r="A512" s="51">
        <v>1846402840</v>
      </c>
      <c r="B512" s="52">
        <v>0</v>
      </c>
    </row>
    <row r="513" spans="1:2" ht="15.75">
      <c r="A513" s="51">
        <v>1846500840</v>
      </c>
      <c r="B513" s="52">
        <v>89070</v>
      </c>
    </row>
    <row r="514" spans="1:2" ht="15.75">
      <c r="A514" s="51">
        <v>1846501840</v>
      </c>
      <c r="B514" s="52">
        <v>113959</v>
      </c>
    </row>
    <row r="515" spans="1:2" ht="15.75">
      <c r="A515" s="51">
        <v>1846601840</v>
      </c>
      <c r="B515" s="52">
        <v>27534</v>
      </c>
    </row>
    <row r="516" spans="1:2" ht="15.75">
      <c r="A516" s="51">
        <v>1846602840</v>
      </c>
      <c r="B516" s="52">
        <v>0</v>
      </c>
    </row>
    <row r="517" spans="1:2" ht="15.75">
      <c r="A517" s="51">
        <v>1846603840</v>
      </c>
      <c r="B517" s="52">
        <v>26323</v>
      </c>
    </row>
    <row r="518" spans="1:2" ht="15.75">
      <c r="A518" s="51">
        <v>1846701840</v>
      </c>
      <c r="B518" s="52">
        <v>353548</v>
      </c>
    </row>
    <row r="519" spans="1:2" ht="15.75">
      <c r="A519" s="51">
        <v>1846702840</v>
      </c>
      <c r="B519" s="52">
        <v>0</v>
      </c>
    </row>
    <row r="520" spans="1:2" ht="15.75">
      <c r="A520" s="51">
        <v>1846703840</v>
      </c>
      <c r="B520" s="52">
        <v>235456</v>
      </c>
    </row>
    <row r="521" spans="1:2" ht="15.75">
      <c r="A521" s="51">
        <v>1846704840</v>
      </c>
      <c r="B521" s="52">
        <v>181030</v>
      </c>
    </row>
    <row r="522" spans="1:2" ht="15.75">
      <c r="A522" s="51">
        <v>1846801840</v>
      </c>
      <c r="B522" s="52">
        <v>14303</v>
      </c>
    </row>
    <row r="523" spans="1:2" ht="15.75">
      <c r="A523" s="51">
        <v>1847101710</v>
      </c>
      <c r="B523" s="52">
        <v>0</v>
      </c>
    </row>
    <row r="524" spans="1:2" ht="15.75">
      <c r="A524" s="51">
        <v>1847101780</v>
      </c>
      <c r="B524" s="52">
        <v>0</v>
      </c>
    </row>
    <row r="525" spans="1:2" ht="15.75">
      <c r="A525" s="51">
        <v>1847101840</v>
      </c>
      <c r="B525" s="52">
        <v>0</v>
      </c>
    </row>
    <row r="526" spans="1:2" ht="15.75">
      <c r="A526" s="51">
        <v>1847103840</v>
      </c>
      <c r="B526" s="52">
        <v>65090</v>
      </c>
    </row>
    <row r="527" spans="1:2" ht="15.75">
      <c r="A527" s="51">
        <v>1847104840</v>
      </c>
      <c r="B527" s="52">
        <v>30510</v>
      </c>
    </row>
    <row r="528" spans="1:2" ht="15.75">
      <c r="A528" s="51">
        <v>1847202840</v>
      </c>
      <c r="B528" s="52">
        <v>79080</v>
      </c>
    </row>
    <row r="529" spans="1:2" ht="15.75">
      <c r="A529" s="51">
        <v>1847301840</v>
      </c>
      <c r="B529" s="52">
        <v>81909</v>
      </c>
    </row>
    <row r="530" spans="1:2" ht="15.75">
      <c r="A530" s="51">
        <v>1847302840</v>
      </c>
      <c r="B530" s="52">
        <v>0</v>
      </c>
    </row>
    <row r="531" spans="1:2" ht="15.75">
      <c r="A531" s="51">
        <v>1847400840</v>
      </c>
      <c r="B531" s="52">
        <v>0</v>
      </c>
    </row>
    <row r="532" spans="1:2" ht="15.75">
      <c r="A532" s="51">
        <v>1847500840</v>
      </c>
      <c r="B532" s="52">
        <v>156140</v>
      </c>
    </row>
    <row r="533" spans="1:2" ht="15.75">
      <c r="A533" s="51">
        <v>1847201840</v>
      </c>
      <c r="B533" s="52">
        <v>199547</v>
      </c>
    </row>
    <row r="534" spans="1:2" ht="15.75">
      <c r="A534" s="51">
        <v>1845800840</v>
      </c>
      <c r="B534" s="52">
        <v>1034004</v>
      </c>
    </row>
    <row r="535" spans="1:2" ht="15.75">
      <c r="A535" s="51">
        <v>1848501780</v>
      </c>
      <c r="B535" s="52">
        <v>0</v>
      </c>
    </row>
    <row r="536" spans="1:2" ht="15.75">
      <c r="A536" s="51">
        <v>1848502840</v>
      </c>
      <c r="B536" s="52">
        <v>0</v>
      </c>
    </row>
    <row r="537" spans="1:2" ht="15.75">
      <c r="A537" s="51">
        <v>1848502850</v>
      </c>
      <c r="B537" s="52">
        <v>0</v>
      </c>
    </row>
    <row r="538" spans="1:2" ht="15.75">
      <c r="A538" s="103" t="s">
        <v>588</v>
      </c>
      <c r="B538" s="104">
        <v>14702115.620000001</v>
      </c>
    </row>
    <row r="539" spans="1:2" ht="15.75">
      <c r="A539" s="103"/>
      <c r="B539" s="52"/>
    </row>
    <row r="540" spans="1:2" ht="15.75">
      <c r="A540" s="51">
        <v>1853000432</v>
      </c>
      <c r="B540" s="52">
        <v>10380.200000000001</v>
      </c>
    </row>
    <row r="541" spans="1:2" ht="15.75">
      <c r="A541" s="51">
        <v>1853000750</v>
      </c>
      <c r="B541" s="52">
        <v>0</v>
      </c>
    </row>
    <row r="542" spans="1:2" ht="15.75">
      <c r="A542" s="51">
        <v>1853000780</v>
      </c>
      <c r="B542" s="52">
        <v>0</v>
      </c>
    </row>
    <row r="543" spans="1:2" ht="15.75">
      <c r="A543" s="51">
        <v>1879000830</v>
      </c>
      <c r="B543" s="52">
        <v>0</v>
      </c>
    </row>
    <row r="544" spans="1:2" ht="15.75">
      <c r="A544" s="103">
        <v>1.85</v>
      </c>
      <c r="B544" s="104">
        <v>10380.200000000001</v>
      </c>
    </row>
    <row r="545" spans="1:2" ht="15.75">
      <c r="A545" s="103"/>
      <c r="B545" s="52"/>
    </row>
    <row r="546" spans="1:2" ht="15.75">
      <c r="A546" s="51">
        <v>1911000110</v>
      </c>
      <c r="B546" s="52">
        <v>73643.23</v>
      </c>
    </row>
    <row r="547" spans="1:2" ht="15.75">
      <c r="A547" s="51">
        <v>1911000540</v>
      </c>
      <c r="B547" s="52">
        <v>0</v>
      </c>
    </row>
    <row r="548" spans="1:2" ht="15.75">
      <c r="A548" s="51">
        <v>1913000720</v>
      </c>
      <c r="B548" s="52">
        <v>17588.61</v>
      </c>
    </row>
    <row r="549" spans="1:2" ht="15.75">
      <c r="A549" s="51">
        <v>1913000740</v>
      </c>
      <c r="B549" s="52">
        <v>0</v>
      </c>
    </row>
    <row r="550" spans="1:2" ht="15.75">
      <c r="A550" s="51">
        <v>1913000750</v>
      </c>
      <c r="B550" s="52">
        <v>3978</v>
      </c>
    </row>
    <row r="551" spans="1:2" ht="15.75">
      <c r="A551" s="51">
        <v>1913000780</v>
      </c>
      <c r="B551" s="52">
        <v>735929.81</v>
      </c>
    </row>
    <row r="552" spans="1:2" ht="15.75">
      <c r="A552" s="51">
        <v>1913100772</v>
      </c>
      <c r="B552" s="52">
        <v>2162712.7799999998</v>
      </c>
    </row>
    <row r="553" spans="1:2" ht="15.75">
      <c r="A553" s="51"/>
      <c r="B553" s="104">
        <v>2993852.4299999997</v>
      </c>
    </row>
    <row r="554" spans="1:2" ht="15.75">
      <c r="A554" s="51"/>
      <c r="B554" s="52"/>
    </row>
    <row r="555" spans="1:2" ht="15.75">
      <c r="A555" s="51">
        <v>1938000420</v>
      </c>
      <c r="B555" s="52">
        <v>0</v>
      </c>
    </row>
    <row r="556" spans="1:2" ht="15.75">
      <c r="A556" s="51">
        <v>1938000432</v>
      </c>
      <c r="B556" s="52">
        <v>0</v>
      </c>
    </row>
    <row r="557" spans="1:2" ht="15.75">
      <c r="A557" s="51">
        <v>1938000511</v>
      </c>
      <c r="B557" s="52">
        <v>0</v>
      </c>
    </row>
    <row r="558" spans="1:2" ht="15.75">
      <c r="A558" s="51">
        <v>1938000540</v>
      </c>
      <c r="B558" s="52">
        <v>1822.43</v>
      </c>
    </row>
    <row r="559" spans="1:2" ht="15.75">
      <c r="A559" s="51">
        <v>1938000560</v>
      </c>
      <c r="B559" s="52">
        <v>105121</v>
      </c>
    </row>
    <row r="560" spans="1:2" ht="15.75">
      <c r="A560" s="51">
        <v>1938000750</v>
      </c>
      <c r="B560" s="52">
        <v>3700</v>
      </c>
    </row>
    <row r="561" spans="1:2" ht="15.75">
      <c r="A561" s="51">
        <v>1938000930</v>
      </c>
      <c r="B561" s="52">
        <v>0</v>
      </c>
    </row>
    <row r="562" spans="1:2" ht="15.75">
      <c r="A562" s="51"/>
      <c r="B562" s="104">
        <v>110643.43</v>
      </c>
    </row>
    <row r="563" spans="1:2" ht="15.75">
      <c r="A563" s="51"/>
      <c r="B563" s="52"/>
    </row>
    <row r="564" spans="1:2" ht="15.75">
      <c r="A564" s="51">
        <v>1972000691</v>
      </c>
      <c r="B564" s="52">
        <v>396746.2</v>
      </c>
    </row>
    <row r="565" spans="1:2" ht="15.75">
      <c r="A565" s="51">
        <v>1972000692</v>
      </c>
      <c r="B565" s="52">
        <v>121529.58</v>
      </c>
    </row>
    <row r="566" spans="1:2" ht="15.75">
      <c r="A566" s="51">
        <v>1972000693</v>
      </c>
      <c r="B566" s="52">
        <v>117511.3</v>
      </c>
    </row>
    <row r="567" spans="1:2" ht="15.75">
      <c r="A567" s="51">
        <v>1972000720</v>
      </c>
      <c r="B567" s="52">
        <v>0</v>
      </c>
    </row>
    <row r="568" spans="1:2" ht="15.75">
      <c r="A568" s="51">
        <v>1972000750</v>
      </c>
      <c r="B568" s="52">
        <v>368701.52</v>
      </c>
    </row>
    <row r="569" spans="1:2" ht="15.75">
      <c r="A569" s="51">
        <v>1972000751</v>
      </c>
      <c r="B569" s="52">
        <v>67933.7</v>
      </c>
    </row>
    <row r="570" spans="1:2" ht="15.75">
      <c r="A570" s="51">
        <v>1972000771</v>
      </c>
      <c r="B570" s="52">
        <v>50696.57</v>
      </c>
    </row>
    <row r="571" spans="1:2" ht="15.75">
      <c r="A571" s="51">
        <v>1973000760</v>
      </c>
      <c r="B571" s="52">
        <v>647164.03</v>
      </c>
    </row>
    <row r="572" spans="1:2" ht="15.75">
      <c r="A572" s="51"/>
      <c r="B572" s="104">
        <v>1770282.9000000001</v>
      </c>
    </row>
    <row r="573" spans="1:2" ht="15.75">
      <c r="A573" s="51"/>
      <c r="B573" s="52"/>
    </row>
    <row r="574" spans="1:2" ht="15.75">
      <c r="A574" s="51">
        <v>1993000780</v>
      </c>
      <c r="B574" s="52">
        <v>70000</v>
      </c>
    </row>
    <row r="575" spans="1:2" ht="15.75">
      <c r="A575" s="51">
        <v>1995000860</v>
      </c>
      <c r="B575" s="52">
        <v>3536485.83</v>
      </c>
    </row>
    <row r="576" spans="1:2" ht="15.75">
      <c r="A576" s="51">
        <v>1999000110</v>
      </c>
      <c r="B576" s="52">
        <v>12611.2</v>
      </c>
    </row>
    <row r="577" spans="1:2" ht="15.75">
      <c r="A577" s="51">
        <v>1999000310</v>
      </c>
      <c r="B577" s="52">
        <v>390328.2</v>
      </c>
    </row>
    <row r="578" spans="1:2" ht="15.75">
      <c r="A578" s="51">
        <v>1999000980</v>
      </c>
      <c r="B578" s="52">
        <v>-18318.2</v>
      </c>
    </row>
    <row r="579" spans="1:2" ht="15.75">
      <c r="A579" s="51">
        <v>1999100980</v>
      </c>
      <c r="B579" s="52">
        <v>0</v>
      </c>
    </row>
    <row r="580" spans="1:2" ht="15.75">
      <c r="A580" s="51">
        <v>1999900980</v>
      </c>
      <c r="B580" s="52">
        <v>0</v>
      </c>
    </row>
    <row r="581" spans="1:2" ht="15.75">
      <c r="A581" s="51">
        <v>1999900990</v>
      </c>
      <c r="B581" s="52">
        <v>0</v>
      </c>
    </row>
    <row r="582" spans="1:2" ht="15.75">
      <c r="A582" s="103">
        <v>1.9</v>
      </c>
      <c r="B582" s="104">
        <v>3991107.0300000003</v>
      </c>
    </row>
    <row r="583" spans="1:2" ht="18.75">
      <c r="A583" s="108"/>
      <c r="B583" s="90">
        <v>65252144.970000006</v>
      </c>
    </row>
  </sheetData>
  <autoFilter ref="A1:B1" xr:uid="{00000000-0009-0000-0000-00001C000000}"/>
  <conditionalFormatting sqref="B582:B583 B538 B544 B553 B562 B572">
    <cfRule type="expression" dxfId="87" priority="95">
      <formula>$C1069="310"</formula>
    </cfRule>
    <cfRule type="expression" dxfId="86" priority="96">
      <formula>$C538="110"</formula>
    </cfRule>
  </conditionalFormatting>
  <conditionalFormatting sqref="B573:B576 B563:B571 B554:B561 B545:B552 B539:B543 B578:B581 B535:B537">
    <cfRule type="expression" dxfId="85" priority="93">
      <formula>$C1067="310"</formula>
    </cfRule>
    <cfRule type="expression" dxfId="84" priority="94">
      <formula>$C535="110"</formula>
    </cfRule>
  </conditionalFormatting>
  <conditionalFormatting sqref="B509:B517">
    <cfRule type="expression" dxfId="83" priority="91">
      <formula>$C1046="310"</formula>
    </cfRule>
    <cfRule type="expression" dxfId="82" priority="92">
      <formula>$C509="110"</formula>
    </cfRule>
  </conditionalFormatting>
  <conditionalFormatting sqref="B412:B416">
    <cfRule type="expression" dxfId="81" priority="89">
      <formula>$C956="310"</formula>
    </cfRule>
    <cfRule type="expression" dxfId="80" priority="90">
      <formula>$C412="110"</formula>
    </cfRule>
  </conditionalFormatting>
  <conditionalFormatting sqref="B534">
    <cfRule type="expression" dxfId="79" priority="87">
      <formula>$C1067="310"</formula>
    </cfRule>
    <cfRule type="expression" dxfId="78" priority="88">
      <formula>$C534="110"</formula>
    </cfRule>
  </conditionalFormatting>
  <conditionalFormatting sqref="B577">
    <cfRule type="expression" dxfId="77" priority="85">
      <formula>$C1108="310"</formula>
    </cfRule>
    <cfRule type="expression" dxfId="76" priority="86">
      <formula>$C577="110"</formula>
    </cfRule>
  </conditionalFormatting>
  <conditionalFormatting sqref="B395:B408">
    <cfRule type="expression" dxfId="75" priority="83">
      <formula>$C942="310"</formula>
    </cfRule>
    <cfRule type="expression" dxfId="74" priority="84">
      <formula>$C395="110"</formula>
    </cfRule>
  </conditionalFormatting>
  <conditionalFormatting sqref="B500:B508">
    <cfRule type="expression" dxfId="73" priority="81">
      <formula>$C1038="310"</formula>
    </cfRule>
    <cfRule type="expression" dxfId="72" priority="82">
      <formula>$C500="110"</formula>
    </cfRule>
  </conditionalFormatting>
  <conditionalFormatting sqref="B418 B437:B478 B420:B435">
    <cfRule type="expression" dxfId="71" priority="79">
      <formula>$C959="310"</formula>
    </cfRule>
    <cfRule type="expression" dxfId="70" priority="80">
      <formula>$C418="110"</formula>
    </cfRule>
  </conditionalFormatting>
  <conditionalFormatting sqref="B479:B490 B419 B436">
    <cfRule type="expression" dxfId="69" priority="77">
      <formula>$C959="310"</formula>
    </cfRule>
    <cfRule type="expression" dxfId="68" priority="78">
      <formula>$C419="110"</formula>
    </cfRule>
  </conditionalFormatting>
  <conditionalFormatting sqref="B529:B534">
    <cfRule type="expression" dxfId="67" priority="75">
      <formula>$C1064="310"</formula>
    </cfRule>
    <cfRule type="expression" dxfId="66" priority="76">
      <formula>$C529="110"</formula>
    </cfRule>
  </conditionalFormatting>
  <conditionalFormatting sqref="B96:B112">
    <cfRule type="expression" dxfId="65" priority="73">
      <formula>$C672="310"</formula>
    </cfRule>
    <cfRule type="expression" dxfId="64" priority="74">
      <formula>$C96="110"</formula>
    </cfRule>
  </conditionalFormatting>
  <conditionalFormatting sqref="B534:B582">
    <cfRule type="expression" dxfId="63" priority="71">
      <formula>$C1088="310"</formula>
    </cfRule>
    <cfRule type="expression" dxfId="62" priority="72">
      <formula>$C534="110"</formula>
    </cfRule>
  </conditionalFormatting>
  <conditionalFormatting sqref="B534:B583 B491:B508 B377:B382">
    <cfRule type="expression" dxfId="61" priority="69">
      <formula>$C934="310"</formula>
    </cfRule>
    <cfRule type="expression" dxfId="60" priority="70">
      <formula>$C377="110"</formula>
    </cfRule>
  </conditionalFormatting>
  <conditionalFormatting sqref="B114:B127">
    <cfRule type="expression" dxfId="59" priority="67">
      <formula>$C684="310"</formula>
    </cfRule>
    <cfRule type="expression" dxfId="58" priority="68">
      <formula>$C114="110"</formula>
    </cfRule>
  </conditionalFormatting>
  <conditionalFormatting sqref="B94:B95">
    <cfRule type="expression" dxfId="57" priority="65">
      <formula>$C671="310"</formula>
    </cfRule>
    <cfRule type="expression" dxfId="56" priority="66">
      <formula>$C94="110"</formula>
    </cfRule>
  </conditionalFormatting>
  <conditionalFormatting sqref="B207:B208">
    <cfRule type="expression" dxfId="55" priority="61">
      <formula>$C773="310"</formula>
    </cfRule>
    <cfRule type="expression" dxfId="54" priority="62">
      <formula>$C207="110"</formula>
    </cfRule>
  </conditionalFormatting>
  <conditionalFormatting sqref="B96:B112 B120:B127">
    <cfRule type="expression" dxfId="53" priority="59">
      <formula>$C669="310"</formula>
    </cfRule>
    <cfRule type="expression" dxfId="52" priority="60">
      <formula>$C96="110"</formula>
    </cfRule>
  </conditionalFormatting>
  <conditionalFormatting sqref="B219:B239 B384:B416">
    <cfRule type="expression" dxfId="51" priority="57">
      <formula>$C783="310"</formula>
    </cfRule>
    <cfRule type="expression" dxfId="50" priority="58">
      <formula>$C219="110"</formula>
    </cfRule>
  </conditionalFormatting>
  <conditionalFormatting sqref="B417 B209:B218 B377:B382">
    <cfRule type="expression" dxfId="49" priority="53">
      <formula>$C774="310"</formula>
    </cfRule>
    <cfRule type="expression" dxfId="48" priority="54">
      <formula>$C209="110"</formula>
    </cfRule>
  </conditionalFormatting>
  <conditionalFormatting sqref="B181:B382 B113">
    <cfRule type="expression" dxfId="47" priority="51">
      <formula>$C684="310"</formula>
    </cfRule>
    <cfRule type="expression" dxfId="46" priority="52">
      <formula>$C113="110"</formula>
    </cfRule>
  </conditionalFormatting>
  <conditionalFormatting sqref="B113:B120 B2:B93">
    <cfRule type="expression" dxfId="45" priority="49">
      <formula>$C577="310"</formula>
    </cfRule>
    <cfRule type="expression" dxfId="44" priority="50">
      <formula>$C2="110"</formula>
    </cfRule>
  </conditionalFormatting>
  <conditionalFormatting sqref="B418:B490 B518:B534">
    <cfRule type="expression" dxfId="43" priority="45">
      <formula>$C976="310"</formula>
    </cfRule>
    <cfRule type="expression" dxfId="42" priority="46">
      <formula>$C418="110"</formula>
    </cfRule>
  </conditionalFormatting>
  <conditionalFormatting sqref="B518:B528">
    <cfRule type="expression" dxfId="41" priority="43">
      <formula>$C1054="310"</formula>
    </cfRule>
    <cfRule type="expression" dxfId="40" priority="44">
      <formula>$C518="110"</formula>
    </cfRule>
  </conditionalFormatting>
  <conditionalFormatting sqref="B518:B534 B377:B382">
    <cfRule type="expression" dxfId="39" priority="41">
      <formula>$C932="310"</formula>
    </cfRule>
    <cfRule type="expression" dxfId="38" priority="42">
      <formula>$C377="110"</formula>
    </cfRule>
  </conditionalFormatting>
  <conditionalFormatting sqref="B128:B180">
    <cfRule type="expression" dxfId="37" priority="39">
      <formula>$C695="310"</formula>
    </cfRule>
    <cfRule type="expression" dxfId="36" priority="40">
      <formula>$C128="110"</formula>
    </cfRule>
  </conditionalFormatting>
  <conditionalFormatting sqref="B509:B517 B383">
    <cfRule type="expression" dxfId="35" priority="37">
      <formula>$C942="310"</formula>
    </cfRule>
    <cfRule type="expression" dxfId="34" priority="38">
      <formula>$C383="110"</formula>
    </cfRule>
  </conditionalFormatting>
  <conditionalFormatting sqref="B509:B517">
    <cfRule type="expression" dxfId="33" priority="35">
      <formula>$C1065="310"</formula>
    </cfRule>
    <cfRule type="expression" dxfId="32" priority="36">
      <formula>$C509="110"</formula>
    </cfRule>
  </conditionalFormatting>
  <conditionalFormatting sqref="B377:B382 B120:B125">
    <cfRule type="expression" dxfId="31" priority="31">
      <formula>$C688="310"</formula>
    </cfRule>
    <cfRule type="expression" dxfId="30" priority="32">
      <formula>$C120="110"</formula>
    </cfRule>
  </conditionalFormatting>
  <conditionalFormatting sqref="B491:B508">
    <cfRule type="expression" dxfId="29" priority="29">
      <formula>$C1051="310"</formula>
    </cfRule>
    <cfRule type="expression" dxfId="28" priority="30">
      <formula>$C491="110"</formula>
    </cfRule>
  </conditionalFormatting>
  <conditionalFormatting sqref="B391:B394 B383">
    <cfRule type="expression" dxfId="27" priority="25">
      <formula>$C932="310"</formula>
    </cfRule>
    <cfRule type="expression" dxfId="26" priority="26">
      <formula>$C383="110"</formula>
    </cfRule>
  </conditionalFormatting>
  <conditionalFormatting sqref="B410:B417">
    <cfRule type="expression" dxfId="25" priority="23">
      <formula>$C955="310"</formula>
    </cfRule>
    <cfRule type="expression" dxfId="24" priority="24">
      <formula>$C410="110"</formula>
    </cfRule>
  </conditionalFormatting>
  <conditionalFormatting sqref="B418:B490 B384:B416 B370:B382">
    <cfRule type="expression" dxfId="23" priority="21">
      <formula>$C931="310"</formula>
    </cfRule>
    <cfRule type="expression" dxfId="22" priority="22">
      <formula>$C370="110"</formula>
    </cfRule>
  </conditionalFormatting>
  <conditionalFormatting sqref="B491:B499">
    <cfRule type="expression" dxfId="21" priority="19">
      <formula>$C1030="310"</formula>
    </cfRule>
    <cfRule type="expression" dxfId="20" priority="20">
      <formula>$C491="110"</formula>
    </cfRule>
  </conditionalFormatting>
  <conditionalFormatting sqref="B96:B120 B128:B180 B44:B93">
    <cfRule type="expression" dxfId="19" priority="17">
      <formula>$C616="310"</formula>
    </cfRule>
    <cfRule type="expression" dxfId="18" priority="18">
      <formula>$C44="110"</formula>
    </cfRule>
  </conditionalFormatting>
  <conditionalFormatting sqref="B181:B382 B94:B95 B25:B43">
    <cfRule type="expression" dxfId="17" priority="15">
      <formula>$C599="310"</formula>
    </cfRule>
    <cfRule type="expression" dxfId="16" priority="16">
      <formula>$C25="110"</formula>
    </cfRule>
  </conditionalFormatting>
  <conditionalFormatting sqref="B384:B390">
    <cfRule type="expression" dxfId="15" priority="11">
      <formula>$C934="310"</formula>
    </cfRule>
    <cfRule type="expression" dxfId="14" priority="12">
      <formula>$C384="110"</formula>
    </cfRule>
  </conditionalFormatting>
  <conditionalFormatting sqref="B409 B417">
    <cfRule type="expression" dxfId="13" priority="9">
      <formula>$C955="310"</formula>
    </cfRule>
    <cfRule type="expression" dxfId="12" priority="10">
      <formula>$C409="110"</formula>
    </cfRule>
  </conditionalFormatting>
  <conditionalFormatting sqref="B417 B383">
    <cfRule type="expression" dxfId="11" priority="7">
      <formula>$C945="310"</formula>
    </cfRule>
    <cfRule type="expression" dxfId="10" priority="8">
      <formula>$C383="110"</formula>
    </cfRule>
  </conditionalFormatting>
  <conditionalFormatting sqref="B240:B382">
    <cfRule type="expression" dxfId="9" priority="3">
      <formula>$C803="310"</formula>
    </cfRule>
    <cfRule type="expression" dxfId="8" priority="4">
      <formula>$C240="110"</formula>
    </cfRule>
  </conditionalFormatting>
  <conditionalFormatting sqref="B126:B206">
    <cfRule type="expression" dxfId="7" priority="117">
      <formula>$C695="310"</formula>
    </cfRule>
    <cfRule type="expression" dxfId="6" priority="118">
      <formula>$C126="110"</formula>
    </cfRule>
  </conditionalFormatting>
  <conditionalFormatting sqref="B112">
    <cfRule type="expression" dxfId="5" priority="207">
      <formula>$C685="310"</formula>
    </cfRule>
    <cfRule type="expression" dxfId="4" priority="208">
      <formula>$F112="110"</formula>
    </cfRule>
  </conditionalFormatting>
  <conditionalFormatting sqref="B112">
    <cfRule type="expression" dxfId="3" priority="209">
      <formula>$C688="310"</formula>
    </cfRule>
    <cfRule type="expression" dxfId="2" priority="210">
      <formula>$F112="110"</formula>
    </cfRule>
  </conditionalFormatting>
  <conditionalFormatting sqref="B112">
    <cfRule type="expression" dxfId="1" priority="211">
      <formula>$C684="310"</formula>
    </cfRule>
    <cfRule type="expression" dxfId="0" priority="212">
      <formula>$F112="110"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00"/>
  <sheetViews>
    <sheetView rightToLeft="1" view="pageBreakPreview" zoomScale="60" zoomScaleNormal="70" workbookViewId="0">
      <selection activeCell="M30" sqref="M30"/>
    </sheetView>
  </sheetViews>
  <sheetFormatPr defaultRowHeight="14.25"/>
  <cols>
    <col min="2" max="2" width="42" bestFit="1" customWidth="1"/>
    <col min="3" max="3" width="2" customWidth="1"/>
    <col min="4" max="4" width="14.625" bestFit="1" customWidth="1"/>
    <col min="5" max="5" width="1.75" customWidth="1"/>
    <col min="6" max="6" width="14.625" bestFit="1" customWidth="1"/>
    <col min="7" max="7" width="1.875" customWidth="1"/>
    <col min="8" max="8" width="15" hidden="1" customWidth="1"/>
    <col min="9" max="9" width="14.625" bestFit="1" customWidth="1"/>
    <col min="12" max="12" width="18.375" bestFit="1" customWidth="1"/>
    <col min="13" max="13" width="29.875" bestFit="1" customWidth="1"/>
    <col min="14" max="14" width="11.875" bestFit="1" customWidth="1"/>
    <col min="15" max="15" width="9" style="19" customWidth="1"/>
  </cols>
  <sheetData>
    <row r="1" spans="1:14" ht="27.75">
      <c r="A1" s="95"/>
      <c r="B1" s="273" t="s">
        <v>641</v>
      </c>
      <c r="C1" s="273"/>
      <c r="D1" s="273"/>
      <c r="E1" s="273"/>
      <c r="F1" s="273"/>
      <c r="G1" s="273"/>
      <c r="H1" s="273"/>
      <c r="I1" s="273"/>
      <c r="J1" s="95"/>
    </row>
    <row r="3" spans="1:14" ht="18.75">
      <c r="B3" s="20" t="s">
        <v>597</v>
      </c>
      <c r="C3" s="3"/>
      <c r="D3" s="20" t="s">
        <v>422</v>
      </c>
      <c r="F3" s="20" t="s">
        <v>642</v>
      </c>
      <c r="H3" s="20" t="s">
        <v>643</v>
      </c>
      <c r="I3" s="20" t="s">
        <v>600</v>
      </c>
      <c r="N3" t="s">
        <v>644</v>
      </c>
    </row>
    <row r="4" spans="1:14" ht="15.75">
      <c r="A4" s="21"/>
      <c r="B4" s="22" t="s">
        <v>645</v>
      </c>
    </row>
    <row r="5" spans="1:14" ht="18.75">
      <c r="A5" s="21">
        <v>11</v>
      </c>
      <c r="B5" s="23" t="s">
        <v>646</v>
      </c>
      <c r="D5" s="24">
        <f>-SUMIFS(הכנסות!G:G,הכנסות!$D:$D,$A5&amp;"*")</f>
        <v>8800000</v>
      </c>
      <c r="F5" s="24">
        <f>-SUMIFS(הכנסות!I:I,הכנסות!$D:$D,$A5&amp;"*")</f>
        <v>9834321.8600000013</v>
      </c>
      <c r="H5" s="24" t="e">
        <v>#VALUE!</v>
      </c>
      <c r="I5" s="24">
        <f>SUMIFS(הכנסות!L:L,הכנסות!$D:$D,$A5&amp;"*")</f>
        <v>9700000</v>
      </c>
      <c r="N5" s="17"/>
    </row>
    <row r="6" spans="1:14" ht="18.75">
      <c r="A6" s="21">
        <v>12</v>
      </c>
      <c r="B6" s="23" t="s">
        <v>647</v>
      </c>
      <c r="D6" s="24">
        <f>-SUMIFS(הכנסות!G:G,הכנסות!$D:$D,$A6&amp;"*")</f>
        <v>47996</v>
      </c>
      <c r="F6" s="24">
        <f>-SUMIFS(הכנסות!I:I,הכנסות!$D:$D,$A6&amp;"*")</f>
        <v>115000</v>
      </c>
      <c r="H6" s="24" t="e">
        <v>#VALUE!</v>
      </c>
      <c r="I6" s="24">
        <f>SUMIFS(הכנסות!L:L,הכנסות!$D:$D,$A6&amp;"*")</f>
        <v>50000</v>
      </c>
      <c r="N6" s="17"/>
    </row>
    <row r="7" spans="1:14" ht="18.75">
      <c r="A7" s="21">
        <v>19</v>
      </c>
      <c r="B7" s="23" t="s">
        <v>648</v>
      </c>
      <c r="D7" s="24">
        <f>-SUMIFS(הכנסות!G:G,הכנסות!$D:$D,$A7&amp;"*")</f>
        <v>14950000</v>
      </c>
      <c r="F7" s="24">
        <f>-SUMIFS(הכנסות!I:I,הכנסות!$D:$D,$A7&amp;"*")</f>
        <v>15104089.470000001</v>
      </c>
      <c r="H7" s="24" t="e">
        <v>#VALUE!</v>
      </c>
      <c r="I7" s="24">
        <f>SUMIFS(הכנסות!L:L,הכנסות!$D:$D,$A7&amp;"*")</f>
        <v>14414000</v>
      </c>
      <c r="N7" s="17"/>
    </row>
    <row r="8" spans="1:14" ht="18.75">
      <c r="A8" s="21">
        <v>1</v>
      </c>
      <c r="B8" s="25" t="s">
        <v>649</v>
      </c>
      <c r="D8" s="26">
        <f>-SUMIFS(הכנסות!G:G,הכנסות!$D:$D,$A8&amp;"*")</f>
        <v>23797996</v>
      </c>
      <c r="F8" s="26">
        <f>-SUMIFS(הכנסות!I:I,הכנסות!$D:$D,$A8&amp;"*")</f>
        <v>25053411.330000002</v>
      </c>
      <c r="H8" s="26" t="e">
        <v>#VALUE!</v>
      </c>
      <c r="I8" s="26">
        <f>SUMIFS(הכנסות!L:L,הכנסות!$D:$D,$A8&amp;"*")</f>
        <v>24164000</v>
      </c>
      <c r="M8" t="str">
        <f>MID(B8,10,99)</f>
        <v xml:space="preserve"> מיסים ומענק כללי</v>
      </c>
      <c r="N8" s="17">
        <f>+I8</f>
        <v>24164000</v>
      </c>
    </row>
    <row r="9" spans="1:14" s="19" customFormat="1" ht="15.75">
      <c r="A9" s="21"/>
      <c r="B9" s="22" t="s">
        <v>650</v>
      </c>
      <c r="C9"/>
      <c r="D9" s="17"/>
      <c r="E9"/>
      <c r="F9" s="17"/>
      <c r="G9"/>
      <c r="H9" s="17"/>
      <c r="I9" s="17"/>
      <c r="J9"/>
      <c r="K9"/>
      <c r="L9"/>
      <c r="M9"/>
      <c r="N9"/>
    </row>
    <row r="10" spans="1:14" s="19" customFormat="1" ht="18.75">
      <c r="A10" s="21">
        <v>21</v>
      </c>
      <c r="B10" s="23" t="s">
        <v>699</v>
      </c>
      <c r="C10"/>
      <c r="D10" s="24">
        <f>-SUMIFS(הכנסות!G:G,הכנסות!$D:$D,$A10&amp;"*")</f>
        <v>10997</v>
      </c>
      <c r="E10"/>
      <c r="F10" s="24">
        <f>-SUMIFS(הכנסות!I:I,הכנסות!$D:$D,$A10&amp;"*")</f>
        <v>7854.49</v>
      </c>
      <c r="G10"/>
      <c r="H10" s="17"/>
      <c r="I10" s="24">
        <f>SUMIFS(הכנסות!L:L,הכנסות!$D:$D,$A10&amp;"*")</f>
        <v>10000</v>
      </c>
      <c r="J10"/>
      <c r="K10"/>
      <c r="L10"/>
      <c r="M10"/>
      <c r="N10"/>
    </row>
    <row r="11" spans="1:14" s="19" customFormat="1" ht="18.75">
      <c r="A11" s="21">
        <v>22</v>
      </c>
      <c r="B11" s="23" t="s">
        <v>651</v>
      </c>
      <c r="C11"/>
      <c r="D11" s="24">
        <f>-SUMIFS(הכנסות!G:G,הכנסות!$D:$D,$A11&amp;"*")</f>
        <v>0</v>
      </c>
      <c r="E11"/>
      <c r="F11" s="24">
        <f>-SUMIFS(הכנסות!I:I,הכנסות!$D:$D,$A11&amp;"*")</f>
        <v>42798</v>
      </c>
      <c r="G11"/>
      <c r="H11" s="24" t="e">
        <v>#VALUE!</v>
      </c>
      <c r="I11" s="24">
        <f>SUMIFS(הכנסות!L:L,הכנסות!$D:$D,$A11&amp;"*")</f>
        <v>243000</v>
      </c>
      <c r="J11"/>
      <c r="K11"/>
      <c r="L11"/>
      <c r="M11"/>
      <c r="N11" s="17"/>
    </row>
    <row r="12" spans="1:14" s="19" customFormat="1" ht="18.75">
      <c r="A12" s="21">
        <v>23</v>
      </c>
      <c r="B12" s="23" t="s">
        <v>652</v>
      </c>
      <c r="C12"/>
      <c r="D12" s="24">
        <f>-SUMIFS(הכנסות!G:G,הכנסות!$D:$D,$A12&amp;"*")</f>
        <v>850000</v>
      </c>
      <c r="E12"/>
      <c r="F12" s="24">
        <f>-SUMIFS(הכנסות!I:I,הכנסות!$D:$D,$A12&amp;"*")</f>
        <v>1828988</v>
      </c>
      <c r="G12"/>
      <c r="H12" s="24" t="e">
        <v>#VALUE!</v>
      </c>
      <c r="I12" s="24">
        <f>SUMIFS(הכנסות!L:L,הכנסות!$D:$D,$A12&amp;"*")</f>
        <v>1700000</v>
      </c>
      <c r="J12"/>
      <c r="K12"/>
      <c r="L12"/>
      <c r="M12"/>
      <c r="N12" s="17"/>
    </row>
    <row r="13" spans="1:14" s="19" customFormat="1" ht="18.75">
      <c r="A13" s="21">
        <v>24</v>
      </c>
      <c r="B13" s="23" t="s">
        <v>653</v>
      </c>
      <c r="C13"/>
      <c r="D13" s="24">
        <f>-SUMIFS(הכנסות!G:G,הכנסות!$D:$D,$A13&amp;"*")</f>
        <v>10997</v>
      </c>
      <c r="E13"/>
      <c r="F13" s="24">
        <f>-SUMIFS(הכנסות!I:I,הכנסות!$D:$D,$A13&amp;"*")</f>
        <v>18813</v>
      </c>
      <c r="G13"/>
      <c r="H13" s="24" t="e">
        <v>#VALUE!</v>
      </c>
      <c r="I13" s="24">
        <f>SUMIFS(הכנסות!L:L,הכנסות!$D:$D,$A13&amp;"*")</f>
        <v>18000</v>
      </c>
      <c r="J13"/>
      <c r="K13"/>
      <c r="L13"/>
      <c r="M13"/>
      <c r="N13" s="17"/>
    </row>
    <row r="14" spans="1:14" s="19" customFormat="1" ht="18.75">
      <c r="A14" s="21">
        <v>26</v>
      </c>
      <c r="B14" s="23" t="s">
        <v>654</v>
      </c>
      <c r="C14"/>
      <c r="D14" s="24">
        <f>-SUMIFS(הכנסות!G:G,הכנסות!$D:$D,$A14&amp;"*")</f>
        <v>9003</v>
      </c>
      <c r="E14"/>
      <c r="F14" s="24">
        <f>-SUMIFS(הכנסות!I:I,הכנסות!$D:$D,$A14&amp;"*")</f>
        <v>36659.53</v>
      </c>
      <c r="G14"/>
      <c r="H14" s="24" t="e">
        <v>#VALUE!</v>
      </c>
      <c r="I14" s="24">
        <f>SUMIFS(הכנסות!L:L,הכנסות!$D:$D,$A14&amp;"*")</f>
        <v>15000</v>
      </c>
      <c r="J14"/>
      <c r="K14"/>
      <c r="L14"/>
      <c r="M14"/>
      <c r="N14" s="17"/>
    </row>
    <row r="15" spans="1:14" s="19" customFormat="1" ht="18.75">
      <c r="A15" s="21">
        <v>2</v>
      </c>
      <c r="B15" s="25" t="s">
        <v>655</v>
      </c>
      <c r="C15"/>
      <c r="D15" s="26">
        <f>-SUMIFS(הכנסות!G:G,הכנסות!$D:$D,$A15&amp;"*")</f>
        <v>880997</v>
      </c>
      <c r="E15"/>
      <c r="F15" s="26">
        <f>-SUMIFS(הכנסות!I:I,הכנסות!$D:$D,$A15&amp;"*")</f>
        <v>1935113.0199999998</v>
      </c>
      <c r="G15"/>
      <c r="H15" s="26" t="e">
        <v>#VALUE!</v>
      </c>
      <c r="I15" s="26">
        <f>SUMIFS(הכנסות!L:L,הכנסות!$D:$D,$A15&amp;"*")</f>
        <v>1986000</v>
      </c>
      <c r="J15"/>
      <c r="K15"/>
      <c r="L15"/>
      <c r="M15" t="str">
        <f>MID(B15,10,99)</f>
        <v xml:space="preserve"> שירותים מקומיים</v>
      </c>
      <c r="N15" s="17">
        <f>+I15</f>
        <v>1986000</v>
      </c>
    </row>
    <row r="16" spans="1:14" s="19" customFormat="1" ht="15.75">
      <c r="A16" s="21"/>
      <c r="B16" s="22" t="s">
        <v>656</v>
      </c>
      <c r="C16"/>
      <c r="D16" s="17"/>
      <c r="E16"/>
      <c r="F16" s="17"/>
      <c r="G16"/>
      <c r="H16" s="17"/>
      <c r="I16" s="17"/>
      <c r="J16"/>
      <c r="K16"/>
      <c r="L16"/>
      <c r="M16"/>
      <c r="N16"/>
    </row>
    <row r="17" spans="1:14" s="19" customFormat="1" ht="18.75">
      <c r="A17" s="21">
        <v>31</v>
      </c>
      <c r="B17" s="23" t="s">
        <v>657</v>
      </c>
      <c r="C17"/>
      <c r="D17" s="24">
        <f>-SUMIFS(הכנסות!G:G,הכנסות!$D:$D,$A17&amp;"*")</f>
        <v>21780036</v>
      </c>
      <c r="E17"/>
      <c r="F17" s="24">
        <f>-SUMIFS(הכנסות!I:I,הכנסות!$D:$D,$A17&amp;"*")</f>
        <v>24533122.460000001</v>
      </c>
      <c r="G17"/>
      <c r="H17" s="24" t="e">
        <v>#VALUE!</v>
      </c>
      <c r="I17" s="24">
        <f>SUMIFS(הכנסות!L:L,הכנסות!$D:$D,$A17&amp;"*")</f>
        <v>27410000</v>
      </c>
      <c r="J17"/>
      <c r="K17"/>
      <c r="L17"/>
      <c r="M17"/>
      <c r="N17" s="17"/>
    </row>
    <row r="18" spans="1:14" s="19" customFormat="1" ht="18.75">
      <c r="A18" s="21">
        <v>32</v>
      </c>
      <c r="B18" s="23" t="s">
        <v>658</v>
      </c>
      <c r="C18"/>
      <c r="D18" s="24">
        <f>-SUMIFS(הכנסות!G:G,הכנסות!$D:$D,$A18&amp;"*")</f>
        <v>6999</v>
      </c>
      <c r="E18"/>
      <c r="F18" s="24">
        <f>-SUMIFS(הכנסות!I:I,הכנסות!$D:$D,$A18&amp;"*")</f>
        <v>27260</v>
      </c>
      <c r="G18"/>
      <c r="H18" s="24" t="e">
        <v>#VALUE!</v>
      </c>
      <c r="I18" s="24">
        <f>SUMIFS(הכנסות!L:L,הכנסות!$D:$D,$A18&amp;"*")</f>
        <v>60000</v>
      </c>
      <c r="J18"/>
      <c r="K18"/>
      <c r="L18"/>
      <c r="M18"/>
      <c r="N18" s="17"/>
    </row>
    <row r="19" spans="1:14" s="19" customFormat="1" ht="18.75">
      <c r="A19" s="21">
        <v>33</v>
      </c>
      <c r="B19" s="23" t="s">
        <v>659</v>
      </c>
      <c r="C19"/>
      <c r="D19" s="24">
        <f>-SUMIFS(הכנסות!G:G,הכנסות!$D:$D,$A19&amp;"*")</f>
        <v>75006</v>
      </c>
      <c r="E19"/>
      <c r="F19" s="24">
        <f>-SUMIFS(הכנסות!I:I,הכנסות!$D:$D,$A19&amp;"*")</f>
        <v>48860</v>
      </c>
      <c r="G19"/>
      <c r="H19" s="24" t="e">
        <v>#VALUE!</v>
      </c>
      <c r="I19" s="24">
        <f>SUMIFS(הכנסות!L:L,הכנסות!$D:$D,$A19&amp;"*")</f>
        <v>50000</v>
      </c>
      <c r="J19"/>
      <c r="K19"/>
      <c r="L19"/>
      <c r="M19"/>
      <c r="N19" s="17"/>
    </row>
    <row r="20" spans="1:14" s="19" customFormat="1" ht="18.75">
      <c r="A20" s="21">
        <v>34</v>
      </c>
      <c r="B20" s="23" t="s">
        <v>660</v>
      </c>
      <c r="C20"/>
      <c r="D20" s="24">
        <f>-SUMIFS(הכנסות!G:G,הכנסות!$D:$D,$A20&amp;"*")</f>
        <v>8340012</v>
      </c>
      <c r="E20"/>
      <c r="F20" s="24">
        <f>-SUMIFS(הכנסות!I:I,הכנסות!$D:$D,$A20&amp;"*")</f>
        <v>9750766.0499999989</v>
      </c>
      <c r="G20"/>
      <c r="H20" s="24" t="e">
        <v>#VALUE!</v>
      </c>
      <c r="I20" s="24">
        <f>SUMIFS(הכנסות!L:L,הכנסות!$D:$D,$A20&amp;"*")</f>
        <v>11271000</v>
      </c>
      <c r="J20"/>
      <c r="K20"/>
      <c r="L20"/>
      <c r="M20"/>
      <c r="N20" s="17"/>
    </row>
    <row r="21" spans="1:14" s="19" customFormat="1" ht="18.75">
      <c r="A21" s="21">
        <v>37</v>
      </c>
      <c r="B21" s="23" t="s">
        <v>661</v>
      </c>
      <c r="C21"/>
      <c r="D21" s="24">
        <f>-SUMIFS(הכנסות!G:G,הכנסות!$D:$D,$A21&amp;"*")</f>
        <v>0</v>
      </c>
      <c r="E21"/>
      <c r="F21" s="24">
        <f>-SUMIFS(הכנסות!I:I,הכנסות!$D:$D,$A21&amp;"*")</f>
        <v>0</v>
      </c>
      <c r="G21"/>
      <c r="H21" s="24" t="e">
        <v>#VALUE!</v>
      </c>
      <c r="I21" s="24">
        <f>SUMIFS(הכנסות!L:L,הכנסות!$D:$D,$A21&amp;"*")</f>
        <v>0</v>
      </c>
      <c r="J21"/>
      <c r="K21"/>
      <c r="L21"/>
      <c r="M21"/>
      <c r="N21" s="17"/>
    </row>
    <row r="22" spans="1:14" s="19" customFormat="1" ht="18.75">
      <c r="A22" s="21">
        <v>3</v>
      </c>
      <c r="B22" s="25" t="s">
        <v>662</v>
      </c>
      <c r="C22"/>
      <c r="D22" s="26">
        <f>-SUMIFS(הכנסות!G:G,הכנסות!$D:$D,$A22&amp;"*")</f>
        <v>30202053</v>
      </c>
      <c r="E22"/>
      <c r="F22" s="26">
        <f>-SUMIFS(הכנסות!I:I,הכנסות!$D:$D,$A22&amp;"*")</f>
        <v>34360008.509999998</v>
      </c>
      <c r="G22"/>
      <c r="H22" s="26" t="e">
        <v>#VALUE!</v>
      </c>
      <c r="I22" s="26">
        <f>SUMIFS(הכנסות!L:L,הכנסות!$D:$D,$A22&amp;"*")</f>
        <v>38791000</v>
      </c>
      <c r="J22"/>
      <c r="K22"/>
      <c r="L22"/>
      <c r="M22" t="str">
        <f>MID(B22,10,99)</f>
        <v xml:space="preserve"> שירותים ממלכתיים</v>
      </c>
      <c r="N22" s="17">
        <f>+I22</f>
        <v>38791000</v>
      </c>
    </row>
    <row r="23" spans="1:14" s="19" customFormat="1" ht="15.75">
      <c r="A23" s="21"/>
      <c r="B23" s="22" t="s">
        <v>663</v>
      </c>
      <c r="C23"/>
      <c r="D23" s="17"/>
      <c r="E23"/>
      <c r="F23" s="17"/>
      <c r="G23"/>
      <c r="H23" s="17"/>
      <c r="I23" s="17"/>
      <c r="J23"/>
      <c r="K23"/>
      <c r="L23"/>
      <c r="M23"/>
      <c r="N23"/>
    </row>
    <row r="24" spans="1:14" s="19" customFormat="1" ht="18.75">
      <c r="A24" s="21">
        <v>41</v>
      </c>
      <c r="B24" s="23" t="s">
        <v>664</v>
      </c>
      <c r="C24"/>
      <c r="D24" s="24">
        <f>-SUMIFS(הכנסות!G:G,הכנסות!$D:$D,$A24&amp;"*")</f>
        <v>4345006</v>
      </c>
      <c r="E24"/>
      <c r="F24" s="24">
        <f>-SUMIFS(הכנסות!I:I,הכנסות!$D:$D,$A24&amp;"*")</f>
        <v>3108619.67</v>
      </c>
      <c r="G24"/>
      <c r="H24" s="24" t="e">
        <v>#VALUE!</v>
      </c>
      <c r="I24" s="24">
        <f>SUMIFS(הכנסות!L:L,הכנסות!$D:$D,$A24&amp;"*")</f>
        <v>5100000</v>
      </c>
      <c r="J24"/>
      <c r="K24"/>
      <c r="L24"/>
      <c r="M24"/>
      <c r="N24" s="17"/>
    </row>
    <row r="25" spans="1:14" s="19" customFormat="1" ht="18.75">
      <c r="A25" s="21">
        <v>47</v>
      </c>
      <c r="B25" s="23" t="s">
        <v>665</v>
      </c>
      <c r="C25"/>
      <c r="D25" s="24">
        <f>-SUMIFS(הכנסות!G:G,הכנסות!$D:$D,$A25&amp;"*")</f>
        <v>2000000</v>
      </c>
      <c r="E25"/>
      <c r="F25" s="24">
        <f>-SUMIFS(הכנסות!I:I,הכנסות!$D:$D,$A25&amp;"*")</f>
        <v>1483394.67</v>
      </c>
      <c r="G25"/>
      <c r="H25" s="24" t="e">
        <v>#VALUE!</v>
      </c>
      <c r="I25" s="24">
        <f>SUMIFS(הכנסות!L:L,הכנסות!$D:$D,$A25&amp;"*")</f>
        <v>2550000</v>
      </c>
      <c r="J25"/>
      <c r="K25"/>
      <c r="L25"/>
      <c r="M25"/>
      <c r="N25" s="17"/>
    </row>
    <row r="26" spans="1:14" s="19" customFormat="1" ht="18.75">
      <c r="A26" s="21">
        <v>4</v>
      </c>
      <c r="B26" s="25" t="s">
        <v>666</v>
      </c>
      <c r="C26"/>
      <c r="D26" s="26">
        <f>-SUMIFS(הכנסות!G:G,הכנסות!$D:$D,$A26&amp;"*")</f>
        <v>6345006</v>
      </c>
      <c r="E26"/>
      <c r="F26" s="26">
        <f>-SUMIFS(הכנסות!I:I,הכנסות!$D:$D,$A26&amp;"*")</f>
        <v>4592632.34</v>
      </c>
      <c r="G26"/>
      <c r="H26" s="26" t="e">
        <v>#VALUE!</v>
      </c>
      <c r="I26" s="26">
        <f>SUMIFS(הכנסות!L:L,הכנסות!$D:$D,$A26&amp;"*")</f>
        <v>7650000</v>
      </c>
      <c r="J26"/>
      <c r="K26"/>
      <c r="L26"/>
      <c r="M26" t="str">
        <f>MID(B26,10,99)</f>
        <v xml:space="preserve"> מפעלים</v>
      </c>
      <c r="N26" s="17">
        <f>+I26</f>
        <v>7650000</v>
      </c>
    </row>
    <row r="27" spans="1:14" s="19" customFormat="1" ht="15.75">
      <c r="A27" s="21"/>
      <c r="B27" s="22" t="s">
        <v>667</v>
      </c>
      <c r="C27"/>
      <c r="D27" s="17"/>
      <c r="E27"/>
      <c r="F27" s="17"/>
      <c r="G27"/>
      <c r="H27" s="17"/>
      <c r="I27" s="17"/>
      <c r="J27"/>
      <c r="K27"/>
      <c r="L27"/>
      <c r="M27"/>
      <c r="N27"/>
    </row>
    <row r="28" spans="1:14" s="19" customFormat="1" ht="18.75">
      <c r="A28" s="21">
        <v>51</v>
      </c>
      <c r="B28" s="23" t="s">
        <v>668</v>
      </c>
      <c r="C28"/>
      <c r="D28" s="24">
        <f>-SUMIFS(הכנסות!G:G,הכנסות!$D:$D,$A28&amp;"*")</f>
        <v>0</v>
      </c>
      <c r="E28"/>
      <c r="F28" s="24">
        <f>-SUMIFS(הכנסות!I:I,הכנסות!$D:$D,$A28&amp;"*")</f>
        <v>0</v>
      </c>
      <c r="G28"/>
      <c r="H28" s="24" t="e">
        <v>#VALUE!</v>
      </c>
      <c r="I28" s="24">
        <f>SUMIFS(הכנסות!L:L,הכנסות!$D:$D,$A28&amp;"*")</f>
        <v>0</v>
      </c>
      <c r="J28"/>
      <c r="K28"/>
      <c r="L28"/>
      <c r="M28"/>
      <c r="N28" s="17"/>
    </row>
    <row r="29" spans="1:14" s="19" customFormat="1" ht="18.75">
      <c r="A29" s="21">
        <v>59</v>
      </c>
      <c r="B29" s="23" t="s">
        <v>669</v>
      </c>
      <c r="C29"/>
      <c r="D29" s="24">
        <f>-SUMIFS(הכנסות!G:G,הכנסות!$D:$D,$A29&amp;"*")</f>
        <v>0</v>
      </c>
      <c r="E29"/>
      <c r="F29" s="24">
        <f>-SUMIFS(הכנסות!I:I,הכנסות!$D:$D,$A29&amp;"*")</f>
        <v>3650000</v>
      </c>
      <c r="G29"/>
      <c r="H29" s="24" t="e">
        <v>#VALUE!</v>
      </c>
      <c r="I29" s="24">
        <f>SUMIFS(הכנסות!L:L,הכנסות!$D:$D,$A29&amp;"*")</f>
        <v>0</v>
      </c>
      <c r="J29"/>
      <c r="K29"/>
      <c r="L29"/>
      <c r="M29"/>
      <c r="N29" s="17"/>
    </row>
    <row r="30" spans="1:14" s="19" customFormat="1" ht="18.75">
      <c r="A30" s="21">
        <v>5</v>
      </c>
      <c r="B30" s="25" t="s">
        <v>670</v>
      </c>
      <c r="C30"/>
      <c r="D30" s="26">
        <f>-SUMIFS(הכנסות!G:G,הכנסות!$D:$D,$A30&amp;"*")</f>
        <v>0</v>
      </c>
      <c r="E30"/>
      <c r="F30" s="26">
        <f>-SUMIFS(הכנסות!I:I,הכנסות!$D:$D,$A30&amp;"*")</f>
        <v>3650000</v>
      </c>
      <c r="G30"/>
      <c r="H30" s="26" t="e">
        <v>#VALUE!</v>
      </c>
      <c r="I30" s="26">
        <f>SUMIFS(הכנסות!L:L,הכנסות!$D:$D,$A30&amp;"*")</f>
        <v>0</v>
      </c>
      <c r="J30"/>
      <c r="K30"/>
      <c r="L30"/>
      <c r="M30" t="str">
        <f>MID(B30,10,99)</f>
        <v xml:space="preserve"> תקבולים בלתי רגילים</v>
      </c>
      <c r="N30" s="17">
        <f>+I30</f>
        <v>0</v>
      </c>
    </row>
    <row r="31" spans="1:14" s="19" customFormat="1" ht="18.75">
      <c r="A31" s="21"/>
      <c r="B31" s="25" t="s">
        <v>671</v>
      </c>
      <c r="C31"/>
      <c r="D31" s="27">
        <f>+D30+D26+D22+D15+D8</f>
        <v>61226052</v>
      </c>
      <c r="E31"/>
      <c r="F31" s="27">
        <f>+F30+F26+F22+F15+F8</f>
        <v>69591165.200000003</v>
      </c>
      <c r="G31"/>
      <c r="H31" s="27" t="e">
        <f>+H30+H26+H22+H15+H8</f>
        <v>#VALUE!</v>
      </c>
      <c r="I31" s="27">
        <f>+I30+I26+I22+I15+I8</f>
        <v>72591000</v>
      </c>
      <c r="J31"/>
      <c r="K31"/>
      <c r="L31"/>
      <c r="M31"/>
      <c r="N31"/>
    </row>
    <row r="71" spans="1:14" s="19" customFormat="1" ht="27.75">
      <c r="A71" s="28"/>
      <c r="B71" s="273" t="s">
        <v>672</v>
      </c>
      <c r="C71" s="273"/>
      <c r="D71" s="273"/>
      <c r="E71" s="273"/>
      <c r="F71" s="273"/>
      <c r="G71" s="273"/>
      <c r="H71" s="273"/>
      <c r="I71" s="273"/>
      <c r="J71" s="28"/>
      <c r="K71" s="29"/>
      <c r="L71" s="29"/>
      <c r="M71"/>
      <c r="N71"/>
    </row>
    <row r="72" spans="1:14" s="19" customFormat="1" ht="15.75">
      <c r="A72" s="21"/>
      <c r="B72" s="21"/>
      <c r="C72"/>
      <c r="D72" s="30"/>
      <c r="E72" s="30"/>
      <c r="F72" s="30"/>
      <c r="G72" s="30"/>
      <c r="H72" s="30"/>
      <c r="I72" s="30"/>
      <c r="J72" s="30"/>
      <c r="K72" s="30"/>
      <c r="L72" s="30"/>
      <c r="M72"/>
      <c r="N72"/>
    </row>
    <row r="73" spans="1:14" s="19" customFormat="1" ht="18.75">
      <c r="A73" s="21"/>
      <c r="B73" s="31" t="s">
        <v>597</v>
      </c>
      <c r="C73"/>
      <c r="D73" s="20" t="s">
        <v>422</v>
      </c>
      <c r="E73"/>
      <c r="F73" s="20" t="s">
        <v>642</v>
      </c>
      <c r="G73"/>
      <c r="H73" s="20" t="s">
        <v>643</v>
      </c>
      <c r="I73" s="20" t="s">
        <v>600</v>
      </c>
      <c r="J73"/>
      <c r="K73"/>
      <c r="L73"/>
      <c r="M73"/>
      <c r="N73"/>
    </row>
    <row r="74" spans="1:14" s="19" customFormat="1" ht="15.75">
      <c r="A74" s="21"/>
      <c r="B74" s="22" t="s">
        <v>673</v>
      </c>
      <c r="C74"/>
      <c r="D74" s="30"/>
      <c r="E74"/>
      <c r="F74" s="30"/>
      <c r="G74"/>
      <c r="H74" s="30"/>
      <c r="I74" s="30"/>
      <c r="J74"/>
      <c r="K74"/>
      <c r="L74"/>
      <c r="M74"/>
      <c r="N74"/>
    </row>
    <row r="75" spans="1:14" s="19" customFormat="1" ht="18.75">
      <c r="A75" s="21">
        <v>61</v>
      </c>
      <c r="B75" s="23" t="s">
        <v>674</v>
      </c>
      <c r="C75"/>
      <c r="D75" s="24">
        <f>SUMIFS(הוצאות!G:G,הוצאות!$D:$D,$A75&amp;"*")</f>
        <v>2281000</v>
      </c>
      <c r="E75"/>
      <c r="F75" s="24">
        <f>SUMIFS(הוצאות!H:H,הוצאות!$D:$D,$A75&amp;"*")</f>
        <v>2486563.9699999997</v>
      </c>
      <c r="G75"/>
      <c r="H75" s="24" t="e">
        <v>#VALUE!</v>
      </c>
      <c r="I75" s="24">
        <f>SUMIFS(הוצאות!J:J,הוצאות!$D:$D,$A75&amp;"*")</f>
        <v>3043000</v>
      </c>
      <c r="J75"/>
      <c r="K75"/>
      <c r="L75"/>
      <c r="M75"/>
      <c r="N75"/>
    </row>
    <row r="76" spans="1:14" s="19" customFormat="1" ht="18.75">
      <c r="A76" s="21">
        <v>62</v>
      </c>
      <c r="B76" s="23" t="s">
        <v>675</v>
      </c>
      <c r="C76"/>
      <c r="D76" s="24">
        <f>SUMIFS(הוצאות!G:G,הוצאות!$D:$D,$A76&amp;"*")</f>
        <v>1767000</v>
      </c>
      <c r="E76"/>
      <c r="F76" s="24">
        <f>SUMIFS(הוצאות!H:H,הוצאות!$D:$D,$A76&amp;"*")</f>
        <v>1819305.1200000006</v>
      </c>
      <c r="G76"/>
      <c r="H76" s="24" t="e">
        <v>#VALUE!</v>
      </c>
      <c r="I76" s="24">
        <f>SUMIFS(הוצאות!J:J,הוצאות!$D:$D,$A76&amp;"*")</f>
        <v>1878000</v>
      </c>
      <c r="J76"/>
      <c r="K76"/>
      <c r="L76"/>
      <c r="M76"/>
      <c r="N76"/>
    </row>
    <row r="77" spans="1:14" s="19" customFormat="1" ht="18.75">
      <c r="A77" s="21">
        <v>63</v>
      </c>
      <c r="B77" s="23" t="s">
        <v>676</v>
      </c>
      <c r="C77"/>
      <c r="D77" s="24">
        <f>SUMIFS(הוצאות!G:G,הוצאות!$D:$D,$A77&amp;"*")</f>
        <v>1260000</v>
      </c>
      <c r="E77"/>
      <c r="F77" s="24">
        <f>SUMIFS(הוצאות!H:H,הוצאות!$D:$D,$A77&amp;"*")</f>
        <v>1924653.08</v>
      </c>
      <c r="G77"/>
      <c r="H77" s="24" t="e">
        <v>#VALUE!</v>
      </c>
      <c r="I77" s="24">
        <f>SUMIFS(הוצאות!J:J,הוצאות!$D:$D,$A77&amp;"*")</f>
        <v>2050000</v>
      </c>
      <c r="J77"/>
      <c r="K77"/>
      <c r="L77"/>
      <c r="M77"/>
      <c r="N77"/>
    </row>
    <row r="78" spans="1:14" s="19" customFormat="1" ht="18.75">
      <c r="A78" s="21">
        <v>64</v>
      </c>
      <c r="B78" s="23" t="s">
        <v>677</v>
      </c>
      <c r="C78"/>
      <c r="D78" s="24">
        <f>SUMIFS(הוצאות!G:G,הוצאות!$D:$D,$A78&amp;"*")</f>
        <v>3634000</v>
      </c>
      <c r="E78"/>
      <c r="F78" s="24">
        <f>SUMIFS(הוצאות!H:H,הוצאות!$D:$D,$A78&amp;"*")</f>
        <v>3544497.8600000003</v>
      </c>
      <c r="G78"/>
      <c r="H78" s="24" t="e">
        <v>#VALUE!</v>
      </c>
      <c r="I78" s="24">
        <f>SUMIFS(הוצאות!J:J,הוצאות!$D:$D,$A78&amp;"*")</f>
        <v>4480000</v>
      </c>
      <c r="J78"/>
      <c r="K78"/>
      <c r="L78"/>
      <c r="M78"/>
      <c r="N78"/>
    </row>
    <row r="79" spans="1:14" s="19" customFormat="1" ht="18.75">
      <c r="A79" s="21">
        <v>6</v>
      </c>
      <c r="B79" s="25" t="s">
        <v>678</v>
      </c>
      <c r="C79"/>
      <c r="D79" s="32">
        <f>SUMIFS(הוצאות!G:G,הוצאות!$D:$D,$A79&amp;"*")</f>
        <v>8942000</v>
      </c>
      <c r="E79"/>
      <c r="F79" s="32">
        <f>SUMIFS(הוצאות!H:H,הוצאות!$D:$D,$A79&amp;"*")</f>
        <v>9775020.0299999975</v>
      </c>
      <c r="G79"/>
      <c r="H79" s="32" t="e">
        <v>#VALUE!</v>
      </c>
      <c r="I79" s="32">
        <f>SUMIFS(הוצאות!J:J,הוצאות!$D:$D,$A79&amp;"*")</f>
        <v>11451000</v>
      </c>
      <c r="J79"/>
      <c r="K79"/>
      <c r="L79"/>
      <c r="M79" t="str">
        <f>MID(B79,10,99)</f>
        <v xml:space="preserve"> הנהלה וכלליות</v>
      </c>
      <c r="N79" s="17">
        <f>+I79</f>
        <v>11451000</v>
      </c>
    </row>
    <row r="80" spans="1:14" s="19" customFormat="1" ht="18.75">
      <c r="A80" s="21"/>
      <c r="B80" s="22" t="s">
        <v>650</v>
      </c>
      <c r="C80"/>
      <c r="D80" s="33"/>
      <c r="E80"/>
      <c r="F80" s="33"/>
      <c r="G80"/>
      <c r="H80" s="33"/>
      <c r="I80" s="33"/>
      <c r="J80"/>
      <c r="K80"/>
      <c r="L80"/>
      <c r="M80"/>
      <c r="N80"/>
    </row>
    <row r="81" spans="1:14" s="19" customFormat="1" ht="18.75">
      <c r="A81" s="21">
        <v>71</v>
      </c>
      <c r="B81" s="23" t="s">
        <v>679</v>
      </c>
      <c r="C81"/>
      <c r="D81" s="24">
        <f>SUMIFS(הוצאות!G:G,הוצאות!$D:$D,$A81&amp;"*")</f>
        <v>3046000</v>
      </c>
      <c r="E81"/>
      <c r="F81" s="24">
        <f>SUMIFS(הוצאות!H:H,הוצאות!$D:$D,$A81&amp;"*")</f>
        <v>3435733.71</v>
      </c>
      <c r="G81"/>
      <c r="H81" s="24" t="e">
        <v>#VALUE!</v>
      </c>
      <c r="I81" s="24">
        <f>SUMIFS(הוצאות!J:J,הוצאות!$D:$D,$A81&amp;"*")</f>
        <v>3218000</v>
      </c>
      <c r="J81"/>
      <c r="K81"/>
      <c r="L81"/>
      <c r="M81"/>
      <c r="N81"/>
    </row>
    <row r="82" spans="1:14" s="19" customFormat="1" ht="18.75">
      <c r="A82" s="21">
        <v>72</v>
      </c>
      <c r="B82" s="23" t="s">
        <v>680</v>
      </c>
      <c r="C82"/>
      <c r="D82" s="24">
        <f>SUMIFS(הוצאות!G:G,הוצאות!$D:$D,$A82&amp;"*")</f>
        <v>504000</v>
      </c>
      <c r="E82"/>
      <c r="F82" s="24">
        <f>SUMIFS(הוצאות!H:H,הוצאות!$D:$D,$A82&amp;"*")</f>
        <v>533623.63</v>
      </c>
      <c r="G82"/>
      <c r="H82" s="24" t="e">
        <v>#VALUE!</v>
      </c>
      <c r="I82" s="24">
        <f>SUMIFS(הוצאות!J:J,הוצאות!$D:$D,$A82&amp;"*")</f>
        <v>811000</v>
      </c>
      <c r="J82"/>
      <c r="K82"/>
      <c r="L82"/>
      <c r="M82"/>
      <c r="N82"/>
    </row>
    <row r="83" spans="1:14" s="19" customFormat="1" ht="18.75">
      <c r="A83" s="21">
        <v>73</v>
      </c>
      <c r="B83" s="23" t="s">
        <v>681</v>
      </c>
      <c r="C83"/>
      <c r="D83" s="24">
        <f>SUMIFS(הוצאות!G:G,הוצאות!$D:$D,$A83&amp;"*")</f>
        <v>1189000</v>
      </c>
      <c r="E83"/>
      <c r="F83" s="24">
        <f>SUMIFS(הוצאות!H:H,הוצאות!$D:$D,$A83&amp;"*")</f>
        <v>936661.22</v>
      </c>
      <c r="G83"/>
      <c r="H83" s="24" t="e">
        <v>#VALUE!</v>
      </c>
      <c r="I83" s="24">
        <f>SUMIFS(הוצאות!J:J,הוצאות!$D:$D,$A83&amp;"*")</f>
        <v>1637500</v>
      </c>
      <c r="J83"/>
      <c r="K83"/>
      <c r="L83"/>
      <c r="M83"/>
      <c r="N83"/>
    </row>
    <row r="84" spans="1:14" s="19" customFormat="1" ht="18.75">
      <c r="A84" s="21">
        <v>74</v>
      </c>
      <c r="B84" s="23" t="s">
        <v>682</v>
      </c>
      <c r="C84"/>
      <c r="D84" s="24">
        <f>SUMIFS(הוצאות!G:G,הוצאות!$D:$D,$A84&amp;"*")</f>
        <v>700000</v>
      </c>
      <c r="E84"/>
      <c r="F84" s="24">
        <f>SUMIFS(הוצאות!H:H,הוצאות!$D:$D,$A84&amp;"*")</f>
        <v>669640.98999999987</v>
      </c>
      <c r="G84"/>
      <c r="H84" s="24" t="e">
        <v>#VALUE!</v>
      </c>
      <c r="I84" s="24">
        <f>SUMIFS(הוצאות!J:J,הוצאות!$D:$D,$A84&amp;"*")</f>
        <v>1186500</v>
      </c>
      <c r="J84"/>
      <c r="K84"/>
      <c r="L84"/>
      <c r="M84"/>
      <c r="N84"/>
    </row>
    <row r="85" spans="1:14" s="19" customFormat="1" ht="18.75">
      <c r="A85" s="21">
        <v>75</v>
      </c>
      <c r="B85" s="23" t="s">
        <v>683</v>
      </c>
      <c r="C85"/>
      <c r="D85" s="24">
        <f>SUMIFS(הוצאות!G:G,הוצאות!$D:$D,$A85&amp;"*")</f>
        <v>1000</v>
      </c>
      <c r="E85"/>
      <c r="F85" s="24">
        <f>SUMIFS(הוצאות!H:H,הוצאות!$D:$D,$A85&amp;"*")</f>
        <v>200</v>
      </c>
      <c r="G85"/>
      <c r="H85" s="24" t="e">
        <v>#VALUE!</v>
      </c>
      <c r="I85" s="24">
        <f>SUMIFS(הוצאות!J:J,הוצאות!$D:$D,$A85&amp;"*")</f>
        <v>1000</v>
      </c>
      <c r="J85"/>
      <c r="K85"/>
      <c r="L85"/>
      <c r="M85"/>
      <c r="N85"/>
    </row>
    <row r="86" spans="1:14" s="19" customFormat="1" ht="18.75">
      <c r="A86" s="21">
        <v>76</v>
      </c>
      <c r="B86" s="23" t="s">
        <v>684</v>
      </c>
      <c r="C86"/>
      <c r="D86" s="24">
        <f>SUMIFS(הוצאות!G:G,הוצאות!$D:$D,$A86&amp;"*")</f>
        <v>301000</v>
      </c>
      <c r="E86"/>
      <c r="F86" s="24">
        <f>SUMIFS(הוצאות!H:H,הוצאות!$D:$D,$A86&amp;"*")</f>
        <v>449756.31</v>
      </c>
      <c r="G86"/>
      <c r="H86" s="24" t="e">
        <v>#VALUE!</v>
      </c>
      <c r="I86" s="24">
        <f>SUMIFS(הוצאות!J:J,הוצאות!$D:$D,$A86&amp;"*")</f>
        <v>757000</v>
      </c>
      <c r="J86"/>
      <c r="K86"/>
      <c r="L86"/>
      <c r="M86"/>
      <c r="N86"/>
    </row>
    <row r="87" spans="1:14" s="19" customFormat="1" ht="18.75">
      <c r="A87" s="21">
        <v>7</v>
      </c>
      <c r="B87" s="25" t="s">
        <v>685</v>
      </c>
      <c r="C87"/>
      <c r="D87" s="32">
        <f>SUMIFS(הוצאות!G:G,הוצאות!$D:$D,$A87&amp;"*")</f>
        <v>5741000</v>
      </c>
      <c r="E87"/>
      <c r="F87" s="32">
        <f>SUMIFS(הוצאות!H:H,הוצאות!$D:$D,$A87&amp;"*")</f>
        <v>6025615.8599999994</v>
      </c>
      <c r="G87"/>
      <c r="H87" s="32" t="e">
        <v>#VALUE!</v>
      </c>
      <c r="I87" s="32">
        <f>SUMIFS(הוצאות!J:J,הוצאות!$D:$D,$A87&amp;"*")</f>
        <v>7611000</v>
      </c>
      <c r="J87"/>
      <c r="K87"/>
      <c r="L87"/>
      <c r="M87" t="str">
        <f>MID(B87,10,99)</f>
        <v xml:space="preserve"> שירותים מקומיים</v>
      </c>
      <c r="N87" s="17">
        <f>+I87</f>
        <v>7611000</v>
      </c>
    </row>
    <row r="88" spans="1:14" s="19" customFormat="1" ht="18.75">
      <c r="A88" s="21"/>
      <c r="B88" s="22" t="s">
        <v>656</v>
      </c>
      <c r="C88"/>
      <c r="D88" s="33"/>
      <c r="E88"/>
      <c r="F88" s="33"/>
      <c r="G88"/>
      <c r="H88" s="33"/>
      <c r="I88" s="33"/>
      <c r="J88"/>
      <c r="K88"/>
      <c r="L88"/>
      <c r="M88"/>
      <c r="N88"/>
    </row>
    <row r="89" spans="1:14" s="19" customFormat="1" ht="18.75">
      <c r="A89" s="21">
        <v>81</v>
      </c>
      <c r="B89" s="23" t="s">
        <v>686</v>
      </c>
      <c r="C89"/>
      <c r="D89" s="24">
        <f>SUMIFS(הוצאות!G:G,הוצאות!$D:$D,$A89&amp;"*")</f>
        <v>23021000</v>
      </c>
      <c r="E89"/>
      <c r="F89" s="24">
        <f>SUMIFS(הוצאות!H:H,הוצאות!$D:$D,$A89&amp;"*")</f>
        <v>26260994.609999999</v>
      </c>
      <c r="G89"/>
      <c r="H89" s="24" t="e">
        <v>#VALUE!</v>
      </c>
      <c r="I89" s="24">
        <f>SUMIFS(הוצאות!J:J,הוצאות!$D:$D,$A89&amp;"*")</f>
        <v>29542000</v>
      </c>
      <c r="J89"/>
      <c r="K89"/>
      <c r="L89"/>
      <c r="M89"/>
      <c r="N89"/>
    </row>
    <row r="90" spans="1:14" s="19" customFormat="1" ht="18.75">
      <c r="A90" s="21">
        <v>82</v>
      </c>
      <c r="B90" s="23" t="s">
        <v>687</v>
      </c>
      <c r="C90"/>
      <c r="D90" s="24">
        <f>SUMIFS(הוצאות!G:G,הוצאות!$D:$D,$A90&amp;"*")</f>
        <v>879000</v>
      </c>
      <c r="E90"/>
      <c r="F90" s="24">
        <f>SUMIFS(הוצאות!H:H,הוצאות!$D:$D,$A90&amp;"*")</f>
        <v>1295406.3800000001</v>
      </c>
      <c r="G90"/>
      <c r="H90" s="24" t="e">
        <v>#VALUE!</v>
      </c>
      <c r="I90" s="24">
        <f>SUMIFS(הוצאות!J:J,הוצאות!$D:$D,$A90&amp;"*")</f>
        <v>977000</v>
      </c>
      <c r="J90"/>
      <c r="K90"/>
      <c r="L90"/>
      <c r="M90"/>
      <c r="N90"/>
    </row>
    <row r="91" spans="1:14" s="19" customFormat="1" ht="18.75">
      <c r="A91" s="21">
        <v>83</v>
      </c>
      <c r="B91" s="23" t="s">
        <v>688</v>
      </c>
      <c r="C91"/>
      <c r="D91" s="24">
        <f>SUMIFS(הוצאות!G:G,הוצאות!$D:$D,$A91&amp;"*")</f>
        <v>220000</v>
      </c>
      <c r="E91"/>
      <c r="F91" s="24">
        <f>SUMIFS(הוצאות!H:H,הוצאות!$D:$D,$A91&amp;"*")</f>
        <v>326499.35000000003</v>
      </c>
      <c r="G91"/>
      <c r="H91" s="24" t="e">
        <v>#VALUE!</v>
      </c>
      <c r="I91" s="24">
        <f>SUMIFS(הוצאות!J:J,הוצאות!$D:$D,$A91&amp;"*")</f>
        <v>261000</v>
      </c>
      <c r="J91"/>
      <c r="K91"/>
      <c r="L91"/>
      <c r="M91"/>
      <c r="N91"/>
    </row>
    <row r="92" spans="1:14" s="19" customFormat="1" ht="18.75">
      <c r="A92" s="21">
        <v>84</v>
      </c>
      <c r="B92" s="23" t="s">
        <v>689</v>
      </c>
      <c r="C92"/>
      <c r="D92" s="24">
        <f>SUMIFS(הוצאות!G:G,הוצאות!$D:$D,$A92&amp;"*")</f>
        <v>11768000</v>
      </c>
      <c r="E92"/>
      <c r="F92" s="24">
        <f>SUMIFS(הוצאות!H:H,הוצאות!$D:$D,$A92&amp;"*")</f>
        <v>13617957.379999999</v>
      </c>
      <c r="G92"/>
      <c r="H92" s="24" t="e">
        <v>#VALUE!</v>
      </c>
      <c r="I92" s="24">
        <f>SUMIFS(הוצאות!J:J,הוצאות!$D:$D,$A92&amp;"*")</f>
        <v>15627000</v>
      </c>
      <c r="J92"/>
      <c r="K92"/>
      <c r="L92"/>
      <c r="M92"/>
      <c r="N92"/>
    </row>
    <row r="93" spans="1:14" s="19" customFormat="1" ht="18.75">
      <c r="A93" s="21">
        <v>85</v>
      </c>
      <c r="B93" s="23" t="s">
        <v>690</v>
      </c>
      <c r="C93"/>
      <c r="D93" s="24">
        <f>SUMIFS(הוצאות!G:G,הוצאות!$D:$D,$A93&amp;"*")</f>
        <v>42000</v>
      </c>
      <c r="E93"/>
      <c r="F93" s="24">
        <f>SUMIFS(הוצאות!H:H,הוצאות!$D:$D,$A93&amp;"*")</f>
        <v>18424.900000000001</v>
      </c>
      <c r="G93"/>
      <c r="H93" s="24" t="e">
        <v>#VALUE!</v>
      </c>
      <c r="I93" s="24">
        <f>SUMIFS(הוצאות!J:J,הוצאות!$D:$D,$A93&amp;"*")</f>
        <v>19000</v>
      </c>
      <c r="J93"/>
      <c r="K93"/>
      <c r="L93"/>
      <c r="M93"/>
      <c r="N93"/>
    </row>
    <row r="94" spans="1:14" s="19" customFormat="1" ht="18.75">
      <c r="A94" s="21">
        <v>8</v>
      </c>
      <c r="B94" s="25" t="s">
        <v>691</v>
      </c>
      <c r="C94"/>
      <c r="D94" s="32">
        <f>SUMIFS(הוצאות!G:G,הוצאות!$D:$D,$A94&amp;"*")</f>
        <v>35948000</v>
      </c>
      <c r="E94"/>
      <c r="F94" s="32">
        <f>SUMIFS(הוצאות!H:H,הוצאות!$D:$D,$A94&amp;"*")</f>
        <v>41519282.620000005</v>
      </c>
      <c r="G94"/>
      <c r="H94" s="32" t="e">
        <v>#VALUE!</v>
      </c>
      <c r="I94" s="32">
        <f>SUMIFS(הוצאות!J:J,הוצאות!$D:$D,$A94&amp;"*")</f>
        <v>46426000</v>
      </c>
      <c r="J94"/>
      <c r="K94"/>
      <c r="L94"/>
      <c r="M94" t="str">
        <f>MID(B94,10,99)</f>
        <v xml:space="preserve"> שירותים ממלכתיים</v>
      </c>
      <c r="N94" s="17">
        <f>+I94</f>
        <v>46426000</v>
      </c>
    </row>
    <row r="95" spans="1:14" s="19" customFormat="1" ht="18.75">
      <c r="A95" s="21"/>
      <c r="B95" s="22" t="s">
        <v>692</v>
      </c>
      <c r="C95"/>
      <c r="D95" s="33"/>
      <c r="E95"/>
      <c r="F95" s="33"/>
      <c r="G95"/>
      <c r="H95" s="33"/>
      <c r="I95" s="33"/>
      <c r="J95"/>
      <c r="K95"/>
      <c r="L95"/>
      <c r="M95"/>
      <c r="N95"/>
    </row>
    <row r="96" spans="1:14" s="19" customFormat="1" ht="18.75">
      <c r="A96" s="21">
        <v>91</v>
      </c>
      <c r="B96" s="23" t="s">
        <v>693</v>
      </c>
      <c r="C96"/>
      <c r="D96" s="24">
        <f>SUMIFS(הוצאות!G:G,הוצאות!$D:$D,$A96&amp;"*")</f>
        <v>8233000</v>
      </c>
      <c r="E96"/>
      <c r="F96" s="24">
        <f>SUMIFS(הוצאות!H:H,הוצאות!$D:$D,$A96&amp;"*")</f>
        <v>9081098.4100000001</v>
      </c>
      <c r="G96"/>
      <c r="H96" s="24" t="e">
        <v>#VALUE!</v>
      </c>
      <c r="I96" s="24">
        <f>SUMIFS(הוצאות!J:J,הוצאות!$D:$D,$A96&amp;"*")</f>
        <v>4633000</v>
      </c>
      <c r="J96"/>
      <c r="K96"/>
      <c r="L96"/>
      <c r="M96"/>
      <c r="N96"/>
    </row>
    <row r="97" spans="1:14" s="19" customFormat="1" ht="18.75">
      <c r="A97" s="21">
        <v>99</v>
      </c>
      <c r="B97" s="23" t="s">
        <v>694</v>
      </c>
      <c r="C97"/>
      <c r="D97" s="24">
        <f>SUMIFS(הוצאות!G:G,הוצאות!$D:$D,$A97&amp;"*")</f>
        <v>5750000</v>
      </c>
      <c r="E97"/>
      <c r="F97" s="24">
        <f>SUMIFS(הוצאות!H:H,הוצאות!$D:$D,$A97&amp;"*")</f>
        <v>8947178.5399999991</v>
      </c>
      <c r="G97"/>
      <c r="H97" s="24" t="e">
        <v>#VALUE!</v>
      </c>
      <c r="I97" s="24">
        <f>SUMIFS(הוצאות!J:J,הוצאות!$D:$D,$A97&amp;"*")</f>
        <v>7236000</v>
      </c>
      <c r="J97"/>
      <c r="K97"/>
      <c r="L97"/>
      <c r="M97"/>
      <c r="N97"/>
    </row>
    <row r="98" spans="1:14" s="19" customFormat="1" ht="18.75">
      <c r="A98" s="21">
        <v>9</v>
      </c>
      <c r="B98" s="25" t="s">
        <v>695</v>
      </c>
      <c r="C98"/>
      <c r="D98" s="32">
        <f>SUMIFS(הוצאות!G:G,הוצאות!$D:$D,$A98&amp;"*")</f>
        <v>16376000</v>
      </c>
      <c r="E98"/>
      <c r="F98" s="32">
        <f>SUMIFS(הוצאות!H:H,הוצאות!$D:$D,$A98&amp;"*")</f>
        <v>21303922.670000002</v>
      </c>
      <c r="G98"/>
      <c r="H98" s="32" t="e">
        <v>#VALUE!</v>
      </c>
      <c r="I98" s="32">
        <f>SUMIFS(הוצאות!J:J,הוצאות!$D:$D,$A98&amp;"*")</f>
        <v>14237000</v>
      </c>
      <c r="J98"/>
      <c r="K98"/>
      <c r="L98"/>
      <c r="M98" t="str">
        <f>MID(B98,10,99)</f>
        <v xml:space="preserve"> מפעלים ותשלומים בלתי רגילים</v>
      </c>
      <c r="N98" s="17">
        <f>+I98</f>
        <v>14237000</v>
      </c>
    </row>
    <row r="99" spans="1:14" s="19" customFormat="1" ht="18.75">
      <c r="A99" s="21"/>
      <c r="B99" s="25" t="s">
        <v>696</v>
      </c>
      <c r="C99"/>
      <c r="D99" s="27">
        <f>+D98+D94+D87+D79</f>
        <v>67007000</v>
      </c>
      <c r="E99"/>
      <c r="F99" s="27">
        <f>+F98+F94+F87+F79</f>
        <v>78623841.180000007</v>
      </c>
      <c r="G99"/>
      <c r="H99" s="27" t="e">
        <f>+H98+H94+H87+H79</f>
        <v>#VALUE!</v>
      </c>
      <c r="I99" s="27">
        <f>+I98+I94+I87+I79</f>
        <v>79725000</v>
      </c>
      <c r="J99"/>
      <c r="K99"/>
      <c r="L99"/>
      <c r="M99"/>
      <c r="N99"/>
    </row>
    <row r="100" spans="1:14" s="19" customFormat="1" ht="18.75">
      <c r="A100" s="21"/>
      <c r="B100" s="34" t="s">
        <v>697</v>
      </c>
      <c r="C100"/>
      <c r="D100" s="35">
        <f>+D31-D99</f>
        <v>-5780948</v>
      </c>
      <c r="E100"/>
      <c r="F100" s="35">
        <f>+F31-F99</f>
        <v>-9032675.9800000042</v>
      </c>
      <c r="G100"/>
      <c r="H100" s="35" t="e">
        <f>+H31-H99</f>
        <v>#VALUE!</v>
      </c>
      <c r="I100" s="35">
        <f>+I31-I99</f>
        <v>-7134000</v>
      </c>
      <c r="J100"/>
      <c r="K100"/>
      <c r="L100"/>
      <c r="M100"/>
      <c r="N100"/>
    </row>
  </sheetData>
  <mergeCells count="2">
    <mergeCell ref="B71:I71"/>
    <mergeCell ref="B1:I1"/>
  </mergeCells>
  <conditionalFormatting sqref="D3 F3 H3:I3">
    <cfRule type="expression" dxfId="598" priority="8">
      <formula>$D3="110"</formula>
    </cfRule>
  </conditionalFormatting>
  <conditionalFormatting sqref="D3 F3 H3:I3">
    <cfRule type="expression" dxfId="597" priority="7">
      <formula>$D3="110"</formula>
    </cfRule>
  </conditionalFormatting>
  <conditionalFormatting sqref="B3">
    <cfRule type="expression" dxfId="596" priority="6">
      <formula>$D3="110"</formula>
    </cfRule>
  </conditionalFormatting>
  <conditionalFormatting sqref="B3">
    <cfRule type="expression" dxfId="595" priority="5">
      <formula>$D3="110"</formula>
    </cfRule>
  </conditionalFormatting>
  <conditionalFormatting sqref="D73 F73 H73:I73">
    <cfRule type="expression" dxfId="594" priority="4">
      <formula>$D73="110"</formula>
    </cfRule>
  </conditionalFormatting>
  <conditionalFormatting sqref="B73">
    <cfRule type="expression" dxfId="593" priority="3">
      <formula>$D73="110"</formula>
    </cfRule>
  </conditionalFormatting>
  <conditionalFormatting sqref="D73 F73 H73:I73">
    <cfRule type="expression" dxfId="592" priority="2">
      <formula>$D73="110"</formula>
    </cfRule>
  </conditionalFormatting>
  <conditionalFormatting sqref="D73 F73 H73:I73">
    <cfRule type="expression" dxfId="591" priority="1">
      <formula>$D73="110"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72" fitToWidth="0" fitToHeight="0" orientation="portrait" r:id="rId1"/>
  <headerFooter>
    <oddFooter>&amp;C&amp;"David,רגיל"&amp;P</oddFooter>
  </headerFooter>
  <rowBreaks count="1" manualBreakCount="1">
    <brk id="69" min="1" max="8" man="1"/>
  </rowBreaks>
  <colBreaks count="1" manualBreakCount="1">
    <brk id="11" max="1048575" man="1"/>
  </col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filterMode="1"/>
  <dimension ref="A1:AW699"/>
  <sheetViews>
    <sheetView rightToLeft="1" topLeftCell="A634" workbookViewId="0">
      <selection activeCell="D698" sqref="D698"/>
    </sheetView>
  </sheetViews>
  <sheetFormatPr defaultColWidth="9" defaultRowHeight="14.25"/>
  <cols>
    <col min="1" max="1" width="10.875" bestFit="1" customWidth="1"/>
    <col min="2" max="2" width="27" bestFit="1" customWidth="1"/>
    <col min="3" max="3" width="10.5" bestFit="1" customWidth="1"/>
    <col min="4" max="4" width="13.125" bestFit="1" customWidth="1"/>
    <col min="5" max="5" width="9.875" bestFit="1" customWidth="1"/>
    <col min="6" max="6" width="13.625" bestFit="1" customWidth="1"/>
    <col min="7" max="7" width="10.5" bestFit="1" customWidth="1"/>
    <col min="8" max="8" width="12.375" bestFit="1" customWidth="1"/>
  </cols>
  <sheetData>
    <row r="1" spans="1:19">
      <c r="A1" t="s">
        <v>0</v>
      </c>
      <c r="B1" t="s">
        <v>1</v>
      </c>
      <c r="C1" t="s">
        <v>1666</v>
      </c>
      <c r="D1" t="s">
        <v>1667</v>
      </c>
      <c r="E1" t="s">
        <v>2003</v>
      </c>
      <c r="F1" t="s">
        <v>2004</v>
      </c>
      <c r="G1" t="s">
        <v>2045</v>
      </c>
    </row>
    <row r="2" spans="1:19" hidden="1">
      <c r="A2">
        <v>1111000100</v>
      </c>
      <c r="B2" t="s">
        <v>426</v>
      </c>
      <c r="C2" s="214">
        <v>-4948020</v>
      </c>
      <c r="D2" s="251">
        <v>-2890735.12</v>
      </c>
      <c r="E2">
        <v>0</v>
      </c>
      <c r="F2" s="251">
        <v>-2890735.12</v>
      </c>
      <c r="G2" s="214">
        <v>-5400000</v>
      </c>
      <c r="H2" s="251">
        <f>VLOOKUP(A2,הכנסות!$B$2:$V$259,21,0)</f>
        <v>5300000</v>
      </c>
      <c r="J2" s="251"/>
      <c r="K2" s="251"/>
      <c r="Q2" s="251"/>
      <c r="S2" s="251"/>
    </row>
    <row r="3" spans="1:19">
      <c r="A3">
        <v>1111000110</v>
      </c>
      <c r="B3" t="s">
        <v>1670</v>
      </c>
      <c r="C3">
        <v>0</v>
      </c>
      <c r="D3" s="251">
        <v>3651</v>
      </c>
      <c r="E3">
        <v>0</v>
      </c>
      <c r="F3" s="251">
        <v>3651</v>
      </c>
      <c r="G3">
        <v>0</v>
      </c>
      <c r="H3" s="251" t="e">
        <f>VLOOKUP(A3,הכנסות!$B$2:$V$259,21,0)</f>
        <v>#N/A</v>
      </c>
      <c r="J3" s="251"/>
      <c r="K3" s="251"/>
      <c r="Q3" s="251"/>
      <c r="S3" s="251"/>
    </row>
    <row r="4" spans="1:19">
      <c r="A4">
        <v>1111000114</v>
      </c>
      <c r="B4" t="s">
        <v>2005</v>
      </c>
      <c r="C4">
        <v>0</v>
      </c>
      <c r="D4" s="251">
        <v>-80711.58</v>
      </c>
      <c r="E4">
        <v>0</v>
      </c>
      <c r="F4" s="251">
        <v>-80711.58</v>
      </c>
      <c r="G4">
        <v>0</v>
      </c>
      <c r="H4" s="251">
        <f>VLOOKUP(A4,הכנסות!$B$2:$V$259,21,0)</f>
        <v>100000</v>
      </c>
      <c r="J4" s="251"/>
      <c r="K4" s="251"/>
      <c r="Q4" s="251"/>
      <c r="S4" s="251"/>
    </row>
    <row r="5" spans="1:19" hidden="1">
      <c r="A5">
        <v>1111200100</v>
      </c>
      <c r="B5" t="s">
        <v>427</v>
      </c>
      <c r="C5" s="214">
        <v>-962115</v>
      </c>
      <c r="D5" s="251">
        <v>-1251325.93</v>
      </c>
      <c r="E5">
        <v>0</v>
      </c>
      <c r="F5" s="251">
        <v>-1251325.93</v>
      </c>
      <c r="G5" s="214">
        <v>-1050000</v>
      </c>
      <c r="H5" s="251">
        <f>VLOOKUP(A5,הכנסות!$B$2:$V$259,21,0)</f>
        <v>1700000</v>
      </c>
      <c r="J5" s="251"/>
      <c r="K5" s="251"/>
      <c r="Q5" s="251"/>
      <c r="S5" s="251"/>
    </row>
    <row r="6" spans="1:19" hidden="1">
      <c r="A6">
        <v>1116000100</v>
      </c>
      <c r="B6" t="s">
        <v>428</v>
      </c>
      <c r="C6" s="214">
        <v>-3665200</v>
      </c>
      <c r="D6" s="251">
        <v>-2943000</v>
      </c>
      <c r="E6">
        <v>0</v>
      </c>
      <c r="F6" s="251">
        <v>-2943000</v>
      </c>
      <c r="G6" s="214">
        <v>-4000000</v>
      </c>
      <c r="H6" s="251">
        <f>VLOOKUP(A6,הכנסות!$B$2:$V$259,21,0)</f>
        <v>4000000</v>
      </c>
      <c r="J6" s="251"/>
      <c r="K6" s="251"/>
      <c r="Q6" s="251"/>
      <c r="S6" s="251"/>
    </row>
    <row r="7" spans="1:19" hidden="1">
      <c r="A7">
        <v>1121000291</v>
      </c>
      <c r="B7" t="s">
        <v>430</v>
      </c>
      <c r="C7" s="214">
        <v>-36652</v>
      </c>
      <c r="D7" s="251">
        <v>-54600</v>
      </c>
      <c r="E7">
        <v>0</v>
      </c>
      <c r="F7" s="251">
        <v>-54600</v>
      </c>
      <c r="G7" s="214">
        <v>-40000</v>
      </c>
      <c r="H7" s="251">
        <f>VLOOKUP(A7,הכנסות!$B$2:$V$259,21,0)</f>
        <v>60000</v>
      </c>
      <c r="J7" s="251"/>
      <c r="K7" s="251"/>
      <c r="Q7" s="251"/>
      <c r="S7" s="251"/>
    </row>
    <row r="8" spans="1:19" hidden="1">
      <c r="A8">
        <v>1191000910</v>
      </c>
      <c r="B8" t="s">
        <v>431</v>
      </c>
      <c r="C8" s="214">
        <v>-11190168</v>
      </c>
      <c r="D8" s="251">
        <v>-10417697.539999999</v>
      </c>
      <c r="E8">
        <v>0</v>
      </c>
      <c r="F8" s="251">
        <v>-10417697.539999999</v>
      </c>
      <c r="G8" s="214">
        <v>-12212346</v>
      </c>
      <c r="H8" s="251">
        <f>VLOOKUP(A8,הכנסות!$B$2:$V$259,21,0)</f>
        <v>14001200</v>
      </c>
      <c r="J8" s="251"/>
      <c r="K8" s="251"/>
      <c r="Q8" s="251"/>
      <c r="S8" s="251"/>
    </row>
    <row r="9" spans="1:19" hidden="1">
      <c r="A9">
        <v>1192000910</v>
      </c>
      <c r="B9" t="s">
        <v>432</v>
      </c>
      <c r="C9" s="214">
        <v>-804881</v>
      </c>
      <c r="D9">
        <v>0</v>
      </c>
      <c r="E9">
        <v>0</v>
      </c>
      <c r="F9">
        <v>0</v>
      </c>
      <c r="G9" s="214">
        <v>-878400</v>
      </c>
      <c r="H9" s="251">
        <f>VLOOKUP(A9,הכנסות!$B$2:$V$259,21,0)</f>
        <v>0</v>
      </c>
      <c r="K9" s="251"/>
    </row>
    <row r="10" spans="1:19" hidden="1">
      <c r="A10">
        <v>1192010910</v>
      </c>
      <c r="B10" t="s">
        <v>433</v>
      </c>
      <c r="C10" s="214">
        <v>-1974731</v>
      </c>
      <c r="D10">
        <v>0</v>
      </c>
      <c r="E10">
        <v>0</v>
      </c>
      <c r="F10">
        <v>0</v>
      </c>
      <c r="G10" s="214">
        <v>-2155120</v>
      </c>
      <c r="H10" s="251">
        <f>VLOOKUP(A10,הכנסות!$B$2:$V$259,21,0)</f>
        <v>2470800</v>
      </c>
      <c r="K10" s="251"/>
    </row>
    <row r="11" spans="1:19" hidden="1">
      <c r="A11">
        <v>1196000910</v>
      </c>
      <c r="B11" t="s">
        <v>434</v>
      </c>
      <c r="C11" s="214">
        <v>-408672</v>
      </c>
      <c r="D11" s="251">
        <v>-383782.62</v>
      </c>
      <c r="E11">
        <v>0</v>
      </c>
      <c r="F11" s="251">
        <v>-383782.62</v>
      </c>
      <c r="G11" s="214">
        <v>-446000</v>
      </c>
      <c r="H11" s="251">
        <f>VLOOKUP(A11,הכנסות!$B$2:$V$259,21,0)</f>
        <v>1240000</v>
      </c>
      <c r="J11" s="251"/>
      <c r="K11" s="251"/>
      <c r="Q11" s="251"/>
      <c r="S11" s="251"/>
    </row>
    <row r="12" spans="1:19" hidden="1">
      <c r="A12">
        <v>1212300220</v>
      </c>
      <c r="B12" t="s">
        <v>436</v>
      </c>
      <c r="C12" s="214">
        <v>-20614</v>
      </c>
      <c r="D12" s="251">
        <v>-2384.41</v>
      </c>
      <c r="E12">
        <v>0</v>
      </c>
      <c r="F12" s="251">
        <v>-2384.41</v>
      </c>
      <c r="G12" s="214">
        <v>-22500</v>
      </c>
      <c r="H12" s="251">
        <f>VLOOKUP(A12,הכנסות!$B$2:$V$259,21,0)</f>
        <v>3000</v>
      </c>
      <c r="J12" s="251"/>
      <c r="K12" s="251"/>
      <c r="Q12" s="251"/>
      <c r="S12" s="251"/>
    </row>
    <row r="13" spans="1:19" hidden="1">
      <c r="A13">
        <v>1224000970</v>
      </c>
      <c r="B13" t="s">
        <v>92</v>
      </c>
      <c r="C13" s="214">
        <v>-222662</v>
      </c>
      <c r="D13" s="251">
        <v>-295704</v>
      </c>
      <c r="E13">
        <v>0</v>
      </c>
      <c r="F13" s="251">
        <v>-295704</v>
      </c>
      <c r="G13" s="214">
        <v>-243000</v>
      </c>
      <c r="H13" s="251">
        <f>VLOOKUP(A13,הכנסות!$B$2:$V$259,21,0)</f>
        <v>357850</v>
      </c>
      <c r="J13" s="251"/>
      <c r="K13" s="251"/>
      <c r="Q13" s="251"/>
      <c r="S13" s="251"/>
    </row>
    <row r="14" spans="1:19">
      <c r="A14">
        <v>1233100220</v>
      </c>
      <c r="B14" t="s">
        <v>439</v>
      </c>
      <c r="C14">
        <v>0</v>
      </c>
      <c r="D14" s="251">
        <v>-3703.69</v>
      </c>
      <c r="E14">
        <v>0</v>
      </c>
      <c r="F14" s="251">
        <v>-3703.69</v>
      </c>
      <c r="G14">
        <v>0</v>
      </c>
      <c r="H14" s="251" t="e">
        <f>VLOOKUP(A14,הכנסות!$B$2:$V$259,21,0)</f>
        <v>#N/A</v>
      </c>
      <c r="J14" s="251"/>
      <c r="K14" s="251"/>
      <c r="Q14" s="251"/>
      <c r="S14" s="251"/>
    </row>
    <row r="15" spans="1:19" hidden="1">
      <c r="A15">
        <v>1233100710</v>
      </c>
      <c r="B15" t="s">
        <v>440</v>
      </c>
      <c r="C15" s="214">
        <v>-458150</v>
      </c>
      <c r="D15" s="251">
        <v>-178805</v>
      </c>
      <c r="E15">
        <v>0</v>
      </c>
      <c r="F15" s="251">
        <v>-178805</v>
      </c>
      <c r="G15" s="214">
        <v>-500000</v>
      </c>
      <c r="H15" s="251">
        <f>VLOOKUP(A15,הכנסות!$B$2:$V$259,21,0)</f>
        <v>499999.99636363634</v>
      </c>
      <c r="J15" s="251"/>
      <c r="K15" s="251"/>
      <c r="Q15" s="251"/>
      <c r="S15" s="251"/>
    </row>
    <row r="16" spans="1:19" hidden="1">
      <c r="A16">
        <v>1233410290</v>
      </c>
      <c r="B16" t="s">
        <v>444</v>
      </c>
      <c r="C16" s="214">
        <v>-641410</v>
      </c>
      <c r="D16">
        <v>0</v>
      </c>
      <c r="E16">
        <v>0</v>
      </c>
      <c r="F16">
        <v>0</v>
      </c>
      <c r="G16" s="214">
        <v>-700000</v>
      </c>
      <c r="H16" s="251">
        <f>VLOOKUP(A16,הכנסות!$B$2:$V$259,21,0)</f>
        <v>500000</v>
      </c>
      <c r="K16" s="251"/>
    </row>
    <row r="17" spans="1:19" hidden="1">
      <c r="A17">
        <v>1244000990</v>
      </c>
      <c r="B17" t="s">
        <v>94</v>
      </c>
      <c r="C17" s="214">
        <v>-18326</v>
      </c>
      <c r="D17">
        <v>0</v>
      </c>
      <c r="E17">
        <v>0</v>
      </c>
      <c r="F17">
        <v>0</v>
      </c>
      <c r="G17" s="214">
        <v>-20000</v>
      </c>
      <c r="H17" s="251">
        <f>VLOOKUP(A17,הכנסות!$B$2:$V$259,21,0)</f>
        <v>0</v>
      </c>
      <c r="K17" s="251"/>
    </row>
    <row r="18" spans="1:19" hidden="1">
      <c r="A18">
        <v>1269000690</v>
      </c>
      <c r="B18" t="s">
        <v>446</v>
      </c>
      <c r="C18" s="214">
        <v>-137445</v>
      </c>
      <c r="D18" s="251">
        <v>-106684.67</v>
      </c>
      <c r="E18">
        <v>0</v>
      </c>
      <c r="F18" s="251">
        <v>-106684.67</v>
      </c>
      <c r="G18" s="214">
        <v>-150000</v>
      </c>
      <c r="H18" s="251">
        <f>VLOOKUP(A18,הכנסות!$B$2:$V$259,21,0)</f>
        <v>120000</v>
      </c>
      <c r="J18" s="251"/>
      <c r="K18" s="251"/>
      <c r="Q18" s="251"/>
      <c r="S18" s="251"/>
    </row>
    <row r="19" spans="1:19" hidden="1">
      <c r="A19">
        <v>1269000691</v>
      </c>
      <c r="B19" t="s">
        <v>447</v>
      </c>
      <c r="C19">
        <v>-913</v>
      </c>
      <c r="D19">
        <v>-84.38</v>
      </c>
      <c r="E19">
        <v>0</v>
      </c>
      <c r="F19">
        <v>-84.38</v>
      </c>
      <c r="G19" s="214">
        <v>-1000</v>
      </c>
      <c r="H19" s="251">
        <f>VLOOKUP(A19,הכנסות!$B$2:$V$259,21,0)</f>
        <v>0</v>
      </c>
    </row>
    <row r="20" spans="1:19" hidden="1">
      <c r="A20">
        <v>1269000694</v>
      </c>
      <c r="B20" t="s">
        <v>1684</v>
      </c>
      <c r="C20">
        <v>0</v>
      </c>
      <c r="D20">
        <v>-359.1</v>
      </c>
      <c r="E20">
        <v>0</v>
      </c>
      <c r="F20">
        <v>-359.1</v>
      </c>
      <c r="G20">
        <v>0</v>
      </c>
      <c r="H20" s="251">
        <f>VLOOKUP(A20,הכנסות!$B$2:$V$259,21,0)</f>
        <v>0</v>
      </c>
    </row>
    <row r="21" spans="1:19" hidden="1">
      <c r="A21">
        <v>1311020920</v>
      </c>
      <c r="B21" t="s">
        <v>139</v>
      </c>
      <c r="C21" s="214">
        <v>-119119</v>
      </c>
      <c r="D21">
        <v>0</v>
      </c>
      <c r="E21">
        <v>0</v>
      </c>
      <c r="F21">
        <v>0</v>
      </c>
      <c r="G21" s="214">
        <v>-130000</v>
      </c>
      <c r="H21" s="251">
        <f>VLOOKUP(A21,הכנסות!$B$2:$V$259,21,0)</f>
        <v>130000</v>
      </c>
      <c r="K21" s="251"/>
    </row>
    <row r="22" spans="1:19" hidden="1">
      <c r="A22">
        <v>1312000920</v>
      </c>
      <c r="B22" t="s">
        <v>450</v>
      </c>
      <c r="C22" s="214">
        <v>-91630</v>
      </c>
      <c r="D22">
        <v>0</v>
      </c>
      <c r="E22">
        <v>0</v>
      </c>
      <c r="F22">
        <v>0</v>
      </c>
      <c r="G22" s="214">
        <v>-100000</v>
      </c>
      <c r="H22" s="251">
        <f>VLOOKUP(A22,הכנסות!$B$2:$V$259,21,0)</f>
        <v>0</v>
      </c>
      <c r="K22" s="251"/>
    </row>
    <row r="23" spans="1:19">
      <c r="A23">
        <v>1312200410</v>
      </c>
      <c r="B23" t="s">
        <v>142</v>
      </c>
      <c r="C23">
        <v>0</v>
      </c>
      <c r="D23" s="251">
        <v>-9900</v>
      </c>
      <c r="E23">
        <v>0</v>
      </c>
      <c r="F23" s="251">
        <v>-9900</v>
      </c>
      <c r="G23">
        <v>0</v>
      </c>
      <c r="H23" s="251">
        <f>VLOOKUP(A23,הכנסות!$B$2:$V$259,21,0)</f>
        <v>15000</v>
      </c>
      <c r="J23" s="251"/>
      <c r="K23" s="251"/>
      <c r="Q23" s="251"/>
      <c r="S23" s="251"/>
    </row>
    <row r="24" spans="1:19" hidden="1">
      <c r="A24">
        <v>1312200920</v>
      </c>
      <c r="B24" t="s">
        <v>451</v>
      </c>
      <c r="C24" s="214">
        <v>-64141</v>
      </c>
      <c r="D24">
        <v>0</v>
      </c>
      <c r="E24">
        <v>0</v>
      </c>
      <c r="F24">
        <v>0</v>
      </c>
      <c r="G24" s="214">
        <v>-70000</v>
      </c>
      <c r="H24" s="251">
        <f>VLOOKUP(A24,הכנסות!$B$2:$V$259,21,0)</f>
        <v>0</v>
      </c>
      <c r="K24" s="251"/>
    </row>
    <row r="25" spans="1:19">
      <c r="A25">
        <v>1312200990</v>
      </c>
      <c r="B25" t="s">
        <v>2006</v>
      </c>
      <c r="C25">
        <v>0</v>
      </c>
      <c r="D25" s="251">
        <v>-301711</v>
      </c>
      <c r="E25">
        <v>0</v>
      </c>
      <c r="F25" s="251">
        <v>-301711</v>
      </c>
      <c r="G25">
        <v>0</v>
      </c>
      <c r="H25" s="251">
        <f>VLOOKUP(A25,הכנסות!$B$2:$V$259,21,0)</f>
        <v>300000</v>
      </c>
      <c r="J25" s="251"/>
      <c r="K25" s="251"/>
      <c r="Q25" s="251"/>
      <c r="S25" s="251"/>
    </row>
    <row r="26" spans="1:19" hidden="1">
      <c r="A26">
        <v>1312201920</v>
      </c>
      <c r="B26" t="s">
        <v>452</v>
      </c>
      <c r="C26" s="214">
        <v>-2391543</v>
      </c>
      <c r="D26" s="251">
        <v>-2074646.88</v>
      </c>
      <c r="E26">
        <v>0</v>
      </c>
      <c r="F26" s="251">
        <v>-2074646.88</v>
      </c>
      <c r="G26" s="214">
        <v>-2610000</v>
      </c>
      <c r="H26" s="251">
        <f>VLOOKUP(A26,הכנסות!$B$2:$V$259,21,0)</f>
        <v>2270000</v>
      </c>
      <c r="J26" s="251"/>
      <c r="K26" s="251"/>
      <c r="Q26" s="251"/>
      <c r="S26" s="251"/>
    </row>
    <row r="27" spans="1:19" hidden="1">
      <c r="A27">
        <v>1312202920</v>
      </c>
      <c r="B27" t="s">
        <v>1686</v>
      </c>
      <c r="C27" s="214">
        <v>-251229</v>
      </c>
      <c r="D27" s="251">
        <v>-13901</v>
      </c>
      <c r="E27">
        <v>0</v>
      </c>
      <c r="F27" s="251">
        <v>-13901</v>
      </c>
      <c r="G27" s="214">
        <v>-274175</v>
      </c>
      <c r="H27" s="251">
        <f>VLOOKUP(A27,הכנסות!$B$2:$V$259,21,0)</f>
        <v>84031</v>
      </c>
      <c r="J27" s="251"/>
      <c r="K27" s="251"/>
      <c r="Q27" s="251"/>
      <c r="S27" s="251"/>
    </row>
    <row r="28" spans="1:19" hidden="1">
      <c r="A28">
        <v>1312300410</v>
      </c>
      <c r="B28" t="s">
        <v>453</v>
      </c>
      <c r="C28" s="214">
        <v>-33902</v>
      </c>
      <c r="D28">
        <v>0</v>
      </c>
      <c r="E28">
        <v>0</v>
      </c>
      <c r="F28">
        <v>0</v>
      </c>
      <c r="G28" s="214">
        <v>-37000</v>
      </c>
      <c r="H28" s="251">
        <f>VLOOKUP(A28,הכנסות!$B$2:$V$259,21,0)</f>
        <v>0</v>
      </c>
      <c r="K28" s="251"/>
    </row>
    <row r="29" spans="1:19" hidden="1">
      <c r="A29">
        <v>1312300920</v>
      </c>
      <c r="B29" t="s">
        <v>454</v>
      </c>
      <c r="C29" s="214">
        <v>-2263261</v>
      </c>
      <c r="D29" s="251">
        <v>-4865031.0999999996</v>
      </c>
      <c r="E29">
        <v>0</v>
      </c>
      <c r="F29" s="251">
        <v>-4865031.0999999996</v>
      </c>
      <c r="G29" s="214">
        <v>-2470000</v>
      </c>
      <c r="H29" s="251">
        <f>VLOOKUP(A29,הכנסות!$B$2:$V$259,21,0)</f>
        <v>5350000</v>
      </c>
      <c r="J29" s="251"/>
      <c r="K29" s="251"/>
      <c r="Q29" s="251"/>
      <c r="S29" s="251"/>
    </row>
    <row r="30" spans="1:19">
      <c r="A30">
        <v>1312301920</v>
      </c>
      <c r="B30" t="s">
        <v>1892</v>
      </c>
      <c r="C30">
        <v>0</v>
      </c>
      <c r="D30" s="251">
        <v>-46546.5</v>
      </c>
      <c r="E30">
        <v>0</v>
      </c>
      <c r="F30" s="251">
        <v>-46546.5</v>
      </c>
      <c r="G30">
        <v>0</v>
      </c>
      <c r="H30" s="251">
        <f>VLOOKUP(A30,הכנסות!$B$2:$V$259,21,0)</f>
        <v>57000</v>
      </c>
      <c r="J30" s="251"/>
      <c r="K30" s="251"/>
      <c r="Q30" s="251"/>
      <c r="S30" s="251"/>
    </row>
    <row r="31" spans="1:19">
      <c r="A31">
        <v>1312302920</v>
      </c>
      <c r="B31" t="s">
        <v>1889</v>
      </c>
      <c r="C31">
        <v>0</v>
      </c>
      <c r="D31" s="251">
        <v>-27222.400000000001</v>
      </c>
      <c r="E31">
        <v>0</v>
      </c>
      <c r="F31" s="251">
        <v>-27222.400000000001</v>
      </c>
      <c r="G31">
        <v>0</v>
      </c>
      <c r="H31" s="251">
        <f>VLOOKUP(A31,הכנסות!$B$2:$V$259,21,0)</f>
        <v>30000</v>
      </c>
      <c r="J31" s="251"/>
      <c r="K31" s="251"/>
      <c r="Q31" s="251"/>
      <c r="S31" s="251"/>
    </row>
    <row r="32" spans="1:19" hidden="1">
      <c r="A32">
        <v>1312310920</v>
      </c>
      <c r="B32" t="s">
        <v>1628</v>
      </c>
      <c r="C32" s="214">
        <v>-1466080</v>
      </c>
      <c r="D32">
        <v>0</v>
      </c>
      <c r="E32">
        <v>0</v>
      </c>
      <c r="F32">
        <v>0</v>
      </c>
      <c r="G32" s="214">
        <v>-1600000</v>
      </c>
      <c r="H32" s="251">
        <f>VLOOKUP(A32,הכנסות!$B$2:$V$259,21,0)</f>
        <v>0</v>
      </c>
      <c r="K32" s="251"/>
    </row>
    <row r="33" spans="1:19" hidden="1">
      <c r="A33">
        <v>1312311920</v>
      </c>
      <c r="B33" t="s">
        <v>1886</v>
      </c>
      <c r="C33">
        <v>0</v>
      </c>
      <c r="D33" s="251">
        <v>-2420918.02</v>
      </c>
      <c r="E33">
        <v>0</v>
      </c>
      <c r="F33" s="251">
        <v>-2420918.02</v>
      </c>
      <c r="G33">
        <v>0</v>
      </c>
      <c r="H33" s="251">
        <f>VLOOKUP(A33,הכנסות!$B$2:$V$259,21,0)</f>
        <v>3200000</v>
      </c>
      <c r="J33" s="251"/>
      <c r="K33" s="251"/>
      <c r="Q33" s="251"/>
      <c r="S33" s="251"/>
    </row>
    <row r="34" spans="1:19" hidden="1">
      <c r="A34">
        <v>1313200410</v>
      </c>
      <c r="B34" t="s">
        <v>457</v>
      </c>
      <c r="C34" s="214">
        <v>-9163</v>
      </c>
      <c r="D34">
        <v>0</v>
      </c>
      <c r="E34">
        <v>0</v>
      </c>
      <c r="F34">
        <v>0</v>
      </c>
      <c r="G34" s="214">
        <v>-10000</v>
      </c>
      <c r="H34" s="251">
        <f>VLOOKUP(A34,הכנסות!$B$2:$V$259,21,0)</f>
        <v>0</v>
      </c>
      <c r="K34" s="251"/>
    </row>
    <row r="35" spans="1:19" hidden="1">
      <c r="A35">
        <v>1313200920</v>
      </c>
      <c r="B35" t="s">
        <v>458</v>
      </c>
      <c r="C35" s="214">
        <v>-91630</v>
      </c>
      <c r="D35" s="251">
        <v>-4039.28</v>
      </c>
      <c r="E35">
        <v>0</v>
      </c>
      <c r="F35" s="251">
        <v>-4039.28</v>
      </c>
      <c r="G35" s="214">
        <v>-100000</v>
      </c>
      <c r="H35" s="251">
        <f>VLOOKUP(A35,הכנסות!$B$2:$V$259,21,0)</f>
        <v>5000</v>
      </c>
      <c r="J35" s="251"/>
      <c r="K35" s="251"/>
      <c r="Q35" s="251"/>
      <c r="S35" s="251"/>
    </row>
    <row r="36" spans="1:19" hidden="1">
      <c r="A36">
        <v>1313200921</v>
      </c>
      <c r="B36" t="s">
        <v>459</v>
      </c>
      <c r="C36" s="214">
        <v>-2061675</v>
      </c>
      <c r="D36" s="251">
        <v>-3418529.61</v>
      </c>
      <c r="E36">
        <v>0</v>
      </c>
      <c r="F36" s="251">
        <v>-3418529.61</v>
      </c>
      <c r="G36" s="214">
        <v>-2250000</v>
      </c>
      <c r="H36" s="251">
        <f>VLOOKUP(A36,הכנסות!$B$2:$V$259,21,0)</f>
        <v>3750000</v>
      </c>
      <c r="J36" s="251"/>
      <c r="K36" s="251"/>
      <c r="Q36" s="251"/>
      <c r="S36" s="251"/>
    </row>
    <row r="37" spans="1:19" hidden="1">
      <c r="A37">
        <v>1313200922</v>
      </c>
      <c r="B37" t="s">
        <v>455</v>
      </c>
      <c r="C37" s="214">
        <v>-175934</v>
      </c>
      <c r="D37" s="251">
        <v>-23030.66</v>
      </c>
      <c r="E37">
        <v>0</v>
      </c>
      <c r="F37" s="251">
        <v>-23030.66</v>
      </c>
      <c r="G37" s="214">
        <v>-192000</v>
      </c>
      <c r="H37" s="251">
        <f>VLOOKUP(A37,הכנסות!$B$2:$V$259,21,0)</f>
        <v>50000</v>
      </c>
      <c r="J37" s="251"/>
      <c r="K37" s="251"/>
      <c r="Q37" s="251"/>
      <c r="S37" s="251"/>
    </row>
    <row r="38" spans="1:19" hidden="1">
      <c r="A38">
        <v>1313200925</v>
      </c>
      <c r="B38" t="s">
        <v>460</v>
      </c>
      <c r="C38">
        <v>0</v>
      </c>
      <c r="D38" s="251">
        <v>-118359.69</v>
      </c>
      <c r="E38">
        <v>0</v>
      </c>
      <c r="F38" s="251">
        <v>-118359.69</v>
      </c>
      <c r="G38">
        <v>0</v>
      </c>
      <c r="H38" s="251">
        <f>VLOOKUP(A38,הכנסות!$B$2:$V$259,21,0)</f>
        <v>126000</v>
      </c>
      <c r="J38" s="251"/>
      <c r="K38" s="251"/>
      <c r="Q38" s="251"/>
      <c r="S38" s="251"/>
    </row>
    <row r="39" spans="1:19" hidden="1">
      <c r="A39">
        <v>1313200990</v>
      </c>
      <c r="B39" t="s">
        <v>1650</v>
      </c>
      <c r="C39" s="214">
        <v>-274890</v>
      </c>
      <c r="D39" s="251">
        <v>-220920</v>
      </c>
      <c r="E39">
        <v>0</v>
      </c>
      <c r="F39" s="251">
        <v>-220920</v>
      </c>
      <c r="G39" s="214">
        <v>-300000</v>
      </c>
      <c r="H39" s="251">
        <f>VLOOKUP(A39,הכנסות!$B$2:$V$259,21,0)</f>
        <v>0</v>
      </c>
      <c r="J39" s="251"/>
      <c r="K39" s="251"/>
      <c r="Q39" s="251"/>
      <c r="S39" s="251"/>
    </row>
    <row r="40" spans="1:19" hidden="1">
      <c r="A40">
        <v>1313201920</v>
      </c>
      <c r="B40" t="s">
        <v>1688</v>
      </c>
      <c r="C40" s="214">
        <v>-69641</v>
      </c>
      <c r="D40">
        <v>0</v>
      </c>
      <c r="E40">
        <v>0</v>
      </c>
      <c r="F40">
        <v>0</v>
      </c>
      <c r="G40" s="214">
        <v>-76000</v>
      </c>
      <c r="H40" s="251">
        <f>VLOOKUP(A40,הכנסות!$B$2:$V$259,21,0)</f>
        <v>0</v>
      </c>
      <c r="K40" s="251"/>
    </row>
    <row r="41" spans="1:19">
      <c r="A41">
        <v>1313202920</v>
      </c>
      <c r="B41" t="s">
        <v>2007</v>
      </c>
      <c r="C41">
        <v>0</v>
      </c>
      <c r="D41" s="251">
        <v>-107229.43</v>
      </c>
      <c r="E41">
        <v>0</v>
      </c>
      <c r="F41" s="251">
        <v>-107229.43</v>
      </c>
      <c r="G41">
        <v>0</v>
      </c>
      <c r="H41" s="251">
        <f>VLOOKUP(A41,הכנסות!$B$2:$V$259,21,0)</f>
        <v>120000</v>
      </c>
      <c r="J41" s="251"/>
      <c r="K41" s="251"/>
      <c r="Q41" s="251"/>
      <c r="S41" s="251"/>
    </row>
    <row r="42" spans="1:19">
      <c r="A42">
        <v>1313203920</v>
      </c>
      <c r="B42" t="s">
        <v>2008</v>
      </c>
      <c r="C42" s="214">
        <v>96217</v>
      </c>
      <c r="D42">
        <v>0</v>
      </c>
      <c r="E42">
        <v>0</v>
      </c>
      <c r="F42">
        <v>0</v>
      </c>
      <c r="G42" s="214">
        <v>105000</v>
      </c>
      <c r="H42" s="251" t="e">
        <f>VLOOKUP(A42,הכנסות!$B$2:$V$259,21,0)</f>
        <v>#N/A</v>
      </c>
      <c r="K42" s="251"/>
    </row>
    <row r="43" spans="1:19">
      <c r="A43">
        <v>1313204920</v>
      </c>
      <c r="B43" t="s">
        <v>2009</v>
      </c>
      <c r="C43" s="214">
        <v>91630</v>
      </c>
      <c r="D43">
        <v>0</v>
      </c>
      <c r="E43">
        <v>0</v>
      </c>
      <c r="F43">
        <v>0</v>
      </c>
      <c r="G43" s="214">
        <v>100000</v>
      </c>
      <c r="H43" s="251">
        <f>VLOOKUP(A43,הכנסות!$B$2:$V$259,21,0)</f>
        <v>0</v>
      </c>
      <c r="K43" s="251"/>
    </row>
    <row r="44" spans="1:19" hidden="1">
      <c r="A44">
        <v>1313210921</v>
      </c>
      <c r="B44" t="s">
        <v>464</v>
      </c>
      <c r="C44" s="214">
        <v>-73304</v>
      </c>
      <c r="D44">
        <v>0</v>
      </c>
      <c r="E44">
        <v>0</v>
      </c>
      <c r="F44">
        <v>0</v>
      </c>
      <c r="G44" s="214">
        <v>-80000</v>
      </c>
      <c r="H44" s="251">
        <f>VLOOKUP(A44,הכנסות!$B$2:$V$259,21,0)</f>
        <v>0</v>
      </c>
      <c r="K44" s="251"/>
    </row>
    <row r="45" spans="1:19" hidden="1">
      <c r="A45">
        <v>1313210922</v>
      </c>
      <c r="B45" t="s">
        <v>465</v>
      </c>
      <c r="C45" s="214">
        <v>-15576</v>
      </c>
      <c r="D45">
        <v>0</v>
      </c>
      <c r="E45">
        <v>0</v>
      </c>
      <c r="F45">
        <v>0</v>
      </c>
      <c r="G45" s="214">
        <v>-17000</v>
      </c>
      <c r="H45" s="251">
        <f>VLOOKUP(A45,הכנסות!$B$2:$V$259,21,0)</f>
        <v>0</v>
      </c>
      <c r="K45" s="251"/>
    </row>
    <row r="46" spans="1:19" hidden="1">
      <c r="A46">
        <v>1313210924</v>
      </c>
      <c r="B46" t="s">
        <v>467</v>
      </c>
      <c r="C46" s="214">
        <v>-16489</v>
      </c>
      <c r="D46" s="251">
        <v>-1462.05</v>
      </c>
      <c r="E46">
        <v>0</v>
      </c>
      <c r="F46" s="251">
        <v>-1462.05</v>
      </c>
      <c r="G46" s="214">
        <v>-18000</v>
      </c>
      <c r="H46" s="251">
        <f>VLOOKUP(A46,הכנסות!$B$2:$V$259,21,0)</f>
        <v>2000</v>
      </c>
      <c r="J46" s="251"/>
      <c r="K46" s="251"/>
      <c r="Q46" s="251"/>
      <c r="S46" s="251"/>
    </row>
    <row r="47" spans="1:19" hidden="1">
      <c r="A47">
        <v>1313210925</v>
      </c>
      <c r="B47" t="s">
        <v>468</v>
      </c>
      <c r="C47" s="214">
        <v>-283140</v>
      </c>
      <c r="D47">
        <v>0</v>
      </c>
      <c r="E47">
        <v>0</v>
      </c>
      <c r="F47">
        <v>0</v>
      </c>
      <c r="G47" s="214">
        <v>-309000</v>
      </c>
      <c r="H47" s="251">
        <f>VLOOKUP(A47,הכנסות!$B$2:$V$259,21,0)</f>
        <v>0</v>
      </c>
      <c r="K47" s="251"/>
    </row>
    <row r="48" spans="1:19">
      <c r="A48">
        <v>1313210926</v>
      </c>
      <c r="B48" t="s">
        <v>469</v>
      </c>
      <c r="C48">
        <v>0</v>
      </c>
      <c r="D48" s="251">
        <v>-17136</v>
      </c>
      <c r="E48">
        <v>0</v>
      </c>
      <c r="F48" s="251">
        <v>-17136</v>
      </c>
      <c r="G48">
        <v>0</v>
      </c>
      <c r="H48" s="251">
        <f>VLOOKUP(A48,הכנסות!$B$2:$V$259,21,0)</f>
        <v>17000</v>
      </c>
      <c r="J48" s="251"/>
      <c r="K48" s="251"/>
      <c r="Q48" s="251"/>
      <c r="S48" s="251"/>
    </row>
    <row r="49" spans="1:19" hidden="1">
      <c r="A49">
        <v>1313210929</v>
      </c>
      <c r="B49" t="s">
        <v>470</v>
      </c>
      <c r="C49" s="214">
        <v>-146608</v>
      </c>
      <c r="D49" s="251">
        <v>-156407.03</v>
      </c>
      <c r="E49">
        <v>0</v>
      </c>
      <c r="F49" s="251">
        <v>-156407.03</v>
      </c>
      <c r="G49" s="214">
        <v>-160000</v>
      </c>
      <c r="H49" s="251">
        <f>VLOOKUP(A49,הכנסות!$B$2:$V$259,21,0)</f>
        <v>170000</v>
      </c>
      <c r="J49" s="251"/>
      <c r="K49" s="251"/>
      <c r="Q49" s="251"/>
      <c r="S49" s="251"/>
    </row>
    <row r="50" spans="1:19" hidden="1">
      <c r="A50">
        <v>1313220921</v>
      </c>
      <c r="B50" t="s">
        <v>474</v>
      </c>
      <c r="C50" s="214">
        <v>-73304</v>
      </c>
      <c r="D50" s="251">
        <v>-314146.78999999998</v>
      </c>
      <c r="E50">
        <v>0</v>
      </c>
      <c r="F50" s="251">
        <v>-314146.78999999998</v>
      </c>
      <c r="G50" s="214">
        <v>-80000</v>
      </c>
      <c r="H50" s="251">
        <f>VLOOKUP(A50,הכנסות!$B$2:$V$259,21,0)</f>
        <v>342000</v>
      </c>
      <c r="J50" s="251"/>
      <c r="K50" s="251"/>
      <c r="Q50" s="251"/>
      <c r="S50" s="251"/>
    </row>
    <row r="51" spans="1:19" hidden="1">
      <c r="A51">
        <v>1313220922</v>
      </c>
      <c r="B51" t="s">
        <v>475</v>
      </c>
      <c r="C51" s="214">
        <v>-15576</v>
      </c>
      <c r="D51">
        <v>0</v>
      </c>
      <c r="E51">
        <v>0</v>
      </c>
      <c r="F51">
        <v>0</v>
      </c>
      <c r="G51" s="214">
        <v>-17000</v>
      </c>
      <c r="H51" s="251">
        <f>VLOOKUP(A51,הכנסות!$B$2:$V$259,21,0)</f>
        <v>0</v>
      </c>
      <c r="K51" s="251"/>
    </row>
    <row r="52" spans="1:19" hidden="1">
      <c r="A52">
        <v>1313220925</v>
      </c>
      <c r="B52" t="s">
        <v>478</v>
      </c>
      <c r="C52" s="214">
        <v>-261151</v>
      </c>
      <c r="D52">
        <v>0</v>
      </c>
      <c r="E52">
        <v>0</v>
      </c>
      <c r="F52">
        <v>0</v>
      </c>
      <c r="G52" s="214">
        <v>-285000</v>
      </c>
      <c r="H52" s="251">
        <f>VLOOKUP(A52,הכנסות!$B$2:$V$259,21,0)</f>
        <v>0</v>
      </c>
      <c r="K52" s="251"/>
    </row>
    <row r="53" spans="1:19" hidden="1">
      <c r="A53">
        <v>1313220929</v>
      </c>
      <c r="B53" t="s">
        <v>479</v>
      </c>
      <c r="C53" s="214">
        <v>-50402</v>
      </c>
      <c r="D53" s="251">
        <v>-136447.28</v>
      </c>
      <c r="E53">
        <v>0</v>
      </c>
      <c r="F53" s="251">
        <v>-136447.28</v>
      </c>
      <c r="G53" s="214">
        <v>-55000</v>
      </c>
      <c r="H53" s="251">
        <f>VLOOKUP(A53,הכנסות!$B$2:$V$259,21,0)</f>
        <v>150000</v>
      </c>
      <c r="J53" s="251"/>
      <c r="K53" s="251"/>
      <c r="Q53" s="251"/>
      <c r="S53" s="251"/>
    </row>
    <row r="54" spans="1:19" hidden="1">
      <c r="A54">
        <v>1313230921</v>
      </c>
      <c r="B54" t="s">
        <v>482</v>
      </c>
      <c r="C54" s="214">
        <v>-73304</v>
      </c>
      <c r="D54">
        <v>0</v>
      </c>
      <c r="E54">
        <v>0</v>
      </c>
      <c r="F54">
        <v>0</v>
      </c>
      <c r="G54" s="214">
        <v>-80000</v>
      </c>
      <c r="H54" s="251">
        <f>VLOOKUP(A54,הכנסות!$B$2:$V$259,21,0)</f>
        <v>0</v>
      </c>
      <c r="K54" s="251"/>
    </row>
    <row r="55" spans="1:19" hidden="1">
      <c r="A55">
        <v>1313230922</v>
      </c>
      <c r="B55" t="s">
        <v>483</v>
      </c>
      <c r="C55" s="214">
        <v>-15576</v>
      </c>
      <c r="D55">
        <v>0</v>
      </c>
      <c r="E55">
        <v>0</v>
      </c>
      <c r="F55">
        <v>0</v>
      </c>
      <c r="G55" s="214">
        <v>-17000</v>
      </c>
      <c r="H55" s="251">
        <f>VLOOKUP(A55,הכנסות!$B$2:$V$259,21,0)</f>
        <v>0</v>
      </c>
      <c r="K55" s="251"/>
    </row>
    <row r="56" spans="1:19" hidden="1">
      <c r="A56">
        <v>1313230925</v>
      </c>
      <c r="B56" t="s">
        <v>486</v>
      </c>
      <c r="C56" s="214">
        <v>-476476</v>
      </c>
      <c r="D56" s="251">
        <v>-1282704.8700000001</v>
      </c>
      <c r="E56">
        <v>0</v>
      </c>
      <c r="F56" s="251">
        <v>-1282704.8700000001</v>
      </c>
      <c r="G56" s="214">
        <v>-520000</v>
      </c>
      <c r="H56" s="251">
        <f>VLOOKUP(A56,הכנסות!$B$2:$V$259,21,0)</f>
        <v>1400000</v>
      </c>
      <c r="J56" s="251"/>
      <c r="K56" s="251"/>
      <c r="Q56" s="251"/>
      <c r="S56" s="251"/>
    </row>
    <row r="57" spans="1:19" hidden="1">
      <c r="A57">
        <v>1313230929</v>
      </c>
      <c r="B57" t="s">
        <v>487</v>
      </c>
      <c r="C57" s="214">
        <v>-36652</v>
      </c>
      <c r="D57">
        <v>0</v>
      </c>
      <c r="E57">
        <v>0</v>
      </c>
      <c r="F57">
        <v>0</v>
      </c>
      <c r="G57" s="214">
        <v>-40000</v>
      </c>
      <c r="H57" s="251">
        <f>VLOOKUP(A57,הכנסות!$B$2:$V$259,21,0)</f>
        <v>0</v>
      </c>
      <c r="K57" s="251"/>
    </row>
    <row r="58" spans="1:19" hidden="1">
      <c r="A58">
        <v>1313240921</v>
      </c>
      <c r="B58" t="s">
        <v>489</v>
      </c>
      <c r="C58" s="214">
        <v>-36652</v>
      </c>
      <c r="D58">
        <v>0</v>
      </c>
      <c r="E58">
        <v>0</v>
      </c>
      <c r="F58">
        <v>0</v>
      </c>
      <c r="G58" s="214">
        <v>-40000</v>
      </c>
      <c r="H58" s="251">
        <f>VLOOKUP(A58,הכנסות!$B$2:$V$259,21,0)</f>
        <v>0</v>
      </c>
      <c r="K58" s="251"/>
    </row>
    <row r="59" spans="1:19" hidden="1">
      <c r="A59">
        <v>1313240922</v>
      </c>
      <c r="B59" t="s">
        <v>490</v>
      </c>
      <c r="C59" s="214">
        <v>-11913</v>
      </c>
      <c r="D59">
        <v>0</v>
      </c>
      <c r="E59">
        <v>0</v>
      </c>
      <c r="F59">
        <v>0</v>
      </c>
      <c r="G59" s="214">
        <v>-13000</v>
      </c>
      <c r="H59" s="251">
        <f>VLOOKUP(A59,הכנסות!$B$2:$V$259,21,0)</f>
        <v>0</v>
      </c>
      <c r="K59" s="251"/>
    </row>
    <row r="60" spans="1:19" hidden="1">
      <c r="A60">
        <v>1313300210</v>
      </c>
      <c r="B60" t="s">
        <v>491</v>
      </c>
      <c r="C60">
        <v>0</v>
      </c>
      <c r="D60" s="251">
        <v>968909</v>
      </c>
      <c r="E60">
        <v>0</v>
      </c>
      <c r="F60" s="251">
        <v>968909</v>
      </c>
      <c r="G60">
        <v>0</v>
      </c>
      <c r="H60" s="251">
        <f>VLOOKUP(A60,הכנסות!$B$2:$V$259,21,0)</f>
        <v>0</v>
      </c>
      <c r="J60" s="251"/>
      <c r="K60" s="251"/>
      <c r="Q60" s="251"/>
      <c r="S60" s="251"/>
    </row>
    <row r="61" spans="1:19" hidden="1">
      <c r="A61">
        <v>1313300920</v>
      </c>
      <c r="B61" t="s">
        <v>494</v>
      </c>
      <c r="C61" s="214">
        <v>-68728</v>
      </c>
      <c r="D61">
        <v>0</v>
      </c>
      <c r="E61">
        <v>0</v>
      </c>
      <c r="F61">
        <v>0</v>
      </c>
      <c r="G61" s="214">
        <v>-75000</v>
      </c>
      <c r="H61" s="251">
        <f>VLOOKUP(A61,הכנסות!$B$2:$V$259,21,0)</f>
        <v>0</v>
      </c>
      <c r="K61" s="251"/>
    </row>
    <row r="62" spans="1:19" hidden="1">
      <c r="A62">
        <v>1313300921</v>
      </c>
      <c r="B62" t="s">
        <v>495</v>
      </c>
      <c r="C62" s="214">
        <v>-59565</v>
      </c>
      <c r="D62">
        <v>0</v>
      </c>
      <c r="E62">
        <v>0</v>
      </c>
      <c r="F62">
        <v>0</v>
      </c>
      <c r="G62" s="214">
        <v>-65000</v>
      </c>
      <c r="H62" s="251">
        <f>VLOOKUP(A62,הכנסות!$B$2:$V$259,21,0)</f>
        <v>0</v>
      </c>
      <c r="K62" s="251"/>
    </row>
    <row r="63" spans="1:19" hidden="1">
      <c r="A63">
        <v>1313300922</v>
      </c>
      <c r="B63" t="s">
        <v>496</v>
      </c>
      <c r="C63" s="214">
        <v>-15576</v>
      </c>
      <c r="D63">
        <v>0</v>
      </c>
      <c r="E63">
        <v>0</v>
      </c>
      <c r="F63">
        <v>0</v>
      </c>
      <c r="G63" s="214">
        <v>-17000</v>
      </c>
      <c r="H63" s="251">
        <f>VLOOKUP(A63,הכנסות!$B$2:$V$259,21,0)</f>
        <v>0</v>
      </c>
      <c r="K63" s="251"/>
    </row>
    <row r="64" spans="1:19" hidden="1">
      <c r="A64">
        <v>1313300925</v>
      </c>
      <c r="B64" t="s">
        <v>499</v>
      </c>
      <c r="C64" s="214">
        <v>-348194</v>
      </c>
      <c r="D64" s="251">
        <v>-266723.28000000003</v>
      </c>
      <c r="E64">
        <v>0</v>
      </c>
      <c r="F64" s="251">
        <v>-266723.28000000003</v>
      </c>
      <c r="G64" s="214">
        <v>-380000</v>
      </c>
      <c r="H64" s="251">
        <f>VLOOKUP(A64,הכנסות!$B$2:$V$259,21,0)</f>
        <v>302000</v>
      </c>
      <c r="J64" s="251"/>
      <c r="K64" s="251"/>
      <c r="Q64" s="251"/>
      <c r="S64" s="251"/>
    </row>
    <row r="65" spans="1:19" hidden="1">
      <c r="A65">
        <v>1313300929</v>
      </c>
      <c r="B65" t="s">
        <v>501</v>
      </c>
      <c r="C65" s="214">
        <v>-146608</v>
      </c>
      <c r="D65" s="251">
        <v>-146284.54999999999</v>
      </c>
      <c r="E65">
        <v>0</v>
      </c>
      <c r="F65" s="251">
        <v>-146284.54999999999</v>
      </c>
      <c r="G65" s="214">
        <v>-160000</v>
      </c>
      <c r="H65" s="251">
        <f>VLOOKUP(A65,הכנסות!$B$2:$V$259,21,0)</f>
        <v>164000</v>
      </c>
      <c r="J65" s="251"/>
      <c r="K65" s="251"/>
      <c r="Q65" s="251"/>
      <c r="S65" s="251"/>
    </row>
    <row r="66" spans="1:19" hidden="1">
      <c r="A66">
        <v>1313600420</v>
      </c>
      <c r="B66" t="s">
        <v>1691</v>
      </c>
      <c r="C66">
        <v>0</v>
      </c>
      <c r="D66" s="251">
        <v>-3330</v>
      </c>
      <c r="E66">
        <v>0</v>
      </c>
      <c r="F66" s="251">
        <v>-3330</v>
      </c>
      <c r="G66">
        <v>0</v>
      </c>
      <c r="H66" s="251">
        <f>VLOOKUP(A66,הכנסות!$B$2:$V$259,21,0)</f>
        <v>15000</v>
      </c>
      <c r="J66" s="251"/>
      <c r="K66" s="251"/>
      <c r="Q66" s="251"/>
      <c r="S66" s="251"/>
    </row>
    <row r="67" spans="1:19" hidden="1">
      <c r="A67">
        <v>1313800920</v>
      </c>
      <c r="B67" t="s">
        <v>1692</v>
      </c>
      <c r="C67" s="214">
        <v>-549780</v>
      </c>
      <c r="D67" s="251">
        <v>-1307933.1299999999</v>
      </c>
      <c r="E67">
        <v>0</v>
      </c>
      <c r="F67" s="251">
        <v>-1307933.1299999999</v>
      </c>
      <c r="G67" s="214">
        <v>-600000</v>
      </c>
      <c r="H67" s="251">
        <f>VLOOKUP(A67,הכנסות!$B$2:$V$259,21,0)</f>
        <v>700000</v>
      </c>
      <c r="J67" s="251"/>
      <c r="K67" s="251"/>
      <c r="Q67" s="251"/>
      <c r="S67" s="251"/>
    </row>
    <row r="68" spans="1:19" hidden="1">
      <c r="A68">
        <v>1314000920</v>
      </c>
      <c r="B68" t="s">
        <v>502</v>
      </c>
      <c r="C68" s="214">
        <v>-1924230</v>
      </c>
      <c r="D68" s="251">
        <v>-1869194.56</v>
      </c>
      <c r="E68">
        <v>0</v>
      </c>
      <c r="F68" s="251">
        <v>-1869194.56</v>
      </c>
      <c r="G68" s="214">
        <v>-2100000</v>
      </c>
      <c r="H68" s="251">
        <f>VLOOKUP(A68,הכנסות!$B$2:$V$259,21,0)</f>
        <v>2100000</v>
      </c>
      <c r="J68" s="251"/>
      <c r="K68" s="251"/>
      <c r="Q68" s="251"/>
      <c r="S68" s="251"/>
    </row>
    <row r="69" spans="1:19" hidden="1">
      <c r="A69">
        <v>1314000924</v>
      </c>
      <c r="B69" t="s">
        <v>506</v>
      </c>
      <c r="C69" s="214">
        <v>-27489</v>
      </c>
      <c r="D69">
        <v>0</v>
      </c>
      <c r="E69">
        <v>0</v>
      </c>
      <c r="F69">
        <v>0</v>
      </c>
      <c r="G69" s="214">
        <v>-30000</v>
      </c>
      <c r="H69" s="251">
        <f>VLOOKUP(A69,הכנסות!$B$2:$V$259,21,0)</f>
        <v>0</v>
      </c>
      <c r="K69" s="251"/>
    </row>
    <row r="70" spans="1:19" hidden="1">
      <c r="A70">
        <v>1315200920</v>
      </c>
      <c r="B70" t="s">
        <v>509</v>
      </c>
      <c r="C70" s="214">
        <v>-2959649</v>
      </c>
      <c r="D70" s="251">
        <v>-232456.86</v>
      </c>
      <c r="E70">
        <v>0</v>
      </c>
      <c r="F70" s="251">
        <v>-232456.86</v>
      </c>
      <c r="G70" s="214">
        <v>-3230000</v>
      </c>
      <c r="H70" s="251">
        <f>VLOOKUP(A70,הכנסות!$B$2:$V$259,21,0)</f>
        <v>260000</v>
      </c>
      <c r="J70" s="251"/>
      <c r="K70" s="251"/>
      <c r="Q70" s="251"/>
      <c r="S70" s="251"/>
    </row>
    <row r="71" spans="1:19" hidden="1">
      <c r="A71">
        <v>1315200922</v>
      </c>
      <c r="B71" t="s">
        <v>511</v>
      </c>
      <c r="C71" s="214">
        <v>-13750</v>
      </c>
      <c r="D71">
        <v>0</v>
      </c>
      <c r="E71">
        <v>0</v>
      </c>
      <c r="F71">
        <v>0</v>
      </c>
      <c r="G71" s="214">
        <v>-15000</v>
      </c>
      <c r="H71" s="251">
        <f>VLOOKUP(A71,הכנסות!$B$2:$V$259,21,0)</f>
        <v>0</v>
      </c>
      <c r="K71" s="251"/>
    </row>
    <row r="72" spans="1:19" hidden="1">
      <c r="A72">
        <v>1315201920</v>
      </c>
      <c r="B72" t="s">
        <v>517</v>
      </c>
      <c r="C72" s="214">
        <v>-5195421</v>
      </c>
      <c r="D72" s="251">
        <v>-5404323.7400000002</v>
      </c>
      <c r="E72">
        <v>0</v>
      </c>
      <c r="F72" s="251">
        <v>-5404323.7400000002</v>
      </c>
      <c r="G72" s="214">
        <v>-5670000</v>
      </c>
      <c r="H72" s="251">
        <f>VLOOKUP(A72,הכנסות!$B$2:$V$259,21,0)</f>
        <v>5900000</v>
      </c>
      <c r="J72" s="251"/>
      <c r="K72" s="251"/>
      <c r="Q72" s="251"/>
      <c r="S72" s="251"/>
    </row>
    <row r="73" spans="1:19" hidden="1">
      <c r="A73">
        <v>1315202920</v>
      </c>
      <c r="B73" t="s">
        <v>518</v>
      </c>
      <c r="C73" s="214">
        <v>-299629</v>
      </c>
      <c r="D73" s="251">
        <v>-329013.69</v>
      </c>
      <c r="E73">
        <v>0</v>
      </c>
      <c r="F73" s="251">
        <v>-329013.69</v>
      </c>
      <c r="G73" s="214">
        <v>-327000</v>
      </c>
      <c r="H73" s="251">
        <f>VLOOKUP(A73,הכנסות!$B$2:$V$259,21,0)</f>
        <v>340000</v>
      </c>
      <c r="J73" s="251"/>
      <c r="K73" s="251"/>
      <c r="Q73" s="251"/>
      <c r="S73" s="251"/>
    </row>
    <row r="74" spans="1:19" hidden="1">
      <c r="A74">
        <v>1315203920</v>
      </c>
      <c r="B74" t="s">
        <v>519</v>
      </c>
      <c r="C74" s="214">
        <v>-6413</v>
      </c>
      <c r="D74" s="251">
        <v>-56317.8</v>
      </c>
      <c r="E74">
        <v>0</v>
      </c>
      <c r="F74" s="251">
        <v>-56317.8</v>
      </c>
      <c r="G74" s="214">
        <v>-7000</v>
      </c>
      <c r="H74" s="251">
        <f>VLOOKUP(A74,הכנסות!$B$2:$V$259,21,0)</f>
        <v>65000</v>
      </c>
      <c r="J74" s="251"/>
      <c r="K74" s="251"/>
      <c r="Q74" s="251"/>
      <c r="S74" s="251"/>
    </row>
    <row r="75" spans="1:19" hidden="1">
      <c r="A75">
        <v>1315206920</v>
      </c>
      <c r="B75" t="s">
        <v>522</v>
      </c>
      <c r="C75" s="214">
        <v>-38489</v>
      </c>
      <c r="D75">
        <v>0</v>
      </c>
      <c r="E75">
        <v>0</v>
      </c>
      <c r="F75">
        <v>0</v>
      </c>
      <c r="G75" s="214">
        <v>-42000</v>
      </c>
      <c r="H75" s="251">
        <f>VLOOKUP(A75,הכנסות!$B$2:$V$259,21,0)</f>
        <v>0</v>
      </c>
      <c r="K75" s="251"/>
    </row>
    <row r="76" spans="1:19" hidden="1">
      <c r="A76">
        <v>1315209920</v>
      </c>
      <c r="B76" t="s">
        <v>2010</v>
      </c>
      <c r="C76">
        <v>0</v>
      </c>
      <c r="D76" s="251">
        <v>-415437.82</v>
      </c>
      <c r="E76">
        <v>0</v>
      </c>
      <c r="F76" s="251">
        <v>-415437.82</v>
      </c>
      <c r="G76">
        <v>0</v>
      </c>
      <c r="H76" s="251">
        <f>VLOOKUP(A76,הכנסות!$B$2:$V$259,21,0)</f>
        <v>460000</v>
      </c>
      <c r="J76" s="251"/>
      <c r="K76" s="251"/>
      <c r="Q76" s="251"/>
      <c r="S76" s="251"/>
    </row>
    <row r="77" spans="1:19">
      <c r="A77">
        <v>1315210920</v>
      </c>
      <c r="B77" t="s">
        <v>510</v>
      </c>
      <c r="C77">
        <v>0</v>
      </c>
      <c r="D77" s="251">
        <v>-4032.54</v>
      </c>
      <c r="E77">
        <v>0</v>
      </c>
      <c r="F77" s="251">
        <v>-4032.54</v>
      </c>
      <c r="G77">
        <v>0</v>
      </c>
      <c r="H77" s="251">
        <f>VLOOKUP(A77,הכנסות!$B$2:$V$259,21,0)</f>
        <v>5000</v>
      </c>
      <c r="J77" s="251"/>
      <c r="K77" s="251"/>
      <c r="Q77" s="251"/>
      <c r="S77" s="251"/>
    </row>
    <row r="78" spans="1:19">
      <c r="A78">
        <v>1315211920</v>
      </c>
      <c r="B78" t="s">
        <v>2011</v>
      </c>
      <c r="C78">
        <v>0</v>
      </c>
      <c r="D78" s="251">
        <v>-11072</v>
      </c>
      <c r="E78">
        <v>0</v>
      </c>
      <c r="F78" s="251">
        <v>-11072</v>
      </c>
      <c r="G78">
        <v>0</v>
      </c>
      <c r="H78" s="251">
        <f>VLOOKUP(A78,הכנסות!$B$2:$V$259,21,0)</f>
        <v>11000</v>
      </c>
      <c r="J78" s="251"/>
      <c r="K78" s="251"/>
      <c r="Q78" s="251"/>
      <c r="S78" s="251"/>
    </row>
    <row r="79" spans="1:19">
      <c r="A79">
        <v>1315212920</v>
      </c>
      <c r="B79" t="s">
        <v>506</v>
      </c>
      <c r="C79">
        <v>0</v>
      </c>
      <c r="D79" s="251">
        <v>-8688.6</v>
      </c>
      <c r="E79">
        <v>0</v>
      </c>
      <c r="F79" s="251">
        <v>-8688.6</v>
      </c>
      <c r="G79">
        <v>0</v>
      </c>
      <c r="H79" s="251">
        <f>VLOOKUP(A79,הכנסות!$B$2:$V$259,21,0)</f>
        <v>9000</v>
      </c>
      <c r="J79" s="251"/>
      <c r="K79" s="251"/>
      <c r="Q79" s="251"/>
      <c r="S79" s="251"/>
    </row>
    <row r="80" spans="1:19">
      <c r="A80">
        <v>1315213920</v>
      </c>
      <c r="B80" t="s">
        <v>512</v>
      </c>
      <c r="C80">
        <v>0</v>
      </c>
      <c r="D80" s="251">
        <v>-114075.52</v>
      </c>
      <c r="E80">
        <v>0</v>
      </c>
      <c r="F80" s="251">
        <v>-114075.52</v>
      </c>
      <c r="G80">
        <v>0</v>
      </c>
      <c r="H80" s="251">
        <f>VLOOKUP(A80,הכנסות!$B$2:$V$259,21,0)</f>
        <v>120000</v>
      </c>
      <c r="J80" s="251"/>
      <c r="K80" s="251"/>
      <c r="Q80" s="251"/>
      <c r="S80" s="251"/>
    </row>
    <row r="81" spans="1:19">
      <c r="A81">
        <v>1315214920</v>
      </c>
      <c r="B81" t="s">
        <v>513</v>
      </c>
      <c r="C81">
        <v>0</v>
      </c>
      <c r="D81" s="251">
        <v>-182030.89</v>
      </c>
      <c r="E81">
        <v>0</v>
      </c>
      <c r="F81" s="251">
        <v>-182030.89</v>
      </c>
      <c r="G81">
        <v>0</v>
      </c>
      <c r="H81" s="251">
        <f>VLOOKUP(A81,הכנסות!$B$2:$V$259,21,0)</f>
        <v>200000</v>
      </c>
      <c r="J81" s="251"/>
      <c r="K81" s="251"/>
      <c r="Q81" s="251"/>
      <c r="S81" s="251"/>
    </row>
    <row r="82" spans="1:19">
      <c r="A82">
        <v>1315215920</v>
      </c>
      <c r="B82" t="s">
        <v>514</v>
      </c>
      <c r="C82">
        <v>0</v>
      </c>
      <c r="D82">
        <v>-59.4</v>
      </c>
      <c r="E82">
        <v>0</v>
      </c>
      <c r="F82">
        <v>-59.4</v>
      </c>
      <c r="G82">
        <v>0</v>
      </c>
      <c r="H82" s="251">
        <f>VLOOKUP(A82,הכנסות!$B$2:$V$259,21,0)</f>
        <v>0</v>
      </c>
    </row>
    <row r="83" spans="1:19">
      <c r="A83">
        <v>1315218920</v>
      </c>
      <c r="B83" t="s">
        <v>2012</v>
      </c>
      <c r="C83">
        <v>0</v>
      </c>
      <c r="D83" s="251">
        <v>-192863.16</v>
      </c>
      <c r="E83">
        <v>0</v>
      </c>
      <c r="F83" s="251">
        <v>-192863.16</v>
      </c>
      <c r="G83">
        <v>0</v>
      </c>
      <c r="H83" s="251">
        <f>VLOOKUP(A83,הכנסות!$B$2:$V$259,21,0)</f>
        <v>209000</v>
      </c>
      <c r="J83" s="251"/>
      <c r="K83" s="251"/>
      <c r="Q83" s="251"/>
      <c r="S83" s="251"/>
    </row>
    <row r="84" spans="1:19" hidden="1">
      <c r="A84">
        <v>1315219920</v>
      </c>
      <c r="B84" t="s">
        <v>2013</v>
      </c>
      <c r="C84">
        <v>0</v>
      </c>
      <c r="D84" s="251">
        <v>-12371.01</v>
      </c>
      <c r="E84">
        <v>0</v>
      </c>
      <c r="F84" s="251">
        <v>-12371.01</v>
      </c>
      <c r="G84">
        <v>0</v>
      </c>
      <c r="H84" s="251">
        <f>VLOOKUP(A84,הכנסות!$B$2:$V$259,21,0)</f>
        <v>14000</v>
      </c>
      <c r="J84" s="251"/>
      <c r="K84" s="251"/>
      <c r="Q84" s="251"/>
      <c r="S84" s="251"/>
    </row>
    <row r="85" spans="1:19" hidden="1">
      <c r="A85">
        <v>1315220920</v>
      </c>
      <c r="B85" t="s">
        <v>2014</v>
      </c>
      <c r="C85">
        <v>0</v>
      </c>
      <c r="D85" s="251">
        <v>-986946.41</v>
      </c>
      <c r="E85">
        <v>0</v>
      </c>
      <c r="F85" s="251">
        <v>-986946.41</v>
      </c>
      <c r="G85">
        <v>0</v>
      </c>
      <c r="H85" s="251">
        <f>VLOOKUP(A85,הכנסות!$B$2:$V$259,21,0)</f>
        <v>1000000</v>
      </c>
      <c r="J85" s="251"/>
      <c r="K85" s="251"/>
      <c r="Q85" s="251"/>
      <c r="S85" s="251"/>
    </row>
    <row r="86" spans="1:19" hidden="1">
      <c r="A86">
        <v>1315221920</v>
      </c>
      <c r="B86" t="s">
        <v>2015</v>
      </c>
      <c r="C86">
        <v>0</v>
      </c>
      <c r="D86" s="251">
        <v>-6541.16</v>
      </c>
      <c r="E86">
        <v>0</v>
      </c>
      <c r="F86" s="251">
        <v>-6541.16</v>
      </c>
      <c r="G86">
        <v>0</v>
      </c>
      <c r="H86" s="251">
        <f>VLOOKUP(A86,הכנסות!$B$2:$V$259,21,0)</f>
        <v>7500</v>
      </c>
      <c r="J86" s="251"/>
      <c r="K86" s="251"/>
      <c r="Q86" s="251"/>
      <c r="S86" s="251"/>
    </row>
    <row r="87" spans="1:19" hidden="1">
      <c r="A87">
        <v>1315222920</v>
      </c>
      <c r="B87" t="s">
        <v>2016</v>
      </c>
      <c r="C87">
        <v>0</v>
      </c>
      <c r="D87" s="251">
        <v>-51986.62</v>
      </c>
      <c r="E87">
        <v>0</v>
      </c>
      <c r="F87" s="251">
        <v>-51986.62</v>
      </c>
      <c r="G87">
        <v>0</v>
      </c>
      <c r="H87" s="251">
        <f>VLOOKUP(A87,הכנסות!$B$2:$V$259,21,0)</f>
        <v>56712.676363636368</v>
      </c>
      <c r="J87" s="251"/>
      <c r="K87" s="251"/>
      <c r="Q87" s="251"/>
      <c r="S87" s="251"/>
    </row>
    <row r="88" spans="1:19" hidden="1">
      <c r="A88">
        <v>1315223920</v>
      </c>
      <c r="B88" t="s">
        <v>1916</v>
      </c>
      <c r="C88">
        <v>0</v>
      </c>
      <c r="D88" s="251">
        <v>-478632.29</v>
      </c>
      <c r="E88">
        <v>0</v>
      </c>
      <c r="F88" s="251">
        <v>-478632.29</v>
      </c>
      <c r="G88">
        <v>0</v>
      </c>
      <c r="H88" s="251">
        <f>VLOOKUP(A88,הכנסות!$B$2:$V$259,21,0)</f>
        <v>522144.31636363635</v>
      </c>
      <c r="J88" s="251"/>
      <c r="K88" s="251"/>
      <c r="Q88" s="251"/>
      <c r="S88" s="251"/>
    </row>
    <row r="89" spans="1:19" hidden="1">
      <c r="A89">
        <v>1315224920</v>
      </c>
      <c r="B89" t="s">
        <v>1906</v>
      </c>
      <c r="C89">
        <v>0</v>
      </c>
      <c r="D89" s="251">
        <v>-71194.41</v>
      </c>
      <c r="E89">
        <v>0</v>
      </c>
      <c r="F89" s="251">
        <v>-71194.41</v>
      </c>
      <c r="G89">
        <v>0</v>
      </c>
      <c r="H89" s="251">
        <f>VLOOKUP(A89,הכנסות!$B$2:$V$259,21,0)</f>
        <v>77666.629090909089</v>
      </c>
      <c r="J89" s="251"/>
      <c r="K89" s="251"/>
      <c r="Q89" s="251"/>
      <c r="S89" s="251"/>
    </row>
    <row r="90" spans="1:19" hidden="1">
      <c r="A90">
        <v>1315225920</v>
      </c>
      <c r="B90" t="s">
        <v>2017</v>
      </c>
      <c r="C90">
        <v>0</v>
      </c>
      <c r="D90" s="251">
        <v>-29408.59</v>
      </c>
      <c r="E90">
        <v>0</v>
      </c>
      <c r="F90" s="251">
        <v>-29408.59</v>
      </c>
      <c r="G90">
        <v>0</v>
      </c>
      <c r="H90" s="251">
        <f>VLOOKUP(A90,הכנסות!$B$2:$V$259,21,0)</f>
        <v>32082.098181818183</v>
      </c>
      <c r="J90" s="251"/>
      <c r="K90" s="251"/>
      <c r="Q90" s="251"/>
      <c r="S90" s="251"/>
    </row>
    <row r="91" spans="1:19" hidden="1">
      <c r="A91">
        <v>1315226920</v>
      </c>
      <c r="B91" t="s">
        <v>1919</v>
      </c>
      <c r="C91">
        <v>0</v>
      </c>
      <c r="D91" s="251">
        <v>-9166.6299999999992</v>
      </c>
      <c r="E91">
        <v>0</v>
      </c>
      <c r="F91" s="251">
        <v>-9166.6299999999992</v>
      </c>
      <c r="G91">
        <v>0</v>
      </c>
      <c r="H91" s="251">
        <f>VLOOKUP(A91,הכנסות!$B$2:$V$259,21,0)</f>
        <v>9999.9599999999991</v>
      </c>
      <c r="J91" s="251"/>
      <c r="K91" s="251"/>
      <c r="Q91" s="251"/>
      <c r="S91" s="251"/>
    </row>
    <row r="92" spans="1:19" hidden="1">
      <c r="A92">
        <v>1315227920</v>
      </c>
      <c r="B92" t="s">
        <v>2018</v>
      </c>
      <c r="C92">
        <v>0</v>
      </c>
      <c r="D92" s="251">
        <v>-28228.91</v>
      </c>
      <c r="E92">
        <v>0</v>
      </c>
      <c r="F92" s="251">
        <v>-28228.91</v>
      </c>
      <c r="G92">
        <v>0</v>
      </c>
      <c r="H92" s="251">
        <f>VLOOKUP(A92,הכנסות!$B$2:$V$259,21,0)</f>
        <v>30795.174545454545</v>
      </c>
      <c r="J92" s="251"/>
      <c r="K92" s="251"/>
      <c r="Q92" s="251"/>
      <c r="S92" s="251"/>
    </row>
    <row r="93" spans="1:19">
      <c r="A93">
        <v>1315228920</v>
      </c>
      <c r="B93" t="s">
        <v>1907</v>
      </c>
      <c r="C93">
        <v>0</v>
      </c>
      <c r="D93" s="251">
        <v>-208170.74</v>
      </c>
      <c r="E93">
        <v>0</v>
      </c>
      <c r="F93" s="251">
        <v>-208170.74</v>
      </c>
      <c r="G93">
        <v>0</v>
      </c>
      <c r="H93" s="251">
        <f>VLOOKUP(A93,הכנסות!$B$2:$V$259,21,0)</f>
        <v>227095.35272727272</v>
      </c>
      <c r="J93" s="251"/>
      <c r="K93" s="251"/>
      <c r="Q93" s="251"/>
      <c r="S93" s="251"/>
    </row>
    <row r="94" spans="1:19">
      <c r="A94">
        <v>1315229920</v>
      </c>
      <c r="B94" t="s">
        <v>2019</v>
      </c>
      <c r="C94">
        <v>0</v>
      </c>
      <c r="D94" s="251">
        <v>-233601.97</v>
      </c>
      <c r="E94">
        <v>0</v>
      </c>
      <c r="F94" s="251">
        <v>-233601.97</v>
      </c>
      <c r="G94">
        <v>0</v>
      </c>
      <c r="H94" s="251">
        <f>VLOOKUP(A94,הכנסות!$B$2:$V$259,21,0)</f>
        <v>254838.51272727273</v>
      </c>
      <c r="J94" s="251"/>
      <c r="K94" s="251"/>
      <c r="Q94" s="251"/>
      <c r="S94" s="251"/>
    </row>
    <row r="95" spans="1:19">
      <c r="A95">
        <v>1315230920</v>
      </c>
      <c r="B95" t="s">
        <v>2020</v>
      </c>
      <c r="C95">
        <v>0</v>
      </c>
      <c r="D95" s="251">
        <v>-37021.31</v>
      </c>
      <c r="E95">
        <v>0</v>
      </c>
      <c r="F95" s="251">
        <v>-37021.31</v>
      </c>
      <c r="G95">
        <v>0</v>
      </c>
      <c r="H95" s="251">
        <f>VLOOKUP(A95,הכנסות!$B$2:$V$259,21,0)</f>
        <v>40386.883636363636</v>
      </c>
      <c r="J95" s="251"/>
      <c r="K95" s="251"/>
      <c r="Q95" s="251"/>
      <c r="S95" s="251"/>
    </row>
    <row r="96" spans="1:19">
      <c r="A96">
        <v>1315231920</v>
      </c>
      <c r="B96" t="s">
        <v>1910</v>
      </c>
      <c r="C96">
        <v>0</v>
      </c>
      <c r="D96" s="251">
        <v>5093.12</v>
      </c>
      <c r="E96">
        <v>0</v>
      </c>
      <c r="F96" s="251">
        <v>5093.12</v>
      </c>
      <c r="G96">
        <v>0</v>
      </c>
      <c r="H96" s="251">
        <f>VLOOKUP(A96,הכנסות!$B$2:$V$259,21,0)</f>
        <v>0</v>
      </c>
      <c r="Q96" s="251"/>
    </row>
    <row r="97" spans="1:19">
      <c r="A97">
        <v>1315232920</v>
      </c>
      <c r="B97" t="s">
        <v>2021</v>
      </c>
      <c r="C97">
        <v>0</v>
      </c>
      <c r="D97" s="251">
        <v>-30476.720000000001</v>
      </c>
      <c r="E97">
        <v>0</v>
      </c>
      <c r="F97" s="251">
        <v>-30476.720000000001</v>
      </c>
      <c r="G97">
        <v>0</v>
      </c>
      <c r="H97" s="251">
        <f>VLOOKUP(A97,הכנסות!$B$2:$V$259,21,0)</f>
        <v>33247.33090909091</v>
      </c>
      <c r="J97" s="251"/>
      <c r="K97" s="251"/>
      <c r="Q97" s="251"/>
      <c r="S97" s="251"/>
    </row>
    <row r="98" spans="1:19">
      <c r="A98">
        <v>1315233920</v>
      </c>
      <c r="B98" t="s">
        <v>2022</v>
      </c>
      <c r="C98">
        <v>0</v>
      </c>
      <c r="D98" s="251">
        <v>-1229286.44</v>
      </c>
      <c r="E98">
        <v>0</v>
      </c>
      <c r="F98" s="251">
        <v>-1229286.44</v>
      </c>
      <c r="G98">
        <v>0</v>
      </c>
      <c r="H98" s="251">
        <f>VLOOKUP(A98,הכנסות!$B$2:$V$259,21,0)</f>
        <v>1341039.7527272727</v>
      </c>
      <c r="J98" s="251"/>
      <c r="K98" s="251"/>
      <c r="Q98" s="251"/>
      <c r="S98" s="251"/>
    </row>
    <row r="99" spans="1:19" hidden="1">
      <c r="A99">
        <v>1317100990</v>
      </c>
      <c r="B99" t="s">
        <v>524</v>
      </c>
      <c r="C99" s="214">
        <v>-311542</v>
      </c>
      <c r="D99" s="251">
        <v>-334200.93</v>
      </c>
      <c r="E99">
        <v>0</v>
      </c>
      <c r="F99" s="251">
        <v>-334200.93</v>
      </c>
      <c r="G99" s="214">
        <v>-340000</v>
      </c>
      <c r="H99" s="251">
        <f>VLOOKUP(A99,הכנסות!$B$2:$V$259,21,0)</f>
        <v>364582.83272727276</v>
      </c>
      <c r="J99" s="251"/>
      <c r="K99" s="251"/>
      <c r="Q99" s="251"/>
      <c r="S99" s="251"/>
    </row>
    <row r="100" spans="1:19" hidden="1">
      <c r="A100">
        <v>1317301920</v>
      </c>
      <c r="B100" t="s">
        <v>2023</v>
      </c>
      <c r="C100" s="214">
        <v>-643247</v>
      </c>
      <c r="D100" s="251">
        <v>-675880.88</v>
      </c>
      <c r="E100">
        <v>0</v>
      </c>
      <c r="F100" s="251">
        <v>-675880.88</v>
      </c>
      <c r="G100" s="214">
        <v>-702000</v>
      </c>
      <c r="H100" s="251">
        <f>VLOOKUP(A100,הכנסות!$B$2:$V$259,21,0)</f>
        <v>737324.59636363643</v>
      </c>
      <c r="J100" s="251"/>
      <c r="K100" s="251"/>
      <c r="Q100" s="251"/>
      <c r="S100" s="251"/>
    </row>
    <row r="101" spans="1:19" hidden="1">
      <c r="A101">
        <v>1317302920</v>
      </c>
      <c r="B101" t="s">
        <v>526</v>
      </c>
      <c r="C101" s="214">
        <v>-50402</v>
      </c>
      <c r="D101" s="251">
        <v>-41357.4</v>
      </c>
      <c r="E101">
        <v>0</v>
      </c>
      <c r="F101" s="251">
        <v>-41357.4</v>
      </c>
      <c r="G101" s="214">
        <v>-55000</v>
      </c>
      <c r="H101" s="251">
        <f>VLOOKUP(A101,הכנסות!$B$2:$V$259,21,0)</f>
        <v>45117.163636363643</v>
      </c>
      <c r="J101" s="251"/>
      <c r="K101" s="251"/>
      <c r="Q101" s="251"/>
      <c r="S101" s="251"/>
    </row>
    <row r="102" spans="1:19" hidden="1">
      <c r="A102">
        <v>1317610920</v>
      </c>
      <c r="B102" t="s">
        <v>527</v>
      </c>
      <c r="C102" s="214">
        <v>-183260</v>
      </c>
      <c r="D102" s="251">
        <v>-40620</v>
      </c>
      <c r="E102">
        <v>0</v>
      </c>
      <c r="F102" s="251">
        <v>-40620</v>
      </c>
      <c r="G102" s="214">
        <v>-200000</v>
      </c>
      <c r="H102" s="251">
        <f>VLOOKUP(A102,הכנסות!$B$2:$V$259,21,0)</f>
        <v>90000</v>
      </c>
      <c r="J102" s="251"/>
      <c r="K102" s="251"/>
      <c r="Q102" s="251"/>
      <c r="S102" s="251"/>
    </row>
    <row r="103" spans="1:19" hidden="1">
      <c r="A103">
        <v>1317710920</v>
      </c>
      <c r="B103" t="s">
        <v>535</v>
      </c>
      <c r="C103" s="214">
        <v>-144771</v>
      </c>
      <c r="D103" s="251">
        <v>-231860.14</v>
      </c>
      <c r="E103">
        <v>0</v>
      </c>
      <c r="F103" s="251">
        <v>-231860.14</v>
      </c>
      <c r="G103" s="214">
        <v>-158000</v>
      </c>
      <c r="H103" s="251">
        <f>VLOOKUP(A103,הכנסות!$B$2:$V$259,21,0)</f>
        <v>252938.33454545456</v>
      </c>
      <c r="J103" s="251"/>
      <c r="K103" s="251"/>
      <c r="Q103" s="251"/>
      <c r="S103" s="251"/>
    </row>
    <row r="104" spans="1:19" hidden="1">
      <c r="A104">
        <v>1317721920</v>
      </c>
      <c r="B104" t="s">
        <v>2024</v>
      </c>
      <c r="C104">
        <v>0</v>
      </c>
      <c r="D104" s="251">
        <v>-43091.21</v>
      </c>
      <c r="E104">
        <v>0</v>
      </c>
      <c r="F104" s="251">
        <v>-43091.21</v>
      </c>
      <c r="G104">
        <v>0</v>
      </c>
      <c r="H104" s="251">
        <f>VLOOKUP(A104,הכנסות!$B$2:$V$259,21,0)</f>
        <v>47008.592727272728</v>
      </c>
      <c r="J104" s="251"/>
      <c r="K104" s="251"/>
      <c r="Q104" s="251"/>
      <c r="S104" s="251"/>
    </row>
    <row r="105" spans="1:19" hidden="1">
      <c r="A105">
        <v>1317800920</v>
      </c>
      <c r="B105" t="s">
        <v>269</v>
      </c>
      <c r="C105">
        <v>0</v>
      </c>
      <c r="D105" s="251">
        <v>-61204.76</v>
      </c>
      <c r="E105">
        <v>0</v>
      </c>
      <c r="F105" s="251">
        <v>-61204.76</v>
      </c>
      <c r="G105">
        <v>0</v>
      </c>
      <c r="H105" s="251">
        <f>VLOOKUP(A105,הכנסות!$B$2:$V$259,21,0)</f>
        <v>66768.829090909087</v>
      </c>
      <c r="J105" s="251"/>
      <c r="K105" s="251"/>
      <c r="Q105" s="251"/>
      <c r="S105" s="251"/>
    </row>
    <row r="106" spans="1:19" hidden="1">
      <c r="A106">
        <v>1317810920</v>
      </c>
      <c r="B106" t="s">
        <v>537</v>
      </c>
      <c r="C106" s="214">
        <v>-1282820</v>
      </c>
      <c r="D106" s="251">
        <v>-856196.79</v>
      </c>
      <c r="E106">
        <v>0</v>
      </c>
      <c r="F106" s="251">
        <v>-856196.79</v>
      </c>
      <c r="G106" s="214">
        <v>-1400000</v>
      </c>
      <c r="H106" s="251">
        <f>VLOOKUP(A106,הכנסות!$B$2:$V$259,21,0)</f>
        <v>934032.86181818182</v>
      </c>
      <c r="J106" s="251"/>
      <c r="K106" s="251"/>
      <c r="Q106" s="251"/>
      <c r="S106" s="251"/>
    </row>
    <row r="107" spans="1:19" hidden="1">
      <c r="A107">
        <v>1317820690</v>
      </c>
      <c r="B107" t="s">
        <v>538</v>
      </c>
      <c r="C107" s="214">
        <v>-1218679</v>
      </c>
      <c r="D107" s="251">
        <v>-854564</v>
      </c>
      <c r="E107">
        <v>0</v>
      </c>
      <c r="F107" s="251">
        <v>-854564</v>
      </c>
      <c r="G107" s="214">
        <v>-1330000</v>
      </c>
      <c r="H107" s="251">
        <f>VLOOKUP(A107,הכנסות!$B$2:$V$259,21,0)</f>
        <v>3000000</v>
      </c>
      <c r="J107" s="251"/>
      <c r="K107" s="251"/>
      <c r="Q107" s="251"/>
      <c r="S107" s="251"/>
    </row>
    <row r="108" spans="1:19" hidden="1">
      <c r="A108">
        <v>1317820920</v>
      </c>
      <c r="B108" t="s">
        <v>539</v>
      </c>
      <c r="C108" s="214">
        <v>-563530</v>
      </c>
      <c r="D108" s="251">
        <v>-1314128.3999999999</v>
      </c>
      <c r="E108">
        <v>0</v>
      </c>
      <c r="F108" s="251">
        <v>-1314128.3999999999</v>
      </c>
      <c r="G108" s="214">
        <v>-615000</v>
      </c>
      <c r="H108" s="251">
        <f>VLOOKUP(A108,הכנסות!$B$2:$V$259,21,0)</f>
        <v>1433594.6181818182</v>
      </c>
      <c r="J108" s="251"/>
      <c r="K108" s="251"/>
      <c r="Q108" s="251"/>
      <c r="S108" s="251"/>
    </row>
    <row r="109" spans="1:19" hidden="1">
      <c r="A109">
        <v>1319100920</v>
      </c>
      <c r="B109" t="s">
        <v>1693</v>
      </c>
      <c r="C109" s="214">
        <v>-495682</v>
      </c>
      <c r="D109" s="251">
        <v>-241777.65</v>
      </c>
      <c r="E109">
        <v>0</v>
      </c>
      <c r="F109" s="251">
        <v>-241777.65</v>
      </c>
      <c r="G109" s="214">
        <v>-540963</v>
      </c>
      <c r="H109" s="251">
        <f>VLOOKUP(A109,הכנסות!$B$2:$V$259,21,0)</f>
        <v>234000</v>
      </c>
      <c r="J109" s="251"/>
      <c r="K109" s="251"/>
      <c r="Q109" s="251"/>
      <c r="S109" s="251"/>
    </row>
    <row r="110" spans="1:19" hidden="1">
      <c r="A110">
        <v>1324000920</v>
      </c>
      <c r="B110" t="s">
        <v>1696</v>
      </c>
      <c r="C110" s="214">
        <v>-45815</v>
      </c>
      <c r="D110" s="251">
        <v>1740</v>
      </c>
      <c r="E110">
        <v>0</v>
      </c>
      <c r="F110" s="251">
        <v>1740</v>
      </c>
      <c r="G110" s="214">
        <v>-50000</v>
      </c>
      <c r="H110" s="251">
        <f>VLOOKUP(A110,הכנסות!$B$2:$V$259,21,0)</f>
        <v>0</v>
      </c>
      <c r="J110" s="251"/>
      <c r="K110" s="251"/>
      <c r="Q110" s="251"/>
      <c r="S110" s="251"/>
    </row>
    <row r="111" spans="1:19" hidden="1">
      <c r="A111">
        <v>1328200750</v>
      </c>
      <c r="B111" t="s">
        <v>2001</v>
      </c>
      <c r="C111" s="214">
        <v>641410</v>
      </c>
      <c r="D111" s="251">
        <v>-697550.93</v>
      </c>
      <c r="E111">
        <v>0</v>
      </c>
      <c r="F111" s="251">
        <v>-697550.93</v>
      </c>
      <c r="G111" s="214">
        <v>700000</v>
      </c>
      <c r="H111" s="251">
        <f>VLOOKUP(A111,הכנסות!$B$2:$V$259,21,0)</f>
        <v>750000</v>
      </c>
      <c r="J111" s="251"/>
      <c r="K111" s="251"/>
      <c r="Q111" s="251"/>
      <c r="S111" s="251"/>
    </row>
    <row r="112" spans="1:19">
      <c r="A112">
        <v>1328300920</v>
      </c>
      <c r="B112" t="s">
        <v>1698</v>
      </c>
      <c r="C112">
        <v>0</v>
      </c>
      <c r="D112">
        <v>-323.02999999999997</v>
      </c>
      <c r="E112">
        <v>0</v>
      </c>
      <c r="F112">
        <v>-323.02999999999997</v>
      </c>
      <c r="G112">
        <v>0</v>
      </c>
      <c r="H112" s="251">
        <f>VLOOKUP(A112,הכנסות!$B$2:$V$259,21,0)</f>
        <v>0</v>
      </c>
    </row>
    <row r="113" spans="1:19" hidden="1">
      <c r="A113">
        <v>1328500920</v>
      </c>
      <c r="B113" t="s">
        <v>1658</v>
      </c>
      <c r="C113" s="214">
        <v>-811998</v>
      </c>
      <c r="D113" s="251">
        <v>-318854.53999999998</v>
      </c>
      <c r="E113">
        <v>0</v>
      </c>
      <c r="F113" s="251">
        <v>-318854.53999999998</v>
      </c>
      <c r="G113" s="214">
        <v>-886166</v>
      </c>
      <c r="H113" s="251">
        <f>VLOOKUP(A113,הכנסות!$B$2:$V$259,21,0)</f>
        <v>0</v>
      </c>
      <c r="J113" s="251"/>
      <c r="K113" s="251"/>
      <c r="Q113" s="251"/>
      <c r="S113" s="251"/>
    </row>
    <row r="114" spans="1:19" hidden="1">
      <c r="A114">
        <v>1329000420</v>
      </c>
      <c r="B114" t="s">
        <v>1699</v>
      </c>
      <c r="C114" s="214">
        <v>-4587</v>
      </c>
      <c r="D114">
        <v>0</v>
      </c>
      <c r="E114">
        <v>0</v>
      </c>
      <c r="F114">
        <v>0</v>
      </c>
      <c r="G114" s="214">
        <v>-5000</v>
      </c>
      <c r="H114" s="251">
        <f>VLOOKUP(A114,הכנסות!$B$2:$V$259,21,0)</f>
        <v>0</v>
      </c>
      <c r="K114" s="251"/>
    </row>
    <row r="115" spans="1:19" hidden="1">
      <c r="A115">
        <v>1329200420</v>
      </c>
      <c r="B115" t="s">
        <v>543</v>
      </c>
      <c r="C115" s="214">
        <v>-1837</v>
      </c>
      <c r="D115">
        <v>0</v>
      </c>
      <c r="E115">
        <v>0</v>
      </c>
      <c r="F115">
        <v>0</v>
      </c>
      <c r="G115" s="214">
        <v>-2000</v>
      </c>
      <c r="H115" s="251">
        <f>VLOOKUP(A115,הכנסות!$B$2:$V$259,21,0)</f>
        <v>0</v>
      </c>
      <c r="K115" s="251"/>
    </row>
    <row r="116" spans="1:19" hidden="1">
      <c r="A116">
        <v>1329200650</v>
      </c>
      <c r="B116" t="s">
        <v>1700</v>
      </c>
      <c r="C116">
        <v>0</v>
      </c>
      <c r="D116" s="251">
        <v>-38800</v>
      </c>
      <c r="E116">
        <v>0</v>
      </c>
      <c r="F116" s="251">
        <v>-38800</v>
      </c>
      <c r="G116">
        <v>0</v>
      </c>
      <c r="H116" s="251">
        <f>VLOOKUP(A116,הכנסות!$B$2:$V$259,21,0)</f>
        <v>45000</v>
      </c>
      <c r="J116" s="251"/>
      <c r="K116" s="251"/>
      <c r="Q116" s="251"/>
      <c r="S116" s="251"/>
    </row>
    <row r="117" spans="1:19">
      <c r="A117">
        <v>1329200990</v>
      </c>
      <c r="B117" t="s">
        <v>544</v>
      </c>
      <c r="C117">
        <v>0</v>
      </c>
      <c r="D117" s="251">
        <v>-75515</v>
      </c>
      <c r="E117">
        <v>0</v>
      </c>
      <c r="F117" s="251">
        <v>-75515</v>
      </c>
      <c r="G117">
        <v>0</v>
      </c>
      <c r="H117" s="251">
        <f>VLOOKUP(A117,הכנסות!$B$2:$V$259,21,0)</f>
        <v>50000</v>
      </c>
      <c r="J117" s="251"/>
      <c r="K117" s="251"/>
      <c r="Q117" s="251"/>
      <c r="S117" s="251"/>
    </row>
    <row r="118" spans="1:19" hidden="1">
      <c r="A118">
        <v>1341000420</v>
      </c>
      <c r="B118" t="s">
        <v>547</v>
      </c>
      <c r="C118" s="214">
        <v>-6413</v>
      </c>
      <c r="D118" s="251">
        <v>-9322</v>
      </c>
      <c r="E118">
        <v>0</v>
      </c>
      <c r="F118" s="251">
        <v>-9322</v>
      </c>
      <c r="G118" s="214">
        <v>-7000</v>
      </c>
      <c r="H118" s="251">
        <f>VLOOKUP(A118,הכנסות!$B$2:$V$259,21,0)</f>
        <v>10000</v>
      </c>
      <c r="J118" s="251"/>
      <c r="K118" s="251"/>
      <c r="Q118" s="251"/>
      <c r="S118" s="251"/>
    </row>
    <row r="119" spans="1:19" hidden="1">
      <c r="A119">
        <v>1341001930</v>
      </c>
      <c r="B119" t="s">
        <v>548</v>
      </c>
      <c r="C119" s="214">
        <v>-1040919</v>
      </c>
      <c r="D119" s="251">
        <v>-1299404</v>
      </c>
      <c r="E119">
        <v>0</v>
      </c>
      <c r="F119" s="251">
        <v>-1299404</v>
      </c>
      <c r="G119" s="214">
        <v>-1136000</v>
      </c>
      <c r="H119" s="251">
        <f>VLOOKUP(A119,הכנסות!$B$2:$V$259,21,0)</f>
        <v>1500000</v>
      </c>
      <c r="J119" s="251"/>
      <c r="K119" s="251"/>
      <c r="Q119" s="251"/>
      <c r="S119" s="251"/>
    </row>
    <row r="120" spans="1:19" hidden="1">
      <c r="A120">
        <v>1341002930</v>
      </c>
      <c r="B120" t="s">
        <v>549</v>
      </c>
      <c r="C120" s="214">
        <v>-43065</v>
      </c>
      <c r="D120" s="251">
        <v>-35326</v>
      </c>
      <c r="E120">
        <v>0</v>
      </c>
      <c r="F120" s="251">
        <v>-35326</v>
      </c>
      <c r="G120" s="214">
        <v>-47000</v>
      </c>
      <c r="H120" s="251">
        <f>VLOOKUP(A120,הכנסות!$B$2:$V$259,21,0)</f>
        <v>38537.454545454544</v>
      </c>
      <c r="J120" s="251"/>
      <c r="K120" s="251"/>
      <c r="Q120" s="251"/>
      <c r="S120" s="251"/>
    </row>
    <row r="121" spans="1:19" hidden="1">
      <c r="A121">
        <v>1342202930</v>
      </c>
      <c r="B121" t="s">
        <v>550</v>
      </c>
      <c r="C121" s="214">
        <v>-130570</v>
      </c>
      <c r="D121" s="251">
        <v>-60487</v>
      </c>
      <c r="E121">
        <v>0</v>
      </c>
      <c r="F121" s="251">
        <v>-60487</v>
      </c>
      <c r="G121" s="214">
        <v>-142500</v>
      </c>
      <c r="H121" s="251">
        <f>VLOOKUP(A121,הכנסות!$B$2:$V$259,21,0)</f>
        <v>120000</v>
      </c>
      <c r="J121" s="251"/>
      <c r="K121" s="251"/>
      <c r="Q121" s="251"/>
      <c r="S121" s="251"/>
    </row>
    <row r="122" spans="1:19" hidden="1">
      <c r="A122">
        <v>1342206930</v>
      </c>
      <c r="B122" t="s">
        <v>323</v>
      </c>
      <c r="C122" s="214">
        <v>-84304</v>
      </c>
      <c r="D122" s="251">
        <v>-46785</v>
      </c>
      <c r="E122">
        <v>0</v>
      </c>
      <c r="F122" s="251">
        <v>-46785</v>
      </c>
      <c r="G122" s="214">
        <v>-92000</v>
      </c>
      <c r="H122" s="251">
        <f>VLOOKUP(A122,הכנסות!$B$2:$V$259,21,0)</f>
        <v>52500</v>
      </c>
      <c r="J122" s="251"/>
      <c r="K122" s="251"/>
      <c r="Q122" s="251"/>
      <c r="S122" s="251"/>
    </row>
    <row r="123" spans="1:19">
      <c r="A123">
        <v>1342208930</v>
      </c>
      <c r="B123" t="s">
        <v>2025</v>
      </c>
      <c r="C123">
        <v>0</v>
      </c>
      <c r="D123" s="251">
        <v>-5336</v>
      </c>
      <c r="E123">
        <v>0</v>
      </c>
      <c r="F123" s="251">
        <v>-5336</v>
      </c>
      <c r="G123">
        <v>0</v>
      </c>
      <c r="H123" s="251">
        <f>VLOOKUP(A123,הכנסות!$B$2:$V$259,21,0)</f>
        <v>6000</v>
      </c>
      <c r="J123" s="251"/>
      <c r="K123" s="251"/>
      <c r="Q123" s="251"/>
      <c r="S123" s="251"/>
    </row>
    <row r="124" spans="1:19" hidden="1">
      <c r="A124">
        <v>1342401930</v>
      </c>
      <c r="B124" t="s">
        <v>324</v>
      </c>
      <c r="C124" s="214">
        <v>-12826</v>
      </c>
      <c r="D124" s="251">
        <v>-11101</v>
      </c>
      <c r="E124">
        <v>0</v>
      </c>
      <c r="F124" s="251">
        <v>-11101</v>
      </c>
      <c r="G124" s="214">
        <v>-14000</v>
      </c>
      <c r="H124" s="251">
        <f>VLOOKUP(A124,הכנסות!$B$2:$V$259,21,0)</f>
        <v>13000</v>
      </c>
      <c r="J124" s="251"/>
      <c r="K124" s="251"/>
      <c r="Q124" s="251"/>
      <c r="S124" s="251"/>
    </row>
    <row r="125" spans="1:19" hidden="1">
      <c r="A125">
        <v>1343502930</v>
      </c>
      <c r="B125" t="s">
        <v>553</v>
      </c>
      <c r="C125" s="214">
        <v>-87967</v>
      </c>
      <c r="D125" s="251">
        <v>-593052</v>
      </c>
      <c r="E125">
        <v>0</v>
      </c>
      <c r="F125" s="251">
        <v>-593052</v>
      </c>
      <c r="G125" s="214">
        <v>-96000</v>
      </c>
      <c r="H125" s="251">
        <f>VLOOKUP(A125,הכנסות!$B$2:$V$259,21,0)</f>
        <v>180000</v>
      </c>
      <c r="J125" s="251"/>
      <c r="K125" s="251"/>
      <c r="Q125" s="251"/>
      <c r="S125" s="251"/>
    </row>
    <row r="126" spans="1:19" hidden="1">
      <c r="A126">
        <v>1343503930</v>
      </c>
      <c r="B126" t="s">
        <v>329</v>
      </c>
      <c r="C126" s="214">
        <v>-581856</v>
      </c>
      <c r="D126" s="251">
        <v>-722479</v>
      </c>
      <c r="E126">
        <v>0</v>
      </c>
      <c r="F126" s="251">
        <v>-722479</v>
      </c>
      <c r="G126" s="214">
        <v>-635000</v>
      </c>
      <c r="H126" s="251">
        <f>VLOOKUP(A126,הכנסות!$B$2:$V$259,21,0)</f>
        <v>850000</v>
      </c>
      <c r="J126" s="251"/>
      <c r="K126" s="251"/>
      <c r="Q126" s="251"/>
      <c r="S126" s="251"/>
    </row>
    <row r="127" spans="1:19" hidden="1">
      <c r="A127">
        <v>1343504930</v>
      </c>
      <c r="B127" t="s">
        <v>334</v>
      </c>
      <c r="C127" s="214">
        <v>-63228</v>
      </c>
      <c r="D127" s="251">
        <v>-100099</v>
      </c>
      <c r="E127">
        <v>0</v>
      </c>
      <c r="F127" s="251">
        <v>-100099</v>
      </c>
      <c r="G127" s="214">
        <v>-69000</v>
      </c>
      <c r="H127" s="251">
        <f>VLOOKUP(A127,הכנסות!$B$2:$V$259,21,0)</f>
        <v>115000</v>
      </c>
      <c r="J127" s="251"/>
      <c r="K127" s="251"/>
      <c r="Q127" s="251"/>
      <c r="S127" s="251"/>
    </row>
    <row r="128" spans="1:19" hidden="1">
      <c r="A128">
        <v>1343801930</v>
      </c>
      <c r="B128" t="s">
        <v>335</v>
      </c>
      <c r="C128" s="214">
        <v>-1903154</v>
      </c>
      <c r="D128" s="251">
        <v>-2131895</v>
      </c>
      <c r="E128">
        <v>0</v>
      </c>
      <c r="F128" s="251">
        <v>-2131895</v>
      </c>
      <c r="G128" s="214">
        <v>-2077000</v>
      </c>
      <c r="H128" s="251">
        <f>VLOOKUP(A128,הכנסות!$B$2:$V$259,21,0)</f>
        <v>2350000</v>
      </c>
      <c r="J128" s="251"/>
      <c r="K128" s="251"/>
      <c r="Q128" s="251"/>
      <c r="S128" s="251"/>
    </row>
    <row r="129" spans="1:19" hidden="1">
      <c r="A129">
        <v>1343900930</v>
      </c>
      <c r="B129" t="s">
        <v>1636</v>
      </c>
      <c r="C129" s="214">
        <v>-639122</v>
      </c>
      <c r="D129">
        <v>0</v>
      </c>
      <c r="E129">
        <v>0</v>
      </c>
      <c r="F129">
        <v>0</v>
      </c>
      <c r="G129" s="214">
        <v>-697500</v>
      </c>
      <c r="H129" s="251">
        <f>VLOOKUP(A129,הכנסות!$B$2:$V$259,21,0)</f>
        <v>0</v>
      </c>
      <c r="K129" s="251"/>
    </row>
    <row r="130" spans="1:19" hidden="1">
      <c r="A130">
        <v>1343901930</v>
      </c>
      <c r="B130" t="s">
        <v>338</v>
      </c>
      <c r="C130" s="214">
        <v>-963952</v>
      </c>
      <c r="D130" s="251">
        <v>-603609</v>
      </c>
      <c r="E130">
        <v>0</v>
      </c>
      <c r="F130" s="251">
        <v>-603609</v>
      </c>
      <c r="G130" s="214">
        <v>-1052000</v>
      </c>
      <c r="H130" s="251">
        <f>VLOOKUP(A130,הכנסות!$B$2:$V$259,21,0)</f>
        <v>1300000</v>
      </c>
      <c r="J130" s="251"/>
      <c r="K130" s="251"/>
      <c r="Q130" s="251"/>
      <c r="S130" s="251"/>
    </row>
    <row r="131" spans="1:19" hidden="1">
      <c r="A131">
        <v>1343901932</v>
      </c>
      <c r="B131" t="s">
        <v>554</v>
      </c>
      <c r="C131" s="214">
        <v>-93918</v>
      </c>
      <c r="D131">
        <v>0</v>
      </c>
      <c r="E131">
        <v>0</v>
      </c>
      <c r="F131">
        <v>0</v>
      </c>
      <c r="G131" s="214">
        <v>-102500</v>
      </c>
      <c r="H131" s="251">
        <f>VLOOKUP(A131,הכנסות!$B$2:$V$259,21,0)</f>
        <v>0</v>
      </c>
      <c r="K131" s="251"/>
    </row>
    <row r="132" spans="1:19">
      <c r="A132">
        <v>1343902930</v>
      </c>
      <c r="B132" t="s">
        <v>2026</v>
      </c>
      <c r="C132">
        <v>0</v>
      </c>
      <c r="D132" s="251">
        <v>-19181</v>
      </c>
      <c r="E132">
        <v>0</v>
      </c>
      <c r="F132" s="251">
        <v>-19181</v>
      </c>
      <c r="G132">
        <v>0</v>
      </c>
      <c r="H132" s="251">
        <f>VLOOKUP(A132,הכנסות!$B$2:$V$259,21,0)</f>
        <v>14000</v>
      </c>
      <c r="J132" s="251"/>
      <c r="K132" s="251"/>
      <c r="Q132" s="251"/>
      <c r="S132" s="251"/>
    </row>
    <row r="133" spans="1:19">
      <c r="A133">
        <v>1343903930</v>
      </c>
      <c r="B133" t="s">
        <v>2027</v>
      </c>
      <c r="C133">
        <v>0</v>
      </c>
      <c r="D133" s="251">
        <v>-2005</v>
      </c>
      <c r="E133">
        <v>0</v>
      </c>
      <c r="F133" s="251">
        <v>-2005</v>
      </c>
      <c r="G133">
        <v>0</v>
      </c>
      <c r="H133" s="251">
        <f>VLOOKUP(A133,הכנסות!$B$2:$V$259,21,0)</f>
        <v>3000</v>
      </c>
      <c r="J133" s="251"/>
      <c r="K133" s="251"/>
      <c r="Q133" s="251"/>
      <c r="S133" s="251"/>
    </row>
    <row r="134" spans="1:19">
      <c r="A134">
        <v>1343904930</v>
      </c>
      <c r="B134" t="s">
        <v>2028</v>
      </c>
      <c r="C134">
        <v>0</v>
      </c>
      <c r="D134" s="251">
        <v>-39744</v>
      </c>
      <c r="E134">
        <v>0</v>
      </c>
      <c r="F134" s="251">
        <v>-39744</v>
      </c>
      <c r="G134">
        <v>0</v>
      </c>
      <c r="H134" s="251">
        <f>VLOOKUP(A134,הכנסות!$B$2:$V$259,21,0)</f>
        <v>45000</v>
      </c>
      <c r="J134" s="251"/>
      <c r="K134" s="251"/>
      <c r="Q134" s="251"/>
      <c r="S134" s="251"/>
    </row>
    <row r="135" spans="1:19">
      <c r="A135">
        <v>1344402420</v>
      </c>
      <c r="B135" t="s">
        <v>345</v>
      </c>
      <c r="C135">
        <v>0</v>
      </c>
      <c r="D135" s="251">
        <v>-29170</v>
      </c>
      <c r="E135">
        <v>0</v>
      </c>
      <c r="F135" s="251">
        <v>-29170</v>
      </c>
      <c r="G135">
        <v>0</v>
      </c>
      <c r="H135" s="251">
        <f>VLOOKUP(A135,הכנסות!$B$2:$V$259,21,0)</f>
        <v>30000</v>
      </c>
      <c r="J135" s="251"/>
      <c r="K135" s="251"/>
      <c r="Q135" s="251"/>
      <c r="S135" s="251"/>
    </row>
    <row r="136" spans="1:19" hidden="1">
      <c r="A136">
        <v>1344402930</v>
      </c>
      <c r="B136" t="s">
        <v>345</v>
      </c>
      <c r="C136" s="214">
        <v>-9163</v>
      </c>
      <c r="D136">
        <v>0</v>
      </c>
      <c r="E136">
        <v>0</v>
      </c>
      <c r="F136">
        <v>0</v>
      </c>
      <c r="G136" s="214">
        <v>-10000</v>
      </c>
      <c r="H136" s="251">
        <f>VLOOKUP(A136,הכנסות!$B$2:$V$259,21,0)</f>
        <v>71000</v>
      </c>
      <c r="K136" s="251"/>
    </row>
    <row r="137" spans="1:19" hidden="1">
      <c r="A137">
        <v>1344500930</v>
      </c>
      <c r="B137" t="s">
        <v>348</v>
      </c>
      <c r="C137" s="214">
        <v>-152108</v>
      </c>
      <c r="D137" s="251">
        <v>-146109</v>
      </c>
      <c r="E137">
        <v>0</v>
      </c>
      <c r="F137" s="251">
        <v>-146109</v>
      </c>
      <c r="G137" s="214">
        <v>-166000</v>
      </c>
      <c r="H137" s="251">
        <f>VLOOKUP(A137,הכנסות!$B$2:$V$259,21,0)</f>
        <v>198000</v>
      </c>
      <c r="J137" s="251"/>
      <c r="K137" s="251"/>
      <c r="Q137" s="251"/>
      <c r="S137" s="251"/>
    </row>
    <row r="138" spans="1:19">
      <c r="A138">
        <v>1345100930</v>
      </c>
      <c r="B138" t="s">
        <v>349</v>
      </c>
      <c r="C138">
        <v>0</v>
      </c>
      <c r="D138" s="251">
        <v>-22438</v>
      </c>
      <c r="E138">
        <v>0</v>
      </c>
      <c r="F138" s="251">
        <v>-22438</v>
      </c>
      <c r="G138">
        <v>0</v>
      </c>
      <c r="H138" s="251">
        <f>VLOOKUP(A138,הכנסות!$B$2:$V$259,21,0)</f>
        <v>34000</v>
      </c>
      <c r="J138" s="251"/>
      <c r="K138" s="251"/>
      <c r="Q138" s="251"/>
      <c r="S138" s="251"/>
    </row>
    <row r="139" spans="1:19" hidden="1">
      <c r="A139">
        <v>1345101930</v>
      </c>
      <c r="B139" t="s">
        <v>350</v>
      </c>
      <c r="C139" s="214">
        <v>-3725678</v>
      </c>
      <c r="D139" s="251">
        <v>-4049471</v>
      </c>
      <c r="E139">
        <v>0</v>
      </c>
      <c r="F139" s="251">
        <v>-4049471</v>
      </c>
      <c r="G139" s="214">
        <v>-4066000</v>
      </c>
      <c r="H139" s="251">
        <f>VLOOKUP(A139,הכנסות!$B$2:$V$259,21,0)</f>
        <v>4500000</v>
      </c>
      <c r="J139" s="251"/>
      <c r="K139" s="251"/>
      <c r="Q139" s="251"/>
      <c r="S139" s="251"/>
    </row>
    <row r="140" spans="1:19" hidden="1">
      <c r="A140">
        <v>1345102930</v>
      </c>
      <c r="B140" t="s">
        <v>351</v>
      </c>
      <c r="C140" s="214">
        <v>-4587</v>
      </c>
      <c r="D140" s="251">
        <v>-8912</v>
      </c>
      <c r="E140">
        <v>0</v>
      </c>
      <c r="F140" s="251">
        <v>-8912</v>
      </c>
      <c r="G140" s="214">
        <v>-5000</v>
      </c>
      <c r="H140" s="251">
        <f>VLOOKUP(A140,הכנסות!$B$2:$V$259,21,0)</f>
        <v>11000</v>
      </c>
      <c r="J140" s="251"/>
      <c r="K140" s="251"/>
      <c r="Q140" s="251"/>
      <c r="S140" s="251"/>
    </row>
    <row r="141" spans="1:19" hidden="1">
      <c r="A141">
        <v>1345103930</v>
      </c>
      <c r="B141" t="s">
        <v>352</v>
      </c>
      <c r="C141" s="214">
        <v>-21076</v>
      </c>
      <c r="D141">
        <v>0</v>
      </c>
      <c r="E141">
        <v>0</v>
      </c>
      <c r="F141">
        <v>0</v>
      </c>
      <c r="G141" s="214">
        <v>-23000</v>
      </c>
      <c r="H141" s="251">
        <f>VLOOKUP(A141,הכנסות!$B$2:$V$259,21,0)</f>
        <v>0</v>
      </c>
      <c r="K141" s="251"/>
    </row>
    <row r="142" spans="1:19" hidden="1">
      <c r="A142">
        <v>1345200930</v>
      </c>
      <c r="B142" t="s">
        <v>354</v>
      </c>
      <c r="C142" s="214">
        <v>-235488</v>
      </c>
      <c r="D142">
        <v>0</v>
      </c>
      <c r="E142">
        <v>0</v>
      </c>
      <c r="F142">
        <v>0</v>
      </c>
      <c r="G142" s="214">
        <v>-257000</v>
      </c>
      <c r="H142" s="251">
        <f>VLOOKUP(A142,הכנסות!$B$2:$V$259,21,0)</f>
        <v>300000</v>
      </c>
      <c r="K142" s="251"/>
    </row>
    <row r="143" spans="1:19" hidden="1">
      <c r="A143">
        <v>1345201930</v>
      </c>
      <c r="B143" t="s">
        <v>356</v>
      </c>
      <c r="C143" s="214">
        <v>-574519</v>
      </c>
      <c r="D143" s="251">
        <v>-609422</v>
      </c>
      <c r="E143">
        <v>0</v>
      </c>
      <c r="F143" s="251">
        <v>-609422</v>
      </c>
      <c r="G143" s="214">
        <v>-627000</v>
      </c>
      <c r="H143" s="251">
        <f>VLOOKUP(A143,הכנסות!$B$2:$V$259,21,0)</f>
        <v>600000</v>
      </c>
      <c r="J143" s="251"/>
      <c r="K143" s="251"/>
      <c r="Q143" s="251"/>
      <c r="S143" s="251"/>
    </row>
    <row r="144" spans="1:19" hidden="1">
      <c r="A144">
        <v>1345202930</v>
      </c>
      <c r="B144" t="s">
        <v>357</v>
      </c>
      <c r="C144" s="214">
        <v>-65978</v>
      </c>
      <c r="D144" s="251">
        <v>-53009</v>
      </c>
      <c r="E144">
        <v>0</v>
      </c>
      <c r="F144" s="251">
        <v>-53009</v>
      </c>
      <c r="G144" s="214">
        <v>-72000</v>
      </c>
      <c r="H144" s="251">
        <f>VLOOKUP(A144,הכנסות!$B$2:$V$259,21,0)</f>
        <v>57828</v>
      </c>
      <c r="J144" s="251"/>
      <c r="K144" s="251"/>
      <c r="Q144" s="251"/>
      <c r="S144" s="251"/>
    </row>
    <row r="145" spans="1:19" hidden="1">
      <c r="A145">
        <v>1345203930</v>
      </c>
      <c r="B145" t="s">
        <v>558</v>
      </c>
      <c r="C145">
        <v>0</v>
      </c>
      <c r="D145" s="251">
        <v>-263262</v>
      </c>
      <c r="E145">
        <v>0</v>
      </c>
      <c r="F145" s="251">
        <v>-263262</v>
      </c>
      <c r="G145">
        <v>0</v>
      </c>
      <c r="H145" s="251">
        <f>VLOOKUP(A145,הכנסות!$B$2:$V$259,21,0)</f>
        <v>0</v>
      </c>
      <c r="J145" s="251"/>
      <c r="K145" s="251"/>
      <c r="Q145" s="251"/>
      <c r="S145" s="251"/>
    </row>
    <row r="146" spans="1:19" hidden="1">
      <c r="A146">
        <v>1345301930</v>
      </c>
      <c r="B146" t="s">
        <v>361</v>
      </c>
      <c r="C146" s="214">
        <v>-5500</v>
      </c>
      <c r="D146" s="251">
        <v>-78210</v>
      </c>
      <c r="E146">
        <v>0</v>
      </c>
      <c r="F146" s="251">
        <v>-78210</v>
      </c>
      <c r="G146" s="214">
        <v>-6000</v>
      </c>
      <c r="H146" s="251">
        <f>VLOOKUP(A146,הכנסות!$B$2:$V$259,21,0)</f>
        <v>100000</v>
      </c>
      <c r="J146" s="251"/>
      <c r="K146" s="251"/>
      <c r="L146" s="251"/>
      <c r="Q146" s="251"/>
      <c r="S146" s="251"/>
    </row>
    <row r="147" spans="1:19" hidden="1">
      <c r="A147">
        <v>1345302930</v>
      </c>
      <c r="B147" t="s">
        <v>362</v>
      </c>
      <c r="C147" s="214">
        <v>-6875</v>
      </c>
      <c r="D147" s="251">
        <v>1660</v>
      </c>
      <c r="E147">
        <v>0</v>
      </c>
      <c r="F147" s="251">
        <v>1660</v>
      </c>
      <c r="G147" s="214">
        <v>-7500</v>
      </c>
      <c r="H147" s="251">
        <f>VLOOKUP(A147,הכנסות!$B$2:$V$259,21,0)</f>
        <v>0</v>
      </c>
      <c r="J147" s="251"/>
      <c r="K147" s="251"/>
      <c r="Q147" s="251"/>
      <c r="S147" s="251"/>
    </row>
    <row r="148" spans="1:19" hidden="1">
      <c r="A148">
        <v>1345303930</v>
      </c>
      <c r="B148" t="s">
        <v>559</v>
      </c>
      <c r="C148" s="214">
        <v>-126445</v>
      </c>
      <c r="D148">
        <v>0</v>
      </c>
      <c r="E148">
        <v>0</v>
      </c>
      <c r="F148">
        <v>0</v>
      </c>
      <c r="G148" s="214">
        <v>-138000</v>
      </c>
      <c r="H148" s="251">
        <f>VLOOKUP(A148,הכנסות!$B$2:$V$259,21,0)</f>
        <v>0</v>
      </c>
      <c r="K148" s="251"/>
    </row>
    <row r="149" spans="1:19" hidden="1">
      <c r="A149">
        <v>1346302930</v>
      </c>
      <c r="B149" t="s">
        <v>561</v>
      </c>
      <c r="C149">
        <v>0</v>
      </c>
      <c r="D149">
        <v>-759</v>
      </c>
      <c r="E149">
        <v>0</v>
      </c>
      <c r="F149">
        <v>-759</v>
      </c>
      <c r="G149">
        <v>0</v>
      </c>
      <c r="H149" s="251">
        <f>VLOOKUP(A149,הכנסות!$B$2:$V$259,21,0)</f>
        <v>3750</v>
      </c>
    </row>
    <row r="150" spans="1:19">
      <c r="A150">
        <v>1346401930</v>
      </c>
      <c r="B150" t="s">
        <v>562</v>
      </c>
      <c r="C150">
        <v>0</v>
      </c>
      <c r="D150" s="251">
        <v>-2150</v>
      </c>
      <c r="E150">
        <v>0</v>
      </c>
      <c r="F150" s="251">
        <v>-2150</v>
      </c>
      <c r="G150">
        <v>0</v>
      </c>
      <c r="H150" s="251">
        <f>VLOOKUP(A150,הכנסות!$B$2:$V$259,21,0)</f>
        <v>2250</v>
      </c>
      <c r="J150" s="251"/>
      <c r="K150" s="251"/>
      <c r="Q150" s="251"/>
      <c r="S150" s="251"/>
    </row>
    <row r="151" spans="1:19" hidden="1">
      <c r="A151">
        <v>1346500930</v>
      </c>
      <c r="B151" t="s">
        <v>364</v>
      </c>
      <c r="C151">
        <v>0</v>
      </c>
      <c r="D151" s="251">
        <v>-236323</v>
      </c>
      <c r="E151">
        <v>0</v>
      </c>
      <c r="F151" s="251">
        <v>-236323</v>
      </c>
      <c r="G151">
        <v>0</v>
      </c>
      <c r="H151" s="251">
        <f>VLOOKUP(A151,הכנסות!$B$2:$V$259,21,0)</f>
        <v>270000</v>
      </c>
      <c r="J151" s="251"/>
      <c r="K151" s="251"/>
      <c r="Q151" s="251"/>
      <c r="S151" s="251"/>
    </row>
    <row r="152" spans="1:19" hidden="1">
      <c r="A152">
        <v>1346501930</v>
      </c>
      <c r="B152" t="s">
        <v>563</v>
      </c>
      <c r="C152" s="214">
        <v>-45815</v>
      </c>
      <c r="D152">
        <v>0</v>
      </c>
      <c r="E152">
        <v>0</v>
      </c>
      <c r="F152">
        <v>0</v>
      </c>
      <c r="G152" s="214">
        <v>-50000</v>
      </c>
      <c r="H152" s="251">
        <f>VLOOKUP(A152,הכנסות!$B$2:$V$259,21,0)</f>
        <v>0</v>
      </c>
      <c r="K152" s="251"/>
    </row>
    <row r="153" spans="1:19" hidden="1">
      <c r="A153">
        <v>1346601930</v>
      </c>
      <c r="B153" t="s">
        <v>370</v>
      </c>
      <c r="C153" s="214">
        <v>-31152</v>
      </c>
      <c r="D153" s="251">
        <v>-19040</v>
      </c>
      <c r="E153">
        <v>0</v>
      </c>
      <c r="F153" s="251">
        <v>-19040</v>
      </c>
      <c r="G153" s="214">
        <v>-34000</v>
      </c>
      <c r="H153" s="251">
        <f>VLOOKUP(A153,הכנסות!$B$2:$V$259,21,0)</f>
        <v>22500</v>
      </c>
      <c r="J153" s="251"/>
      <c r="K153" s="251"/>
      <c r="Q153" s="251"/>
      <c r="S153" s="251"/>
    </row>
    <row r="154" spans="1:19" hidden="1">
      <c r="A154">
        <v>1346603930</v>
      </c>
      <c r="B154" t="s">
        <v>1710</v>
      </c>
      <c r="C154">
        <v>0</v>
      </c>
      <c r="D154" s="251">
        <v>-27893</v>
      </c>
      <c r="E154">
        <v>0</v>
      </c>
      <c r="F154" s="251">
        <v>-27893</v>
      </c>
      <c r="G154">
        <v>0</v>
      </c>
      <c r="H154" s="251">
        <f>VLOOKUP(A154,הכנסות!$B$2:$V$259,21,0)</f>
        <v>34000</v>
      </c>
      <c r="J154" s="251"/>
      <c r="K154" s="251"/>
      <c r="Q154" s="251"/>
      <c r="S154" s="251"/>
    </row>
    <row r="155" spans="1:19" hidden="1">
      <c r="A155">
        <v>1346701930</v>
      </c>
      <c r="B155" t="s">
        <v>564</v>
      </c>
      <c r="C155" s="214">
        <v>-334455</v>
      </c>
      <c r="D155" s="251">
        <v>-467543</v>
      </c>
      <c r="E155">
        <v>0</v>
      </c>
      <c r="F155" s="251">
        <v>-467543</v>
      </c>
      <c r="G155" s="214">
        <v>-365000</v>
      </c>
      <c r="H155" s="251">
        <f>VLOOKUP(A155,הכנסות!$B$2:$V$259,21,0)</f>
        <v>550000</v>
      </c>
      <c r="J155" s="251"/>
      <c r="K155" s="251"/>
      <c r="Q155" s="251"/>
      <c r="S155" s="251"/>
    </row>
    <row r="156" spans="1:19" hidden="1">
      <c r="A156">
        <v>1346703930</v>
      </c>
      <c r="B156" t="s">
        <v>374</v>
      </c>
      <c r="C156" s="214">
        <v>-224499</v>
      </c>
      <c r="D156" s="251">
        <v>-327282</v>
      </c>
      <c r="E156">
        <v>0</v>
      </c>
      <c r="F156" s="251">
        <v>-327282</v>
      </c>
      <c r="G156" s="214">
        <v>-245000</v>
      </c>
      <c r="H156" s="251">
        <f>VLOOKUP(A156,הכנסות!$B$2:$V$259,21,0)</f>
        <v>390000</v>
      </c>
      <c r="J156" s="251"/>
      <c r="K156" s="251"/>
      <c r="Q156" s="251"/>
      <c r="S156" s="251"/>
    </row>
    <row r="157" spans="1:19" hidden="1">
      <c r="A157">
        <v>1346704930</v>
      </c>
      <c r="B157" t="s">
        <v>375</v>
      </c>
      <c r="C157" s="214">
        <v>-82467</v>
      </c>
      <c r="D157" s="251">
        <v>-99913</v>
      </c>
      <c r="E157">
        <v>0</v>
      </c>
      <c r="F157" s="251">
        <v>-99913</v>
      </c>
      <c r="G157" s="214">
        <v>-90000</v>
      </c>
      <c r="H157" s="251">
        <f>VLOOKUP(A157,הכנסות!$B$2:$V$259,21,0)</f>
        <v>135000</v>
      </c>
      <c r="J157" s="251"/>
      <c r="K157" s="251"/>
      <c r="Q157" s="251"/>
      <c r="S157" s="251"/>
    </row>
    <row r="158" spans="1:19">
      <c r="A158">
        <v>1346705930</v>
      </c>
      <c r="B158" t="s">
        <v>2029</v>
      </c>
      <c r="C158">
        <v>0</v>
      </c>
      <c r="D158" s="251">
        <v>-35488</v>
      </c>
      <c r="E158">
        <v>0</v>
      </c>
      <c r="F158" s="251">
        <v>-35488</v>
      </c>
      <c r="G158">
        <v>0</v>
      </c>
      <c r="H158" s="251">
        <f>VLOOKUP(A158,הכנסות!$B$2:$V$259,21,0)</f>
        <v>52500</v>
      </c>
      <c r="J158" s="251"/>
      <c r="K158" s="251"/>
      <c r="Q158" s="251"/>
      <c r="S158" s="251"/>
    </row>
    <row r="159" spans="1:19" hidden="1">
      <c r="A159">
        <v>1346801930</v>
      </c>
      <c r="B159" t="s">
        <v>376</v>
      </c>
      <c r="C159" s="214">
        <v>-24739</v>
      </c>
      <c r="D159" s="251">
        <v>-9713</v>
      </c>
      <c r="E159">
        <v>0</v>
      </c>
      <c r="F159" s="251">
        <v>-9713</v>
      </c>
      <c r="G159" s="214">
        <v>-27000</v>
      </c>
      <c r="H159" s="251">
        <f>VLOOKUP(A159,הכנסות!$B$2:$V$259,21,0)</f>
        <v>11250</v>
      </c>
      <c r="J159" s="251"/>
      <c r="K159" s="251"/>
      <c r="Q159" s="251"/>
      <c r="S159" s="251"/>
    </row>
    <row r="160" spans="1:19" hidden="1">
      <c r="A160">
        <v>1347101930</v>
      </c>
      <c r="B160" t="s">
        <v>567</v>
      </c>
      <c r="C160">
        <v>-913</v>
      </c>
      <c r="D160" s="251">
        <v>-10979</v>
      </c>
      <c r="E160">
        <v>0</v>
      </c>
      <c r="F160" s="251">
        <v>-10979</v>
      </c>
      <c r="G160" s="214">
        <v>-1000</v>
      </c>
      <c r="H160" s="251">
        <f>VLOOKUP(A160,הכנסות!$B$2:$V$259,21,0)</f>
        <v>11977.09090909091</v>
      </c>
      <c r="J160" s="251"/>
      <c r="K160" s="251"/>
      <c r="L160" s="251"/>
      <c r="Q160" s="251"/>
      <c r="S160" s="251"/>
    </row>
    <row r="161" spans="1:19" hidden="1">
      <c r="A161">
        <v>1347103930</v>
      </c>
      <c r="B161" t="s">
        <v>382</v>
      </c>
      <c r="C161" s="214">
        <v>-197010</v>
      </c>
      <c r="D161" s="251">
        <v>-105193</v>
      </c>
      <c r="E161">
        <v>0</v>
      </c>
      <c r="F161" s="251">
        <v>-105193</v>
      </c>
      <c r="G161" s="214">
        <v>-215000</v>
      </c>
      <c r="H161" s="251">
        <f>VLOOKUP(A161,הכנסות!$B$2:$V$259,21,0)</f>
        <v>150000</v>
      </c>
      <c r="J161" s="251"/>
      <c r="K161" s="251"/>
      <c r="Q161" s="251"/>
      <c r="S161" s="251"/>
    </row>
    <row r="162" spans="1:19" hidden="1">
      <c r="A162">
        <v>1347104930</v>
      </c>
      <c r="B162" t="s">
        <v>383</v>
      </c>
      <c r="C162" s="214">
        <v>-61391</v>
      </c>
      <c r="D162" s="251">
        <v>-320001</v>
      </c>
      <c r="E162">
        <v>0</v>
      </c>
      <c r="F162" s="251">
        <v>-320001</v>
      </c>
      <c r="G162" s="214">
        <v>-67000</v>
      </c>
      <c r="H162" s="251">
        <f>VLOOKUP(A162,הכנסות!$B$2:$V$259,21,0)</f>
        <v>370000</v>
      </c>
      <c r="J162" s="251"/>
      <c r="K162" s="251"/>
      <c r="Q162" s="251"/>
      <c r="S162" s="251"/>
    </row>
    <row r="163" spans="1:19" hidden="1">
      <c r="A163">
        <v>1347202930</v>
      </c>
      <c r="B163" t="s">
        <v>569</v>
      </c>
      <c r="C163" s="214">
        <v>-106293</v>
      </c>
      <c r="D163" s="251">
        <v>-47669</v>
      </c>
      <c r="E163">
        <v>0</v>
      </c>
      <c r="F163" s="251">
        <v>-47669</v>
      </c>
      <c r="G163" s="214">
        <v>-116000</v>
      </c>
      <c r="H163" s="251">
        <f>VLOOKUP(A163,הכנסות!$B$2:$V$259,21,0)</f>
        <v>60000</v>
      </c>
      <c r="J163" s="251"/>
      <c r="K163" s="251"/>
      <c r="Q163" s="251"/>
      <c r="S163" s="251"/>
    </row>
    <row r="164" spans="1:19" hidden="1">
      <c r="A164">
        <v>1347301930</v>
      </c>
      <c r="B164" t="s">
        <v>570</v>
      </c>
      <c r="C164" s="214">
        <v>-49478</v>
      </c>
      <c r="D164" s="251">
        <v>-46008</v>
      </c>
      <c r="E164">
        <v>0</v>
      </c>
      <c r="F164" s="251">
        <v>-46008</v>
      </c>
      <c r="G164" s="214">
        <v>-54000</v>
      </c>
      <c r="H164" s="251">
        <f>VLOOKUP(A164,הכנסות!$B$2:$V$259,21,0)</f>
        <v>60000</v>
      </c>
      <c r="J164" s="251"/>
      <c r="K164" s="251"/>
      <c r="Q164" s="251"/>
      <c r="S164" s="251"/>
    </row>
    <row r="165" spans="1:19">
      <c r="A165">
        <v>1347400930</v>
      </c>
      <c r="B165" t="s">
        <v>571</v>
      </c>
      <c r="C165">
        <v>0</v>
      </c>
      <c r="D165" s="251">
        <v>-10366</v>
      </c>
      <c r="E165">
        <v>0</v>
      </c>
      <c r="F165" s="251">
        <v>-10366</v>
      </c>
      <c r="G165">
        <v>0</v>
      </c>
      <c r="H165" s="251">
        <f>VLOOKUP(A165,הכנסות!$B$2:$V$259,21,0)</f>
        <v>22500</v>
      </c>
      <c r="J165" s="251"/>
      <c r="K165" s="251"/>
      <c r="Q165" s="251"/>
      <c r="S165" s="251"/>
    </row>
    <row r="166" spans="1:19" hidden="1">
      <c r="A166">
        <v>1347500930</v>
      </c>
      <c r="B166" t="s">
        <v>1639</v>
      </c>
      <c r="C166" s="214">
        <v>-320705</v>
      </c>
      <c r="D166" s="251">
        <v>-261844</v>
      </c>
      <c r="E166">
        <v>0</v>
      </c>
      <c r="F166" s="251">
        <v>-261844</v>
      </c>
      <c r="G166" s="214">
        <v>-350000</v>
      </c>
      <c r="H166" s="251">
        <f>VLOOKUP(A166,הכנסות!$B$2:$V$259,21,0)</f>
        <v>120000</v>
      </c>
      <c r="J166" s="251"/>
      <c r="K166" s="251"/>
      <c r="Q166" s="251"/>
      <c r="S166" s="251"/>
    </row>
    <row r="167" spans="1:19" hidden="1">
      <c r="A167">
        <v>1348500930</v>
      </c>
      <c r="B167" t="s">
        <v>1637</v>
      </c>
      <c r="C167" s="214">
        <v>-824670</v>
      </c>
      <c r="D167" s="251">
        <v>-220612</v>
      </c>
      <c r="E167">
        <v>0</v>
      </c>
      <c r="F167" s="251">
        <v>-220612</v>
      </c>
      <c r="G167" s="214">
        <v>-900000</v>
      </c>
      <c r="H167" s="251">
        <f>VLOOKUP(A167,הכנסות!$B$2:$V$259,21,0)</f>
        <v>900000</v>
      </c>
      <c r="J167" s="251"/>
      <c r="K167" s="251"/>
      <c r="Q167" s="251"/>
      <c r="S167" s="251"/>
    </row>
    <row r="168" spans="1:19" hidden="1">
      <c r="A168">
        <v>1413100210</v>
      </c>
      <c r="B168" t="s">
        <v>574</v>
      </c>
      <c r="C168" s="214">
        <v>-481063</v>
      </c>
      <c r="D168" s="251">
        <v>-822734.77</v>
      </c>
      <c r="E168">
        <v>0</v>
      </c>
      <c r="F168" s="251">
        <v>-822734.77</v>
      </c>
      <c r="G168" s="214">
        <v>-525000</v>
      </c>
      <c r="H168" s="251">
        <f>VLOOKUP(A168,הכנסות!$B$2:$V$259,21,0)</f>
        <v>1600000</v>
      </c>
      <c r="J168" s="251"/>
      <c r="K168" s="251"/>
      <c r="Q168" s="251"/>
      <c r="S168" s="251"/>
    </row>
    <row r="169" spans="1:19" hidden="1">
      <c r="A169">
        <v>1413110210</v>
      </c>
      <c r="B169" t="s">
        <v>575</v>
      </c>
      <c r="C169" s="214">
        <v>-1374450</v>
      </c>
      <c r="D169" s="251">
        <v>-1422520.02</v>
      </c>
      <c r="E169">
        <v>0</v>
      </c>
      <c r="F169" s="251">
        <v>-1422520.02</v>
      </c>
      <c r="G169" s="214">
        <v>-1500000</v>
      </c>
      <c r="H169" s="251">
        <f>VLOOKUP(A169,הכנסות!$B$2:$V$259,21,0)</f>
        <v>1600000</v>
      </c>
      <c r="J169" s="251"/>
      <c r="K169" s="251"/>
      <c r="Q169" s="251"/>
      <c r="S169" s="251"/>
    </row>
    <row r="170" spans="1:19" hidden="1">
      <c r="A170">
        <v>1413200220</v>
      </c>
      <c r="B170" t="s">
        <v>576</v>
      </c>
      <c r="C170" s="214">
        <v>-91630</v>
      </c>
      <c r="D170" s="251">
        <v>-26806.3</v>
      </c>
      <c r="E170">
        <v>0</v>
      </c>
      <c r="F170" s="251">
        <v>-26806.3</v>
      </c>
      <c r="G170" s="214">
        <v>-100000</v>
      </c>
      <c r="H170" s="251">
        <f>VLOOKUP(A170,הכנסות!$B$2:$V$259,21,0)</f>
        <v>20000</v>
      </c>
      <c r="J170" s="251"/>
      <c r="K170" s="251"/>
      <c r="Q170" s="251"/>
      <c r="S170" s="251"/>
    </row>
    <row r="171" spans="1:19" hidden="1">
      <c r="A171">
        <v>1413300810</v>
      </c>
      <c r="B171" t="s">
        <v>577</v>
      </c>
      <c r="C171" s="214">
        <v>-229075</v>
      </c>
      <c r="D171" s="251">
        <v>-125880.22</v>
      </c>
      <c r="E171">
        <v>0</v>
      </c>
      <c r="F171" s="251">
        <v>-125880.22</v>
      </c>
      <c r="G171" s="214">
        <v>-250000</v>
      </c>
      <c r="H171" s="251">
        <f>VLOOKUP(A171,הכנסות!$B$2:$V$259,21,0)</f>
        <v>100000</v>
      </c>
      <c r="J171" s="251"/>
      <c r="K171" s="251"/>
      <c r="Q171" s="251"/>
      <c r="S171" s="251"/>
    </row>
    <row r="172" spans="1:19" hidden="1">
      <c r="A172">
        <v>1433000290</v>
      </c>
      <c r="B172" t="s">
        <v>579</v>
      </c>
      <c r="C172">
        <v>0</v>
      </c>
      <c r="D172">
        <v>-320</v>
      </c>
      <c r="E172">
        <v>0</v>
      </c>
      <c r="F172">
        <v>-320</v>
      </c>
      <c r="G172">
        <v>0</v>
      </c>
      <c r="H172" s="251">
        <f>VLOOKUP(A172,הכנסות!$B$2:$V$259,21,0)</f>
        <v>0</v>
      </c>
    </row>
    <row r="173" spans="1:19" hidden="1">
      <c r="A173">
        <v>1472000210</v>
      </c>
      <c r="B173" t="s">
        <v>581</v>
      </c>
      <c r="C173" s="214">
        <v>-458150</v>
      </c>
      <c r="D173" s="251">
        <v>-189120.22</v>
      </c>
      <c r="E173">
        <v>0</v>
      </c>
      <c r="F173" s="251">
        <v>-189120.22</v>
      </c>
      <c r="G173" s="214">
        <v>-500000</v>
      </c>
      <c r="H173" s="251">
        <f>VLOOKUP(A173,הכנסות!$B$2:$V$259,21,0)</f>
        <v>80000</v>
      </c>
      <c r="J173" s="251"/>
      <c r="K173" s="251"/>
      <c r="Q173" s="251"/>
      <c r="S173" s="251"/>
    </row>
    <row r="174" spans="1:19" hidden="1">
      <c r="A174">
        <v>1472000810</v>
      </c>
      <c r="B174" t="s">
        <v>582</v>
      </c>
      <c r="C174" s="214">
        <v>-274890</v>
      </c>
      <c r="D174" s="251">
        <v>-233732.29</v>
      </c>
      <c r="E174">
        <v>0</v>
      </c>
      <c r="F174" s="251">
        <v>-233732.29</v>
      </c>
      <c r="G174" s="214">
        <v>-300000</v>
      </c>
      <c r="H174" s="251">
        <f>VLOOKUP(A174,הכנסות!$B$2:$V$259,21,0)</f>
        <v>300000</v>
      </c>
      <c r="J174" s="251"/>
      <c r="K174" s="251"/>
      <c r="Q174" s="251"/>
      <c r="S174" s="251"/>
    </row>
    <row r="175" spans="1:19">
      <c r="A175">
        <v>1472100210</v>
      </c>
      <c r="B175" t="s">
        <v>2030</v>
      </c>
      <c r="C175" s="214">
        <v>-91630</v>
      </c>
      <c r="D175">
        <v>0</v>
      </c>
      <c r="E175">
        <v>0</v>
      </c>
      <c r="F175">
        <v>0</v>
      </c>
      <c r="G175" s="214">
        <v>-100000</v>
      </c>
      <c r="H175" s="251">
        <f>VLOOKUP(A175,הכנסות!$B$2:$V$259,21,0)</f>
        <v>150000</v>
      </c>
      <c r="K175" s="251"/>
    </row>
    <row r="176" spans="1:19">
      <c r="A176">
        <v>1511000661</v>
      </c>
      <c r="B176" t="s">
        <v>1716</v>
      </c>
      <c r="C176">
        <v>0</v>
      </c>
      <c r="D176">
        <v>-214.96</v>
      </c>
      <c r="E176">
        <v>0</v>
      </c>
      <c r="F176">
        <v>-214.96</v>
      </c>
      <c r="G176">
        <v>0</v>
      </c>
      <c r="H176" s="251">
        <f>VLOOKUP(A176,הכנסות!$B$2:$V$259,21,0)</f>
        <v>0</v>
      </c>
    </row>
    <row r="177" spans="1:19" hidden="1">
      <c r="A177">
        <v>1599900790</v>
      </c>
      <c r="B177" t="s">
        <v>584</v>
      </c>
      <c r="C177">
        <v>0</v>
      </c>
      <c r="D177" s="251">
        <v>-2000000</v>
      </c>
      <c r="E177">
        <v>0</v>
      </c>
      <c r="F177" s="251">
        <v>-2000000</v>
      </c>
      <c r="G177">
        <v>0</v>
      </c>
      <c r="H177" s="251">
        <f>VLOOKUP(A177,הכנסות!$B$2:$V$259,21,0)</f>
        <v>0</v>
      </c>
      <c r="J177" s="251"/>
      <c r="K177" s="251"/>
      <c r="Q177" s="251"/>
      <c r="S177" s="251"/>
    </row>
    <row r="178" spans="1:19">
      <c r="D178" s="251"/>
      <c r="F178" s="251"/>
      <c r="H178" s="251"/>
      <c r="J178" s="251"/>
      <c r="K178" s="251"/>
      <c r="Q178" s="251"/>
      <c r="S178" s="251"/>
    </row>
    <row r="179" spans="1:19">
      <c r="C179" s="214">
        <f>SUM(C2:C178)</f>
        <v>-68905540</v>
      </c>
      <c r="D179" s="214">
        <f t="shared" ref="D179:G179" si="0">SUM(D2:D178)</f>
        <v>-70981543.699999988</v>
      </c>
      <c r="E179" s="214">
        <f t="shared" si="0"/>
        <v>0</v>
      </c>
      <c r="F179" s="214">
        <f t="shared" si="0"/>
        <v>-70981543.699999988</v>
      </c>
      <c r="G179" s="214">
        <f t="shared" si="0"/>
        <v>-75199670</v>
      </c>
      <c r="H179" s="251"/>
      <c r="J179" s="251"/>
      <c r="K179" s="251"/>
      <c r="Q179" s="251"/>
      <c r="S179" s="251"/>
    </row>
    <row r="180" spans="1:19">
      <c r="D180" s="251"/>
      <c r="F180" s="251"/>
      <c r="H180" s="251"/>
      <c r="J180" s="251"/>
      <c r="K180" s="251"/>
      <c r="Q180" s="251"/>
      <c r="S180" s="251"/>
    </row>
    <row r="181" spans="1:19">
      <c r="D181" s="251"/>
      <c r="F181" s="251"/>
      <c r="H181" s="251"/>
      <c r="J181" s="251"/>
      <c r="K181" s="251"/>
      <c r="Q181" s="251"/>
      <c r="S181" s="251"/>
    </row>
    <row r="182" spans="1:19">
      <c r="A182" t="s">
        <v>0</v>
      </c>
      <c r="B182" t="s">
        <v>1</v>
      </c>
      <c r="C182" t="s">
        <v>1666</v>
      </c>
      <c r="D182" t="s">
        <v>1667</v>
      </c>
      <c r="E182" t="s">
        <v>2003</v>
      </c>
      <c r="F182" t="s">
        <v>2004</v>
      </c>
      <c r="G182" t="s">
        <v>2045</v>
      </c>
      <c r="H182" s="251"/>
      <c r="J182" s="251"/>
      <c r="K182" s="251"/>
      <c r="Q182" s="251"/>
      <c r="S182" s="251"/>
    </row>
    <row r="183" spans="1:19">
      <c r="A183">
        <v>1611100110</v>
      </c>
      <c r="B183" t="s">
        <v>3</v>
      </c>
      <c r="C183" s="214">
        <v>916300</v>
      </c>
      <c r="D183" s="251">
        <v>941009.67</v>
      </c>
      <c r="E183">
        <v>0</v>
      </c>
      <c r="F183" s="251">
        <v>941009.67</v>
      </c>
      <c r="G183" s="214">
        <v>1000000</v>
      </c>
      <c r="H183" s="251">
        <f>VLOOKUP(A183,הוצאות!$B$2:$T$519,19,0)</f>
        <v>1175000</v>
      </c>
      <c r="J183" s="251"/>
      <c r="K183" s="251"/>
      <c r="Q183" s="251"/>
      <c r="S183" s="251"/>
    </row>
    <row r="184" spans="1:19">
      <c r="A184">
        <v>1611100511</v>
      </c>
      <c r="B184" t="s">
        <v>4</v>
      </c>
      <c r="C184" s="214">
        <v>23826</v>
      </c>
      <c r="D184" s="251">
        <v>18485.669999999998</v>
      </c>
      <c r="E184">
        <v>0</v>
      </c>
      <c r="F184" s="251">
        <v>18485.669999999998</v>
      </c>
      <c r="G184" s="214">
        <v>26000</v>
      </c>
      <c r="H184" s="251">
        <f>VLOOKUP(A184,הוצאות!$B$2:$T$519,19,0)</f>
        <v>25000</v>
      </c>
      <c r="J184" s="251"/>
      <c r="K184" s="251"/>
      <c r="Q184" s="251"/>
      <c r="S184" s="251"/>
    </row>
    <row r="185" spans="1:19">
      <c r="A185">
        <v>1611100514</v>
      </c>
      <c r="B185" t="s">
        <v>5</v>
      </c>
      <c r="C185" s="214">
        <v>9163</v>
      </c>
      <c r="D185">
        <v>0</v>
      </c>
      <c r="E185">
        <v>0</v>
      </c>
      <c r="F185">
        <v>0</v>
      </c>
      <c r="G185" s="214">
        <v>10000</v>
      </c>
      <c r="H185" s="251">
        <f>VLOOKUP(A185,הוצאות!$B$2:$T$519,19,0)</f>
        <v>0</v>
      </c>
      <c r="K185" s="251"/>
    </row>
    <row r="186" spans="1:19">
      <c r="A186">
        <v>1611100521</v>
      </c>
      <c r="B186" t="s">
        <v>6</v>
      </c>
      <c r="C186" s="214">
        <v>27489</v>
      </c>
      <c r="D186" s="251">
        <v>3300</v>
      </c>
      <c r="E186">
        <v>0</v>
      </c>
      <c r="F186" s="251">
        <v>3300</v>
      </c>
      <c r="G186" s="214">
        <v>30000</v>
      </c>
      <c r="H186" s="251">
        <f>VLOOKUP(A186,הוצאות!$B$2:$T$519,19,0)</f>
        <v>5000</v>
      </c>
      <c r="J186" s="251"/>
      <c r="K186" s="251"/>
      <c r="Q186" s="251"/>
      <c r="S186" s="251"/>
    </row>
    <row r="187" spans="1:19">
      <c r="A187">
        <v>1611100523</v>
      </c>
      <c r="B187" t="s">
        <v>8</v>
      </c>
      <c r="C187" s="214">
        <v>1837</v>
      </c>
      <c r="D187" s="251">
        <v>2399</v>
      </c>
      <c r="E187">
        <v>0</v>
      </c>
      <c r="F187" s="251">
        <v>2399</v>
      </c>
      <c r="G187" s="214">
        <v>2000</v>
      </c>
      <c r="H187" s="251">
        <f>VLOOKUP(A187,הוצאות!$B$2:$T$519,19,0)</f>
        <v>2500</v>
      </c>
      <c r="J187" s="251"/>
      <c r="Q187" s="251"/>
      <c r="S187" s="251"/>
    </row>
    <row r="188" spans="1:19">
      <c r="A188">
        <v>1611100530</v>
      </c>
      <c r="B188" t="s">
        <v>9</v>
      </c>
      <c r="C188" s="214">
        <v>54978</v>
      </c>
      <c r="D188">
        <v>430.78</v>
      </c>
      <c r="E188">
        <v>0</v>
      </c>
      <c r="F188">
        <v>430.78</v>
      </c>
      <c r="G188" s="214">
        <v>60000</v>
      </c>
      <c r="H188" s="251">
        <f>VLOOKUP(A188,הוצאות!$B$2:$T$519,19,0)</f>
        <v>0</v>
      </c>
      <c r="K188" s="251"/>
    </row>
    <row r="189" spans="1:19">
      <c r="A189">
        <v>1611100531</v>
      </c>
      <c r="B189" t="s">
        <v>10</v>
      </c>
      <c r="C189" s="214">
        <v>32076</v>
      </c>
      <c r="D189">
        <v>0</v>
      </c>
      <c r="E189">
        <v>0</v>
      </c>
      <c r="F189">
        <v>0</v>
      </c>
      <c r="G189" s="214">
        <v>35000</v>
      </c>
      <c r="H189" s="251">
        <f>VLOOKUP(A189,הוצאות!$B$2:$T$519,19,0)</f>
        <v>0</v>
      </c>
      <c r="K189" s="251"/>
    </row>
    <row r="190" spans="1:19">
      <c r="A190">
        <v>1611100560</v>
      </c>
      <c r="B190" t="s">
        <v>14</v>
      </c>
      <c r="C190" s="214">
        <v>7326</v>
      </c>
      <c r="D190" s="251">
        <v>2938</v>
      </c>
      <c r="E190">
        <v>0</v>
      </c>
      <c r="F190" s="251">
        <v>2938</v>
      </c>
      <c r="G190" s="214">
        <v>8000</v>
      </c>
      <c r="H190" s="251">
        <f>VLOOKUP(A190,הוצאות!$B$2:$T$519,19,0)</f>
        <v>20000</v>
      </c>
      <c r="J190" s="251"/>
      <c r="K190" s="251"/>
      <c r="Q190" s="251"/>
      <c r="S190" s="251"/>
    </row>
    <row r="191" spans="1:19">
      <c r="A191">
        <v>1611100780</v>
      </c>
      <c r="B191" t="s">
        <v>18</v>
      </c>
      <c r="C191" s="214">
        <v>9163</v>
      </c>
      <c r="D191" s="251">
        <v>9898.4500000000007</v>
      </c>
      <c r="E191">
        <v>0</v>
      </c>
      <c r="F191" s="251">
        <v>9898.4500000000007</v>
      </c>
      <c r="G191" s="214">
        <v>10000</v>
      </c>
      <c r="H191" s="251">
        <f>VLOOKUP(A191,הוצאות!$B$2:$T$519,19,0)</f>
        <v>15000</v>
      </c>
      <c r="J191" s="251"/>
      <c r="Q191" s="251"/>
      <c r="S191" s="251"/>
    </row>
    <row r="192" spans="1:19">
      <c r="A192">
        <v>1611110110</v>
      </c>
      <c r="B192" t="s">
        <v>20</v>
      </c>
      <c r="C192" s="214">
        <v>302379</v>
      </c>
      <c r="D192">
        <v>0</v>
      </c>
      <c r="E192">
        <v>0</v>
      </c>
      <c r="F192">
        <v>0</v>
      </c>
      <c r="G192" s="214">
        <v>330000</v>
      </c>
      <c r="H192" s="251">
        <f>VLOOKUP(A192,הוצאות!$B$2:$T$519,19,0)</f>
        <v>405000</v>
      </c>
      <c r="K192" s="251"/>
    </row>
    <row r="193" spans="1:49">
      <c r="A193">
        <v>1611200110</v>
      </c>
      <c r="B193" t="s">
        <v>2031</v>
      </c>
      <c r="C193" s="214">
        <v>395846</v>
      </c>
      <c r="D193">
        <v>0</v>
      </c>
      <c r="E193">
        <v>0</v>
      </c>
      <c r="F193">
        <v>0</v>
      </c>
      <c r="G193" s="214">
        <v>432000</v>
      </c>
      <c r="H193" s="251">
        <f>VLOOKUP(A193,הוצאות!$B$2:$T$519,19,0)</f>
        <v>0</v>
      </c>
      <c r="K193" s="251"/>
    </row>
    <row r="194" spans="1:49">
      <c r="A194">
        <v>1612000523</v>
      </c>
      <c r="B194" t="s">
        <v>21</v>
      </c>
      <c r="C194" s="214">
        <v>1837</v>
      </c>
      <c r="D194" s="251">
        <v>1200</v>
      </c>
      <c r="E194">
        <v>0</v>
      </c>
      <c r="F194" s="251">
        <v>1200</v>
      </c>
      <c r="G194" s="214">
        <v>2000</v>
      </c>
      <c r="H194" s="251">
        <f>VLOOKUP(A194,הוצאות!$B$2:$T$519,19,0)</f>
        <v>1200</v>
      </c>
      <c r="J194" s="251"/>
      <c r="Q194" s="251"/>
      <c r="S194" s="251"/>
    </row>
    <row r="195" spans="1:49">
      <c r="A195">
        <v>1613000110</v>
      </c>
      <c r="B195" t="s">
        <v>24</v>
      </c>
      <c r="C195" s="214">
        <v>678062</v>
      </c>
      <c r="D195" s="251">
        <v>562646.23</v>
      </c>
      <c r="E195">
        <v>0</v>
      </c>
      <c r="F195" s="251">
        <v>562646.23</v>
      </c>
      <c r="G195" s="214">
        <v>740000</v>
      </c>
      <c r="H195" s="251">
        <f>VLOOKUP(A195,הוצאות!$B$2:$T$519,19,0)</f>
        <v>625849.93644800002</v>
      </c>
      <c r="J195" s="251"/>
      <c r="K195" s="251"/>
      <c r="Q195" s="251"/>
      <c r="S195" s="251"/>
    </row>
    <row r="196" spans="1:49">
      <c r="A196">
        <v>1613000431</v>
      </c>
      <c r="B196" t="s">
        <v>26</v>
      </c>
      <c r="C196" s="214">
        <v>14663</v>
      </c>
      <c r="D196" s="251">
        <v>37138.82</v>
      </c>
      <c r="E196">
        <v>0</v>
      </c>
      <c r="F196" s="251">
        <v>37138.82</v>
      </c>
      <c r="G196" s="214">
        <v>16000</v>
      </c>
      <c r="H196" s="251">
        <f>VLOOKUP(A196,הוצאות!$B$2:$T$519,19,0)</f>
        <v>40000</v>
      </c>
      <c r="J196" s="251"/>
      <c r="K196" s="251"/>
      <c r="Q196" s="251"/>
      <c r="S196" s="251"/>
    </row>
    <row r="197" spans="1:49">
      <c r="A197">
        <v>1613000511</v>
      </c>
      <c r="B197" t="s">
        <v>27</v>
      </c>
      <c r="C197" s="214">
        <v>9163</v>
      </c>
      <c r="D197" s="251">
        <v>1404</v>
      </c>
      <c r="E197">
        <v>0</v>
      </c>
      <c r="F197" s="251">
        <v>1404</v>
      </c>
      <c r="G197" s="214">
        <v>10000</v>
      </c>
      <c r="H197" s="251">
        <f>VLOOKUP(A197,הוצאות!$B$2:$T$519,19,0)</f>
        <v>1500</v>
      </c>
      <c r="J197" s="251"/>
      <c r="K197" s="251"/>
      <c r="Q197" s="251"/>
      <c r="S197" s="251"/>
    </row>
    <row r="198" spans="1:49">
      <c r="A198">
        <v>1613000523</v>
      </c>
      <c r="B198" t="s">
        <v>28</v>
      </c>
      <c r="C198" s="214">
        <v>4587</v>
      </c>
      <c r="D198">
        <v>0</v>
      </c>
      <c r="E198">
        <v>0</v>
      </c>
      <c r="F198">
        <v>0</v>
      </c>
      <c r="G198" s="214">
        <v>5000</v>
      </c>
      <c r="H198" s="251">
        <f>VLOOKUP(A198,הוצאות!$B$2:$T$519,19,0)</f>
        <v>2000</v>
      </c>
      <c r="K198" s="251"/>
    </row>
    <row r="199" spans="1:49">
      <c r="A199">
        <v>1613000540</v>
      </c>
      <c r="B199" t="s">
        <v>29</v>
      </c>
      <c r="C199" s="214">
        <v>91630</v>
      </c>
      <c r="D199" s="251">
        <v>46022.6</v>
      </c>
      <c r="E199">
        <v>0</v>
      </c>
      <c r="F199" s="251">
        <v>46022.6</v>
      </c>
      <c r="G199" s="214">
        <v>100000</v>
      </c>
      <c r="H199" s="251">
        <f>VLOOKUP(A199,הוצאות!$B$2:$T$519,19,0)</f>
        <v>50000</v>
      </c>
      <c r="J199" s="251"/>
      <c r="K199" s="251"/>
      <c r="Q199" s="251"/>
      <c r="S199" s="251"/>
    </row>
    <row r="200" spans="1:49">
      <c r="A200">
        <v>1613000550</v>
      </c>
      <c r="B200" t="s">
        <v>30</v>
      </c>
      <c r="C200" s="214">
        <v>36652</v>
      </c>
      <c r="D200" s="251">
        <v>32912.1</v>
      </c>
      <c r="E200">
        <v>0</v>
      </c>
      <c r="F200" s="251">
        <v>32912.1</v>
      </c>
      <c r="G200" s="214">
        <v>40000</v>
      </c>
      <c r="H200" s="251">
        <f>VLOOKUP(A200,הוצאות!$B$2:$T$519,19,0)</f>
        <v>40000</v>
      </c>
      <c r="J200" s="251"/>
      <c r="K200" s="251"/>
      <c r="Q200" s="251"/>
      <c r="S200" s="251"/>
    </row>
    <row r="201" spans="1:49">
      <c r="A201">
        <v>1613000560</v>
      </c>
      <c r="B201" t="s">
        <v>1723</v>
      </c>
      <c r="C201" s="214">
        <v>41239</v>
      </c>
      <c r="D201" s="251">
        <v>40649</v>
      </c>
      <c r="E201" s="251">
        <v>10305</v>
      </c>
      <c r="F201" s="251">
        <v>50954</v>
      </c>
      <c r="G201" s="214">
        <v>45000</v>
      </c>
      <c r="H201" s="251">
        <f>VLOOKUP(A201,הוצאות!$B$2:$T$519,19,0)</f>
        <v>30000</v>
      </c>
      <c r="I201" s="251"/>
      <c r="J201" s="251"/>
      <c r="K201" s="251"/>
      <c r="Q201" s="251"/>
      <c r="S201" s="251"/>
      <c r="AW201" s="251"/>
    </row>
    <row r="202" spans="1:49">
      <c r="A202">
        <v>1613000710</v>
      </c>
      <c r="B202" t="s">
        <v>31</v>
      </c>
      <c r="C202" s="214">
        <v>7326</v>
      </c>
      <c r="D202" s="251">
        <v>17485</v>
      </c>
      <c r="E202">
        <v>0</v>
      </c>
      <c r="F202" s="251">
        <v>17485</v>
      </c>
      <c r="G202" s="214">
        <v>8000</v>
      </c>
      <c r="H202" s="251">
        <f>VLOOKUP(A202,הוצאות!$B$2:$T$519,19,0)</f>
        <v>20000</v>
      </c>
      <c r="J202" s="251"/>
      <c r="K202" s="251"/>
      <c r="Q202" s="251"/>
      <c r="S202" s="251"/>
    </row>
    <row r="203" spans="1:49">
      <c r="A203">
        <v>1613000750</v>
      </c>
      <c r="B203" t="s">
        <v>34</v>
      </c>
      <c r="C203" s="214">
        <v>70554</v>
      </c>
      <c r="D203" s="251">
        <v>47430.93</v>
      </c>
      <c r="E203">
        <v>0</v>
      </c>
      <c r="F203" s="251">
        <v>47430.93</v>
      </c>
      <c r="G203" s="214">
        <v>77000</v>
      </c>
      <c r="H203" s="251">
        <f>VLOOKUP(A203,הוצאות!$B$2:$T$519,19,0)</f>
        <v>100000</v>
      </c>
      <c r="J203" s="251"/>
      <c r="K203" s="251"/>
      <c r="Q203" s="251"/>
      <c r="S203" s="251"/>
    </row>
    <row r="204" spans="1:49">
      <c r="A204">
        <v>1613000780</v>
      </c>
      <c r="B204" t="s">
        <v>18</v>
      </c>
      <c r="C204" s="214">
        <v>22913</v>
      </c>
      <c r="D204" s="251">
        <v>24950</v>
      </c>
      <c r="E204">
        <v>0</v>
      </c>
      <c r="F204" s="251">
        <v>24950</v>
      </c>
      <c r="G204" s="214">
        <v>25000</v>
      </c>
      <c r="H204" s="251">
        <f>VLOOKUP(A204,הוצאות!$B$2:$T$519,19,0)</f>
        <v>50000</v>
      </c>
      <c r="J204" s="251"/>
      <c r="Q204" s="251"/>
      <c r="S204" s="251"/>
    </row>
    <row r="205" spans="1:49">
      <c r="A205">
        <v>1613100110</v>
      </c>
      <c r="B205" t="s">
        <v>1659</v>
      </c>
      <c r="C205" s="214">
        <v>64141</v>
      </c>
      <c r="D205">
        <v>0</v>
      </c>
      <c r="E205">
        <v>0</v>
      </c>
      <c r="F205">
        <v>0</v>
      </c>
      <c r="G205" s="214">
        <v>70000</v>
      </c>
      <c r="H205" s="251">
        <f>VLOOKUP(A205,הוצאות!$B$2:$T$519,19,0)</f>
        <v>0</v>
      </c>
      <c r="K205" s="251"/>
    </row>
    <row r="206" spans="1:49">
      <c r="A206">
        <v>1615000110</v>
      </c>
      <c r="B206" t="s">
        <v>38</v>
      </c>
      <c r="C206" s="214">
        <v>281303</v>
      </c>
      <c r="D206" s="251">
        <v>169986.47</v>
      </c>
      <c r="E206">
        <v>0</v>
      </c>
      <c r="F206" s="251">
        <v>169986.47</v>
      </c>
      <c r="G206" s="214">
        <v>307000</v>
      </c>
      <c r="H206" s="251">
        <f>VLOOKUP(A206,הוצאות!$B$2:$T$519,19,0)</f>
        <v>350000</v>
      </c>
      <c r="J206" s="251"/>
      <c r="K206" s="251"/>
      <c r="Q206" s="251"/>
      <c r="S206" s="251"/>
    </row>
    <row r="207" spans="1:49">
      <c r="A207">
        <v>1615100110</v>
      </c>
      <c r="B207" t="s">
        <v>1643</v>
      </c>
      <c r="C207" s="214">
        <v>128282</v>
      </c>
      <c r="D207">
        <v>0</v>
      </c>
      <c r="E207">
        <v>0</v>
      </c>
      <c r="F207">
        <v>0</v>
      </c>
      <c r="G207" s="214">
        <v>140000</v>
      </c>
      <c r="H207" s="251" t="e">
        <f>VLOOKUP(A207,הוצאות!$B$2:$T$519,19,0)</f>
        <v>#N/A</v>
      </c>
      <c r="K207" s="251"/>
    </row>
    <row r="208" spans="1:49">
      <c r="A208">
        <v>1615101110</v>
      </c>
      <c r="B208" t="s">
        <v>2031</v>
      </c>
      <c r="C208">
        <v>0</v>
      </c>
      <c r="D208" s="251">
        <v>156015.48000000001</v>
      </c>
      <c r="E208">
        <v>0</v>
      </c>
      <c r="F208" s="251">
        <v>156015.48000000001</v>
      </c>
      <c r="G208">
        <v>0</v>
      </c>
      <c r="H208" s="251">
        <f>VLOOKUP(A208,הוצאות!$B$2:$T$519,19,0)</f>
        <v>600000</v>
      </c>
      <c r="J208" s="251"/>
      <c r="K208" s="251"/>
      <c r="Q208" s="251"/>
      <c r="S208" s="251"/>
    </row>
    <row r="209" spans="1:49">
      <c r="A209">
        <v>1615200110</v>
      </c>
      <c r="B209" t="s">
        <v>1644</v>
      </c>
      <c r="C209" s="214">
        <v>36652</v>
      </c>
      <c r="D209">
        <v>0</v>
      </c>
      <c r="E209">
        <v>0</v>
      </c>
      <c r="F209">
        <v>0</v>
      </c>
      <c r="G209" s="214">
        <v>40000</v>
      </c>
      <c r="H209" s="251">
        <f>VLOOKUP(A209,הוצאות!$B$2:$T$519,19,0)</f>
        <v>40000</v>
      </c>
      <c r="K209" s="251"/>
    </row>
    <row r="210" spans="1:49">
      <c r="A210">
        <v>1616000521</v>
      </c>
      <c r="B210" t="s">
        <v>40</v>
      </c>
      <c r="C210" s="214">
        <v>137445</v>
      </c>
      <c r="D210" s="251">
        <v>38425</v>
      </c>
      <c r="E210">
        <v>0</v>
      </c>
      <c r="F210" s="251">
        <v>38425</v>
      </c>
      <c r="G210" s="214">
        <v>150000</v>
      </c>
      <c r="H210" s="251">
        <f>VLOOKUP(A210,הוצאות!$B$2:$T$519,19,0)</f>
        <v>160000</v>
      </c>
      <c r="J210" s="251"/>
      <c r="K210" s="251"/>
      <c r="Q210" s="251"/>
      <c r="S210" s="251"/>
    </row>
    <row r="211" spans="1:49">
      <c r="A211">
        <v>1617000581</v>
      </c>
      <c r="B211" t="s">
        <v>42</v>
      </c>
      <c r="C211" s="214">
        <v>27489</v>
      </c>
      <c r="D211" s="251">
        <v>97149</v>
      </c>
      <c r="E211">
        <v>0</v>
      </c>
      <c r="F211" s="251">
        <v>97149</v>
      </c>
      <c r="G211" s="214">
        <v>30000</v>
      </c>
      <c r="H211" s="251">
        <f>VLOOKUP(A211,הוצאות!$B$2:$T$519,19,0)</f>
        <v>100000</v>
      </c>
      <c r="J211" s="251"/>
      <c r="K211" s="251"/>
      <c r="Q211" s="251"/>
      <c r="S211" s="251"/>
    </row>
    <row r="212" spans="1:49">
      <c r="A212">
        <v>1617000582</v>
      </c>
      <c r="B212" t="s">
        <v>43</v>
      </c>
      <c r="C212" s="214">
        <v>54978</v>
      </c>
      <c r="D212" s="251">
        <v>97309</v>
      </c>
      <c r="E212">
        <v>0</v>
      </c>
      <c r="F212" s="251">
        <v>97309</v>
      </c>
      <c r="G212" s="214">
        <v>60000</v>
      </c>
      <c r="H212" s="251">
        <f>VLOOKUP(A212,הוצאות!$B$2:$T$519,19,0)</f>
        <v>0</v>
      </c>
      <c r="J212" s="251"/>
      <c r="K212" s="251"/>
      <c r="Q212" s="251"/>
      <c r="S212" s="251"/>
    </row>
    <row r="213" spans="1:49">
      <c r="A213">
        <v>1617000750</v>
      </c>
      <c r="B213" t="s">
        <v>44</v>
      </c>
      <c r="C213" s="214">
        <v>206173</v>
      </c>
      <c r="D213" s="251">
        <v>325379</v>
      </c>
      <c r="E213">
        <v>0</v>
      </c>
      <c r="F213" s="251">
        <v>325379</v>
      </c>
      <c r="G213" s="214">
        <v>225000</v>
      </c>
      <c r="H213" s="251">
        <f>VLOOKUP(A213,הוצאות!$B$2:$T$519,19,0)</f>
        <v>300000</v>
      </c>
      <c r="J213" s="251"/>
      <c r="K213" s="251"/>
      <c r="Q213" s="251"/>
      <c r="S213" s="251"/>
    </row>
    <row r="214" spans="1:49">
      <c r="A214">
        <v>1617000751</v>
      </c>
      <c r="B214" t="s">
        <v>45</v>
      </c>
      <c r="C214" s="214">
        <v>128282</v>
      </c>
      <c r="D214">
        <v>0</v>
      </c>
      <c r="E214">
        <v>0</v>
      </c>
      <c r="F214">
        <v>0</v>
      </c>
      <c r="G214" s="214">
        <v>140000</v>
      </c>
      <c r="H214" s="251">
        <f>VLOOKUP(A214,הוצאות!$B$2:$T$519,19,0)</f>
        <v>0</v>
      </c>
      <c r="K214" s="251"/>
    </row>
    <row r="215" spans="1:49">
      <c r="A215">
        <v>1619000780</v>
      </c>
      <c r="B215" t="s">
        <v>46</v>
      </c>
      <c r="C215" s="214">
        <v>91630</v>
      </c>
      <c r="D215" s="251">
        <v>104906</v>
      </c>
      <c r="E215" s="251">
        <v>47670.75</v>
      </c>
      <c r="F215" s="251">
        <v>152576.75</v>
      </c>
      <c r="G215" s="214">
        <v>100000</v>
      </c>
      <c r="H215" s="251">
        <f>VLOOKUP(A215,הוצאות!$B$2:$T$519,19,0)</f>
        <v>0</v>
      </c>
      <c r="I215" s="251"/>
      <c r="J215" s="251"/>
      <c r="K215" s="251"/>
      <c r="Q215" s="251"/>
      <c r="S215" s="251"/>
      <c r="AW215" s="251"/>
    </row>
    <row r="216" spans="1:49">
      <c r="A216">
        <v>1621200110</v>
      </c>
      <c r="B216" t="s">
        <v>48</v>
      </c>
      <c r="C216" s="214">
        <v>54978</v>
      </c>
      <c r="D216" s="251">
        <v>47778.11</v>
      </c>
      <c r="E216">
        <v>0</v>
      </c>
      <c r="F216" s="251">
        <v>47778.11</v>
      </c>
      <c r="G216" s="214">
        <v>60000</v>
      </c>
      <c r="H216" s="251">
        <f>VLOOKUP(A216,הוצאות!$B$2:$T$519,19,0)</f>
        <v>110000</v>
      </c>
      <c r="J216" s="251"/>
      <c r="K216" s="251"/>
      <c r="Q216" s="251"/>
      <c r="S216" s="251"/>
    </row>
    <row r="217" spans="1:49">
      <c r="A217">
        <v>1621300110</v>
      </c>
      <c r="B217" t="s">
        <v>49</v>
      </c>
      <c r="C217" s="214">
        <v>412335</v>
      </c>
      <c r="D217" s="251">
        <v>306390.96999999997</v>
      </c>
      <c r="E217">
        <v>0</v>
      </c>
      <c r="F217" s="251">
        <v>306390.96999999997</v>
      </c>
      <c r="G217" s="214">
        <v>450000</v>
      </c>
      <c r="H217" s="251">
        <f>VLOOKUP(A217,הוצאות!$B$2:$T$519,19,0)</f>
        <v>550000</v>
      </c>
      <c r="J217" s="251"/>
      <c r="K217" s="251"/>
      <c r="Q217" s="251"/>
      <c r="S217" s="251"/>
    </row>
    <row r="218" spans="1:49">
      <c r="A218">
        <v>1621300521</v>
      </c>
      <c r="B218" t="s">
        <v>6</v>
      </c>
      <c r="C218" s="214">
        <v>3212</v>
      </c>
      <c r="D218">
        <v>0</v>
      </c>
      <c r="E218">
        <v>0</v>
      </c>
      <c r="F218">
        <v>0</v>
      </c>
      <c r="G218" s="214">
        <v>3500</v>
      </c>
      <c r="H218" s="251">
        <f>VLOOKUP(A218,הוצאות!$B$2:$T$519,19,0)</f>
        <v>5000</v>
      </c>
      <c r="K218" s="251"/>
    </row>
    <row r="219" spans="1:49">
      <c r="A219">
        <v>1621300523</v>
      </c>
      <c r="B219" t="s">
        <v>28</v>
      </c>
      <c r="C219" s="214">
        <v>1375</v>
      </c>
      <c r="D219">
        <v>0</v>
      </c>
      <c r="E219">
        <v>0</v>
      </c>
      <c r="F219">
        <v>0</v>
      </c>
      <c r="G219" s="214">
        <v>1500</v>
      </c>
      <c r="H219" s="251">
        <f>VLOOKUP(A219,הוצאות!$B$2:$T$519,19,0)</f>
        <v>1500</v>
      </c>
      <c r="K219" s="251"/>
    </row>
    <row r="220" spans="1:49">
      <c r="A220">
        <v>1621300540</v>
      </c>
      <c r="B220" t="s">
        <v>50</v>
      </c>
      <c r="C220">
        <v>0</v>
      </c>
      <c r="D220">
        <v>100</v>
      </c>
      <c r="E220">
        <v>0</v>
      </c>
      <c r="F220">
        <v>100</v>
      </c>
      <c r="G220">
        <v>0</v>
      </c>
      <c r="H220" s="251">
        <f>VLOOKUP(A220,הוצאות!$B$2:$T$519,19,0)</f>
        <v>2000</v>
      </c>
    </row>
    <row r="221" spans="1:49">
      <c r="A221">
        <v>1621300560</v>
      </c>
      <c r="B221" t="s">
        <v>52</v>
      </c>
      <c r="C221" s="214">
        <v>6138</v>
      </c>
      <c r="D221" s="251">
        <v>4092</v>
      </c>
      <c r="E221">
        <v>0</v>
      </c>
      <c r="F221" s="251">
        <v>4092</v>
      </c>
      <c r="G221" s="214">
        <v>6700</v>
      </c>
      <c r="H221" s="251">
        <f>VLOOKUP(A221,הוצאות!$B$2:$T$519,19,0)</f>
        <v>5000</v>
      </c>
      <c r="J221" s="251"/>
      <c r="Q221" s="251"/>
      <c r="S221" s="251"/>
    </row>
    <row r="222" spans="1:49">
      <c r="A222">
        <v>1621300570</v>
      </c>
      <c r="B222" t="s">
        <v>53</v>
      </c>
      <c r="C222" s="214">
        <v>302379</v>
      </c>
      <c r="D222" s="251">
        <v>304191.33</v>
      </c>
      <c r="E222" s="251">
        <v>4350</v>
      </c>
      <c r="F222" s="251">
        <v>308541.33</v>
      </c>
      <c r="G222" s="214">
        <v>330000</v>
      </c>
      <c r="H222" s="251">
        <f>VLOOKUP(A222,הוצאות!$B$2:$T$519,19,0)</f>
        <v>330000</v>
      </c>
      <c r="I222" s="251"/>
      <c r="J222" s="251"/>
      <c r="K222" s="251"/>
      <c r="Q222" s="251"/>
      <c r="S222" s="251"/>
      <c r="AW222" s="251"/>
    </row>
    <row r="223" spans="1:49">
      <c r="A223">
        <v>1621300751</v>
      </c>
      <c r="B223" t="s">
        <v>56</v>
      </c>
      <c r="C223" s="214">
        <v>439824</v>
      </c>
      <c r="D223" s="251">
        <v>361165</v>
      </c>
      <c r="E223">
        <v>0</v>
      </c>
      <c r="F223" s="251">
        <v>361165</v>
      </c>
      <c r="G223" s="214">
        <v>480000</v>
      </c>
      <c r="H223" s="251">
        <f>VLOOKUP(A223,הוצאות!$B$2:$T$519,19,0)</f>
        <v>300000</v>
      </c>
      <c r="J223" s="251"/>
      <c r="K223" s="251"/>
      <c r="Q223" s="251"/>
      <c r="S223" s="251"/>
    </row>
    <row r="224" spans="1:49">
      <c r="A224">
        <v>1621300930</v>
      </c>
      <c r="B224" t="s">
        <v>19</v>
      </c>
      <c r="C224" s="214">
        <v>32989</v>
      </c>
      <c r="D224" s="251">
        <v>3500</v>
      </c>
      <c r="E224" s="251">
        <v>26000</v>
      </c>
      <c r="F224" s="251">
        <v>29500</v>
      </c>
      <c r="G224" s="214">
        <v>36000</v>
      </c>
      <c r="H224" s="251">
        <f>VLOOKUP(A224,הוצאות!$B$2:$T$519,19,0)</f>
        <v>20000</v>
      </c>
      <c r="I224" s="251"/>
      <c r="J224" s="251"/>
      <c r="K224" s="251"/>
      <c r="Q224" s="251"/>
      <c r="S224" s="251"/>
      <c r="AW224" s="251"/>
    </row>
    <row r="225" spans="1:49">
      <c r="A225">
        <v>1623000110</v>
      </c>
      <c r="B225" t="s">
        <v>59</v>
      </c>
      <c r="C225" s="214">
        <v>207999</v>
      </c>
      <c r="D225" s="251">
        <v>241865.53</v>
      </c>
      <c r="E225">
        <v>0</v>
      </c>
      <c r="F225" s="251">
        <v>241865.53</v>
      </c>
      <c r="G225" s="214">
        <v>227000</v>
      </c>
      <c r="H225" s="251">
        <f>VLOOKUP(A225,הוצאות!$B$2:$T$519,19,0)</f>
        <v>420000</v>
      </c>
      <c r="J225" s="251"/>
      <c r="K225" s="251"/>
      <c r="Q225" s="251"/>
      <c r="S225" s="251"/>
    </row>
    <row r="226" spans="1:49">
      <c r="A226">
        <v>1623000560</v>
      </c>
      <c r="B226" t="s">
        <v>1724</v>
      </c>
      <c r="C226" s="214">
        <v>7326</v>
      </c>
      <c r="D226" s="251">
        <v>3739</v>
      </c>
      <c r="E226">
        <v>0</v>
      </c>
      <c r="F226" s="251">
        <v>3739</v>
      </c>
      <c r="G226" s="214">
        <v>8000</v>
      </c>
      <c r="H226" s="251">
        <f>VLOOKUP(A226,הוצאות!$B$2:$T$519,19,0)</f>
        <v>10000</v>
      </c>
      <c r="J226" s="251"/>
      <c r="K226" s="251"/>
      <c r="Q226" s="251"/>
      <c r="S226" s="251"/>
    </row>
    <row r="227" spans="1:49">
      <c r="A227">
        <v>1623000582</v>
      </c>
      <c r="B227" t="s">
        <v>61</v>
      </c>
      <c r="C227">
        <v>0</v>
      </c>
      <c r="D227" s="251">
        <v>17550</v>
      </c>
      <c r="E227">
        <v>0</v>
      </c>
      <c r="F227" s="251">
        <v>17550</v>
      </c>
      <c r="G227">
        <v>0</v>
      </c>
      <c r="H227" s="251">
        <f>VLOOKUP(A227,הוצאות!$B$2:$T$519,19,0)</f>
        <v>100000</v>
      </c>
      <c r="J227" s="251"/>
      <c r="K227" s="251"/>
      <c r="Q227" s="251"/>
      <c r="S227" s="251"/>
    </row>
    <row r="228" spans="1:49">
      <c r="A228">
        <v>1623000750</v>
      </c>
      <c r="B228" t="s">
        <v>62</v>
      </c>
      <c r="C228" s="214">
        <v>389433</v>
      </c>
      <c r="D228" s="251">
        <v>366194.38</v>
      </c>
      <c r="E228" s="251">
        <v>37138</v>
      </c>
      <c r="F228" s="251">
        <v>403332.38</v>
      </c>
      <c r="G228" s="214">
        <v>425000</v>
      </c>
      <c r="H228" s="251">
        <f>VLOOKUP(A228,הוצאות!$B$2:$T$519,19,0)</f>
        <v>250000</v>
      </c>
      <c r="I228" s="251"/>
      <c r="J228" s="251"/>
      <c r="K228" s="251"/>
      <c r="Q228" s="251"/>
      <c r="S228" s="251"/>
      <c r="AW228" s="251"/>
    </row>
    <row r="229" spans="1:49">
      <c r="A229">
        <v>1623000751</v>
      </c>
      <c r="B229" t="s">
        <v>63</v>
      </c>
      <c r="C229">
        <v>0</v>
      </c>
      <c r="D229" s="251">
        <v>5850</v>
      </c>
      <c r="E229">
        <v>0</v>
      </c>
      <c r="F229" s="251">
        <v>5850</v>
      </c>
      <c r="G229">
        <v>0</v>
      </c>
      <c r="H229" s="251">
        <f>VLOOKUP(A229,הוצאות!$B$2:$T$519,19,0)</f>
        <v>0</v>
      </c>
      <c r="J229" s="251"/>
      <c r="K229" s="251"/>
      <c r="Q229" s="251"/>
      <c r="S229" s="251"/>
    </row>
    <row r="230" spans="1:49">
      <c r="A230">
        <v>1623000930</v>
      </c>
      <c r="B230" t="s">
        <v>19</v>
      </c>
      <c r="C230" s="214">
        <v>1837</v>
      </c>
      <c r="D230">
        <v>0</v>
      </c>
      <c r="E230">
        <v>0</v>
      </c>
      <c r="F230">
        <v>0</v>
      </c>
      <c r="G230" s="214">
        <v>2000</v>
      </c>
      <c r="H230" s="251">
        <f>VLOOKUP(A230,הוצאות!$B$2:$T$519,19,0)</f>
        <v>0</v>
      </c>
      <c r="K230" s="251"/>
    </row>
    <row r="231" spans="1:49">
      <c r="A231">
        <v>1631000610</v>
      </c>
      <c r="B231" t="s">
        <v>64</v>
      </c>
      <c r="C231" s="214">
        <v>192423</v>
      </c>
      <c r="D231" s="251">
        <v>115462.59</v>
      </c>
      <c r="E231">
        <v>0</v>
      </c>
      <c r="F231" s="251">
        <v>115462.59</v>
      </c>
      <c r="G231" s="214">
        <v>210000</v>
      </c>
      <c r="H231" s="251">
        <f>VLOOKUP(A231,הוצאות!$B$2:$T$519,19,0)</f>
        <v>125000</v>
      </c>
      <c r="J231" s="251"/>
      <c r="K231" s="251"/>
      <c r="Q231" s="251"/>
      <c r="S231" s="251"/>
    </row>
    <row r="232" spans="1:49">
      <c r="A232">
        <v>1632000620</v>
      </c>
      <c r="B232" t="s">
        <v>65</v>
      </c>
      <c r="C232" s="214">
        <v>274890</v>
      </c>
      <c r="D232" s="251">
        <v>326372.43</v>
      </c>
      <c r="E232">
        <v>0</v>
      </c>
      <c r="F232" s="251">
        <v>326372.43</v>
      </c>
      <c r="G232" s="214">
        <v>300000</v>
      </c>
      <c r="H232" s="251">
        <f>VLOOKUP(A232,הוצאות!$B$2:$T$519,19,0)</f>
        <v>120000</v>
      </c>
      <c r="J232" s="251"/>
      <c r="K232" s="251"/>
      <c r="Q232" s="251"/>
      <c r="S232" s="251"/>
    </row>
    <row r="233" spans="1:49">
      <c r="A233">
        <v>1632000650</v>
      </c>
      <c r="B233" t="s">
        <v>67</v>
      </c>
      <c r="C233" s="214">
        <v>274890</v>
      </c>
      <c r="D233" s="251">
        <v>533055.62</v>
      </c>
      <c r="E233">
        <v>0</v>
      </c>
      <c r="F233" s="251">
        <v>533055.62</v>
      </c>
      <c r="G233" s="214">
        <v>300000</v>
      </c>
      <c r="H233" s="251">
        <f>VLOOKUP(A233,הוצאות!$B$2:$T$519,19,0)</f>
        <v>400000</v>
      </c>
      <c r="J233" s="251"/>
      <c r="K233" s="251"/>
      <c r="Q233" s="251"/>
      <c r="S233" s="251"/>
    </row>
    <row r="234" spans="1:49">
      <c r="A234">
        <v>1648000691</v>
      </c>
      <c r="B234" t="s">
        <v>70</v>
      </c>
      <c r="C234" s="214">
        <v>2107490</v>
      </c>
      <c r="D234" s="251">
        <v>2036750.88</v>
      </c>
      <c r="E234">
        <v>0</v>
      </c>
      <c r="F234" s="251">
        <v>2036750.88</v>
      </c>
      <c r="G234" s="214">
        <v>2300000</v>
      </c>
      <c r="H234" s="251">
        <f>VLOOKUP(A234,הוצאות!$B$2:$T$519,19,0)</f>
        <v>2393000</v>
      </c>
      <c r="J234" s="251"/>
      <c r="K234" s="251"/>
      <c r="Q234" s="251"/>
      <c r="S234" s="251"/>
    </row>
    <row r="235" spans="1:49">
      <c r="A235">
        <v>1648000692</v>
      </c>
      <c r="B235" t="s">
        <v>71</v>
      </c>
      <c r="C235" s="214">
        <v>733040</v>
      </c>
      <c r="D235" s="251">
        <v>680139.3</v>
      </c>
      <c r="E235">
        <v>0</v>
      </c>
      <c r="F235" s="251">
        <v>680139.3</v>
      </c>
      <c r="G235" s="214">
        <v>800000</v>
      </c>
      <c r="H235" s="251">
        <f>VLOOKUP(A235,הוצאות!$B$2:$T$519,19,0)</f>
        <v>937288</v>
      </c>
      <c r="J235" s="251"/>
      <c r="K235" s="251"/>
      <c r="Q235" s="251"/>
      <c r="S235" s="251"/>
    </row>
    <row r="236" spans="1:49">
      <c r="A236">
        <v>1648000693</v>
      </c>
      <c r="B236" t="s">
        <v>72</v>
      </c>
      <c r="C236" s="214">
        <v>366520</v>
      </c>
      <c r="D236" s="251">
        <v>132914.81</v>
      </c>
      <c r="E236">
        <v>0</v>
      </c>
      <c r="F236" s="251">
        <v>132914.81</v>
      </c>
      <c r="G236" s="214">
        <v>400000</v>
      </c>
      <c r="H236" s="251">
        <f>VLOOKUP(A236,הוצאות!$B$2:$T$519,19,0)</f>
        <v>170000</v>
      </c>
      <c r="J236" s="251"/>
      <c r="K236" s="251"/>
      <c r="Q236" s="251"/>
      <c r="S236" s="251"/>
    </row>
    <row r="237" spans="1:49">
      <c r="A237">
        <v>1712200540</v>
      </c>
      <c r="B237" t="s">
        <v>1727</v>
      </c>
      <c r="C237" s="214">
        <v>4587</v>
      </c>
      <c r="D237">
        <v>0</v>
      </c>
      <c r="E237">
        <v>0</v>
      </c>
      <c r="F237">
        <v>0</v>
      </c>
      <c r="G237" s="214">
        <v>5000</v>
      </c>
      <c r="H237" s="251" t="e">
        <f>VLOOKUP(A237,הוצאות!$B$2:$T$519,19,0)</f>
        <v>#N/A</v>
      </c>
      <c r="K237" s="251"/>
    </row>
    <row r="238" spans="1:49">
      <c r="A238">
        <v>1712200740</v>
      </c>
      <c r="B238" t="s">
        <v>33</v>
      </c>
      <c r="C238" s="214">
        <v>1837</v>
      </c>
      <c r="D238">
        <v>0</v>
      </c>
      <c r="E238">
        <v>0</v>
      </c>
      <c r="F238">
        <v>0</v>
      </c>
      <c r="G238" s="214">
        <v>2000</v>
      </c>
      <c r="H238" s="251">
        <f>VLOOKUP(A238,הוצאות!$B$2:$T$519,19,0)</f>
        <v>3000</v>
      </c>
      <c r="K238" s="251"/>
    </row>
    <row r="239" spans="1:49">
      <c r="A239">
        <v>1712200750</v>
      </c>
      <c r="B239" t="s">
        <v>62</v>
      </c>
      <c r="C239" s="214">
        <v>458150</v>
      </c>
      <c r="D239" s="251">
        <v>428656</v>
      </c>
      <c r="E239" s="251">
        <v>47915.25</v>
      </c>
      <c r="F239" s="251">
        <v>476571.25</v>
      </c>
      <c r="G239" s="214">
        <v>500000</v>
      </c>
      <c r="H239" s="251">
        <f>VLOOKUP(A239,הוצאות!$B$2:$T$519,19,0)</f>
        <v>672000</v>
      </c>
      <c r="I239" s="251"/>
      <c r="J239" s="251"/>
      <c r="K239" s="251"/>
      <c r="Q239" s="251"/>
      <c r="S239" s="251"/>
      <c r="AW239" s="251"/>
    </row>
    <row r="240" spans="1:49">
      <c r="A240">
        <v>1712200751</v>
      </c>
      <c r="B240" t="s">
        <v>79</v>
      </c>
      <c r="C240" s="214">
        <v>91630</v>
      </c>
      <c r="D240" s="251">
        <v>114192</v>
      </c>
      <c r="E240" s="251">
        <v>22464</v>
      </c>
      <c r="F240" s="251">
        <v>136656</v>
      </c>
      <c r="G240" s="214">
        <v>100000</v>
      </c>
      <c r="H240" s="251">
        <f>VLOOKUP(A240,הוצאות!$B$2:$T$519,19,0)</f>
        <v>180000</v>
      </c>
      <c r="I240" s="251"/>
      <c r="J240" s="251"/>
      <c r="K240" s="251"/>
      <c r="Q240" s="251"/>
      <c r="S240" s="251"/>
      <c r="AW240" s="251"/>
    </row>
    <row r="241" spans="1:49">
      <c r="A241">
        <v>1712200780</v>
      </c>
      <c r="B241" t="s">
        <v>18</v>
      </c>
      <c r="C241" s="214">
        <v>27489</v>
      </c>
      <c r="D241" s="251">
        <v>29585.48</v>
      </c>
      <c r="E241">
        <v>0</v>
      </c>
      <c r="F241" s="251">
        <v>29585.48</v>
      </c>
      <c r="G241" s="214">
        <v>30000</v>
      </c>
      <c r="H241" s="251">
        <f>VLOOKUP(A241,הוצאות!$B$2:$T$519,19,0)</f>
        <v>0</v>
      </c>
      <c r="J241" s="251"/>
      <c r="K241" s="251"/>
      <c r="Q241" s="251"/>
      <c r="S241" s="251"/>
    </row>
    <row r="242" spans="1:49">
      <c r="A242">
        <v>1712300751</v>
      </c>
      <c r="B242" t="s">
        <v>80</v>
      </c>
      <c r="C242" s="214">
        <v>2840530</v>
      </c>
      <c r="D242" s="251">
        <v>2944891.55</v>
      </c>
      <c r="E242" s="251">
        <v>22464</v>
      </c>
      <c r="F242" s="251">
        <v>2967355.55</v>
      </c>
      <c r="G242" s="214">
        <v>3100000</v>
      </c>
      <c r="H242" s="251">
        <f>VLOOKUP(A242,הוצאות!$B$2:$T$519,19,0)</f>
        <v>3720000</v>
      </c>
      <c r="I242" s="251"/>
      <c r="J242" s="251"/>
      <c r="K242" s="251"/>
      <c r="Q242" s="251"/>
      <c r="S242" s="251"/>
      <c r="AW242" s="251"/>
    </row>
    <row r="243" spans="1:49">
      <c r="A243">
        <v>1713000110</v>
      </c>
      <c r="B243" t="s">
        <v>82</v>
      </c>
      <c r="C243" s="214">
        <v>116369</v>
      </c>
      <c r="D243" s="251">
        <v>109424.74</v>
      </c>
      <c r="E243">
        <v>0</v>
      </c>
      <c r="F243" s="251">
        <v>109424.74</v>
      </c>
      <c r="G243" s="214">
        <v>127000</v>
      </c>
      <c r="H243" s="251">
        <f>VLOOKUP(A243,הוצאות!$B$2:$T$519,19,0)</f>
        <v>170000</v>
      </c>
      <c r="J243" s="251"/>
      <c r="K243" s="251"/>
      <c r="Q243" s="251"/>
      <c r="S243" s="251"/>
    </row>
    <row r="244" spans="1:49">
      <c r="A244">
        <v>1714100830</v>
      </c>
      <c r="B244" t="s">
        <v>83</v>
      </c>
      <c r="C244" s="214">
        <v>128282</v>
      </c>
      <c r="D244">
        <v>0</v>
      </c>
      <c r="E244">
        <v>0</v>
      </c>
      <c r="F244">
        <v>0</v>
      </c>
      <c r="G244" s="214">
        <v>140000</v>
      </c>
      <c r="H244" s="251">
        <f>VLOOKUP(A244,הוצאות!$B$2:$T$519,19,0)</f>
        <v>150000</v>
      </c>
      <c r="K244" s="251"/>
    </row>
    <row r="245" spans="1:49">
      <c r="A245">
        <v>1715300720</v>
      </c>
      <c r="B245" t="s">
        <v>84</v>
      </c>
      <c r="C245" s="214">
        <v>1837</v>
      </c>
      <c r="D245">
        <v>0</v>
      </c>
      <c r="E245">
        <v>0</v>
      </c>
      <c r="F245">
        <v>0</v>
      </c>
      <c r="G245" s="214">
        <v>2000</v>
      </c>
      <c r="H245" s="251">
        <f>VLOOKUP(A245,הוצאות!$B$2:$T$519,19,0)</f>
        <v>0</v>
      </c>
      <c r="K245" s="251"/>
    </row>
    <row r="246" spans="1:49">
      <c r="A246">
        <v>1715300750</v>
      </c>
      <c r="B246" t="s">
        <v>85</v>
      </c>
      <c r="C246" s="214">
        <v>22913</v>
      </c>
      <c r="D246" s="251">
        <v>24628</v>
      </c>
      <c r="E246">
        <v>0</v>
      </c>
      <c r="F246" s="251">
        <v>24628</v>
      </c>
      <c r="G246" s="214">
        <v>25000</v>
      </c>
      <c r="H246" s="251">
        <f>VLOOKUP(A246,הוצאות!$B$2:$T$519,19,0)</f>
        <v>40000</v>
      </c>
      <c r="J246" s="251"/>
      <c r="Q246" s="251"/>
      <c r="S246" s="251"/>
    </row>
    <row r="247" spans="1:49">
      <c r="A247">
        <v>1722000110</v>
      </c>
      <c r="B247" t="s">
        <v>1734</v>
      </c>
      <c r="C247">
        <v>0</v>
      </c>
      <c r="D247" s="251">
        <v>204683.23</v>
      </c>
      <c r="E247">
        <v>0</v>
      </c>
      <c r="F247" s="251">
        <v>204683.23</v>
      </c>
      <c r="G247">
        <v>0</v>
      </c>
      <c r="H247" s="251">
        <f>VLOOKUP(A247,הוצאות!$B$2:$T$519,19,0)</f>
        <v>270858.840425</v>
      </c>
      <c r="J247" s="251"/>
      <c r="K247" s="251"/>
      <c r="Q247" s="251"/>
      <c r="S247" s="251"/>
    </row>
    <row r="248" spans="1:49">
      <c r="A248">
        <v>1722000730</v>
      </c>
      <c r="B248" t="s">
        <v>1627</v>
      </c>
      <c r="C248" s="214">
        <v>64141</v>
      </c>
      <c r="D248">
        <v>0</v>
      </c>
      <c r="E248">
        <v>0</v>
      </c>
      <c r="F248">
        <v>0</v>
      </c>
      <c r="G248" s="214">
        <v>70000</v>
      </c>
      <c r="H248" s="251">
        <f>VLOOKUP(A248,הוצאות!$B$2:$T$519,19,0)</f>
        <v>100000</v>
      </c>
      <c r="K248" s="251"/>
    </row>
    <row r="249" spans="1:49">
      <c r="A249">
        <v>1722000731</v>
      </c>
      <c r="B249" t="s">
        <v>87</v>
      </c>
      <c r="C249" s="214">
        <v>32076</v>
      </c>
      <c r="D249" s="251">
        <v>4228.9799999999996</v>
      </c>
      <c r="E249">
        <v>0</v>
      </c>
      <c r="F249" s="251">
        <v>4228.9799999999996</v>
      </c>
      <c r="G249" s="214">
        <v>35000</v>
      </c>
      <c r="H249" s="251">
        <f>VLOOKUP(A249,הוצאות!$B$2:$T$519,19,0)</f>
        <v>10000</v>
      </c>
      <c r="J249" s="251"/>
      <c r="K249" s="251"/>
      <c r="Q249" s="251"/>
      <c r="S249" s="251"/>
    </row>
    <row r="250" spans="1:49">
      <c r="A250">
        <v>1722000732</v>
      </c>
      <c r="B250" t="s">
        <v>88</v>
      </c>
      <c r="C250" s="214">
        <v>13750</v>
      </c>
      <c r="D250" s="251">
        <v>2267.8000000000002</v>
      </c>
      <c r="E250" s="251">
        <v>3441</v>
      </c>
      <c r="F250" s="251">
        <v>5708.8</v>
      </c>
      <c r="G250" s="214">
        <v>15000</v>
      </c>
      <c r="H250" s="251">
        <f>VLOOKUP(A250,הוצאות!$B$2:$T$519,19,0)</f>
        <v>10000</v>
      </c>
      <c r="I250" s="251"/>
      <c r="J250" s="251"/>
      <c r="K250" s="251"/>
      <c r="Q250" s="251"/>
      <c r="S250" s="251"/>
      <c r="AW250" s="251"/>
    </row>
    <row r="251" spans="1:49">
      <c r="A251">
        <v>1722000733</v>
      </c>
      <c r="B251" t="s">
        <v>89</v>
      </c>
      <c r="C251" s="214">
        <v>21076</v>
      </c>
      <c r="D251">
        <v>530</v>
      </c>
      <c r="E251">
        <v>0</v>
      </c>
      <c r="F251">
        <v>530</v>
      </c>
      <c r="G251" s="214">
        <v>23000</v>
      </c>
      <c r="H251" s="251">
        <f>VLOOKUP(A251,הוצאות!$B$2:$T$519,19,0)</f>
        <v>4000</v>
      </c>
      <c r="K251" s="251"/>
    </row>
    <row r="252" spans="1:49">
      <c r="A252">
        <v>1722000780</v>
      </c>
      <c r="B252" t="s">
        <v>58</v>
      </c>
      <c r="C252" s="214">
        <v>10076</v>
      </c>
      <c r="D252" s="251">
        <v>7350</v>
      </c>
      <c r="E252">
        <v>0</v>
      </c>
      <c r="F252" s="251">
        <v>7350</v>
      </c>
      <c r="G252" s="214">
        <v>11000</v>
      </c>
      <c r="H252" s="251">
        <f>VLOOKUP(A252,הוצאות!$B$2:$T$519,19,0)</f>
        <v>0</v>
      </c>
      <c r="J252" s="251"/>
      <c r="K252" s="251"/>
      <c r="Q252" s="251"/>
      <c r="S252" s="251"/>
    </row>
    <row r="253" spans="1:49">
      <c r="A253">
        <v>1722002110</v>
      </c>
      <c r="B253" t="s">
        <v>1735</v>
      </c>
      <c r="C253" s="214">
        <v>229075</v>
      </c>
      <c r="D253">
        <v>0</v>
      </c>
      <c r="E253">
        <v>0</v>
      </c>
      <c r="F253">
        <v>0</v>
      </c>
      <c r="G253" s="214">
        <v>250000</v>
      </c>
      <c r="H253" s="251">
        <f>VLOOKUP(A253,הוצאות!$B$2:$T$519,19,0)</f>
        <v>0</v>
      </c>
      <c r="K253" s="251"/>
    </row>
    <row r="254" spans="1:49">
      <c r="A254">
        <v>1722002780</v>
      </c>
      <c r="B254" t="s">
        <v>1736</v>
      </c>
      <c r="C254" s="214">
        <v>1837</v>
      </c>
      <c r="D254">
        <v>0</v>
      </c>
      <c r="E254">
        <v>0</v>
      </c>
      <c r="F254">
        <v>0</v>
      </c>
      <c r="G254" s="214">
        <v>2000</v>
      </c>
      <c r="H254" s="251">
        <f>VLOOKUP(A254,הוצאות!$B$2:$T$519,19,0)</f>
        <v>0</v>
      </c>
      <c r="K254" s="251"/>
    </row>
    <row r="255" spans="1:49">
      <c r="A255">
        <v>1723000810</v>
      </c>
      <c r="B255" t="s">
        <v>90</v>
      </c>
      <c r="C255" s="214">
        <v>73304</v>
      </c>
      <c r="D255">
        <v>0</v>
      </c>
      <c r="E255">
        <v>0</v>
      </c>
      <c r="F255">
        <v>0</v>
      </c>
      <c r="G255" s="214">
        <v>80000</v>
      </c>
      <c r="H255" s="251">
        <f>VLOOKUP(A255,הוצאות!$B$2:$T$519,19,0)</f>
        <v>87000</v>
      </c>
      <c r="K255" s="251"/>
    </row>
    <row r="256" spans="1:49">
      <c r="A256">
        <v>1723000811</v>
      </c>
      <c r="B256" t="s">
        <v>91</v>
      </c>
      <c r="C256" s="214">
        <v>156365</v>
      </c>
      <c r="D256" s="251">
        <v>2574</v>
      </c>
      <c r="E256">
        <v>0</v>
      </c>
      <c r="F256" s="251">
        <v>2574</v>
      </c>
      <c r="G256" s="214">
        <v>170646</v>
      </c>
      <c r="H256" s="251">
        <f>VLOOKUP(A256,הוצאות!$B$2:$T$519,19,0)</f>
        <v>299129</v>
      </c>
      <c r="J256" s="251"/>
      <c r="K256" s="251"/>
      <c r="Q256" s="251"/>
      <c r="S256" s="251"/>
    </row>
    <row r="257" spans="1:49">
      <c r="A257">
        <v>1723000930</v>
      </c>
      <c r="B257" t="s">
        <v>586</v>
      </c>
      <c r="C257" s="214">
        <v>5500</v>
      </c>
      <c r="D257" s="251">
        <v>1720</v>
      </c>
      <c r="E257">
        <v>0</v>
      </c>
      <c r="F257" s="251">
        <v>1720</v>
      </c>
      <c r="G257" s="214">
        <v>6000</v>
      </c>
      <c r="H257" s="251">
        <f>VLOOKUP(A257,הוצאות!$B$2:$T$519,19,0)</f>
        <v>3000</v>
      </c>
      <c r="J257" s="251"/>
      <c r="K257" s="251"/>
      <c r="Q257" s="251"/>
      <c r="S257" s="251"/>
    </row>
    <row r="258" spans="1:49">
      <c r="A258">
        <v>1724000760</v>
      </c>
      <c r="B258" t="s">
        <v>92</v>
      </c>
      <c r="C258" s="214">
        <v>78485</v>
      </c>
      <c r="D258" s="251">
        <v>172800.39</v>
      </c>
      <c r="E258">
        <v>0</v>
      </c>
      <c r="F258" s="251">
        <v>172800.39</v>
      </c>
      <c r="G258" s="214">
        <v>85650</v>
      </c>
      <c r="H258" s="251">
        <f>VLOOKUP(A258,הוצאות!$B$2:$T$519,19,0)</f>
        <v>0</v>
      </c>
      <c r="J258" s="251"/>
      <c r="K258" s="251"/>
      <c r="Q258" s="251"/>
      <c r="S258" s="251"/>
    </row>
    <row r="259" spans="1:49">
      <c r="A259">
        <v>1724000830</v>
      </c>
      <c r="B259" t="s">
        <v>93</v>
      </c>
      <c r="C259" s="214">
        <v>210749</v>
      </c>
      <c r="D259">
        <v>0</v>
      </c>
      <c r="E259">
        <v>0</v>
      </c>
      <c r="F259">
        <v>0</v>
      </c>
      <c r="G259" s="214">
        <v>230000</v>
      </c>
      <c r="H259" s="251">
        <f>VLOOKUP(A259,הוצאות!$B$2:$T$519,19,0)</f>
        <v>0</v>
      </c>
      <c r="K259" s="251"/>
    </row>
    <row r="260" spans="1:49">
      <c r="A260">
        <v>1725000110</v>
      </c>
      <c r="B260" t="s">
        <v>92</v>
      </c>
      <c r="C260" s="214">
        <v>172634</v>
      </c>
      <c r="D260" s="251">
        <v>109602.96</v>
      </c>
      <c r="E260">
        <v>0</v>
      </c>
      <c r="F260" s="251">
        <v>109602.96</v>
      </c>
      <c r="G260" s="214">
        <v>188400</v>
      </c>
      <c r="H260" s="251">
        <f>VLOOKUP(A260,הוצאות!$B$2:$T$519,19,0)</f>
        <v>300000</v>
      </c>
      <c r="J260" s="251"/>
      <c r="K260" s="251"/>
      <c r="Q260" s="251"/>
      <c r="S260" s="251"/>
    </row>
    <row r="261" spans="1:49">
      <c r="A261">
        <v>1725000750</v>
      </c>
      <c r="B261" t="s">
        <v>2032</v>
      </c>
      <c r="C261" s="214">
        <v>251108</v>
      </c>
      <c r="D261">
        <v>0</v>
      </c>
      <c r="E261" s="251">
        <v>220740</v>
      </c>
      <c r="F261" s="251">
        <v>220740</v>
      </c>
      <c r="G261" s="214">
        <v>274040</v>
      </c>
      <c r="H261" s="251">
        <f>VLOOKUP(A261,הוצאות!$B$2:$T$519,19,0)</f>
        <v>121108</v>
      </c>
      <c r="I261" s="251"/>
      <c r="J261" s="251"/>
      <c r="K261" s="251"/>
      <c r="Q261" s="251"/>
      <c r="S261" s="251"/>
      <c r="AW261" s="251"/>
    </row>
    <row r="262" spans="1:49">
      <c r="A262">
        <v>1731000110</v>
      </c>
      <c r="B262" t="s">
        <v>97</v>
      </c>
      <c r="C262" s="214">
        <v>586432</v>
      </c>
      <c r="D262" s="251">
        <v>538543.73</v>
      </c>
      <c r="E262">
        <v>0</v>
      </c>
      <c r="F262" s="251">
        <v>538543.73</v>
      </c>
      <c r="G262" s="214">
        <v>640000</v>
      </c>
      <c r="H262" s="251">
        <f>VLOOKUP(A262,הוצאות!$B$2:$T$519,19,0)</f>
        <v>500000</v>
      </c>
      <c r="J262" s="251"/>
      <c r="K262" s="251"/>
      <c r="Q262" s="251"/>
      <c r="S262" s="251"/>
    </row>
    <row r="263" spans="1:49">
      <c r="A263">
        <v>1731000440</v>
      </c>
      <c r="B263" t="s">
        <v>98</v>
      </c>
      <c r="C263" s="214">
        <v>3663</v>
      </c>
      <c r="D263">
        <v>0</v>
      </c>
      <c r="E263">
        <v>0</v>
      </c>
      <c r="F263">
        <v>0</v>
      </c>
      <c r="G263" s="214">
        <v>4000</v>
      </c>
      <c r="H263" s="251">
        <f>VLOOKUP(A263,הוצאות!$B$2:$T$519,19,0)</f>
        <v>0</v>
      </c>
      <c r="K263" s="251"/>
    </row>
    <row r="264" spans="1:49">
      <c r="A264">
        <v>1731000523</v>
      </c>
      <c r="B264" t="s">
        <v>28</v>
      </c>
      <c r="C264" s="214">
        <v>1375</v>
      </c>
      <c r="D264">
        <v>0</v>
      </c>
      <c r="E264">
        <v>0</v>
      </c>
      <c r="F264">
        <v>0</v>
      </c>
      <c r="G264" s="214">
        <v>1500</v>
      </c>
      <c r="H264" s="251">
        <f>VLOOKUP(A264,הוצאות!$B$2:$T$519,19,0)</f>
        <v>1500</v>
      </c>
      <c r="K264" s="251"/>
    </row>
    <row r="265" spans="1:49">
      <c r="A265">
        <v>1731000560</v>
      </c>
      <c r="B265" t="s">
        <v>99</v>
      </c>
      <c r="C265">
        <v>0</v>
      </c>
      <c r="D265">
        <v>50</v>
      </c>
      <c r="E265">
        <v>0</v>
      </c>
      <c r="F265">
        <v>50</v>
      </c>
      <c r="G265">
        <v>0</v>
      </c>
      <c r="H265" s="251" t="e">
        <f>VLOOKUP(A265,הוצאות!$B$2:$T$519,19,0)</f>
        <v>#N/A</v>
      </c>
    </row>
    <row r="266" spans="1:49">
      <c r="A266">
        <v>1731000780</v>
      </c>
      <c r="B266" t="s">
        <v>18</v>
      </c>
      <c r="C266">
        <v>0</v>
      </c>
      <c r="D266" s="251">
        <v>6500</v>
      </c>
      <c r="E266">
        <v>0</v>
      </c>
      <c r="F266" s="251">
        <v>6500</v>
      </c>
      <c r="G266">
        <v>0</v>
      </c>
      <c r="H266" s="251">
        <f>VLOOKUP(A266,הוצאות!$B$2:$T$519,19,0)</f>
        <v>8000</v>
      </c>
      <c r="J266" s="251"/>
      <c r="K266" s="251"/>
      <c r="Q266" s="251"/>
      <c r="S266" s="251"/>
    </row>
    <row r="267" spans="1:49">
      <c r="A267">
        <v>1731000930</v>
      </c>
      <c r="B267" t="s">
        <v>19</v>
      </c>
      <c r="C267" s="214">
        <v>1837</v>
      </c>
      <c r="D267" s="251">
        <v>1324</v>
      </c>
      <c r="E267">
        <v>0</v>
      </c>
      <c r="F267" s="251">
        <v>1324</v>
      </c>
      <c r="G267" s="214">
        <v>2000</v>
      </c>
      <c r="H267" s="251">
        <f>VLOOKUP(A267,הוצאות!$B$2:$T$519,19,0)</f>
        <v>2000</v>
      </c>
      <c r="J267" s="251"/>
      <c r="Q267" s="251"/>
      <c r="S267" s="251"/>
    </row>
    <row r="268" spans="1:49">
      <c r="A268">
        <v>1732100750</v>
      </c>
      <c r="B268" t="s">
        <v>1738</v>
      </c>
      <c r="C268" s="214">
        <v>73304</v>
      </c>
      <c r="D268" s="251">
        <v>118990.93</v>
      </c>
      <c r="E268" s="251">
        <v>40000</v>
      </c>
      <c r="F268" s="251">
        <v>158990.93</v>
      </c>
      <c r="G268" s="214">
        <v>80000</v>
      </c>
      <c r="H268" s="251">
        <f>VLOOKUP(A268,הוצאות!$B$2:$T$519,19,0)</f>
        <v>70000</v>
      </c>
      <c r="I268" s="251"/>
      <c r="J268" s="251"/>
      <c r="K268" s="251"/>
      <c r="Q268" s="251"/>
      <c r="S268" s="251"/>
      <c r="AW268" s="251"/>
    </row>
    <row r="269" spans="1:49">
      <c r="A269">
        <v>1733400750</v>
      </c>
      <c r="B269" t="s">
        <v>102</v>
      </c>
      <c r="C269" s="214">
        <v>687225</v>
      </c>
      <c r="D269" s="251">
        <v>672322.4</v>
      </c>
      <c r="E269">
        <v>0</v>
      </c>
      <c r="F269" s="251">
        <v>672322.4</v>
      </c>
      <c r="G269" s="214">
        <v>750000</v>
      </c>
      <c r="H269" s="251">
        <f>VLOOKUP(A269,הוצאות!$B$2:$T$519,19,0)</f>
        <v>1100000</v>
      </c>
      <c r="J269" s="251"/>
      <c r="K269" s="251"/>
      <c r="Q269" s="251"/>
      <c r="S269" s="251"/>
    </row>
    <row r="270" spans="1:49">
      <c r="A270">
        <v>1741000110</v>
      </c>
      <c r="B270" t="s">
        <v>103</v>
      </c>
      <c r="C270" s="214">
        <v>102630</v>
      </c>
      <c r="D270" s="251">
        <v>94933.62</v>
      </c>
      <c r="E270">
        <v>0</v>
      </c>
      <c r="F270" s="251">
        <v>94933.62</v>
      </c>
      <c r="G270" s="214">
        <v>112000</v>
      </c>
      <c r="H270" s="251">
        <f>VLOOKUP(A270,הוצאות!$B$2:$T$519,19,0)</f>
        <v>206000</v>
      </c>
      <c r="J270" s="251"/>
      <c r="K270" s="251"/>
      <c r="Q270" s="251"/>
      <c r="S270" s="251"/>
    </row>
    <row r="271" spans="1:49">
      <c r="A271">
        <v>1741000540</v>
      </c>
      <c r="B271" t="s">
        <v>104</v>
      </c>
      <c r="C271">
        <v>913</v>
      </c>
      <c r="D271">
        <v>0</v>
      </c>
      <c r="E271">
        <v>0</v>
      </c>
      <c r="F271">
        <v>0</v>
      </c>
      <c r="G271" s="214">
        <v>1000</v>
      </c>
      <c r="H271" s="251">
        <f>VLOOKUP(A271,הוצאות!$B$2:$T$519,19,0)</f>
        <v>1000</v>
      </c>
      <c r="K271" s="251"/>
    </row>
    <row r="272" spans="1:49">
      <c r="A272">
        <v>1741000720</v>
      </c>
      <c r="B272" t="s">
        <v>105</v>
      </c>
      <c r="C272">
        <v>913</v>
      </c>
      <c r="D272" s="251">
        <v>1322.05</v>
      </c>
      <c r="E272">
        <v>0</v>
      </c>
      <c r="F272" s="251">
        <v>1322.05</v>
      </c>
      <c r="G272" s="214">
        <v>1000</v>
      </c>
      <c r="H272" s="251">
        <f>VLOOKUP(A272,הוצאות!$B$2:$T$519,19,0)</f>
        <v>1500</v>
      </c>
      <c r="J272" s="251"/>
      <c r="Q272" s="251"/>
      <c r="S272" s="251"/>
    </row>
    <row r="273" spans="1:49">
      <c r="A273">
        <v>1741000731</v>
      </c>
      <c r="B273" t="s">
        <v>106</v>
      </c>
      <c r="C273" s="214">
        <v>18326</v>
      </c>
      <c r="D273">
        <v>0</v>
      </c>
      <c r="E273">
        <v>0</v>
      </c>
      <c r="F273">
        <v>0</v>
      </c>
      <c r="G273" s="214">
        <v>20000</v>
      </c>
      <c r="H273" s="251">
        <f>VLOOKUP(A273,הוצאות!$B$2:$T$519,19,0)</f>
        <v>0</v>
      </c>
      <c r="K273" s="251"/>
    </row>
    <row r="274" spans="1:49">
      <c r="A274">
        <v>1741000732</v>
      </c>
      <c r="B274" t="s">
        <v>107</v>
      </c>
      <c r="C274" s="214">
        <v>9163</v>
      </c>
      <c r="D274" s="251">
        <v>5000</v>
      </c>
      <c r="E274">
        <v>0</v>
      </c>
      <c r="F274" s="251">
        <v>5000</v>
      </c>
      <c r="G274" s="214">
        <v>10000</v>
      </c>
      <c r="H274" s="251">
        <f>VLOOKUP(A274,הוצאות!$B$2:$T$519,19,0)</f>
        <v>6000</v>
      </c>
      <c r="J274" s="251"/>
      <c r="K274" s="251"/>
      <c r="Q274" s="251"/>
      <c r="S274" s="251"/>
    </row>
    <row r="275" spans="1:49">
      <c r="A275">
        <v>1741000733</v>
      </c>
      <c r="B275" t="s">
        <v>108</v>
      </c>
      <c r="C275" s="214">
        <v>4587</v>
      </c>
      <c r="D275">
        <v>0</v>
      </c>
      <c r="E275">
        <v>0</v>
      </c>
      <c r="F275">
        <v>0</v>
      </c>
      <c r="G275" s="214">
        <v>5000</v>
      </c>
      <c r="H275" s="251">
        <f>VLOOKUP(A275,הוצאות!$B$2:$T$519,19,0)</f>
        <v>5000</v>
      </c>
      <c r="K275" s="251"/>
    </row>
    <row r="276" spans="1:49">
      <c r="A276">
        <v>1741000750</v>
      </c>
      <c r="B276" t="s">
        <v>62</v>
      </c>
      <c r="C276" s="214">
        <v>113619</v>
      </c>
      <c r="D276" s="251">
        <v>116826.9</v>
      </c>
      <c r="E276" s="251">
        <v>10277.030000000001</v>
      </c>
      <c r="F276" s="251">
        <v>127103.93</v>
      </c>
      <c r="G276" s="214">
        <v>124000</v>
      </c>
      <c r="H276" s="251">
        <f>VLOOKUP(A276,הוצאות!$B$2:$T$519,19,0)</f>
        <v>80000</v>
      </c>
      <c r="I276" s="251"/>
      <c r="J276" s="251"/>
      <c r="K276" s="251"/>
      <c r="Q276" s="251"/>
      <c r="S276" s="251"/>
      <c r="AW276" s="251"/>
    </row>
    <row r="277" spans="1:49">
      <c r="A277">
        <v>1741000751</v>
      </c>
      <c r="B277" t="s">
        <v>2033</v>
      </c>
      <c r="C277" s="214">
        <v>687225</v>
      </c>
      <c r="D277" s="251">
        <v>171115.2</v>
      </c>
      <c r="E277" s="251">
        <v>232579.8</v>
      </c>
      <c r="F277" s="251">
        <v>403695</v>
      </c>
      <c r="G277" s="214">
        <v>750000</v>
      </c>
      <c r="H277" s="251">
        <f>VLOOKUP(A277,הוצאות!$B$2:$T$519,19,0)</f>
        <v>0</v>
      </c>
      <c r="I277" s="251"/>
      <c r="J277" s="251"/>
      <c r="K277" s="251"/>
      <c r="Q277" s="251"/>
      <c r="S277" s="251"/>
      <c r="AW277" s="251"/>
    </row>
    <row r="278" spans="1:49">
      <c r="A278">
        <v>1743000750</v>
      </c>
      <c r="B278" t="s">
        <v>109</v>
      </c>
      <c r="C278" s="214">
        <v>9163</v>
      </c>
      <c r="D278">
        <v>0</v>
      </c>
      <c r="E278">
        <v>0</v>
      </c>
      <c r="F278">
        <v>0</v>
      </c>
      <c r="G278" s="214">
        <v>10000</v>
      </c>
      <c r="H278" s="251">
        <f>VLOOKUP(A278,הוצאות!$B$2:$T$519,19,0)</f>
        <v>0</v>
      </c>
      <c r="K278" s="251"/>
    </row>
    <row r="279" spans="1:49">
      <c r="A279">
        <v>1743000771</v>
      </c>
      <c r="B279" t="s">
        <v>110</v>
      </c>
      <c r="C279" s="214">
        <v>274890</v>
      </c>
      <c r="D279" s="251">
        <v>118637.87</v>
      </c>
      <c r="E279">
        <v>0</v>
      </c>
      <c r="F279" s="251">
        <v>118637.87</v>
      </c>
      <c r="G279" s="214">
        <v>300000</v>
      </c>
      <c r="H279" s="251">
        <f>VLOOKUP(A279,הוצאות!$B$2:$T$519,19,0)</f>
        <v>200000</v>
      </c>
      <c r="J279" s="251"/>
      <c r="K279" s="251"/>
      <c r="Q279" s="251"/>
      <c r="S279" s="251"/>
    </row>
    <row r="280" spans="1:49">
      <c r="A280">
        <v>1744000780</v>
      </c>
      <c r="B280" t="s">
        <v>112</v>
      </c>
      <c r="C280" s="214">
        <v>3663</v>
      </c>
      <c r="D280">
        <v>0</v>
      </c>
      <c r="E280" s="251">
        <v>1521</v>
      </c>
      <c r="F280" s="251">
        <v>1521</v>
      </c>
      <c r="G280" s="214">
        <v>4000</v>
      </c>
      <c r="H280" s="251">
        <f>VLOOKUP(A280,הוצאות!$B$2:$T$519,19,0)</f>
        <v>0</v>
      </c>
      <c r="I280" s="251"/>
      <c r="J280" s="251"/>
      <c r="K280" s="251"/>
      <c r="Q280" s="251"/>
      <c r="S280" s="251"/>
      <c r="AW280" s="251"/>
    </row>
    <row r="281" spans="1:49">
      <c r="A281">
        <v>1745000830</v>
      </c>
      <c r="B281" t="s">
        <v>114</v>
      </c>
      <c r="C281" s="214">
        <v>91630</v>
      </c>
      <c r="D281" s="251">
        <v>108045</v>
      </c>
      <c r="E281">
        <v>0</v>
      </c>
      <c r="F281" s="251">
        <v>108045</v>
      </c>
      <c r="G281" s="214">
        <v>100000</v>
      </c>
      <c r="H281" s="251">
        <f>VLOOKUP(A281,הוצאות!$B$2:$T$519,19,0)</f>
        <v>110000</v>
      </c>
      <c r="J281" s="251"/>
      <c r="K281" s="251"/>
      <c r="Q281" s="251"/>
      <c r="S281" s="251"/>
    </row>
    <row r="282" spans="1:49">
      <c r="A282">
        <v>1747200110</v>
      </c>
      <c r="B282" t="s">
        <v>115</v>
      </c>
      <c r="C282" s="214">
        <v>345444</v>
      </c>
      <c r="D282" s="251">
        <v>380886.52</v>
      </c>
      <c r="E282">
        <v>0</v>
      </c>
      <c r="F282" s="251">
        <v>380886.52</v>
      </c>
      <c r="G282" s="214">
        <v>377000</v>
      </c>
      <c r="H282" s="251">
        <f>VLOOKUP(A282,הוצאות!$B$2:$T$519,19,0)</f>
        <v>494069.66050200001</v>
      </c>
      <c r="J282" s="251"/>
      <c r="K282" s="251"/>
      <c r="Q282" s="251"/>
      <c r="S282" s="251"/>
    </row>
    <row r="283" spans="1:49">
      <c r="A283">
        <v>1747200431</v>
      </c>
      <c r="B283" t="s">
        <v>116</v>
      </c>
      <c r="C283" s="214">
        <v>7326</v>
      </c>
      <c r="D283" s="251">
        <v>44526.62</v>
      </c>
      <c r="E283">
        <v>0</v>
      </c>
      <c r="F283" s="251">
        <v>44526.62</v>
      </c>
      <c r="G283" s="214">
        <v>8000</v>
      </c>
      <c r="H283" s="251">
        <f>VLOOKUP(A283,הוצאות!$B$2:$T$519,19,0)</f>
        <v>50000</v>
      </c>
      <c r="J283" s="251"/>
      <c r="K283" s="251"/>
      <c r="Q283" s="251"/>
      <c r="S283" s="251"/>
    </row>
    <row r="284" spans="1:49">
      <c r="A284">
        <v>1747200432</v>
      </c>
      <c r="B284" t="s">
        <v>117</v>
      </c>
      <c r="C284" s="214">
        <v>22913</v>
      </c>
      <c r="D284" s="251">
        <v>1872</v>
      </c>
      <c r="E284">
        <v>0</v>
      </c>
      <c r="F284" s="251">
        <v>1872</v>
      </c>
      <c r="G284" s="214">
        <v>25000</v>
      </c>
      <c r="H284" s="251">
        <f>VLOOKUP(A284,הוצאות!$B$2:$T$519,19,0)</f>
        <v>20000</v>
      </c>
      <c r="J284" s="251"/>
      <c r="K284" s="251"/>
      <c r="Q284" s="251"/>
      <c r="S284" s="251"/>
    </row>
    <row r="285" spans="1:49">
      <c r="A285">
        <v>1747200433</v>
      </c>
      <c r="B285" t="s">
        <v>144</v>
      </c>
      <c r="C285" s="214">
        <v>4587</v>
      </c>
      <c r="D285">
        <v>0</v>
      </c>
      <c r="E285">
        <v>0</v>
      </c>
      <c r="F285">
        <v>0</v>
      </c>
      <c r="G285" s="214">
        <v>5000</v>
      </c>
      <c r="H285" s="251">
        <f>VLOOKUP(A285,הוצאות!$B$2:$T$519,19,0)</f>
        <v>5000</v>
      </c>
      <c r="K285" s="251"/>
    </row>
    <row r="286" spans="1:49">
      <c r="A286">
        <v>1747200440</v>
      </c>
      <c r="B286" t="s">
        <v>119</v>
      </c>
      <c r="C286" s="214">
        <v>16489</v>
      </c>
      <c r="D286" s="251">
        <v>2278</v>
      </c>
      <c r="E286">
        <v>0</v>
      </c>
      <c r="F286" s="251">
        <v>2278</v>
      </c>
      <c r="G286" s="214">
        <v>18000</v>
      </c>
      <c r="H286" s="251">
        <f>VLOOKUP(A286,הוצאות!$B$2:$T$519,19,0)</f>
        <v>3000</v>
      </c>
      <c r="J286" s="251"/>
      <c r="K286" s="251"/>
      <c r="Q286" s="251"/>
      <c r="S286" s="251"/>
    </row>
    <row r="287" spans="1:49">
      <c r="A287">
        <v>1747200540</v>
      </c>
      <c r="B287" t="s">
        <v>104</v>
      </c>
      <c r="C287" s="214">
        <v>1375</v>
      </c>
      <c r="D287">
        <v>0</v>
      </c>
      <c r="E287">
        <v>0</v>
      </c>
      <c r="F287">
        <v>0</v>
      </c>
      <c r="G287" s="214">
        <v>1500</v>
      </c>
      <c r="H287" s="251">
        <f>VLOOKUP(A287,הוצאות!$B$2:$T$519,19,0)</f>
        <v>0</v>
      </c>
      <c r="K287" s="251"/>
    </row>
    <row r="288" spans="1:49">
      <c r="A288">
        <v>1747200720</v>
      </c>
      <c r="B288" t="s">
        <v>32</v>
      </c>
      <c r="C288" s="214">
        <v>1837</v>
      </c>
      <c r="D288" s="251">
        <v>1679</v>
      </c>
      <c r="E288">
        <v>0</v>
      </c>
      <c r="F288" s="251">
        <v>1679</v>
      </c>
      <c r="G288" s="214">
        <v>2000</v>
      </c>
      <c r="H288" s="251">
        <f>VLOOKUP(A288,הוצאות!$B$2:$T$519,19,0)</f>
        <v>2000</v>
      </c>
      <c r="J288" s="251"/>
      <c r="Q288" s="251"/>
      <c r="S288" s="251"/>
    </row>
    <row r="289" spans="1:49">
      <c r="A289">
        <v>1747200750</v>
      </c>
      <c r="B289" t="s">
        <v>62</v>
      </c>
      <c r="C289" s="214">
        <v>91630</v>
      </c>
      <c r="D289" s="251">
        <v>92255.86</v>
      </c>
      <c r="E289" s="251">
        <v>30000</v>
      </c>
      <c r="F289" s="251">
        <v>122255.86</v>
      </c>
      <c r="G289" s="214">
        <v>100000</v>
      </c>
      <c r="H289" s="251">
        <f>VLOOKUP(A289,הוצאות!$B$2:$T$519,19,0)</f>
        <v>100000</v>
      </c>
      <c r="I289" s="251"/>
      <c r="J289" s="251"/>
      <c r="K289" s="251"/>
      <c r="Q289" s="251"/>
      <c r="S289" s="251"/>
      <c r="AW289" s="251"/>
    </row>
    <row r="290" spans="1:49">
      <c r="A290">
        <v>1748000432</v>
      </c>
      <c r="B290" t="s">
        <v>122</v>
      </c>
      <c r="C290" s="214">
        <v>2750</v>
      </c>
      <c r="D290">
        <v>0</v>
      </c>
      <c r="E290">
        <v>0</v>
      </c>
      <c r="F290">
        <v>0</v>
      </c>
      <c r="G290" s="214">
        <v>3000</v>
      </c>
      <c r="H290" s="251">
        <f>VLOOKUP(A290,הוצאות!$B$2:$T$519,19,0)</f>
        <v>3000</v>
      </c>
      <c r="K290" s="251"/>
    </row>
    <row r="291" spans="1:49">
      <c r="A291">
        <v>1752000780</v>
      </c>
      <c r="B291" t="s">
        <v>123</v>
      </c>
      <c r="C291">
        <v>913</v>
      </c>
      <c r="D291">
        <v>0</v>
      </c>
      <c r="E291">
        <v>0</v>
      </c>
      <c r="F291">
        <v>0</v>
      </c>
      <c r="G291" s="214">
        <v>1000</v>
      </c>
      <c r="H291" s="251">
        <f>VLOOKUP(A291,הוצאות!$B$2:$T$519,19,0)</f>
        <v>1000</v>
      </c>
      <c r="K291" s="251"/>
    </row>
    <row r="292" spans="1:49">
      <c r="A292">
        <v>1767000441</v>
      </c>
      <c r="B292" t="s">
        <v>125</v>
      </c>
      <c r="C292" s="214">
        <v>687225</v>
      </c>
      <c r="D292" s="251">
        <v>709204</v>
      </c>
      <c r="E292">
        <v>0</v>
      </c>
      <c r="F292" s="251">
        <v>709204</v>
      </c>
      <c r="G292" s="214">
        <v>750000</v>
      </c>
      <c r="H292" s="251">
        <f>VLOOKUP(A292,הוצאות!$B$2:$T$519,19,0)</f>
        <v>400000</v>
      </c>
      <c r="J292" s="251"/>
      <c r="K292" s="251"/>
      <c r="Q292" s="251"/>
      <c r="S292" s="251"/>
    </row>
    <row r="293" spans="1:49">
      <c r="A293">
        <v>1769500540</v>
      </c>
      <c r="B293" t="s">
        <v>127</v>
      </c>
      <c r="C293">
        <v>913</v>
      </c>
      <c r="D293">
        <v>0</v>
      </c>
      <c r="E293">
        <v>0</v>
      </c>
      <c r="F293">
        <v>0</v>
      </c>
      <c r="G293" s="214">
        <v>1000</v>
      </c>
      <c r="H293" s="251">
        <f>VLOOKUP(A293,הוצאות!$B$2:$T$519,19,0)</f>
        <v>0</v>
      </c>
      <c r="K293" s="251"/>
    </row>
    <row r="294" spans="1:49">
      <c r="A294">
        <v>1769500720</v>
      </c>
      <c r="B294" t="s">
        <v>129</v>
      </c>
      <c r="C294" s="214">
        <v>1837</v>
      </c>
      <c r="D294">
        <v>0</v>
      </c>
      <c r="E294">
        <v>0</v>
      </c>
      <c r="F294">
        <v>0</v>
      </c>
      <c r="G294" s="214">
        <v>2000</v>
      </c>
      <c r="H294" s="251">
        <f>VLOOKUP(A294,הוצאות!$B$2:$T$519,19,0)</f>
        <v>0</v>
      </c>
      <c r="K294" s="251"/>
    </row>
    <row r="295" spans="1:49">
      <c r="A295">
        <v>1769500780</v>
      </c>
      <c r="B295" t="s">
        <v>58</v>
      </c>
      <c r="C295" s="214">
        <v>4587</v>
      </c>
      <c r="D295">
        <v>0</v>
      </c>
      <c r="E295">
        <v>0</v>
      </c>
      <c r="F295">
        <v>0</v>
      </c>
      <c r="G295" s="214">
        <v>5000</v>
      </c>
      <c r="H295" s="251">
        <f>VLOOKUP(A295,הוצאות!$B$2:$T$519,19,0)</f>
        <v>0</v>
      </c>
      <c r="K295" s="251"/>
    </row>
    <row r="296" spans="1:49">
      <c r="A296">
        <v>1811000110</v>
      </c>
      <c r="B296" t="s">
        <v>131</v>
      </c>
      <c r="C296" s="214">
        <v>650573</v>
      </c>
      <c r="D296" s="251">
        <v>565727.48</v>
      </c>
      <c r="E296">
        <v>0</v>
      </c>
      <c r="F296" s="251">
        <v>565727.48</v>
      </c>
      <c r="G296" s="214">
        <v>710000</v>
      </c>
      <c r="H296" s="251">
        <f>VLOOKUP(A296,הוצאות!$B$2:$T$519,19,0)</f>
        <v>700000</v>
      </c>
      <c r="J296" s="251"/>
      <c r="K296" s="251"/>
      <c r="Q296" s="251"/>
      <c r="S296" s="251"/>
    </row>
    <row r="297" spans="1:49">
      <c r="A297">
        <v>1811000523</v>
      </c>
      <c r="B297" t="s">
        <v>28</v>
      </c>
      <c r="C297" s="214">
        <v>2750</v>
      </c>
      <c r="D297">
        <v>0</v>
      </c>
      <c r="E297">
        <v>0</v>
      </c>
      <c r="F297">
        <v>0</v>
      </c>
      <c r="G297" s="214">
        <v>3000</v>
      </c>
      <c r="H297" s="251">
        <f>VLOOKUP(A297,הוצאות!$B$2:$T$519,19,0)</f>
        <v>3000</v>
      </c>
      <c r="K297" s="251"/>
    </row>
    <row r="298" spans="1:49">
      <c r="A298">
        <v>1811000540</v>
      </c>
      <c r="B298" t="s">
        <v>134</v>
      </c>
      <c r="C298" s="214">
        <v>3663</v>
      </c>
      <c r="D298" s="251">
        <v>60879.81</v>
      </c>
      <c r="E298">
        <v>0</v>
      </c>
      <c r="F298" s="251">
        <v>60879.81</v>
      </c>
      <c r="G298" s="214">
        <v>4000</v>
      </c>
      <c r="H298" s="251">
        <f>VLOOKUP(A298,הוצאות!$B$2:$T$519,19,0)</f>
        <v>65000</v>
      </c>
      <c r="J298" s="251"/>
      <c r="K298" s="251"/>
      <c r="L298" s="251"/>
      <c r="Q298" s="251"/>
      <c r="S298" s="251"/>
    </row>
    <row r="299" spans="1:49">
      <c r="A299">
        <v>1811000560</v>
      </c>
      <c r="B299" t="s">
        <v>14</v>
      </c>
      <c r="C299" s="214">
        <v>4587</v>
      </c>
      <c r="D299" s="251">
        <v>1000</v>
      </c>
      <c r="E299">
        <v>0</v>
      </c>
      <c r="F299" s="251">
        <v>1000</v>
      </c>
      <c r="G299" s="214">
        <v>5000</v>
      </c>
      <c r="H299" s="251">
        <f>VLOOKUP(A299,הוצאות!$B$2:$T$519,19,0)</f>
        <v>3000</v>
      </c>
      <c r="J299" s="251"/>
      <c r="K299" s="251"/>
      <c r="Q299" s="251"/>
      <c r="S299" s="251"/>
    </row>
    <row r="300" spans="1:49">
      <c r="A300">
        <v>1811000750</v>
      </c>
      <c r="B300" t="s">
        <v>62</v>
      </c>
      <c r="C300" s="214">
        <v>7326</v>
      </c>
      <c r="D300" s="251">
        <v>23111</v>
      </c>
      <c r="E300">
        <v>0</v>
      </c>
      <c r="F300" s="251">
        <v>23111</v>
      </c>
      <c r="G300" s="214">
        <v>8000</v>
      </c>
      <c r="H300" s="251">
        <f>VLOOKUP(A300,הוצאות!$B$2:$T$519,19,0)</f>
        <v>10000</v>
      </c>
      <c r="J300" s="251"/>
      <c r="K300" s="251"/>
      <c r="Q300" s="251"/>
      <c r="S300" s="251"/>
    </row>
    <row r="301" spans="1:49">
      <c r="A301">
        <v>1811010930</v>
      </c>
      <c r="B301" t="s">
        <v>138</v>
      </c>
      <c r="C301" s="214">
        <v>109956</v>
      </c>
      <c r="D301" s="251">
        <v>60973.95</v>
      </c>
      <c r="E301" s="251">
        <v>5716.6</v>
      </c>
      <c r="F301" s="251">
        <v>66690.55</v>
      </c>
      <c r="G301" s="214">
        <v>120000</v>
      </c>
      <c r="H301" s="251">
        <f>VLOOKUP(A301,הוצאות!$B$2:$T$519,19,0)</f>
        <v>10000</v>
      </c>
      <c r="I301" s="251"/>
      <c r="J301" s="251"/>
      <c r="K301" s="251"/>
      <c r="Q301" s="251"/>
      <c r="S301" s="251"/>
      <c r="AW301" s="251"/>
    </row>
    <row r="302" spans="1:49">
      <c r="A302">
        <v>1811020750</v>
      </c>
      <c r="B302" t="s">
        <v>139</v>
      </c>
      <c r="C302" s="214">
        <v>229075</v>
      </c>
      <c r="D302" s="251">
        <v>219273.64</v>
      </c>
      <c r="E302" s="251">
        <v>3079.44</v>
      </c>
      <c r="F302" s="251">
        <v>222353.08</v>
      </c>
      <c r="G302" s="214">
        <v>250000</v>
      </c>
      <c r="H302" s="251">
        <f>VLOOKUP(A302,הוצאות!$B$2:$T$519,19,0)</f>
        <v>130000</v>
      </c>
      <c r="I302" s="251"/>
      <c r="J302" s="251"/>
      <c r="K302" s="251"/>
      <c r="Q302" s="251"/>
      <c r="S302" s="251"/>
      <c r="AW302" s="251"/>
    </row>
    <row r="303" spans="1:49">
      <c r="A303">
        <v>1812200110</v>
      </c>
      <c r="B303" t="s">
        <v>140</v>
      </c>
      <c r="C303" s="214">
        <v>1296570</v>
      </c>
      <c r="D303" s="251">
        <v>1432782.5</v>
      </c>
      <c r="E303">
        <v>0</v>
      </c>
      <c r="F303" s="251">
        <v>1432782.5</v>
      </c>
      <c r="G303" s="214">
        <v>1415000</v>
      </c>
      <c r="H303" s="251">
        <f>VLOOKUP(A303,הוצאות!$B$2:$T$519,19,0)</f>
        <v>2050000</v>
      </c>
      <c r="J303" s="251"/>
      <c r="K303" s="251"/>
      <c r="Q303" s="251"/>
      <c r="S303" s="251"/>
    </row>
    <row r="304" spans="1:49">
      <c r="A304">
        <v>1812200420</v>
      </c>
      <c r="B304" t="s">
        <v>1749</v>
      </c>
      <c r="C304" s="214">
        <v>27489</v>
      </c>
      <c r="D304" s="251">
        <v>23489</v>
      </c>
      <c r="E304" s="251">
        <v>6246</v>
      </c>
      <c r="F304" s="251">
        <v>29735</v>
      </c>
      <c r="G304" s="214">
        <v>30000</v>
      </c>
      <c r="H304" s="251">
        <f>VLOOKUP(A304,הוצאות!$B$2:$T$519,19,0)</f>
        <v>30000</v>
      </c>
      <c r="I304" s="251"/>
      <c r="J304" s="251"/>
      <c r="Q304" s="251"/>
      <c r="S304" s="251"/>
      <c r="AW304" s="251"/>
    </row>
    <row r="305" spans="1:49">
      <c r="A305">
        <v>1812200431</v>
      </c>
      <c r="B305" t="s">
        <v>142</v>
      </c>
      <c r="C305" s="214">
        <v>82467</v>
      </c>
      <c r="D305" s="251">
        <v>113848.5</v>
      </c>
      <c r="E305">
        <v>0</v>
      </c>
      <c r="F305" s="251">
        <v>113848.5</v>
      </c>
      <c r="G305" s="214">
        <v>90000</v>
      </c>
      <c r="H305" s="251">
        <f>VLOOKUP(A305,הוצאות!$B$2:$T$519,19,0)</f>
        <v>50000</v>
      </c>
      <c r="J305" s="251"/>
      <c r="K305" s="251"/>
      <c r="Q305" s="251"/>
      <c r="S305" s="251"/>
    </row>
    <row r="306" spans="1:49">
      <c r="A306">
        <v>1812200432</v>
      </c>
      <c r="B306" t="s">
        <v>143</v>
      </c>
      <c r="C306" s="214">
        <v>45815</v>
      </c>
      <c r="D306">
        <v>0</v>
      </c>
      <c r="E306">
        <v>0</v>
      </c>
      <c r="F306">
        <v>0</v>
      </c>
      <c r="G306" s="214">
        <v>50000</v>
      </c>
      <c r="H306" s="251">
        <f>VLOOKUP(A306,הוצאות!$B$2:$T$519,19,0)</f>
        <v>0</v>
      </c>
      <c r="K306" s="251"/>
    </row>
    <row r="307" spans="1:49">
      <c r="A307">
        <v>1812200433</v>
      </c>
      <c r="B307" t="s">
        <v>144</v>
      </c>
      <c r="C307" s="214">
        <v>13750</v>
      </c>
      <c r="D307">
        <v>0</v>
      </c>
      <c r="E307">
        <v>0</v>
      </c>
      <c r="F307">
        <v>0</v>
      </c>
      <c r="G307" s="214">
        <v>15000</v>
      </c>
      <c r="H307" s="251">
        <f>VLOOKUP(A307,הוצאות!$B$2:$T$519,19,0)</f>
        <v>70000</v>
      </c>
      <c r="K307" s="251"/>
    </row>
    <row r="308" spans="1:49">
      <c r="A308">
        <v>1812200720</v>
      </c>
      <c r="B308" t="s">
        <v>145</v>
      </c>
      <c r="C308" s="214">
        <v>9163</v>
      </c>
      <c r="D308" s="251">
        <v>9800</v>
      </c>
      <c r="E308">
        <v>0</v>
      </c>
      <c r="F308" s="251">
        <v>9800</v>
      </c>
      <c r="G308" s="214">
        <v>10000</v>
      </c>
      <c r="H308" s="251">
        <f>VLOOKUP(A308,הוצאות!$B$2:$T$519,19,0)</f>
        <v>0</v>
      </c>
      <c r="J308" s="251"/>
      <c r="Q308" s="251"/>
      <c r="S308" s="251"/>
    </row>
    <row r="309" spans="1:49">
      <c r="A309">
        <v>1812200740</v>
      </c>
      <c r="B309" t="s">
        <v>33</v>
      </c>
      <c r="C309" s="214">
        <v>91630</v>
      </c>
      <c r="D309" s="251">
        <v>112403</v>
      </c>
      <c r="E309">
        <v>0</v>
      </c>
      <c r="F309" s="251">
        <v>112403</v>
      </c>
      <c r="G309" s="214">
        <v>100000</v>
      </c>
      <c r="H309" s="251">
        <f>VLOOKUP(A309,הוצאות!$B$2:$T$519,19,0)</f>
        <v>45000</v>
      </c>
      <c r="J309" s="251"/>
      <c r="K309" s="251"/>
      <c r="Q309" s="251"/>
      <c r="S309" s="251"/>
    </row>
    <row r="310" spans="1:49">
      <c r="A310">
        <v>1812200750</v>
      </c>
      <c r="B310" t="s">
        <v>1750</v>
      </c>
      <c r="C310" s="214">
        <v>45815</v>
      </c>
      <c r="D310" s="251">
        <v>89298.75</v>
      </c>
      <c r="E310">
        <v>0</v>
      </c>
      <c r="F310" s="251">
        <v>89298.75</v>
      </c>
      <c r="G310" s="214">
        <v>50000</v>
      </c>
      <c r="H310" s="251">
        <f>VLOOKUP(A310,הוצאות!$B$2:$T$519,19,0)</f>
        <v>150000</v>
      </c>
      <c r="J310" s="251"/>
      <c r="K310" s="251"/>
      <c r="Q310" s="251"/>
      <c r="S310" s="251"/>
    </row>
    <row r="311" spans="1:49">
      <c r="A311">
        <v>1812200751</v>
      </c>
      <c r="B311" t="s">
        <v>1751</v>
      </c>
      <c r="C311" s="214">
        <v>288640</v>
      </c>
      <c r="D311" s="251">
        <v>256910</v>
      </c>
      <c r="E311">
        <v>0</v>
      </c>
      <c r="F311" s="251">
        <v>256910</v>
      </c>
      <c r="G311" s="214">
        <v>315000</v>
      </c>
      <c r="H311" s="251">
        <f>VLOOKUP(A311,הוצאות!$B$2:$T$519,19,0)</f>
        <v>300000</v>
      </c>
      <c r="J311" s="251"/>
      <c r="K311" s="251"/>
      <c r="Q311" s="251"/>
      <c r="S311" s="251"/>
    </row>
    <row r="312" spans="1:49">
      <c r="A312">
        <v>1812200760</v>
      </c>
      <c r="B312" t="s">
        <v>1752</v>
      </c>
      <c r="C312" s="214">
        <v>6413</v>
      </c>
      <c r="D312" s="251">
        <v>7449</v>
      </c>
      <c r="E312" s="251">
        <v>1200</v>
      </c>
      <c r="F312" s="251">
        <v>8649</v>
      </c>
      <c r="G312" s="214">
        <v>7000</v>
      </c>
      <c r="H312" s="251">
        <f>VLOOKUP(A312,הוצאות!$B$2:$T$519,19,0)</f>
        <v>30000</v>
      </c>
      <c r="I312" s="251"/>
      <c r="J312" s="251"/>
      <c r="K312" s="251"/>
      <c r="Q312" s="251"/>
      <c r="S312" s="251"/>
      <c r="AW312" s="251"/>
    </row>
    <row r="313" spans="1:49">
      <c r="A313">
        <v>1812200780</v>
      </c>
      <c r="B313" t="s">
        <v>1686</v>
      </c>
      <c r="C313" s="214">
        <v>251229</v>
      </c>
      <c r="D313" s="251">
        <v>17000</v>
      </c>
      <c r="E313">
        <v>0</v>
      </c>
      <c r="F313" s="251">
        <v>17000</v>
      </c>
      <c r="G313" s="214">
        <v>274175</v>
      </c>
      <c r="H313" s="251">
        <f>VLOOKUP(A313,הוצאות!$B$2:$T$519,19,0)</f>
        <v>84031</v>
      </c>
      <c r="J313" s="251"/>
      <c r="K313" s="251"/>
      <c r="Q313" s="251"/>
      <c r="S313" s="251"/>
    </row>
    <row r="314" spans="1:49">
      <c r="A314">
        <v>1812200810</v>
      </c>
      <c r="B314" t="s">
        <v>1647</v>
      </c>
      <c r="C314" s="214">
        <v>109956</v>
      </c>
      <c r="D314">
        <v>0</v>
      </c>
      <c r="E314">
        <v>0</v>
      </c>
      <c r="F314">
        <v>0</v>
      </c>
      <c r="G314" s="214">
        <v>120000</v>
      </c>
      <c r="H314" s="251">
        <f>VLOOKUP(A314,הוצאות!$B$2:$T$519,19,0)</f>
        <v>0</v>
      </c>
      <c r="K314" s="251"/>
    </row>
    <row r="315" spans="1:49">
      <c r="A315">
        <v>1812200840</v>
      </c>
      <c r="B315" t="s">
        <v>1646</v>
      </c>
      <c r="C315" s="214">
        <v>9163</v>
      </c>
      <c r="D315">
        <v>0</v>
      </c>
      <c r="E315">
        <v>0</v>
      </c>
      <c r="F315">
        <v>0</v>
      </c>
      <c r="G315" s="214">
        <v>10000</v>
      </c>
      <c r="H315" s="251">
        <f>VLOOKUP(A315,הוצאות!$B$2:$T$519,19,0)</f>
        <v>0</v>
      </c>
      <c r="K315" s="251"/>
    </row>
    <row r="316" spans="1:49">
      <c r="A316">
        <v>1812300110</v>
      </c>
      <c r="B316" t="s">
        <v>146</v>
      </c>
      <c r="C316" s="214">
        <v>3262028</v>
      </c>
      <c r="D316" s="251">
        <v>3893469.81</v>
      </c>
      <c r="E316">
        <v>0</v>
      </c>
      <c r="F316" s="251">
        <v>3893469.81</v>
      </c>
      <c r="G316" s="214">
        <v>3560000</v>
      </c>
      <c r="H316" s="251">
        <f>VLOOKUP(A316,הוצאות!$B$2:$T$519,19,0)</f>
        <v>5600000</v>
      </c>
      <c r="J316" s="251"/>
      <c r="K316" s="251"/>
      <c r="Q316" s="251"/>
      <c r="S316" s="251"/>
    </row>
    <row r="317" spans="1:49">
      <c r="A317">
        <v>1812300410</v>
      </c>
      <c r="B317" t="s">
        <v>148</v>
      </c>
      <c r="C317" s="214">
        <v>262064</v>
      </c>
      <c r="D317" s="251">
        <v>200293.8</v>
      </c>
      <c r="E317">
        <v>0</v>
      </c>
      <c r="F317" s="251">
        <v>200293.8</v>
      </c>
      <c r="G317" s="214">
        <v>286000</v>
      </c>
      <c r="H317" s="251">
        <f>VLOOKUP(A317,הוצאות!$B$2:$T$519,19,0)</f>
        <v>150000</v>
      </c>
      <c r="J317" s="251"/>
      <c r="K317" s="251"/>
      <c r="Q317" s="251"/>
      <c r="S317" s="251"/>
    </row>
    <row r="318" spans="1:49">
      <c r="A318">
        <v>1812300431</v>
      </c>
      <c r="B318" t="s">
        <v>26</v>
      </c>
      <c r="C318" s="214">
        <v>111793</v>
      </c>
      <c r="D318" s="251">
        <v>16800</v>
      </c>
      <c r="E318">
        <v>0</v>
      </c>
      <c r="F318" s="251">
        <v>16800</v>
      </c>
      <c r="G318" s="214">
        <v>122000</v>
      </c>
      <c r="H318" s="251">
        <f>VLOOKUP(A318,הוצאות!$B$2:$T$519,19,0)</f>
        <v>25000</v>
      </c>
      <c r="J318" s="251"/>
      <c r="K318" s="251"/>
      <c r="Q318" s="251"/>
      <c r="S318" s="251"/>
    </row>
    <row r="319" spans="1:49">
      <c r="A319">
        <v>1812300433</v>
      </c>
      <c r="B319" t="s">
        <v>144</v>
      </c>
      <c r="C319" s="214">
        <v>41239</v>
      </c>
      <c r="D319" s="251">
        <v>21956</v>
      </c>
      <c r="E319">
        <v>0</v>
      </c>
      <c r="F319" s="251">
        <v>21956</v>
      </c>
      <c r="G319" s="214">
        <v>45000</v>
      </c>
      <c r="H319" s="251">
        <f>VLOOKUP(A319,הוצאות!$B$2:$T$519,19,0)</f>
        <v>35000</v>
      </c>
      <c r="J319" s="251"/>
      <c r="K319" s="251"/>
      <c r="Q319" s="251"/>
      <c r="S319" s="251"/>
    </row>
    <row r="320" spans="1:49">
      <c r="A320">
        <v>1812300521</v>
      </c>
      <c r="B320" t="s">
        <v>1642</v>
      </c>
      <c r="C320" s="214">
        <v>1837</v>
      </c>
      <c r="D320">
        <v>0</v>
      </c>
      <c r="E320">
        <v>0</v>
      </c>
      <c r="F320">
        <v>0</v>
      </c>
      <c r="G320" s="214">
        <v>2000</v>
      </c>
      <c r="H320" s="251">
        <f>VLOOKUP(A320,הוצאות!$B$2:$T$519,19,0)</f>
        <v>2000</v>
      </c>
      <c r="K320" s="251"/>
    </row>
    <row r="321" spans="1:49">
      <c r="A321">
        <v>1812300540</v>
      </c>
      <c r="B321" t="s">
        <v>152</v>
      </c>
      <c r="C321" s="214">
        <v>50402</v>
      </c>
      <c r="D321">
        <v>850</v>
      </c>
      <c r="E321">
        <v>0</v>
      </c>
      <c r="F321">
        <v>850</v>
      </c>
      <c r="G321" s="214">
        <v>55000</v>
      </c>
      <c r="H321" s="251">
        <f>VLOOKUP(A321,הוצאות!$B$2:$T$519,19,0)</f>
        <v>0</v>
      </c>
      <c r="K321" s="251"/>
    </row>
    <row r="322" spans="1:49">
      <c r="A322">
        <v>1812300560</v>
      </c>
      <c r="B322" t="s">
        <v>153</v>
      </c>
      <c r="C322" s="214">
        <v>1837</v>
      </c>
      <c r="D322">
        <v>0</v>
      </c>
      <c r="E322">
        <v>0</v>
      </c>
      <c r="F322">
        <v>0</v>
      </c>
      <c r="G322" s="214">
        <v>2000</v>
      </c>
      <c r="H322" s="251">
        <f>VLOOKUP(A322,הוצאות!$B$2:$T$519,19,0)</f>
        <v>0</v>
      </c>
      <c r="K322" s="251"/>
    </row>
    <row r="323" spans="1:49">
      <c r="A323">
        <v>1812300720</v>
      </c>
      <c r="B323" t="s">
        <v>154</v>
      </c>
      <c r="C323" s="214">
        <v>27489</v>
      </c>
      <c r="D323">
        <v>0</v>
      </c>
      <c r="E323" s="251">
        <v>29918.5</v>
      </c>
      <c r="F323" s="251">
        <v>29918.5</v>
      </c>
      <c r="G323" s="214">
        <v>30000</v>
      </c>
      <c r="H323" s="251">
        <f>VLOOKUP(A323,הוצאות!$B$2:$T$519,19,0)</f>
        <v>0</v>
      </c>
      <c r="I323" s="251"/>
      <c r="J323" s="251"/>
      <c r="Q323" s="251"/>
      <c r="S323" s="251"/>
      <c r="AW323" s="251"/>
    </row>
    <row r="324" spans="1:49">
      <c r="A324">
        <v>1812300740</v>
      </c>
      <c r="B324" t="s">
        <v>155</v>
      </c>
      <c r="C324" s="214">
        <v>50402</v>
      </c>
      <c r="D324" s="251">
        <v>47332.45</v>
      </c>
      <c r="E324" s="251">
        <v>8948</v>
      </c>
      <c r="F324" s="251">
        <v>56280.45</v>
      </c>
      <c r="G324" s="214">
        <v>55000</v>
      </c>
      <c r="H324" s="251">
        <f>VLOOKUP(A324,הוצאות!$B$2:$T$519,19,0)</f>
        <v>0</v>
      </c>
      <c r="I324" s="251"/>
      <c r="J324" s="251"/>
      <c r="K324" s="251"/>
      <c r="Q324" s="251"/>
      <c r="S324" s="251"/>
      <c r="AW324" s="251"/>
    </row>
    <row r="325" spans="1:49">
      <c r="A325">
        <v>1812300760</v>
      </c>
      <c r="B325" t="s">
        <v>156</v>
      </c>
      <c r="C325" s="214">
        <v>2153305</v>
      </c>
      <c r="D325" s="251">
        <v>2568958.85</v>
      </c>
      <c r="E325">
        <v>0</v>
      </c>
      <c r="F325" s="251">
        <v>2568958.85</v>
      </c>
      <c r="G325" s="214">
        <v>2350000</v>
      </c>
      <c r="H325" s="251">
        <f>VLOOKUP(A325,הוצאות!$B$2:$T$519,19,0)</f>
        <v>2800000</v>
      </c>
      <c r="J325" s="251"/>
      <c r="K325" s="251"/>
      <c r="Q325" s="251"/>
      <c r="S325" s="251"/>
    </row>
    <row r="326" spans="1:49">
      <c r="A326">
        <v>1812300780</v>
      </c>
      <c r="B326" t="s">
        <v>2034</v>
      </c>
      <c r="C326" s="214">
        <v>1466080</v>
      </c>
      <c r="D326" s="251">
        <v>245792</v>
      </c>
      <c r="E326" s="251">
        <v>368000</v>
      </c>
      <c r="F326" s="251">
        <v>613792</v>
      </c>
      <c r="G326" s="214">
        <v>1600000</v>
      </c>
      <c r="H326" s="251">
        <f>VLOOKUP(A326,הוצאות!$B$2:$T$519,19,0)</f>
        <v>400000</v>
      </c>
      <c r="I326" s="251"/>
      <c r="J326" s="251"/>
      <c r="K326" s="251"/>
      <c r="Q326" s="251"/>
      <c r="S326" s="251"/>
      <c r="AW326" s="251"/>
    </row>
    <row r="327" spans="1:49">
      <c r="A327">
        <v>1812300930</v>
      </c>
      <c r="B327" t="s">
        <v>19</v>
      </c>
      <c r="C327" s="214">
        <v>1837</v>
      </c>
      <c r="D327" s="251">
        <v>2750</v>
      </c>
      <c r="E327">
        <v>0</v>
      </c>
      <c r="F327" s="251">
        <v>2750</v>
      </c>
      <c r="G327" s="214">
        <v>2000</v>
      </c>
      <c r="H327" s="251">
        <f>VLOOKUP(A327,הוצאות!$B$2:$T$519,19,0)</f>
        <v>0</v>
      </c>
      <c r="J327" s="251"/>
      <c r="Q327" s="251"/>
      <c r="S327" s="251"/>
    </row>
    <row r="328" spans="1:49">
      <c r="A328">
        <v>1812312110</v>
      </c>
      <c r="B328" t="s">
        <v>2035</v>
      </c>
      <c r="C328" s="214">
        <v>458150</v>
      </c>
      <c r="D328">
        <v>0</v>
      </c>
      <c r="E328">
        <v>0</v>
      </c>
      <c r="F328">
        <v>0</v>
      </c>
      <c r="G328" s="214">
        <v>500000</v>
      </c>
      <c r="H328" s="251">
        <f>VLOOKUP(A328,הוצאות!$B$2:$T$519,19,0)</f>
        <v>0</v>
      </c>
      <c r="K328" s="251"/>
    </row>
    <row r="329" spans="1:49">
      <c r="A329">
        <v>1812400110</v>
      </c>
      <c r="B329" t="s">
        <v>1756</v>
      </c>
      <c r="C329" s="214">
        <v>45815</v>
      </c>
      <c r="D329" s="251">
        <v>32631.83</v>
      </c>
      <c r="E329">
        <v>0</v>
      </c>
      <c r="F329" s="251">
        <v>32631.83</v>
      </c>
      <c r="G329" s="214">
        <v>50000</v>
      </c>
      <c r="H329" s="251">
        <f>VLOOKUP(A329,הוצאות!$B$2:$T$519,19,0)</f>
        <v>0</v>
      </c>
      <c r="J329" s="251"/>
      <c r="K329" s="251"/>
      <c r="Q329" s="251"/>
      <c r="S329" s="251"/>
    </row>
    <row r="330" spans="1:49">
      <c r="A330">
        <v>1812500110</v>
      </c>
      <c r="B330" t="s">
        <v>162</v>
      </c>
      <c r="C330" s="214">
        <v>89793</v>
      </c>
      <c r="D330" s="251">
        <v>106103.96</v>
      </c>
      <c r="E330">
        <v>0</v>
      </c>
      <c r="F330" s="251">
        <v>106103.96</v>
      </c>
      <c r="G330" s="214">
        <v>98000</v>
      </c>
      <c r="H330" s="251">
        <f>VLOOKUP(A330,הוצאות!$B$2:$T$519,19,0)</f>
        <v>143547.511573</v>
      </c>
      <c r="J330" s="251"/>
      <c r="K330" s="251"/>
      <c r="Q330" s="251"/>
      <c r="S330" s="251"/>
    </row>
    <row r="331" spans="1:49">
      <c r="A331">
        <v>1812500410</v>
      </c>
      <c r="B331" t="s">
        <v>1582</v>
      </c>
      <c r="C331" s="214">
        <v>38489</v>
      </c>
      <c r="D331">
        <v>0</v>
      </c>
      <c r="E331">
        <v>0</v>
      </c>
      <c r="F331">
        <v>0</v>
      </c>
      <c r="G331" s="214">
        <v>42000</v>
      </c>
      <c r="H331" s="251">
        <f>VLOOKUP(A331,הוצאות!$B$2:$T$519,19,0)</f>
        <v>0</v>
      </c>
      <c r="K331" s="251"/>
    </row>
    <row r="332" spans="1:49">
      <c r="A332">
        <v>1812500431</v>
      </c>
      <c r="B332" t="s">
        <v>26</v>
      </c>
      <c r="C332" s="214">
        <v>3663</v>
      </c>
      <c r="D332">
        <v>0</v>
      </c>
      <c r="E332">
        <v>0</v>
      </c>
      <c r="F332">
        <v>0</v>
      </c>
      <c r="G332" s="214">
        <v>4000</v>
      </c>
      <c r="H332" s="251">
        <f>VLOOKUP(A332,הוצאות!$B$2:$T$519,19,0)</f>
        <v>0</v>
      </c>
      <c r="K332" s="251"/>
    </row>
    <row r="333" spans="1:49">
      <c r="A333">
        <v>1813200110</v>
      </c>
      <c r="B333" t="s">
        <v>1760</v>
      </c>
      <c r="C333" s="214">
        <v>64141</v>
      </c>
      <c r="D333" s="251">
        <v>151131.5</v>
      </c>
      <c r="E333">
        <v>0</v>
      </c>
      <c r="F333" s="251">
        <v>151131.5</v>
      </c>
      <c r="G333" s="214">
        <v>70000</v>
      </c>
      <c r="H333" s="251">
        <f>VLOOKUP(A333,הוצאות!$B$2:$T$519,19,0)</f>
        <v>199817.99666800001</v>
      </c>
      <c r="J333" s="251"/>
      <c r="K333" s="251"/>
      <c r="Q333" s="251"/>
      <c r="S333" s="251"/>
    </row>
    <row r="334" spans="1:49">
      <c r="A334">
        <v>1813200750</v>
      </c>
      <c r="B334" t="s">
        <v>1651</v>
      </c>
      <c r="C334" s="214">
        <v>67804</v>
      </c>
      <c r="D334">
        <v>0</v>
      </c>
      <c r="E334" s="251">
        <v>23700</v>
      </c>
      <c r="F334" s="251">
        <v>23700</v>
      </c>
      <c r="G334" s="214">
        <v>74000</v>
      </c>
      <c r="H334" s="251">
        <f>VLOOKUP(A334,הוצאות!$B$2:$T$519,19,0)</f>
        <v>25000</v>
      </c>
      <c r="I334" s="251"/>
      <c r="J334" s="251"/>
      <c r="K334" s="251"/>
      <c r="Q334" s="251"/>
      <c r="S334" s="251"/>
      <c r="AW334" s="251"/>
    </row>
    <row r="335" spans="1:49">
      <c r="A335">
        <v>1813200760</v>
      </c>
      <c r="B335" t="s">
        <v>166</v>
      </c>
      <c r="C335" s="214">
        <v>412335</v>
      </c>
      <c r="D335" s="251">
        <v>283000</v>
      </c>
      <c r="E335">
        <v>0</v>
      </c>
      <c r="F335" s="251">
        <v>283000</v>
      </c>
      <c r="G335" s="214">
        <v>450000</v>
      </c>
      <c r="H335" s="251">
        <f>VLOOKUP(A335,הוצאות!$B$2:$T$519,19,0)</f>
        <v>700000</v>
      </c>
      <c r="J335" s="251"/>
      <c r="K335" s="251"/>
      <c r="Q335" s="251"/>
      <c r="S335" s="251"/>
    </row>
    <row r="336" spans="1:49">
      <c r="A336">
        <v>1813200780</v>
      </c>
      <c r="B336" t="s">
        <v>167</v>
      </c>
      <c r="C336" s="214">
        <v>294129</v>
      </c>
      <c r="D336" s="251">
        <v>530074.62</v>
      </c>
      <c r="E336">
        <v>0</v>
      </c>
      <c r="F336" s="251">
        <v>530074.62</v>
      </c>
      <c r="G336" s="214">
        <v>321000</v>
      </c>
      <c r="H336" s="251">
        <f>VLOOKUP(A336,הוצאות!$B$2:$T$519,19,0)</f>
        <v>578263.2218181818</v>
      </c>
      <c r="J336" s="251"/>
      <c r="K336" s="251"/>
      <c r="Q336" s="251"/>
      <c r="S336" s="251"/>
    </row>
    <row r="337" spans="1:19">
      <c r="A337">
        <v>1813200931</v>
      </c>
      <c r="B337" t="s">
        <v>2036</v>
      </c>
      <c r="C337" s="214">
        <v>201586</v>
      </c>
      <c r="D337">
        <v>0</v>
      </c>
      <c r="E337">
        <v>0</v>
      </c>
      <c r="F337">
        <v>0</v>
      </c>
      <c r="G337" s="214">
        <v>220000</v>
      </c>
      <c r="H337" s="251">
        <f>VLOOKUP(A337,הוצאות!$B$2:$T$519,19,0)</f>
        <v>0</v>
      </c>
      <c r="J337" s="251"/>
      <c r="K337" s="251"/>
      <c r="S337" s="251"/>
    </row>
    <row r="338" spans="1:19">
      <c r="A338">
        <v>1813201750</v>
      </c>
      <c r="B338" t="s">
        <v>1761</v>
      </c>
      <c r="C338" s="214">
        <v>22913</v>
      </c>
      <c r="D338" s="251">
        <v>25000</v>
      </c>
      <c r="E338">
        <v>0</v>
      </c>
      <c r="F338" s="251">
        <v>25000</v>
      </c>
      <c r="G338" s="214">
        <v>25000</v>
      </c>
      <c r="H338" s="251">
        <f>VLOOKUP(A338,הוצאות!$B$2:$T$519,19,0)</f>
        <v>27272.727272727272</v>
      </c>
      <c r="J338" s="251"/>
      <c r="Q338" s="251"/>
      <c r="S338" s="251"/>
    </row>
    <row r="339" spans="1:19">
      <c r="A339">
        <v>1813210110</v>
      </c>
      <c r="B339" t="s">
        <v>168</v>
      </c>
      <c r="C339" s="214">
        <v>641410</v>
      </c>
      <c r="D339" s="251">
        <v>524102.33</v>
      </c>
      <c r="E339">
        <v>0</v>
      </c>
      <c r="F339" s="251">
        <v>524102.33</v>
      </c>
      <c r="G339" s="214">
        <v>700000</v>
      </c>
      <c r="H339" s="251">
        <f>VLOOKUP(A339,הוצאות!$B$2:$T$519,19,0)</f>
        <v>683870.29735000001</v>
      </c>
      <c r="J339" s="251"/>
      <c r="K339" s="251"/>
      <c r="Q339" s="251"/>
      <c r="S339" s="251"/>
    </row>
    <row r="340" spans="1:19">
      <c r="A340">
        <v>1813210431</v>
      </c>
      <c r="B340" t="s">
        <v>170</v>
      </c>
      <c r="C340" s="214">
        <v>91630</v>
      </c>
      <c r="D340" s="251">
        <v>15101.32</v>
      </c>
      <c r="E340">
        <v>0</v>
      </c>
      <c r="F340" s="251">
        <v>15101.32</v>
      </c>
      <c r="G340" s="214">
        <v>100000</v>
      </c>
      <c r="H340" s="251">
        <f>VLOOKUP(A340,הוצאות!$B$2:$T$519,19,0)</f>
        <v>16474.167272727271</v>
      </c>
      <c r="J340" s="251"/>
      <c r="K340" s="251"/>
      <c r="Q340" s="251"/>
      <c r="S340" s="251"/>
    </row>
    <row r="341" spans="1:19">
      <c r="A341">
        <v>1813210432</v>
      </c>
      <c r="B341" t="s">
        <v>171</v>
      </c>
      <c r="C341" s="214">
        <v>137445</v>
      </c>
      <c r="D341">
        <v>0</v>
      </c>
      <c r="E341">
        <v>0</v>
      </c>
      <c r="F341">
        <v>0</v>
      </c>
      <c r="G341" s="214">
        <v>150000</v>
      </c>
      <c r="H341" s="251">
        <f>VLOOKUP(A341,הוצאות!$B$2:$T$519,19,0)</f>
        <v>0</v>
      </c>
      <c r="K341" s="251"/>
    </row>
    <row r="342" spans="1:19">
      <c r="A342">
        <v>1813210540</v>
      </c>
      <c r="B342" t="s">
        <v>174</v>
      </c>
      <c r="C342" s="214">
        <v>18326</v>
      </c>
      <c r="D342">
        <v>0</v>
      </c>
      <c r="E342">
        <v>0</v>
      </c>
      <c r="F342">
        <v>0</v>
      </c>
      <c r="G342" s="214">
        <v>20000</v>
      </c>
      <c r="H342" s="251">
        <f>VLOOKUP(A342,הוצאות!$B$2:$T$519,19,0)</f>
        <v>0</v>
      </c>
      <c r="K342" s="251"/>
    </row>
    <row r="343" spans="1:19">
      <c r="A343">
        <v>1813210750</v>
      </c>
      <c r="B343" t="s">
        <v>177</v>
      </c>
      <c r="C343" s="214">
        <v>183260</v>
      </c>
      <c r="D343" s="251">
        <v>7850</v>
      </c>
      <c r="E343">
        <v>0</v>
      </c>
      <c r="F343" s="251">
        <v>7850</v>
      </c>
      <c r="G343" s="214">
        <v>200000</v>
      </c>
      <c r="H343" s="251">
        <f>VLOOKUP(A343,הוצאות!$B$2:$T$519,19,0)</f>
        <v>0</v>
      </c>
      <c r="J343" s="251"/>
      <c r="K343" s="251"/>
      <c r="Q343" s="251"/>
      <c r="S343" s="251"/>
    </row>
    <row r="344" spans="1:19">
      <c r="A344">
        <v>1813210871</v>
      </c>
      <c r="B344" t="s">
        <v>180</v>
      </c>
      <c r="C344" s="214">
        <v>155771</v>
      </c>
      <c r="D344" s="251">
        <v>199093.75</v>
      </c>
      <c r="E344">
        <v>0</v>
      </c>
      <c r="F344" s="251">
        <v>199093.75</v>
      </c>
      <c r="G344" s="214">
        <v>170000</v>
      </c>
      <c r="H344" s="251">
        <f>VLOOKUP(A344,הוצאות!$B$2:$T$519,19,0)</f>
        <v>217193.18181818182</v>
      </c>
      <c r="J344" s="251"/>
      <c r="K344" s="251"/>
      <c r="Q344" s="251"/>
      <c r="S344" s="251"/>
    </row>
    <row r="345" spans="1:19">
      <c r="A345">
        <v>1813220110</v>
      </c>
      <c r="B345" t="s">
        <v>182</v>
      </c>
      <c r="C345" s="214">
        <v>418748</v>
      </c>
      <c r="D345" s="251">
        <v>390466.46</v>
      </c>
      <c r="E345">
        <v>0</v>
      </c>
      <c r="F345" s="251">
        <v>390466.46</v>
      </c>
      <c r="G345" s="214">
        <v>457000</v>
      </c>
      <c r="H345" s="251">
        <f>VLOOKUP(A345,הוצאות!$B$2:$T$519,19,0)</f>
        <v>525361.44009100005</v>
      </c>
      <c r="J345" s="251"/>
      <c r="K345" s="251"/>
      <c r="Q345" s="251"/>
      <c r="S345" s="251"/>
    </row>
    <row r="346" spans="1:19">
      <c r="A346">
        <v>1813220431</v>
      </c>
      <c r="B346" t="s">
        <v>185</v>
      </c>
      <c r="C346" s="214">
        <v>36652</v>
      </c>
      <c r="D346" s="251">
        <v>72040.19</v>
      </c>
      <c r="E346">
        <v>0</v>
      </c>
      <c r="F346" s="251">
        <v>72040.19</v>
      </c>
      <c r="G346" s="214">
        <v>40000</v>
      </c>
      <c r="H346" s="251">
        <f>VLOOKUP(A346,הוצאות!$B$2:$T$519,19,0)</f>
        <v>78589.298181818187</v>
      </c>
      <c r="J346" s="251"/>
      <c r="K346" s="251"/>
      <c r="Q346" s="251"/>
      <c r="S346" s="251"/>
    </row>
    <row r="347" spans="1:19">
      <c r="A347">
        <v>1813220432</v>
      </c>
      <c r="B347" t="s">
        <v>186</v>
      </c>
      <c r="C347" s="214">
        <v>36652</v>
      </c>
      <c r="D347">
        <v>0</v>
      </c>
      <c r="E347">
        <v>0</v>
      </c>
      <c r="F347">
        <v>0</v>
      </c>
      <c r="G347" s="214">
        <v>40000</v>
      </c>
      <c r="H347" s="251">
        <f>VLOOKUP(A347,הוצאות!$B$2:$T$519,19,0)</f>
        <v>0</v>
      </c>
      <c r="K347" s="251"/>
    </row>
    <row r="348" spans="1:19">
      <c r="A348">
        <v>1813220540</v>
      </c>
      <c r="B348" t="s">
        <v>188</v>
      </c>
      <c r="C348" s="214">
        <v>1375</v>
      </c>
      <c r="D348">
        <v>0</v>
      </c>
      <c r="E348">
        <v>0</v>
      </c>
      <c r="F348">
        <v>0</v>
      </c>
      <c r="G348" s="214">
        <v>1500</v>
      </c>
      <c r="H348" s="251">
        <f>VLOOKUP(A348,הוצאות!$B$2:$T$519,19,0)</f>
        <v>0</v>
      </c>
      <c r="K348" s="251"/>
    </row>
    <row r="349" spans="1:19">
      <c r="A349">
        <v>1813220750</v>
      </c>
      <c r="B349" t="s">
        <v>191</v>
      </c>
      <c r="C349" s="214">
        <v>91630</v>
      </c>
      <c r="D349" s="251">
        <v>26470</v>
      </c>
      <c r="E349">
        <v>0</v>
      </c>
      <c r="F349" s="251">
        <v>26470</v>
      </c>
      <c r="G349" s="214">
        <v>100000</v>
      </c>
      <c r="H349" s="251">
        <f>VLOOKUP(A349,הוצאות!$B$2:$T$519,19,0)</f>
        <v>0</v>
      </c>
      <c r="J349" s="251"/>
      <c r="K349" s="251"/>
      <c r="Q349" s="251"/>
      <c r="S349" s="251"/>
    </row>
    <row r="350" spans="1:19">
      <c r="A350">
        <v>1813220871</v>
      </c>
      <c r="B350" t="s">
        <v>194</v>
      </c>
      <c r="C350" s="214">
        <v>201586</v>
      </c>
      <c r="D350" s="251">
        <v>268764.61</v>
      </c>
      <c r="E350">
        <v>0</v>
      </c>
      <c r="F350" s="251">
        <v>268764.61</v>
      </c>
      <c r="G350" s="214">
        <v>220000</v>
      </c>
      <c r="H350" s="251">
        <f>VLOOKUP(A350,הוצאות!$B$2:$T$519,19,0)</f>
        <v>293197.75636363635</v>
      </c>
      <c r="J350" s="251"/>
      <c r="K350" s="251"/>
      <c r="Q350" s="251"/>
      <c r="S350" s="251"/>
    </row>
    <row r="351" spans="1:19">
      <c r="A351">
        <v>1813230110</v>
      </c>
      <c r="B351" t="s">
        <v>196</v>
      </c>
      <c r="C351" s="214">
        <v>481063</v>
      </c>
      <c r="D351" s="251">
        <v>436601.3</v>
      </c>
      <c r="E351">
        <v>0</v>
      </c>
      <c r="F351" s="251">
        <v>436601.3</v>
      </c>
      <c r="G351" s="214">
        <v>525000</v>
      </c>
      <c r="H351" s="251">
        <f>VLOOKUP(A351,הוצאות!$B$2:$T$519,19,0)</f>
        <v>595892.67074799992</v>
      </c>
      <c r="J351" s="251"/>
      <c r="K351" s="251"/>
      <c r="Q351" s="251"/>
      <c r="S351" s="251"/>
    </row>
    <row r="352" spans="1:19">
      <c r="A352">
        <v>1813230431</v>
      </c>
      <c r="B352" t="s">
        <v>198</v>
      </c>
      <c r="C352" s="214">
        <v>54978</v>
      </c>
      <c r="D352" s="251">
        <v>16793.61</v>
      </c>
      <c r="E352">
        <v>0</v>
      </c>
      <c r="F352" s="251">
        <v>16793.61</v>
      </c>
      <c r="G352" s="214">
        <v>60000</v>
      </c>
      <c r="H352" s="251">
        <f>VLOOKUP(A352,הוצאות!$B$2:$T$519,19,0)</f>
        <v>18320.301818181819</v>
      </c>
      <c r="J352" s="251"/>
      <c r="K352" s="251"/>
      <c r="Q352" s="251"/>
      <c r="S352" s="251"/>
    </row>
    <row r="353" spans="1:49">
      <c r="A353">
        <v>1813230540</v>
      </c>
      <c r="B353" t="s">
        <v>201</v>
      </c>
      <c r="C353" s="214">
        <v>1375</v>
      </c>
      <c r="D353">
        <v>0</v>
      </c>
      <c r="E353">
        <v>0</v>
      </c>
      <c r="F353">
        <v>0</v>
      </c>
      <c r="G353" s="214">
        <v>1500</v>
      </c>
      <c r="H353" s="251">
        <f>VLOOKUP(A353,הוצאות!$B$2:$T$519,19,0)</f>
        <v>0</v>
      </c>
      <c r="K353" s="251"/>
    </row>
    <row r="354" spans="1:49">
      <c r="A354">
        <v>1813230720</v>
      </c>
      <c r="B354" t="s">
        <v>203</v>
      </c>
      <c r="C354">
        <v>0</v>
      </c>
      <c r="D354" s="251">
        <v>35697.919999999998</v>
      </c>
      <c r="E354">
        <v>0</v>
      </c>
      <c r="F354" s="251">
        <v>35697.919999999998</v>
      </c>
      <c r="G354">
        <v>0</v>
      </c>
      <c r="H354" s="251">
        <f>VLOOKUP(A354,הוצאות!$B$2:$T$519,19,0)</f>
        <v>0</v>
      </c>
      <c r="J354" s="251"/>
      <c r="K354" s="251"/>
      <c r="Q354" s="251"/>
      <c r="S354" s="251"/>
    </row>
    <row r="355" spans="1:49">
      <c r="A355">
        <v>1813230750</v>
      </c>
      <c r="B355" t="s">
        <v>205</v>
      </c>
      <c r="C355" s="214">
        <v>91630</v>
      </c>
      <c r="D355" s="251">
        <v>1000</v>
      </c>
      <c r="E355" s="251">
        <v>3510</v>
      </c>
      <c r="F355" s="251">
        <v>4510</v>
      </c>
      <c r="G355" s="214">
        <v>100000</v>
      </c>
      <c r="H355" s="251">
        <f>VLOOKUP(A355,הוצאות!$B$2:$T$519,19,0)</f>
        <v>0</v>
      </c>
      <c r="I355" s="251"/>
      <c r="J355" s="251"/>
      <c r="K355" s="251"/>
      <c r="Q355" s="251"/>
      <c r="S355" s="251"/>
      <c r="AW355" s="251"/>
    </row>
    <row r="356" spans="1:49">
      <c r="A356">
        <v>1813230870</v>
      </c>
      <c r="B356" t="s">
        <v>206</v>
      </c>
      <c r="C356">
        <v>0</v>
      </c>
      <c r="D356" s="251">
        <v>15000</v>
      </c>
      <c r="E356">
        <v>0</v>
      </c>
      <c r="F356" s="251">
        <v>15000</v>
      </c>
      <c r="G356">
        <v>0</v>
      </c>
      <c r="H356" s="251">
        <f>VLOOKUP(A356,הוצאות!$B$2:$T$519,19,0)</f>
        <v>16363.636363636364</v>
      </c>
      <c r="J356" s="251"/>
      <c r="K356" s="251"/>
      <c r="Q356" s="251"/>
      <c r="S356" s="251"/>
    </row>
    <row r="357" spans="1:49">
      <c r="A357">
        <v>1813230871</v>
      </c>
      <c r="B357" t="s">
        <v>207</v>
      </c>
      <c r="C357" s="214">
        <v>261151</v>
      </c>
      <c r="D357" s="251">
        <v>337716.68</v>
      </c>
      <c r="E357">
        <v>0</v>
      </c>
      <c r="F357" s="251">
        <v>337716.68</v>
      </c>
      <c r="G357" s="214">
        <v>285000</v>
      </c>
      <c r="H357" s="251">
        <f>VLOOKUP(A357,הוצאות!$B$2:$T$519,19,0)</f>
        <v>368418.19636363635</v>
      </c>
      <c r="J357" s="251"/>
      <c r="K357" s="251"/>
      <c r="Q357" s="251"/>
      <c r="S357" s="251"/>
    </row>
    <row r="358" spans="1:49">
      <c r="A358">
        <v>1813230930</v>
      </c>
      <c r="B358" t="s">
        <v>208</v>
      </c>
      <c r="C358" s="214">
        <v>348194</v>
      </c>
      <c r="D358">
        <v>0</v>
      </c>
      <c r="E358">
        <v>0</v>
      </c>
      <c r="F358">
        <v>0</v>
      </c>
      <c r="G358" s="214">
        <v>380000</v>
      </c>
      <c r="H358" s="251">
        <f>VLOOKUP(A358,הוצאות!$B$2:$T$519,19,0)</f>
        <v>0</v>
      </c>
      <c r="K358" s="251"/>
    </row>
    <row r="359" spans="1:49">
      <c r="A359">
        <v>1813240110</v>
      </c>
      <c r="B359" t="s">
        <v>209</v>
      </c>
      <c r="C359">
        <v>0</v>
      </c>
      <c r="D359" s="251">
        <v>246002.44</v>
      </c>
      <c r="E359">
        <v>0</v>
      </c>
      <c r="F359" s="251">
        <v>246002.44</v>
      </c>
      <c r="G359">
        <v>0</v>
      </c>
      <c r="H359" s="251">
        <f>VLOOKUP(A359,הוצאות!$B$2:$T$519,19,0)</f>
        <v>316973.556644</v>
      </c>
      <c r="J359" s="251"/>
      <c r="K359" s="251"/>
      <c r="Q359" s="251"/>
      <c r="S359" s="251"/>
    </row>
    <row r="360" spans="1:49">
      <c r="A360">
        <v>1813240431</v>
      </c>
      <c r="B360" t="s">
        <v>210</v>
      </c>
      <c r="C360">
        <v>0</v>
      </c>
      <c r="D360" s="251">
        <v>73956.05</v>
      </c>
      <c r="E360">
        <v>0</v>
      </c>
      <c r="F360" s="251">
        <v>73956.05</v>
      </c>
      <c r="G360">
        <v>0</v>
      </c>
      <c r="H360" s="251">
        <f>VLOOKUP(A360,הוצאות!$B$2:$T$519,19,0)</f>
        <v>0</v>
      </c>
      <c r="J360" s="251"/>
      <c r="K360" s="251"/>
      <c r="Q360" s="251"/>
      <c r="S360" s="251"/>
    </row>
    <row r="361" spans="1:49">
      <c r="A361">
        <v>1813240750</v>
      </c>
      <c r="B361" t="s">
        <v>213</v>
      </c>
      <c r="C361" s="214">
        <v>91630</v>
      </c>
      <c r="D361" s="251">
        <v>25322</v>
      </c>
      <c r="E361">
        <v>0</v>
      </c>
      <c r="F361" s="251">
        <v>25322</v>
      </c>
      <c r="G361" s="214">
        <v>100000</v>
      </c>
      <c r="H361" s="251">
        <f>VLOOKUP(A361,הוצאות!$B$2:$T$519,19,0)</f>
        <v>0</v>
      </c>
      <c r="J361" s="251"/>
      <c r="K361" s="251"/>
      <c r="Q361" s="251"/>
      <c r="S361" s="251"/>
    </row>
    <row r="362" spans="1:49">
      <c r="A362">
        <v>1813240870</v>
      </c>
      <c r="B362" t="s">
        <v>214</v>
      </c>
      <c r="C362" s="214">
        <v>164934</v>
      </c>
      <c r="D362" s="251">
        <v>161814.59</v>
      </c>
      <c r="E362">
        <v>0</v>
      </c>
      <c r="F362" s="251">
        <v>161814.59</v>
      </c>
      <c r="G362" s="214">
        <v>180000</v>
      </c>
      <c r="H362" s="251">
        <f>VLOOKUP(A362,הוצאות!$B$2:$T$519,19,0)</f>
        <v>176525.00727272729</v>
      </c>
      <c r="J362" s="251"/>
      <c r="K362" s="251"/>
      <c r="Q362" s="251"/>
      <c r="S362" s="251"/>
    </row>
    <row r="363" spans="1:49">
      <c r="A363">
        <v>1813250110</v>
      </c>
      <c r="B363" t="s">
        <v>1762</v>
      </c>
      <c r="C363">
        <v>0</v>
      </c>
      <c r="D363" s="251">
        <v>66101.039999999994</v>
      </c>
      <c r="E363">
        <v>0</v>
      </c>
      <c r="F363" s="251">
        <v>66101.039999999994</v>
      </c>
      <c r="G363">
        <v>0</v>
      </c>
      <c r="H363" s="251">
        <f>VLOOKUP(A363,הוצאות!$B$2:$T$519,19,0)</f>
        <v>93093.063945000016</v>
      </c>
      <c r="J363" s="251"/>
      <c r="K363" s="251"/>
      <c r="Q363" s="251"/>
      <c r="S363" s="251"/>
    </row>
    <row r="364" spans="1:49">
      <c r="A364">
        <v>1813300110</v>
      </c>
      <c r="B364" t="s">
        <v>216</v>
      </c>
      <c r="C364" s="214">
        <v>1159125</v>
      </c>
      <c r="D364" s="251">
        <v>1065245.1599999999</v>
      </c>
      <c r="E364">
        <v>0</v>
      </c>
      <c r="F364" s="251">
        <v>1065245.1599999999</v>
      </c>
      <c r="G364" s="214">
        <v>1265000</v>
      </c>
      <c r="H364" s="251">
        <f>VLOOKUP(A364,הוצאות!$B$2:$T$519,19,0)</f>
        <v>1443507.9459040002</v>
      </c>
      <c r="J364" s="251"/>
      <c r="K364" s="251"/>
      <c r="Q364" s="251"/>
      <c r="S364" s="251"/>
    </row>
    <row r="365" spans="1:49">
      <c r="A365">
        <v>1813300431</v>
      </c>
      <c r="B365" t="s">
        <v>1763</v>
      </c>
      <c r="C365">
        <v>0</v>
      </c>
      <c r="D365" s="251">
        <v>33059.870000000003</v>
      </c>
      <c r="E365">
        <v>0</v>
      </c>
      <c r="F365" s="251">
        <v>33059.870000000003</v>
      </c>
      <c r="G365">
        <v>0</v>
      </c>
      <c r="H365" s="251">
        <f>VLOOKUP(A365,הוצאות!$B$2:$T$519,19,0)</f>
        <v>40000</v>
      </c>
      <c r="J365" s="251"/>
      <c r="K365" s="251"/>
      <c r="Q365" s="251"/>
      <c r="S365" s="251"/>
    </row>
    <row r="366" spans="1:49">
      <c r="A366">
        <v>1813300540</v>
      </c>
      <c r="B366" t="s">
        <v>217</v>
      </c>
      <c r="C366" s="214">
        <v>12826</v>
      </c>
      <c r="D366">
        <v>0</v>
      </c>
      <c r="E366">
        <v>0</v>
      </c>
      <c r="F366">
        <v>0</v>
      </c>
      <c r="G366" s="214">
        <v>14000</v>
      </c>
      <c r="H366" s="251">
        <f>VLOOKUP(A366,הוצאות!$B$2:$T$519,19,0)</f>
        <v>0</v>
      </c>
      <c r="K366" s="251"/>
    </row>
    <row r="367" spans="1:49">
      <c r="A367">
        <v>1813300560</v>
      </c>
      <c r="B367" t="s">
        <v>52</v>
      </c>
      <c r="C367" s="214">
        <v>1837</v>
      </c>
      <c r="D367">
        <v>0</v>
      </c>
      <c r="E367">
        <v>0</v>
      </c>
      <c r="F367">
        <v>0</v>
      </c>
      <c r="G367" s="214">
        <v>2000</v>
      </c>
      <c r="H367" s="251">
        <f>VLOOKUP(A367,הוצאות!$B$2:$T$519,19,0)</f>
        <v>0</v>
      </c>
      <c r="K367" s="251"/>
    </row>
    <row r="368" spans="1:49">
      <c r="A368">
        <v>1813300720</v>
      </c>
      <c r="B368" t="s">
        <v>32</v>
      </c>
      <c r="C368" s="214">
        <v>2750</v>
      </c>
      <c r="D368">
        <v>0</v>
      </c>
      <c r="E368">
        <v>0</v>
      </c>
      <c r="F368">
        <v>0</v>
      </c>
      <c r="G368" s="214">
        <v>3000</v>
      </c>
      <c r="H368" s="251">
        <f>VLOOKUP(A368,הוצאות!$B$2:$T$519,19,0)</f>
        <v>0</v>
      </c>
      <c r="K368" s="251"/>
    </row>
    <row r="369" spans="1:49">
      <c r="A369">
        <v>1813300721</v>
      </c>
      <c r="B369" t="s">
        <v>218</v>
      </c>
      <c r="C369" s="214">
        <v>229075</v>
      </c>
      <c r="D369" s="251">
        <v>61016.21</v>
      </c>
      <c r="E369">
        <v>0</v>
      </c>
      <c r="F369" s="251">
        <v>61016.21</v>
      </c>
      <c r="G369" s="214">
        <v>250000</v>
      </c>
      <c r="H369" s="251">
        <f>VLOOKUP(A369,הוצאות!$B$2:$T$519,19,0)</f>
        <v>66563.138181818184</v>
      </c>
      <c r="J369" s="251"/>
      <c r="K369" s="251"/>
      <c r="Q369" s="251"/>
      <c r="S369" s="251"/>
    </row>
    <row r="370" spans="1:49">
      <c r="A370">
        <v>1813300750</v>
      </c>
      <c r="B370" t="s">
        <v>34</v>
      </c>
      <c r="C370" s="214">
        <v>7326</v>
      </c>
      <c r="D370" s="251">
        <v>10307</v>
      </c>
      <c r="E370">
        <v>0</v>
      </c>
      <c r="F370" s="251">
        <v>10307</v>
      </c>
      <c r="G370" s="214">
        <v>8000</v>
      </c>
      <c r="H370" s="251">
        <f>VLOOKUP(A370,הוצאות!$B$2:$T$519,19,0)</f>
        <v>0</v>
      </c>
      <c r="J370" s="251"/>
      <c r="K370" s="251"/>
      <c r="Q370" s="251"/>
      <c r="S370" s="251"/>
    </row>
    <row r="371" spans="1:49">
      <c r="A371">
        <v>1813300780</v>
      </c>
      <c r="B371" t="s">
        <v>18</v>
      </c>
      <c r="C371" s="214">
        <v>87054</v>
      </c>
      <c r="D371">
        <v>0</v>
      </c>
      <c r="E371">
        <v>0</v>
      </c>
      <c r="F371">
        <v>0</v>
      </c>
      <c r="G371" s="214">
        <v>95000</v>
      </c>
      <c r="H371" s="251">
        <f>VLOOKUP(A371,הוצאות!$B$2:$T$519,19,0)</f>
        <v>0</v>
      </c>
      <c r="J371" s="251"/>
      <c r="K371" s="251"/>
      <c r="S371" s="251"/>
    </row>
    <row r="372" spans="1:49">
      <c r="A372">
        <v>1813303760</v>
      </c>
      <c r="B372" t="s">
        <v>1766</v>
      </c>
      <c r="C372" s="214">
        <v>687225</v>
      </c>
      <c r="D372">
        <v>0</v>
      </c>
      <c r="E372">
        <v>0</v>
      </c>
      <c r="F372">
        <v>0</v>
      </c>
      <c r="G372" s="214">
        <v>750000</v>
      </c>
      <c r="H372" s="251">
        <f>VLOOKUP(A372,הוצאות!$B$2:$T$519,19,0)</f>
        <v>0</v>
      </c>
      <c r="K372" s="251"/>
    </row>
    <row r="373" spans="1:49">
      <c r="A373">
        <v>1813800110</v>
      </c>
      <c r="B373" t="s">
        <v>2037</v>
      </c>
      <c r="C373">
        <v>0</v>
      </c>
      <c r="D373" s="251">
        <v>152504.98000000001</v>
      </c>
      <c r="E373">
        <v>0</v>
      </c>
      <c r="F373" s="251">
        <v>152504.98000000001</v>
      </c>
      <c r="G373">
        <v>0</v>
      </c>
      <c r="H373" s="251">
        <f>VLOOKUP(A373,הוצאות!$B$2:$T$519,19,0)</f>
        <v>152504.98000000001</v>
      </c>
      <c r="J373" s="251"/>
      <c r="K373" s="251"/>
      <c r="Q373" s="251"/>
      <c r="S373" s="251"/>
    </row>
    <row r="374" spans="1:49">
      <c r="A374">
        <v>1813810110</v>
      </c>
      <c r="B374" t="s">
        <v>2038</v>
      </c>
      <c r="C374">
        <v>0</v>
      </c>
      <c r="D374" s="251">
        <v>94618.2</v>
      </c>
      <c r="E374">
        <v>0</v>
      </c>
      <c r="F374" s="251">
        <v>94618.2</v>
      </c>
      <c r="G374">
        <v>0</v>
      </c>
      <c r="H374" s="251">
        <f>VLOOKUP(A374,הוצאות!$B$2:$T$519,19,0)</f>
        <v>94618.2</v>
      </c>
      <c r="J374" s="251"/>
      <c r="K374" s="251"/>
      <c r="Q374" s="251"/>
      <c r="S374" s="251"/>
    </row>
    <row r="375" spans="1:49">
      <c r="A375">
        <v>1814000110</v>
      </c>
      <c r="B375" t="s">
        <v>222</v>
      </c>
      <c r="C375" s="214">
        <v>595595</v>
      </c>
      <c r="D375" s="251">
        <v>669631.36</v>
      </c>
      <c r="E375">
        <v>0</v>
      </c>
      <c r="F375" s="251">
        <v>669631.36</v>
      </c>
      <c r="G375" s="214">
        <v>650000</v>
      </c>
      <c r="H375" s="251">
        <f>VLOOKUP(A375,הוצאות!$B$2:$T$519,19,0)</f>
        <v>1038791.4369310001</v>
      </c>
      <c r="J375" s="251"/>
      <c r="K375" s="251"/>
      <c r="Q375" s="251"/>
      <c r="S375" s="251"/>
    </row>
    <row r="376" spans="1:49">
      <c r="A376">
        <v>1814000431</v>
      </c>
      <c r="B376" t="s">
        <v>224</v>
      </c>
      <c r="C376">
        <v>0</v>
      </c>
      <c r="D376" s="251">
        <v>142038.78</v>
      </c>
      <c r="E376">
        <v>0</v>
      </c>
      <c r="F376" s="251">
        <v>142038.78</v>
      </c>
      <c r="G376">
        <v>0</v>
      </c>
      <c r="H376" s="251">
        <f>VLOOKUP(A376,הוצאות!$B$2:$T$519,19,0)</f>
        <v>150000</v>
      </c>
      <c r="J376" s="251"/>
      <c r="K376" s="251"/>
      <c r="Q376" s="251"/>
      <c r="S376" s="251"/>
    </row>
    <row r="377" spans="1:49">
      <c r="A377">
        <v>1814000432</v>
      </c>
      <c r="B377" t="s">
        <v>225</v>
      </c>
      <c r="C377" s="214">
        <v>36652</v>
      </c>
      <c r="D377">
        <v>0</v>
      </c>
      <c r="E377">
        <v>0</v>
      </c>
      <c r="F377">
        <v>0</v>
      </c>
      <c r="G377" s="214">
        <v>40000</v>
      </c>
      <c r="H377" s="251">
        <f>VLOOKUP(A377,הוצאות!$B$2:$T$519,19,0)</f>
        <v>0</v>
      </c>
      <c r="K377" s="251"/>
    </row>
    <row r="378" spans="1:49">
      <c r="A378">
        <v>1814000540</v>
      </c>
      <c r="B378" t="s">
        <v>227</v>
      </c>
      <c r="C378" s="214">
        <v>2750</v>
      </c>
      <c r="D378">
        <v>0</v>
      </c>
      <c r="E378">
        <v>0</v>
      </c>
      <c r="F378">
        <v>0</v>
      </c>
      <c r="G378" s="214">
        <v>3000</v>
      </c>
      <c r="H378" s="251">
        <f>VLOOKUP(A378,הוצאות!$B$2:$T$519,19,0)</f>
        <v>0</v>
      </c>
      <c r="K378" s="251"/>
    </row>
    <row r="379" spans="1:49">
      <c r="A379">
        <v>1814000560</v>
      </c>
      <c r="B379" t="s">
        <v>228</v>
      </c>
      <c r="C379" s="214">
        <v>22913</v>
      </c>
      <c r="D379" s="251">
        <v>12330.5</v>
      </c>
      <c r="E379">
        <v>0</v>
      </c>
      <c r="F379" s="251">
        <v>12330.5</v>
      </c>
      <c r="G379" s="214">
        <v>25000</v>
      </c>
      <c r="H379" s="251">
        <f>VLOOKUP(A379,הוצאות!$B$2:$T$519,19,0)</f>
        <v>13451.454545454546</v>
      </c>
      <c r="J379" s="251"/>
      <c r="K379" s="251"/>
      <c r="Q379" s="251"/>
      <c r="S379" s="251"/>
    </row>
    <row r="380" spans="1:49">
      <c r="A380">
        <v>1814000750</v>
      </c>
      <c r="B380" t="s">
        <v>231</v>
      </c>
      <c r="C380" s="214">
        <v>91630</v>
      </c>
      <c r="D380" s="251">
        <v>78343</v>
      </c>
      <c r="E380">
        <v>0</v>
      </c>
      <c r="F380" s="251">
        <v>78343</v>
      </c>
      <c r="G380" s="214">
        <v>100000</v>
      </c>
      <c r="H380" s="251">
        <f>VLOOKUP(A380,הוצאות!$B$2:$T$519,19,0)</f>
        <v>85465.090909090912</v>
      </c>
      <c r="J380" s="251"/>
      <c r="K380" s="251"/>
      <c r="Q380" s="251"/>
      <c r="S380" s="251"/>
    </row>
    <row r="381" spans="1:49">
      <c r="A381">
        <v>1814000780</v>
      </c>
      <c r="B381" t="s">
        <v>1768</v>
      </c>
      <c r="C381" s="214">
        <v>9163</v>
      </c>
      <c r="D381" s="251">
        <v>10647.3</v>
      </c>
      <c r="E381" s="251">
        <v>2000</v>
      </c>
      <c r="F381" s="251">
        <v>12647.3</v>
      </c>
      <c r="G381" s="214">
        <v>10000</v>
      </c>
      <c r="H381" s="251">
        <f>VLOOKUP(A381,הוצאות!$B$2:$T$519,19,0)</f>
        <v>20000</v>
      </c>
      <c r="I381" s="251"/>
      <c r="J381" s="251"/>
      <c r="K381" s="251"/>
      <c r="Q381" s="251"/>
      <c r="S381" s="251"/>
      <c r="AW381" s="251"/>
    </row>
    <row r="382" spans="1:49">
      <c r="A382">
        <v>1814000870</v>
      </c>
      <c r="B382" t="s">
        <v>232</v>
      </c>
      <c r="C382">
        <v>0</v>
      </c>
      <c r="D382" s="251">
        <v>10000</v>
      </c>
      <c r="E382">
        <v>0</v>
      </c>
      <c r="F382" s="251">
        <v>10000</v>
      </c>
      <c r="G382">
        <v>0</v>
      </c>
      <c r="H382" s="251">
        <f>VLOOKUP(A382,הוצאות!$B$2:$T$519,19,0)</f>
        <v>10909.09090909091</v>
      </c>
      <c r="J382" s="251"/>
      <c r="K382" s="251"/>
      <c r="Q382" s="251"/>
      <c r="S382" s="251"/>
    </row>
    <row r="383" spans="1:49">
      <c r="A383">
        <v>1814001780</v>
      </c>
      <c r="B383" t="s">
        <v>2008</v>
      </c>
      <c r="C383" s="214">
        <v>96217</v>
      </c>
      <c r="D383" s="251">
        <v>98853</v>
      </c>
      <c r="E383">
        <v>0</v>
      </c>
      <c r="F383" s="251">
        <v>98853</v>
      </c>
      <c r="G383" s="214">
        <v>105000</v>
      </c>
      <c r="H383" s="251">
        <f>VLOOKUP(A383,הוצאות!$B$2:$T$519,19,0)</f>
        <v>0</v>
      </c>
      <c r="J383" s="251"/>
      <c r="K383" s="251"/>
      <c r="Q383" s="251"/>
      <c r="S383" s="251"/>
    </row>
    <row r="384" spans="1:49">
      <c r="A384">
        <v>1814002780</v>
      </c>
      <c r="B384" t="s">
        <v>2039</v>
      </c>
      <c r="C384" s="214">
        <v>91630</v>
      </c>
      <c r="D384">
        <v>0</v>
      </c>
      <c r="E384">
        <v>0</v>
      </c>
      <c r="F384">
        <v>0</v>
      </c>
      <c r="G384" s="214">
        <v>100000</v>
      </c>
      <c r="H384" s="251">
        <f>VLOOKUP(A384,הוצאות!$B$2:$T$519,19,0)</f>
        <v>0</v>
      </c>
      <c r="K384" s="251"/>
    </row>
    <row r="385" spans="1:49">
      <c r="A385">
        <v>1815200110</v>
      </c>
      <c r="B385" t="s">
        <v>233</v>
      </c>
      <c r="C385" s="214">
        <v>7229607</v>
      </c>
      <c r="D385" s="251">
        <v>6775529.96</v>
      </c>
      <c r="E385">
        <v>0</v>
      </c>
      <c r="F385" s="251">
        <v>6775529.96</v>
      </c>
      <c r="G385" s="214">
        <v>7890000</v>
      </c>
      <c r="H385" s="251">
        <f>VLOOKUP(A385,הוצאות!$B$2:$T$519,19,0)</f>
        <v>9180000</v>
      </c>
      <c r="J385" s="251"/>
      <c r="K385" s="251"/>
      <c r="Q385" s="251"/>
      <c r="S385" s="251"/>
    </row>
    <row r="386" spans="1:49">
      <c r="A386">
        <v>1815200320</v>
      </c>
      <c r="B386" t="s">
        <v>25</v>
      </c>
      <c r="C386">
        <v>0</v>
      </c>
      <c r="D386" s="251">
        <v>2098</v>
      </c>
      <c r="E386">
        <v>0</v>
      </c>
      <c r="F386" s="251">
        <v>2098</v>
      </c>
      <c r="G386">
        <v>0</v>
      </c>
      <c r="H386" s="251">
        <f>VLOOKUP(A386,הוצאות!$B$2:$T$519,19,0)</f>
        <v>0</v>
      </c>
      <c r="J386" s="251"/>
      <c r="K386" s="251"/>
      <c r="Q386" s="251"/>
      <c r="S386" s="251"/>
    </row>
    <row r="387" spans="1:49">
      <c r="A387">
        <v>1815200431</v>
      </c>
      <c r="B387" t="s">
        <v>235</v>
      </c>
      <c r="C387" s="214">
        <v>45815</v>
      </c>
      <c r="D387" s="251">
        <v>39462.089999999997</v>
      </c>
      <c r="E387">
        <v>0</v>
      </c>
      <c r="F387" s="251">
        <v>39462.089999999997</v>
      </c>
      <c r="G387" s="214">
        <v>50000</v>
      </c>
      <c r="H387" s="251">
        <f>VLOOKUP(A387,הוצאות!$B$2:$T$519,19,0)</f>
        <v>43049.552727272727</v>
      </c>
      <c r="J387" s="251"/>
      <c r="K387" s="251"/>
      <c r="Q387" s="251"/>
      <c r="S387" s="251"/>
    </row>
    <row r="388" spans="1:49">
      <c r="A388">
        <v>1815200432</v>
      </c>
      <c r="B388" t="s">
        <v>236</v>
      </c>
      <c r="C388" s="214">
        <v>45815</v>
      </c>
      <c r="D388">
        <v>0</v>
      </c>
      <c r="E388">
        <v>0</v>
      </c>
      <c r="F388">
        <v>0</v>
      </c>
      <c r="G388" s="214">
        <v>50000</v>
      </c>
      <c r="H388" s="251">
        <f>VLOOKUP(A388,הוצאות!$B$2:$T$519,19,0)</f>
        <v>0</v>
      </c>
      <c r="K388" s="251"/>
    </row>
    <row r="389" spans="1:49">
      <c r="A389">
        <v>1815200540</v>
      </c>
      <c r="B389" t="s">
        <v>239</v>
      </c>
      <c r="C389" s="214">
        <v>18326</v>
      </c>
      <c r="D389">
        <v>0</v>
      </c>
      <c r="E389">
        <v>0</v>
      </c>
      <c r="F389">
        <v>0</v>
      </c>
      <c r="G389" s="214">
        <v>20000</v>
      </c>
      <c r="H389" s="251">
        <f>VLOOKUP(A389,הוצאות!$B$2:$T$519,19,0)</f>
        <v>0</v>
      </c>
      <c r="K389" s="251"/>
    </row>
    <row r="390" spans="1:49">
      <c r="A390">
        <v>1815200560</v>
      </c>
      <c r="B390" t="s">
        <v>240</v>
      </c>
      <c r="C390" s="214">
        <v>4587</v>
      </c>
      <c r="D390" s="251">
        <v>4212</v>
      </c>
      <c r="E390">
        <v>0</v>
      </c>
      <c r="F390" s="251">
        <v>4212</v>
      </c>
      <c r="G390" s="214">
        <v>5000</v>
      </c>
      <c r="H390" s="251">
        <f>VLOOKUP(A390,הוצאות!$B$2:$T$519,19,0)</f>
        <v>4594.909090909091</v>
      </c>
      <c r="J390" s="251"/>
      <c r="Q390" s="251"/>
      <c r="S390" s="251"/>
    </row>
    <row r="391" spans="1:49">
      <c r="A391">
        <v>1815200720</v>
      </c>
      <c r="B391" t="s">
        <v>241</v>
      </c>
      <c r="C391">
        <v>0</v>
      </c>
      <c r="D391" s="251">
        <v>65197.51</v>
      </c>
      <c r="E391">
        <v>0</v>
      </c>
      <c r="F391" s="251">
        <v>65197.51</v>
      </c>
      <c r="G391">
        <v>0</v>
      </c>
      <c r="H391" s="251">
        <f>VLOOKUP(A391,הוצאות!$B$2:$T$519,19,0)</f>
        <v>71124.556363636366</v>
      </c>
      <c r="J391" s="251"/>
      <c r="K391" s="251"/>
      <c r="Q391" s="251"/>
      <c r="S391" s="251"/>
    </row>
    <row r="392" spans="1:49">
      <c r="A392">
        <v>1815200750</v>
      </c>
      <c r="B392" t="s">
        <v>243</v>
      </c>
      <c r="C392" s="214">
        <v>1053745</v>
      </c>
      <c r="D392" s="251">
        <v>3218975.38</v>
      </c>
      <c r="E392" s="251">
        <v>93491</v>
      </c>
      <c r="F392" s="251">
        <v>3312466.38</v>
      </c>
      <c r="G392" s="214">
        <v>1150000</v>
      </c>
      <c r="H392" s="251">
        <f>VLOOKUP(A392,הוצאות!$B$2:$T$519,19,0)</f>
        <v>850000</v>
      </c>
      <c r="I392" s="251"/>
      <c r="J392" s="251"/>
      <c r="K392" s="251"/>
      <c r="Q392" s="251"/>
      <c r="S392" s="251"/>
      <c r="AW392" s="251"/>
    </row>
    <row r="393" spans="1:49">
      <c r="A393">
        <v>1815200760</v>
      </c>
      <c r="B393" t="s">
        <v>244</v>
      </c>
      <c r="C393">
        <v>0</v>
      </c>
      <c r="D393" s="251">
        <v>40800</v>
      </c>
      <c r="E393">
        <v>0</v>
      </c>
      <c r="F393" s="251">
        <v>40800</v>
      </c>
      <c r="G393">
        <v>0</v>
      </c>
      <c r="H393" s="251">
        <f>VLOOKUP(A393,הוצאות!$B$2:$T$519,19,0)</f>
        <v>72000</v>
      </c>
      <c r="J393" s="251"/>
      <c r="K393" s="251"/>
      <c r="Q393" s="251"/>
      <c r="S393" s="251"/>
    </row>
    <row r="394" spans="1:49">
      <c r="A394">
        <v>1815200780</v>
      </c>
      <c r="B394" t="s">
        <v>245</v>
      </c>
      <c r="C394" s="214">
        <v>13750</v>
      </c>
      <c r="D394">
        <v>0</v>
      </c>
      <c r="E394">
        <v>0</v>
      </c>
      <c r="F394">
        <v>0</v>
      </c>
      <c r="G394" s="214">
        <v>15000</v>
      </c>
      <c r="H394" s="251">
        <f>VLOOKUP(A394,הוצאות!$B$2:$T$519,19,0)</f>
        <v>0</v>
      </c>
      <c r="K394" s="251"/>
    </row>
    <row r="395" spans="1:49">
      <c r="A395">
        <v>1815200870</v>
      </c>
      <c r="B395" t="s">
        <v>246</v>
      </c>
      <c r="C395" s="214">
        <v>16489</v>
      </c>
      <c r="D395" s="251">
        <v>20000</v>
      </c>
      <c r="E395">
        <v>0</v>
      </c>
      <c r="F395" s="251">
        <v>20000</v>
      </c>
      <c r="G395" s="214">
        <v>18000</v>
      </c>
      <c r="H395" s="251">
        <f>VLOOKUP(A395,הוצאות!$B$2:$T$519,19,0)</f>
        <v>20000</v>
      </c>
      <c r="J395" s="251"/>
      <c r="K395" s="251"/>
      <c r="Q395" s="251"/>
      <c r="S395" s="251"/>
    </row>
    <row r="396" spans="1:49">
      <c r="A396">
        <v>1815300760</v>
      </c>
      <c r="B396" t="s">
        <v>2040</v>
      </c>
      <c r="C396">
        <v>0</v>
      </c>
      <c r="D396" s="251">
        <v>9131</v>
      </c>
      <c r="E396">
        <v>0</v>
      </c>
      <c r="F396" s="251">
        <v>9131</v>
      </c>
      <c r="G396">
        <v>0</v>
      </c>
      <c r="H396" s="251">
        <f>VLOOKUP(A396,הוצאות!$B$2:$T$519,19,0)</f>
        <v>9131</v>
      </c>
      <c r="J396" s="251"/>
      <c r="K396" s="251"/>
      <c r="Q396" s="251"/>
      <c r="S396" s="251"/>
    </row>
    <row r="397" spans="1:49">
      <c r="A397">
        <v>1815700760</v>
      </c>
      <c r="B397" t="s">
        <v>1771</v>
      </c>
      <c r="C397">
        <v>0</v>
      </c>
      <c r="D397" s="251">
        <v>310021</v>
      </c>
      <c r="E397">
        <v>0</v>
      </c>
      <c r="F397" s="251">
        <v>310021</v>
      </c>
      <c r="G397">
        <v>0</v>
      </c>
      <c r="H397" s="251">
        <f>VLOOKUP(A397,הוצאות!$B$2:$T$519,19,0)</f>
        <v>40000</v>
      </c>
      <c r="J397" s="251"/>
      <c r="K397" s="251"/>
      <c r="Q397" s="251"/>
      <c r="S397" s="251"/>
    </row>
    <row r="398" spans="1:49">
      <c r="A398">
        <v>1817300110</v>
      </c>
      <c r="B398" t="s">
        <v>247</v>
      </c>
      <c r="C398" s="214">
        <v>638660</v>
      </c>
      <c r="D398" s="251">
        <v>524762.6</v>
      </c>
      <c r="E398">
        <v>0</v>
      </c>
      <c r="F398" s="251">
        <v>524762.6</v>
      </c>
      <c r="G398" s="214">
        <v>697000</v>
      </c>
      <c r="H398" s="251">
        <f>VLOOKUP(A398,הוצאות!$B$2:$T$519,19,0)</f>
        <v>680323.353413</v>
      </c>
      <c r="J398" s="251"/>
      <c r="K398" s="251"/>
      <c r="Q398" s="251"/>
      <c r="S398" s="251"/>
    </row>
    <row r="399" spans="1:49">
      <c r="A399">
        <v>1817300320</v>
      </c>
      <c r="B399" t="s">
        <v>248</v>
      </c>
      <c r="C399">
        <v>0</v>
      </c>
      <c r="D399" s="251">
        <v>9355</v>
      </c>
      <c r="E399">
        <v>0</v>
      </c>
      <c r="F399" s="251">
        <v>9355</v>
      </c>
      <c r="G399">
        <v>0</v>
      </c>
      <c r="H399" s="251">
        <f>VLOOKUP(A399,הוצאות!$B$2:$T$519,19,0)</f>
        <v>0</v>
      </c>
      <c r="J399" s="251"/>
      <c r="K399" s="251"/>
      <c r="Q399" s="251"/>
      <c r="S399" s="251"/>
    </row>
    <row r="400" spans="1:49">
      <c r="A400">
        <v>1817300521</v>
      </c>
      <c r="B400" t="s">
        <v>249</v>
      </c>
      <c r="C400" s="214">
        <v>4587</v>
      </c>
      <c r="D400">
        <v>0</v>
      </c>
      <c r="E400">
        <v>0</v>
      </c>
      <c r="F400">
        <v>0</v>
      </c>
      <c r="G400" s="214">
        <v>5000</v>
      </c>
      <c r="H400" s="251">
        <f>VLOOKUP(A400,הוצאות!$B$2:$T$519,19,0)</f>
        <v>0</v>
      </c>
      <c r="K400" s="251"/>
    </row>
    <row r="401" spans="1:49">
      <c r="A401">
        <v>1817300930</v>
      </c>
      <c r="B401" t="s">
        <v>250</v>
      </c>
      <c r="C401" s="214">
        <v>1837</v>
      </c>
      <c r="D401">
        <v>0</v>
      </c>
      <c r="E401">
        <v>0</v>
      </c>
      <c r="F401">
        <v>0</v>
      </c>
      <c r="G401" s="214">
        <v>2000</v>
      </c>
      <c r="H401" s="251">
        <f>VLOOKUP(A401,הוצאות!$B$2:$T$519,19,0)</f>
        <v>0</v>
      </c>
      <c r="K401" s="251"/>
    </row>
    <row r="402" spans="1:49">
      <c r="A402">
        <v>1817301750</v>
      </c>
      <c r="B402" t="s">
        <v>251</v>
      </c>
      <c r="C402" s="214">
        <v>42152</v>
      </c>
      <c r="D402" s="251">
        <v>21000</v>
      </c>
      <c r="E402">
        <v>0</v>
      </c>
      <c r="F402" s="251">
        <v>21000</v>
      </c>
      <c r="G402" s="214">
        <v>46000</v>
      </c>
      <c r="H402" s="251">
        <f>VLOOKUP(A402,הוצאות!$B$2:$T$519,19,0)</f>
        <v>22909.090909090908</v>
      </c>
      <c r="J402" s="251"/>
      <c r="K402" s="251"/>
      <c r="Q402" s="251"/>
      <c r="S402" s="251"/>
    </row>
    <row r="403" spans="1:49">
      <c r="A403">
        <v>1817500441</v>
      </c>
      <c r="B403" t="s">
        <v>254</v>
      </c>
      <c r="C403" s="214">
        <v>183260</v>
      </c>
      <c r="D403" s="251">
        <v>214865</v>
      </c>
      <c r="E403">
        <v>0</v>
      </c>
      <c r="F403" s="251">
        <v>214865</v>
      </c>
      <c r="G403" s="214">
        <v>200000</v>
      </c>
      <c r="H403" s="251">
        <f>VLOOKUP(A403,הוצאות!$B$2:$T$519,19,0)</f>
        <v>214865</v>
      </c>
      <c r="J403" s="251"/>
      <c r="K403" s="251"/>
      <c r="Q403" s="251"/>
      <c r="S403" s="251"/>
    </row>
    <row r="404" spans="1:49">
      <c r="A404">
        <v>1817600780</v>
      </c>
      <c r="B404" t="s">
        <v>255</v>
      </c>
      <c r="C404" s="214">
        <v>91630</v>
      </c>
      <c r="D404">
        <v>0</v>
      </c>
      <c r="E404">
        <v>0</v>
      </c>
      <c r="F404">
        <v>0</v>
      </c>
      <c r="G404" s="214">
        <v>100000</v>
      </c>
      <c r="H404" s="251">
        <f>VLOOKUP(A404,הוצאות!$B$2:$T$519,19,0)</f>
        <v>0</v>
      </c>
      <c r="K404" s="251"/>
    </row>
    <row r="405" spans="1:49">
      <c r="A405">
        <v>1817600930</v>
      </c>
      <c r="B405" t="s">
        <v>19</v>
      </c>
      <c r="C405" s="214">
        <v>56815</v>
      </c>
      <c r="D405" s="251">
        <v>3000</v>
      </c>
      <c r="E405" s="251">
        <v>58537.440000000002</v>
      </c>
      <c r="F405" s="251">
        <v>61537.440000000002</v>
      </c>
      <c r="G405" s="214">
        <v>62000</v>
      </c>
      <c r="H405" s="251">
        <f>VLOOKUP(A405,הוצאות!$B$2:$T$519,19,0)</f>
        <v>0</v>
      </c>
      <c r="I405" s="251"/>
      <c r="J405" s="251"/>
      <c r="K405" s="251"/>
      <c r="Q405" s="251"/>
      <c r="S405" s="251"/>
      <c r="AW405" s="251"/>
    </row>
    <row r="406" spans="1:49">
      <c r="A406">
        <v>1817630110</v>
      </c>
      <c r="B406" t="s">
        <v>1782</v>
      </c>
      <c r="C406">
        <v>0</v>
      </c>
      <c r="D406" s="251">
        <v>45944.73</v>
      </c>
      <c r="E406">
        <v>0</v>
      </c>
      <c r="F406" s="251">
        <v>45944.73</v>
      </c>
      <c r="G406">
        <v>0</v>
      </c>
      <c r="H406" s="251">
        <f>VLOOKUP(A406,הוצאות!$B$2:$T$519,19,0)</f>
        <v>0</v>
      </c>
      <c r="J406" s="251"/>
      <c r="K406" s="251"/>
      <c r="Q406" s="251"/>
      <c r="S406" s="251"/>
    </row>
    <row r="407" spans="1:49">
      <c r="A407">
        <v>1817700110</v>
      </c>
      <c r="B407" t="s">
        <v>261</v>
      </c>
      <c r="C407" s="214">
        <v>274890</v>
      </c>
      <c r="D407">
        <v>0</v>
      </c>
      <c r="E407">
        <v>0</v>
      </c>
      <c r="F407">
        <v>0</v>
      </c>
      <c r="G407" s="214">
        <v>300000</v>
      </c>
      <c r="H407" s="251">
        <f>VLOOKUP(A407,הוצאות!$B$2:$T$519,19,0)</f>
        <v>0</v>
      </c>
      <c r="K407" s="251"/>
    </row>
    <row r="408" spans="1:49">
      <c r="A408">
        <v>1817710720</v>
      </c>
      <c r="B408" t="s">
        <v>266</v>
      </c>
      <c r="C408" s="214">
        <v>1837</v>
      </c>
      <c r="D408">
        <v>0</v>
      </c>
      <c r="E408">
        <v>0</v>
      </c>
      <c r="F408">
        <v>0</v>
      </c>
      <c r="G408" s="214">
        <v>2000</v>
      </c>
      <c r="H408" s="251">
        <f>VLOOKUP(A408,הוצאות!$B$2:$T$519,19,0)</f>
        <v>0</v>
      </c>
      <c r="K408" s="251"/>
    </row>
    <row r="409" spans="1:49">
      <c r="A409">
        <v>1817710780</v>
      </c>
      <c r="B409" t="s">
        <v>267</v>
      </c>
      <c r="C409" s="214">
        <v>4587</v>
      </c>
      <c r="D409" s="251">
        <v>1941</v>
      </c>
      <c r="E409">
        <v>0</v>
      </c>
      <c r="F409" s="251">
        <v>1941</v>
      </c>
      <c r="G409" s="214">
        <v>5000</v>
      </c>
      <c r="H409" s="251">
        <f>VLOOKUP(A409,הוצאות!$B$2:$T$519,19,0)</f>
        <v>0</v>
      </c>
      <c r="J409" s="251"/>
      <c r="K409" s="251"/>
      <c r="Q409" s="251"/>
      <c r="S409" s="251"/>
    </row>
    <row r="410" spans="1:49">
      <c r="A410">
        <v>1817720720</v>
      </c>
      <c r="B410" t="s">
        <v>1662</v>
      </c>
      <c r="C410" s="214">
        <v>75141</v>
      </c>
      <c r="D410" s="251">
        <v>14210</v>
      </c>
      <c r="E410">
        <v>0</v>
      </c>
      <c r="F410" s="251">
        <v>14210</v>
      </c>
      <c r="G410" s="214">
        <v>82000</v>
      </c>
      <c r="H410" s="251">
        <f>VLOOKUP(A410,הוצאות!$B$2:$T$519,19,0)</f>
        <v>68000</v>
      </c>
      <c r="J410" s="251"/>
      <c r="K410" s="251"/>
      <c r="Q410" s="251"/>
      <c r="S410" s="251"/>
    </row>
    <row r="411" spans="1:49">
      <c r="A411">
        <v>1817800110</v>
      </c>
      <c r="B411" t="s">
        <v>268</v>
      </c>
      <c r="C411" s="214">
        <v>595595</v>
      </c>
      <c r="D411" s="251">
        <v>630313.14</v>
      </c>
      <c r="E411">
        <v>0</v>
      </c>
      <c r="F411" s="251">
        <v>630313.14</v>
      </c>
      <c r="G411" s="214">
        <v>650000</v>
      </c>
      <c r="H411" s="251">
        <f>VLOOKUP(A411,הוצאות!$B$2:$T$519,19,0)</f>
        <v>847143.91386099998</v>
      </c>
      <c r="J411" s="251"/>
      <c r="K411" s="251"/>
      <c r="Q411" s="251"/>
      <c r="S411" s="251"/>
    </row>
    <row r="412" spans="1:49">
      <c r="A412">
        <v>1817800320</v>
      </c>
      <c r="B412" t="s">
        <v>159</v>
      </c>
      <c r="C412">
        <v>0</v>
      </c>
      <c r="D412" s="251">
        <v>1337</v>
      </c>
      <c r="E412">
        <v>0</v>
      </c>
      <c r="F412" s="251">
        <v>1337</v>
      </c>
      <c r="G412">
        <v>0</v>
      </c>
      <c r="H412" s="251">
        <f>VLOOKUP(A412,הוצאות!$B$2:$T$519,19,0)</f>
        <v>0</v>
      </c>
      <c r="J412" s="251"/>
      <c r="K412" s="251"/>
      <c r="Q412" s="251"/>
      <c r="S412" s="251"/>
    </row>
    <row r="413" spans="1:49">
      <c r="A413">
        <v>1817800710</v>
      </c>
      <c r="B413" t="s">
        <v>269</v>
      </c>
      <c r="C413" s="214">
        <v>1924230</v>
      </c>
      <c r="D413" s="251">
        <v>2411650.89</v>
      </c>
      <c r="E413">
        <v>0</v>
      </c>
      <c r="F413" s="251">
        <v>2411650.89</v>
      </c>
      <c r="G413" s="214">
        <v>2100000</v>
      </c>
      <c r="H413" s="251">
        <f>VLOOKUP(A413,הוצאות!$B$2:$T$519,19,0)</f>
        <v>2400000</v>
      </c>
      <c r="J413" s="251"/>
      <c r="K413" s="251"/>
      <c r="Q413" s="251"/>
      <c r="S413" s="251"/>
    </row>
    <row r="414" spans="1:49">
      <c r="A414">
        <v>1817900110</v>
      </c>
      <c r="B414" t="s">
        <v>270</v>
      </c>
      <c r="C414" s="214">
        <v>69641</v>
      </c>
      <c r="D414" s="251">
        <v>92061.46</v>
      </c>
      <c r="E414">
        <v>0</v>
      </c>
      <c r="F414" s="251">
        <v>92061.46</v>
      </c>
      <c r="G414" s="214">
        <v>76000</v>
      </c>
      <c r="H414" s="251">
        <f>VLOOKUP(A414,הוצאות!$B$2:$T$519,19,0)</f>
        <v>119720.01675900001</v>
      </c>
      <c r="J414" s="251"/>
      <c r="K414" s="251"/>
      <c r="Q414" s="251"/>
      <c r="S414" s="251"/>
    </row>
    <row r="415" spans="1:49">
      <c r="A415">
        <v>1817910110</v>
      </c>
      <c r="B415" t="s">
        <v>1784</v>
      </c>
      <c r="C415" s="214">
        <v>70554</v>
      </c>
      <c r="D415" s="251">
        <v>361958.31</v>
      </c>
      <c r="E415">
        <v>0</v>
      </c>
      <c r="F415" s="251">
        <v>361958.31</v>
      </c>
      <c r="G415" s="214">
        <v>77000</v>
      </c>
      <c r="H415" s="251">
        <f>VLOOKUP(A415,הוצאות!$B$2:$T$519,19,0)</f>
        <v>260000</v>
      </c>
      <c r="J415" s="251"/>
      <c r="K415" s="251"/>
      <c r="Q415" s="251"/>
      <c r="S415" s="251"/>
    </row>
    <row r="416" spans="1:49">
      <c r="A416">
        <v>1817910780</v>
      </c>
      <c r="B416" t="s">
        <v>272</v>
      </c>
      <c r="C416" s="214">
        <v>77891</v>
      </c>
      <c r="D416" s="251">
        <v>6000</v>
      </c>
      <c r="E416" s="251">
        <v>70000</v>
      </c>
      <c r="F416" s="251">
        <v>76000</v>
      </c>
      <c r="G416" s="214">
        <v>85000</v>
      </c>
      <c r="H416" s="251">
        <f>VLOOKUP(A416,הוצאות!$B$2:$T$519,19,0)</f>
        <v>120000</v>
      </c>
      <c r="I416" s="251"/>
      <c r="J416" s="251"/>
      <c r="K416" s="251"/>
      <c r="Q416" s="251"/>
      <c r="S416" s="251"/>
      <c r="AW416" s="251"/>
    </row>
    <row r="417" spans="1:49">
      <c r="A417">
        <v>1817910810</v>
      </c>
      <c r="B417" t="s">
        <v>273</v>
      </c>
      <c r="C417" s="214">
        <v>1108723</v>
      </c>
      <c r="D417" s="251">
        <v>198629</v>
      </c>
      <c r="E417" s="251">
        <v>148470</v>
      </c>
      <c r="F417" s="251">
        <v>347099</v>
      </c>
      <c r="G417" s="214">
        <v>1210000</v>
      </c>
      <c r="H417" s="251">
        <f>VLOOKUP(A417,הוצאות!$B$2:$T$519,19,0)</f>
        <v>2000000</v>
      </c>
      <c r="I417" s="251"/>
      <c r="J417" s="251"/>
      <c r="K417" s="251"/>
      <c r="Q417" s="251"/>
      <c r="S417" s="251"/>
      <c r="AW417" s="251"/>
    </row>
    <row r="418" spans="1:49">
      <c r="A418">
        <v>1817911110</v>
      </c>
      <c r="B418" t="s">
        <v>1786</v>
      </c>
      <c r="C418" s="214">
        <v>77891</v>
      </c>
      <c r="D418">
        <v>0</v>
      </c>
      <c r="E418">
        <v>0</v>
      </c>
      <c r="F418">
        <v>0</v>
      </c>
      <c r="G418" s="214">
        <v>85000</v>
      </c>
      <c r="H418" s="251">
        <f>VLOOKUP(A418,הוצאות!$B$2:$T$519,19,0)</f>
        <v>0</v>
      </c>
      <c r="K418" s="251"/>
    </row>
    <row r="419" spans="1:49">
      <c r="A419">
        <v>1817911750</v>
      </c>
      <c r="B419" t="s">
        <v>1787</v>
      </c>
      <c r="C419" s="214">
        <v>41239</v>
      </c>
      <c r="D419" s="251">
        <v>19740</v>
      </c>
      <c r="E419" s="251">
        <v>19551</v>
      </c>
      <c r="F419" s="251">
        <v>39291</v>
      </c>
      <c r="G419" s="214">
        <v>45000</v>
      </c>
      <c r="H419" s="251">
        <f>VLOOKUP(A419,הוצאות!$B$2:$T$519,19,0)</f>
        <v>42862.909090909088</v>
      </c>
      <c r="I419" s="251"/>
      <c r="J419" s="251"/>
      <c r="K419" s="251"/>
      <c r="Q419" s="251"/>
      <c r="S419" s="251"/>
      <c r="AW419" s="251"/>
    </row>
    <row r="420" spans="1:49">
      <c r="A420">
        <v>1817912750</v>
      </c>
      <c r="B420" t="s">
        <v>1789</v>
      </c>
      <c r="C420" s="214">
        <v>75658</v>
      </c>
      <c r="D420" s="251">
        <v>52660</v>
      </c>
      <c r="E420" s="251">
        <v>7000</v>
      </c>
      <c r="F420" s="251">
        <v>59660</v>
      </c>
      <c r="G420" s="214">
        <v>82566</v>
      </c>
      <c r="H420" s="251">
        <f>VLOOKUP(A420,הוצאות!$B$2:$T$519,19,0)</f>
        <v>73000</v>
      </c>
      <c r="I420" s="251"/>
      <c r="J420" s="251"/>
      <c r="K420" s="251"/>
      <c r="Q420" s="251"/>
      <c r="S420" s="251"/>
      <c r="AW420" s="251"/>
    </row>
    <row r="421" spans="1:49">
      <c r="A421">
        <v>1817913110</v>
      </c>
      <c r="B421" t="s">
        <v>1790</v>
      </c>
      <c r="C421">
        <v>0</v>
      </c>
      <c r="D421">
        <v>0</v>
      </c>
      <c r="E421">
        <v>0</v>
      </c>
      <c r="F421">
        <v>0</v>
      </c>
      <c r="G421">
        <v>0</v>
      </c>
      <c r="H421" s="251">
        <f>VLOOKUP(A421,הוצאות!$B$2:$T$519,19,0)</f>
        <v>0</v>
      </c>
    </row>
    <row r="422" spans="1:49">
      <c r="A422">
        <v>1817913750</v>
      </c>
      <c r="B422" t="s">
        <v>1791</v>
      </c>
      <c r="C422" s="214">
        <v>4587</v>
      </c>
      <c r="D422">
        <v>0</v>
      </c>
      <c r="E422">
        <v>0</v>
      </c>
      <c r="F422">
        <v>0</v>
      </c>
      <c r="G422" s="214">
        <v>5000</v>
      </c>
      <c r="H422" s="251">
        <f>VLOOKUP(A422,הוצאות!$B$2:$T$519,19,0)</f>
        <v>0</v>
      </c>
      <c r="J422" s="251"/>
      <c r="S422" s="251"/>
    </row>
    <row r="423" spans="1:49">
      <c r="A423">
        <v>1817914750</v>
      </c>
      <c r="B423" t="s">
        <v>1925</v>
      </c>
      <c r="C423" s="214">
        <v>54978</v>
      </c>
      <c r="D423">
        <v>0</v>
      </c>
      <c r="E423" s="251">
        <v>14601</v>
      </c>
      <c r="F423" s="251">
        <v>14601</v>
      </c>
      <c r="G423" s="214">
        <v>60000</v>
      </c>
      <c r="H423" s="251">
        <f>VLOOKUP(A423,הוצאות!$B$2:$T$519,19,0)</f>
        <v>255800</v>
      </c>
      <c r="I423" s="251"/>
      <c r="J423" s="251"/>
      <c r="K423" s="251"/>
      <c r="Q423" s="251"/>
      <c r="S423" s="251"/>
      <c r="AW423" s="251"/>
    </row>
    <row r="424" spans="1:49">
      <c r="A424">
        <v>1817915750</v>
      </c>
      <c r="B424" t="s">
        <v>2041</v>
      </c>
      <c r="C424" s="214">
        <v>4587</v>
      </c>
      <c r="D424">
        <v>0</v>
      </c>
      <c r="E424">
        <v>0</v>
      </c>
      <c r="F424">
        <v>0</v>
      </c>
      <c r="G424" s="214">
        <v>5000</v>
      </c>
      <c r="H424" s="251">
        <f>VLOOKUP(A424,הוצאות!$B$2:$T$519,19,0)</f>
        <v>0</v>
      </c>
      <c r="K424" s="251"/>
    </row>
    <row r="425" spans="1:49">
      <c r="A425">
        <v>1817917110</v>
      </c>
      <c r="B425" t="s">
        <v>2042</v>
      </c>
      <c r="C425" s="214">
        <v>137445</v>
      </c>
      <c r="D425" s="251">
        <v>38336.76</v>
      </c>
      <c r="E425">
        <v>0</v>
      </c>
      <c r="F425" s="251">
        <v>38336.76</v>
      </c>
      <c r="G425" s="214">
        <v>150000</v>
      </c>
      <c r="H425" s="251">
        <f>VLOOKUP(A425,הוצאות!$B$2:$T$519,19,0)</f>
        <v>73860.542277</v>
      </c>
      <c r="J425" s="251"/>
      <c r="K425" s="251"/>
      <c r="Q425" s="251"/>
      <c r="S425" s="251"/>
    </row>
    <row r="426" spans="1:49">
      <c r="A426">
        <v>1817918110</v>
      </c>
      <c r="B426" t="s">
        <v>1925</v>
      </c>
      <c r="C426" s="214">
        <v>141306</v>
      </c>
      <c r="D426" s="251">
        <v>17225.5</v>
      </c>
      <c r="E426">
        <v>0</v>
      </c>
      <c r="F426" s="251">
        <v>17225.5</v>
      </c>
      <c r="G426" s="214">
        <v>154210</v>
      </c>
      <c r="H426" s="251">
        <f>VLOOKUP(A426,הוצאות!$B$2:$T$519,19,0)</f>
        <v>109565.64696900001</v>
      </c>
      <c r="J426" s="251"/>
      <c r="K426" s="251"/>
      <c r="Q426" s="251"/>
      <c r="S426" s="251"/>
    </row>
    <row r="427" spans="1:49">
      <c r="A427">
        <v>1817919110</v>
      </c>
      <c r="B427" t="s">
        <v>1923</v>
      </c>
      <c r="C427" s="214">
        <v>98956</v>
      </c>
      <c r="D427" s="251">
        <v>6799.05</v>
      </c>
      <c r="E427">
        <v>0</v>
      </c>
      <c r="F427" s="251">
        <v>6799.05</v>
      </c>
      <c r="G427" s="214">
        <v>108000</v>
      </c>
      <c r="H427" s="251">
        <f>VLOOKUP(A427,הוצאות!$B$2:$T$519,19,0)</f>
        <v>40432.888620999998</v>
      </c>
      <c r="J427" s="251"/>
      <c r="K427" s="251"/>
      <c r="Q427" s="251"/>
      <c r="S427" s="251"/>
    </row>
    <row r="428" spans="1:49">
      <c r="A428">
        <v>1824000110</v>
      </c>
      <c r="B428" t="s">
        <v>1798</v>
      </c>
      <c r="C428">
        <v>0</v>
      </c>
      <c r="D428" s="251">
        <v>37864.99</v>
      </c>
      <c r="E428">
        <v>0</v>
      </c>
      <c r="F428" s="251">
        <v>37864.99</v>
      </c>
      <c r="G428">
        <v>0</v>
      </c>
      <c r="H428" s="251">
        <f>VLOOKUP(A428,הוצאות!$B$2:$T$519,19,0)</f>
        <v>50424.430081999999</v>
      </c>
      <c r="J428" s="251"/>
      <c r="K428" s="251"/>
      <c r="Q428" s="251"/>
      <c r="S428" s="251"/>
    </row>
    <row r="429" spans="1:49">
      <c r="A429">
        <v>1824000431</v>
      </c>
      <c r="B429" t="s">
        <v>1800</v>
      </c>
      <c r="C429">
        <v>0</v>
      </c>
      <c r="D429" s="251">
        <v>30484.16</v>
      </c>
      <c r="E429">
        <v>0</v>
      </c>
      <c r="F429" s="251">
        <v>30484.16</v>
      </c>
      <c r="G429">
        <v>0</v>
      </c>
      <c r="H429" s="251">
        <f>VLOOKUP(A429,הוצאות!$B$2:$T$519,19,0)</f>
        <v>68255.447272727295</v>
      </c>
      <c r="J429" s="251"/>
      <c r="K429" s="251"/>
      <c r="Q429" s="251"/>
      <c r="S429" s="251"/>
    </row>
    <row r="430" spans="1:49">
      <c r="A430">
        <v>1824000432</v>
      </c>
      <c r="B430" t="s">
        <v>274</v>
      </c>
      <c r="C430" s="214">
        <v>21076</v>
      </c>
      <c r="D430">
        <v>0</v>
      </c>
      <c r="E430">
        <v>0</v>
      </c>
      <c r="F430">
        <v>0</v>
      </c>
      <c r="G430" s="214">
        <v>23000</v>
      </c>
      <c r="H430" s="251">
        <f>VLOOKUP(A430,הוצאות!$B$2:$T$519,19,0)</f>
        <v>0</v>
      </c>
      <c r="K430" s="251"/>
    </row>
    <row r="431" spans="1:49">
      <c r="A431">
        <v>1824020870</v>
      </c>
      <c r="B431" t="s">
        <v>1801</v>
      </c>
      <c r="C431" s="214">
        <v>311542</v>
      </c>
      <c r="D431" s="251">
        <v>165598</v>
      </c>
      <c r="E431" s="251">
        <v>25000</v>
      </c>
      <c r="F431" s="251">
        <v>190598</v>
      </c>
      <c r="G431" s="214">
        <v>340000</v>
      </c>
      <c r="H431" s="251">
        <f>VLOOKUP(A431,הוצאות!$B$2:$T$519,19,0)</f>
        <v>0</v>
      </c>
      <c r="I431" s="251"/>
      <c r="J431" s="251"/>
      <c r="K431" s="251"/>
      <c r="Q431" s="251"/>
      <c r="S431" s="251"/>
      <c r="AW431" s="251"/>
    </row>
    <row r="432" spans="1:49">
      <c r="A432">
        <v>1824021870</v>
      </c>
      <c r="B432" t="s">
        <v>2043</v>
      </c>
      <c r="C432" s="214">
        <v>45815</v>
      </c>
      <c r="D432" s="251">
        <v>20000</v>
      </c>
      <c r="E432" s="251">
        <v>18000</v>
      </c>
      <c r="F432" s="251">
        <v>38000</v>
      </c>
      <c r="G432" s="214">
        <v>50000</v>
      </c>
      <c r="H432" s="251">
        <f>VLOOKUP(A432,הוצאות!$B$2:$T$519,19,0)</f>
        <v>0</v>
      </c>
      <c r="I432" s="251"/>
      <c r="J432" s="251"/>
      <c r="K432" s="251"/>
      <c r="Q432" s="251"/>
      <c r="S432" s="251"/>
      <c r="AW432" s="251"/>
    </row>
    <row r="433" spans="1:49">
      <c r="A433">
        <v>1824030110</v>
      </c>
      <c r="B433" t="s">
        <v>1802</v>
      </c>
      <c r="C433" s="214">
        <v>98956</v>
      </c>
      <c r="D433" s="251">
        <v>88620.91</v>
      </c>
      <c r="E433">
        <v>0</v>
      </c>
      <c r="F433" s="251">
        <v>88620.91</v>
      </c>
      <c r="G433" s="214">
        <v>108000</v>
      </c>
      <c r="H433" s="251">
        <f>VLOOKUP(A433,הוצאות!$B$2:$T$519,19,0)</f>
        <v>119174.78655400001</v>
      </c>
      <c r="J433" s="251"/>
      <c r="K433" s="251"/>
      <c r="Q433" s="251"/>
      <c r="S433" s="251"/>
    </row>
    <row r="434" spans="1:49">
      <c r="A434">
        <v>1828100110</v>
      </c>
      <c r="B434" t="s">
        <v>1629</v>
      </c>
      <c r="C434" s="214">
        <v>169521</v>
      </c>
      <c r="D434" s="251">
        <v>218044.31</v>
      </c>
      <c r="E434">
        <v>0</v>
      </c>
      <c r="F434" s="251">
        <v>218044.31</v>
      </c>
      <c r="G434" s="214">
        <v>185000</v>
      </c>
      <c r="H434" s="251">
        <f>VLOOKUP(A434,הוצאות!$B$2:$T$519,19,0)</f>
        <v>294295.28020700003</v>
      </c>
      <c r="J434" s="251"/>
      <c r="K434" s="251"/>
      <c r="Q434" s="251"/>
      <c r="S434" s="251"/>
    </row>
    <row r="435" spans="1:49">
      <c r="A435">
        <v>1828200750</v>
      </c>
      <c r="B435" t="s">
        <v>2001</v>
      </c>
      <c r="C435" s="214">
        <v>641410</v>
      </c>
      <c r="D435" s="251">
        <v>12465</v>
      </c>
      <c r="E435">
        <v>400</v>
      </c>
      <c r="F435" s="251">
        <v>12865</v>
      </c>
      <c r="G435" s="214">
        <v>700000</v>
      </c>
      <c r="H435" s="251">
        <f>VLOOKUP(A435,הוצאות!$B$2:$T$519,19,0)</f>
        <v>750000</v>
      </c>
      <c r="J435" s="251"/>
      <c r="K435" s="251"/>
      <c r="Q435" s="251"/>
      <c r="S435" s="251"/>
    </row>
    <row r="436" spans="1:49">
      <c r="A436">
        <v>1828300110</v>
      </c>
      <c r="B436" t="s">
        <v>279</v>
      </c>
      <c r="C436" s="214">
        <v>80630</v>
      </c>
      <c r="D436" s="251">
        <v>104111.5</v>
      </c>
      <c r="E436">
        <v>0</v>
      </c>
      <c r="F436" s="251">
        <v>104111.5</v>
      </c>
      <c r="G436" s="214">
        <v>88000</v>
      </c>
      <c r="H436" s="251">
        <f>VLOOKUP(A436,הוצאות!$B$2:$T$519,19,0)</f>
        <v>124586.93579400002</v>
      </c>
      <c r="J436" s="251"/>
      <c r="K436" s="251"/>
      <c r="Q436" s="251"/>
      <c r="S436" s="251"/>
    </row>
    <row r="437" spans="1:49">
      <c r="A437">
        <v>1828300760</v>
      </c>
      <c r="B437" t="s">
        <v>1655</v>
      </c>
      <c r="C437" s="214">
        <v>12826</v>
      </c>
      <c r="D437" s="251">
        <v>6940</v>
      </c>
      <c r="E437">
        <v>0</v>
      </c>
      <c r="F437" s="251">
        <v>6940</v>
      </c>
      <c r="G437" s="214">
        <v>14000</v>
      </c>
      <c r="H437" s="251">
        <f>VLOOKUP(A437,הוצאות!$B$2:$T$519,19,0)</f>
        <v>7570.909090909091</v>
      </c>
      <c r="J437" s="251"/>
      <c r="K437" s="251"/>
      <c r="Q437" s="251"/>
      <c r="S437" s="251"/>
    </row>
    <row r="438" spans="1:49">
      <c r="A438">
        <v>1828400110</v>
      </c>
      <c r="B438" t="s">
        <v>1656</v>
      </c>
      <c r="C438" s="214">
        <v>32076</v>
      </c>
      <c r="D438">
        <v>0</v>
      </c>
      <c r="E438">
        <v>0</v>
      </c>
      <c r="F438">
        <v>0</v>
      </c>
      <c r="G438" s="214">
        <v>35000</v>
      </c>
      <c r="H438" s="251">
        <f>VLOOKUP(A438,הוצאות!$B$2:$T$519,19,0)</f>
        <v>180000</v>
      </c>
      <c r="K438" s="251"/>
    </row>
    <row r="439" spans="1:49">
      <c r="A439">
        <v>1828400750</v>
      </c>
      <c r="B439" t="s">
        <v>1657</v>
      </c>
      <c r="C439" s="214">
        <v>870144</v>
      </c>
      <c r="D439" s="251">
        <v>763207</v>
      </c>
      <c r="E439" s="251">
        <v>76000</v>
      </c>
      <c r="F439" s="251">
        <v>839207</v>
      </c>
      <c r="G439" s="214">
        <v>949629</v>
      </c>
      <c r="H439" s="251">
        <f>VLOOKUP(A439,הוצאות!$B$2:$T$519,19,0)</f>
        <v>878000</v>
      </c>
      <c r="I439" s="251"/>
      <c r="J439" s="251"/>
      <c r="K439" s="251"/>
      <c r="Q439" s="251"/>
      <c r="S439" s="251"/>
      <c r="AW439" s="251"/>
    </row>
    <row r="440" spans="1:49">
      <c r="A440">
        <v>1828410750</v>
      </c>
      <c r="B440" t="s">
        <v>2044</v>
      </c>
      <c r="C440" s="214">
        <v>804507</v>
      </c>
      <c r="D440">
        <v>0</v>
      </c>
      <c r="E440" s="251">
        <v>730500</v>
      </c>
      <c r="F440" s="251">
        <v>730500</v>
      </c>
      <c r="G440" s="214">
        <v>878000</v>
      </c>
      <c r="H440" s="251">
        <f>VLOOKUP(A440,הוצאות!$B$2:$T$519,19,0)</f>
        <v>0</v>
      </c>
      <c r="I440" s="251"/>
      <c r="J440" s="251"/>
      <c r="K440" s="251"/>
      <c r="Q440" s="251"/>
      <c r="S440" s="251"/>
      <c r="AW440" s="251"/>
    </row>
    <row r="441" spans="1:49">
      <c r="A441">
        <v>1829000431</v>
      </c>
      <c r="B441" t="s">
        <v>283</v>
      </c>
      <c r="C441" s="214">
        <v>11913</v>
      </c>
      <c r="D441" s="251">
        <v>42513.83</v>
      </c>
      <c r="E441">
        <v>0</v>
      </c>
      <c r="F441" s="251">
        <v>42513.83</v>
      </c>
      <c r="G441" s="214">
        <v>13000</v>
      </c>
      <c r="H441" s="251">
        <f>VLOOKUP(A441,הוצאות!$B$2:$T$519,19,0)</f>
        <v>46378.72363636364</v>
      </c>
      <c r="J441" s="251"/>
      <c r="K441" s="251"/>
      <c r="Q441" s="251"/>
      <c r="S441" s="251"/>
    </row>
    <row r="442" spans="1:49">
      <c r="A442">
        <v>1829100110</v>
      </c>
      <c r="B442" t="s">
        <v>284</v>
      </c>
      <c r="C442" s="214">
        <v>218075</v>
      </c>
      <c r="D442" s="251">
        <v>169419.05</v>
      </c>
      <c r="E442">
        <v>0</v>
      </c>
      <c r="F442" s="251">
        <v>169419.05</v>
      </c>
      <c r="G442" s="214">
        <v>238000</v>
      </c>
      <c r="H442" s="251">
        <f>VLOOKUP(A442,הוצאות!$B$2:$T$519,19,0)</f>
        <v>120000</v>
      </c>
      <c r="J442" s="251"/>
      <c r="K442" s="251"/>
      <c r="Q442" s="251"/>
      <c r="S442" s="251"/>
    </row>
    <row r="443" spans="1:49">
      <c r="A443">
        <v>1829200431</v>
      </c>
      <c r="B443" t="s">
        <v>286</v>
      </c>
      <c r="C443" s="214">
        <v>6413</v>
      </c>
      <c r="D443" s="251">
        <v>20996.23</v>
      </c>
      <c r="E443">
        <v>0</v>
      </c>
      <c r="F443" s="251">
        <v>20996.23</v>
      </c>
      <c r="G443" s="214">
        <v>7000</v>
      </c>
      <c r="H443" s="251">
        <f>VLOOKUP(A443,הוצאות!$B$2:$T$519,19,0)</f>
        <v>22904.978181818184</v>
      </c>
      <c r="J443" s="251"/>
      <c r="K443" s="251"/>
      <c r="Q443" s="251"/>
      <c r="S443" s="251"/>
    </row>
    <row r="444" spans="1:49">
      <c r="A444">
        <v>1829200432</v>
      </c>
      <c r="B444" t="s">
        <v>287</v>
      </c>
      <c r="C444" s="214">
        <v>73304</v>
      </c>
      <c r="D444">
        <v>0</v>
      </c>
      <c r="E444">
        <v>0</v>
      </c>
      <c r="F444">
        <v>0</v>
      </c>
      <c r="G444" s="214">
        <v>80000</v>
      </c>
      <c r="H444" s="251">
        <f>VLOOKUP(A444,הוצאות!$B$2:$T$519,19,0)</f>
        <v>0</v>
      </c>
      <c r="K444" s="251"/>
    </row>
    <row r="445" spans="1:49">
      <c r="A445">
        <v>1829200540</v>
      </c>
      <c r="B445" t="s">
        <v>288</v>
      </c>
      <c r="C445" s="214">
        <v>1837</v>
      </c>
      <c r="D445">
        <v>0</v>
      </c>
      <c r="E445">
        <v>0</v>
      </c>
      <c r="F445">
        <v>0</v>
      </c>
      <c r="G445" s="214">
        <v>2000</v>
      </c>
      <c r="H445" s="251">
        <f>VLOOKUP(A445,הוצאות!$B$2:$T$519,19,0)</f>
        <v>0</v>
      </c>
      <c r="K445" s="251"/>
    </row>
    <row r="446" spans="1:49">
      <c r="A446">
        <v>1829200720</v>
      </c>
      <c r="B446" t="s">
        <v>289</v>
      </c>
      <c r="C446" s="214">
        <v>9163</v>
      </c>
      <c r="D446" s="251">
        <v>9557</v>
      </c>
      <c r="E446">
        <v>0</v>
      </c>
      <c r="F446" s="251">
        <v>9557</v>
      </c>
      <c r="G446" s="214">
        <v>10000</v>
      </c>
      <c r="H446" s="251">
        <f>VLOOKUP(A446,הוצאות!$B$2:$T$519,19,0)</f>
        <v>10425.818181818182</v>
      </c>
      <c r="J446" s="251"/>
      <c r="Q446" s="251"/>
      <c r="S446" s="251"/>
    </row>
    <row r="447" spans="1:49">
      <c r="A447">
        <v>1829200740</v>
      </c>
      <c r="B447" t="s">
        <v>155</v>
      </c>
      <c r="C447" s="214">
        <v>18326</v>
      </c>
      <c r="D447" s="251">
        <v>14505.3</v>
      </c>
      <c r="E447" s="251">
        <v>3510</v>
      </c>
      <c r="F447" s="251">
        <v>18015.3</v>
      </c>
      <c r="G447" s="214">
        <v>20000</v>
      </c>
      <c r="H447" s="251">
        <f>VLOOKUP(A447,הוצאות!$B$2:$T$519,19,0)</f>
        <v>19653.054545454543</v>
      </c>
      <c r="I447" s="251"/>
      <c r="J447" s="251"/>
      <c r="K447" s="251"/>
      <c r="Q447" s="251"/>
      <c r="S447" s="251"/>
      <c r="AW447" s="251"/>
    </row>
    <row r="448" spans="1:49">
      <c r="A448">
        <v>1829200750</v>
      </c>
      <c r="B448" t="s">
        <v>290</v>
      </c>
      <c r="C448" s="214">
        <v>109956</v>
      </c>
      <c r="D448" s="251">
        <v>60979.78</v>
      </c>
      <c r="E448" s="251">
        <v>41250</v>
      </c>
      <c r="F448" s="251">
        <v>102229.78</v>
      </c>
      <c r="G448" s="214">
        <v>120000</v>
      </c>
      <c r="H448" s="251">
        <f>VLOOKUP(A448,הוצאות!$B$2:$T$519,19,0)</f>
        <v>110000</v>
      </c>
      <c r="I448" s="251"/>
      <c r="J448" s="251"/>
      <c r="K448" s="251"/>
      <c r="Q448" s="251"/>
      <c r="S448" s="251"/>
      <c r="AW448" s="251"/>
    </row>
    <row r="449" spans="1:49">
      <c r="A449">
        <v>1829200780</v>
      </c>
      <c r="B449" t="s">
        <v>291</v>
      </c>
      <c r="C449" s="214">
        <v>109956</v>
      </c>
      <c r="D449" s="251">
        <v>3510</v>
      </c>
      <c r="E449">
        <v>0</v>
      </c>
      <c r="F449" s="251">
        <v>3510</v>
      </c>
      <c r="G449" s="214">
        <v>120000</v>
      </c>
      <c r="H449" s="251">
        <f>VLOOKUP(A449,הוצאות!$B$2:$T$519,19,0)</f>
        <v>0</v>
      </c>
      <c r="J449" s="251"/>
      <c r="K449" s="251"/>
      <c r="Q449" s="251"/>
      <c r="S449" s="251"/>
    </row>
    <row r="450" spans="1:49">
      <c r="A450">
        <v>1829200781</v>
      </c>
      <c r="B450" t="s">
        <v>1640</v>
      </c>
      <c r="C450" s="214">
        <v>45815</v>
      </c>
      <c r="D450" s="251">
        <v>23348</v>
      </c>
      <c r="E450">
        <v>0</v>
      </c>
      <c r="F450" s="251">
        <v>23348</v>
      </c>
      <c r="G450" s="214">
        <v>50000</v>
      </c>
      <c r="H450" s="251">
        <f>VLOOKUP(A450,הוצאות!$B$2:$T$519,19,0)</f>
        <v>25000</v>
      </c>
      <c r="J450" s="251"/>
      <c r="K450" s="251"/>
      <c r="Q450" s="251"/>
      <c r="S450" s="251"/>
    </row>
    <row r="451" spans="1:49">
      <c r="A451">
        <v>1829200930</v>
      </c>
      <c r="B451" t="s">
        <v>292</v>
      </c>
      <c r="C451">
        <v>0</v>
      </c>
      <c r="D451">
        <v>0</v>
      </c>
      <c r="E451">
        <v>0</v>
      </c>
      <c r="F451">
        <v>0</v>
      </c>
      <c r="G451">
        <v>0</v>
      </c>
      <c r="H451" s="251" t="e">
        <f>VLOOKUP(A451,הוצאות!$B$2:$T$519,19,0)</f>
        <v>#N/A</v>
      </c>
      <c r="J451" s="251"/>
      <c r="K451" s="251"/>
      <c r="S451" s="251"/>
    </row>
    <row r="452" spans="1:49">
      <c r="A452">
        <v>1829201780</v>
      </c>
      <c r="B452" t="s">
        <v>1633</v>
      </c>
      <c r="C452" s="214">
        <v>32076</v>
      </c>
      <c r="D452">
        <v>0</v>
      </c>
      <c r="E452" s="251">
        <v>27027</v>
      </c>
      <c r="F452" s="251">
        <v>27027</v>
      </c>
      <c r="G452" s="214">
        <v>35000</v>
      </c>
      <c r="H452" s="251">
        <f>VLOOKUP(A452,הוצאות!$B$2:$T$519,19,0)</f>
        <v>35000</v>
      </c>
      <c r="I452" s="251"/>
      <c r="J452" s="251"/>
      <c r="K452" s="251"/>
      <c r="Q452" s="251"/>
      <c r="S452" s="251"/>
      <c r="AW452" s="251"/>
    </row>
    <row r="453" spans="1:49">
      <c r="A453">
        <v>1829201781</v>
      </c>
      <c r="B453" t="s">
        <v>1641</v>
      </c>
      <c r="C453" s="214">
        <v>41239</v>
      </c>
      <c r="D453" s="251">
        <v>28133</v>
      </c>
      <c r="E453">
        <v>0</v>
      </c>
      <c r="F453" s="251">
        <v>28133</v>
      </c>
      <c r="G453" s="214">
        <v>45000</v>
      </c>
      <c r="H453" s="251">
        <f>VLOOKUP(A453,הוצאות!$B$2:$T$519,19,0)</f>
        <v>25000</v>
      </c>
      <c r="J453" s="251"/>
      <c r="K453" s="251"/>
      <c r="Q453" s="251"/>
      <c r="S453" s="251"/>
    </row>
    <row r="454" spans="1:49">
      <c r="A454">
        <v>1829202780</v>
      </c>
      <c r="B454" t="s">
        <v>1806</v>
      </c>
      <c r="C454" s="214">
        <v>36652</v>
      </c>
      <c r="D454" s="251">
        <v>27000</v>
      </c>
      <c r="E454">
        <v>0</v>
      </c>
      <c r="F454" s="251">
        <v>27000</v>
      </c>
      <c r="G454" s="214">
        <v>40000</v>
      </c>
      <c r="H454" s="251">
        <f>VLOOKUP(A454,הוצאות!$B$2:$T$519,19,0)</f>
        <v>40000</v>
      </c>
      <c r="J454" s="251"/>
      <c r="K454" s="251"/>
      <c r="Q454" s="251"/>
      <c r="S454" s="251"/>
    </row>
    <row r="455" spans="1:49">
      <c r="A455">
        <v>1829210110</v>
      </c>
      <c r="B455" t="s">
        <v>293</v>
      </c>
      <c r="C455" s="214">
        <v>109956</v>
      </c>
      <c r="D455" s="251">
        <v>109782.13</v>
      </c>
      <c r="E455">
        <v>0</v>
      </c>
      <c r="F455" s="251">
        <v>109782.13</v>
      </c>
      <c r="G455" s="214">
        <v>120000</v>
      </c>
      <c r="H455" s="251">
        <f>VLOOKUP(A455,הוצאות!$B$2:$T$519,19,0)</f>
        <v>140647.02787700001</v>
      </c>
      <c r="J455" s="251"/>
      <c r="K455" s="251"/>
      <c r="Q455" s="251"/>
      <c r="S455" s="251"/>
    </row>
    <row r="456" spans="1:49">
      <c r="A456">
        <v>1829300750</v>
      </c>
      <c r="B456" t="s">
        <v>294</v>
      </c>
      <c r="C456" s="214">
        <v>366520</v>
      </c>
      <c r="D456" s="251">
        <v>40025</v>
      </c>
      <c r="E456" s="251">
        <v>29484</v>
      </c>
      <c r="F456" s="251">
        <v>69509</v>
      </c>
      <c r="G456" s="214">
        <v>400000</v>
      </c>
      <c r="H456" s="251">
        <f>VLOOKUP(A456,הוצאות!$B$2:$T$519,19,0)</f>
        <v>50000</v>
      </c>
      <c r="I456" s="251"/>
      <c r="J456" s="251"/>
      <c r="K456" s="251"/>
      <c r="Q456" s="251"/>
      <c r="S456" s="251"/>
      <c r="AW456" s="251"/>
    </row>
    <row r="457" spans="1:49">
      <c r="A457">
        <v>1832300540</v>
      </c>
      <c r="B457" t="s">
        <v>299</v>
      </c>
      <c r="C457">
        <v>913</v>
      </c>
      <c r="D457">
        <v>0</v>
      </c>
      <c r="E457">
        <v>0</v>
      </c>
      <c r="F457">
        <v>0</v>
      </c>
      <c r="G457" s="214">
        <v>1000</v>
      </c>
      <c r="H457" s="251">
        <f>VLOOKUP(A457,הוצאות!$B$2:$T$519,19,0)</f>
        <v>0</v>
      </c>
      <c r="K457" s="251"/>
    </row>
    <row r="458" spans="1:49">
      <c r="A458">
        <v>1832300780</v>
      </c>
      <c r="B458" t="s">
        <v>18</v>
      </c>
      <c r="C458" s="214">
        <v>3663</v>
      </c>
      <c r="D458">
        <v>0</v>
      </c>
      <c r="E458">
        <v>0</v>
      </c>
      <c r="F458">
        <v>0</v>
      </c>
      <c r="G458" s="214">
        <v>4000</v>
      </c>
      <c r="H458" s="251">
        <f>VLOOKUP(A458,הוצאות!$B$2:$T$519,19,0)</f>
        <v>0</v>
      </c>
      <c r="K458" s="251"/>
    </row>
    <row r="459" spans="1:49">
      <c r="A459">
        <v>1832400110</v>
      </c>
      <c r="B459" t="s">
        <v>300</v>
      </c>
      <c r="C459" s="214">
        <v>174097</v>
      </c>
      <c r="D459" s="251">
        <v>62208.03</v>
      </c>
      <c r="E459">
        <v>0</v>
      </c>
      <c r="F459" s="251">
        <v>62208.03</v>
      </c>
      <c r="G459" s="214">
        <v>190000</v>
      </c>
      <c r="H459" s="251">
        <f>VLOOKUP(A459,הוצאות!$B$2:$T$519,19,0)</f>
        <v>78273.877597000013</v>
      </c>
      <c r="J459" s="251"/>
      <c r="K459" s="251"/>
      <c r="Q459" s="251"/>
      <c r="S459" s="251"/>
    </row>
    <row r="460" spans="1:49">
      <c r="A460">
        <v>1832400431</v>
      </c>
      <c r="B460" t="s">
        <v>301</v>
      </c>
      <c r="C460" s="214">
        <v>11913</v>
      </c>
      <c r="D460" s="251">
        <v>19664.060000000001</v>
      </c>
      <c r="E460">
        <v>0</v>
      </c>
      <c r="F460" s="251">
        <v>19664.060000000001</v>
      </c>
      <c r="G460" s="214">
        <v>13000</v>
      </c>
      <c r="H460" s="251">
        <f>VLOOKUP(A460,הוצאות!$B$2:$T$519,19,0)</f>
        <v>20000</v>
      </c>
      <c r="J460" s="251"/>
      <c r="K460" s="251"/>
      <c r="Q460" s="251"/>
      <c r="S460" s="251"/>
    </row>
    <row r="461" spans="1:49">
      <c r="A461">
        <v>1832400432</v>
      </c>
      <c r="B461" t="s">
        <v>302</v>
      </c>
      <c r="C461" s="214">
        <v>18326</v>
      </c>
      <c r="D461">
        <v>0</v>
      </c>
      <c r="E461">
        <v>0</v>
      </c>
      <c r="F461">
        <v>0</v>
      </c>
      <c r="G461" s="214">
        <v>20000</v>
      </c>
      <c r="H461" s="251">
        <f>VLOOKUP(A461,הוצאות!$B$2:$T$519,19,0)</f>
        <v>0</v>
      </c>
      <c r="K461" s="251"/>
    </row>
    <row r="462" spans="1:49">
      <c r="A462">
        <v>1832400750</v>
      </c>
      <c r="B462" t="s">
        <v>303</v>
      </c>
      <c r="C462" s="214">
        <v>27489</v>
      </c>
      <c r="D462" s="251">
        <v>47243</v>
      </c>
      <c r="E462">
        <v>0</v>
      </c>
      <c r="F462" s="251">
        <v>47243</v>
      </c>
      <c r="G462" s="214">
        <v>30000</v>
      </c>
      <c r="H462" s="251">
        <f>VLOOKUP(A462,הוצאות!$B$2:$T$519,19,0)</f>
        <v>0</v>
      </c>
      <c r="J462" s="251"/>
      <c r="K462" s="251"/>
      <c r="Q462" s="251"/>
      <c r="S462" s="251"/>
    </row>
    <row r="463" spans="1:49">
      <c r="A463">
        <v>1836100830</v>
      </c>
      <c r="B463" t="s">
        <v>305</v>
      </c>
      <c r="C463" s="214">
        <v>24739</v>
      </c>
      <c r="D463" s="251">
        <v>14354</v>
      </c>
      <c r="E463">
        <v>0</v>
      </c>
      <c r="F463" s="251">
        <v>14354</v>
      </c>
      <c r="G463" s="214">
        <v>27000</v>
      </c>
      <c r="H463" s="251">
        <f>VLOOKUP(A463,הוצאות!$B$2:$T$519,19,0)</f>
        <v>0</v>
      </c>
      <c r="J463" s="251"/>
      <c r="K463" s="251"/>
      <c r="Q463" s="251"/>
      <c r="S463" s="251"/>
    </row>
    <row r="464" spans="1:49">
      <c r="A464">
        <v>1841000420</v>
      </c>
      <c r="B464" t="s">
        <v>307</v>
      </c>
      <c r="C464" s="214">
        <v>4587</v>
      </c>
      <c r="D464">
        <v>0</v>
      </c>
      <c r="E464">
        <v>0</v>
      </c>
      <c r="F464">
        <v>0</v>
      </c>
      <c r="G464" s="214">
        <v>5000</v>
      </c>
      <c r="H464" s="251">
        <f>VLOOKUP(A464,הוצאות!$B$2:$T$519,19,0)</f>
        <v>0</v>
      </c>
      <c r="K464" s="251"/>
    </row>
    <row r="465" spans="1:49">
      <c r="A465">
        <v>1841000431</v>
      </c>
      <c r="B465" t="s">
        <v>308</v>
      </c>
      <c r="C465">
        <v>0</v>
      </c>
      <c r="D465" s="251">
        <v>8815.93</v>
      </c>
      <c r="E465">
        <v>0</v>
      </c>
      <c r="F465" s="251">
        <v>8815.93</v>
      </c>
      <c r="G465">
        <v>0</v>
      </c>
      <c r="H465" s="251">
        <f>VLOOKUP(A465,הוצאות!$B$2:$T$519,19,0)</f>
        <v>0</v>
      </c>
      <c r="J465" s="251"/>
      <c r="K465" s="251"/>
      <c r="Q465" s="251"/>
      <c r="S465" s="251"/>
    </row>
    <row r="466" spans="1:49">
      <c r="A466">
        <v>1841000523</v>
      </c>
      <c r="B466" t="s">
        <v>28</v>
      </c>
      <c r="C466" s="214">
        <v>1837</v>
      </c>
      <c r="D466">
        <v>0</v>
      </c>
      <c r="E466">
        <v>0</v>
      </c>
      <c r="F466">
        <v>0</v>
      </c>
      <c r="G466" s="214">
        <v>2000</v>
      </c>
      <c r="H466" s="251">
        <f>VLOOKUP(A466,הוצאות!$B$2:$T$519,19,0)</f>
        <v>0</v>
      </c>
      <c r="K466" s="251"/>
    </row>
    <row r="467" spans="1:49">
      <c r="A467">
        <v>1841000780</v>
      </c>
      <c r="B467" t="s">
        <v>18</v>
      </c>
      <c r="C467" s="214">
        <v>18326</v>
      </c>
      <c r="D467" s="251">
        <v>13497.5</v>
      </c>
      <c r="E467" s="251">
        <v>7000</v>
      </c>
      <c r="F467" s="251">
        <v>20497.5</v>
      </c>
      <c r="G467" s="214">
        <v>20000</v>
      </c>
      <c r="H467" s="251">
        <f>VLOOKUP(A467,הוצאות!$B$2:$T$519,19,0)</f>
        <v>15000</v>
      </c>
      <c r="I467" s="251"/>
      <c r="J467" s="251"/>
      <c r="Q467" s="251"/>
      <c r="S467" s="251"/>
      <c r="AW467" s="251"/>
    </row>
    <row r="468" spans="1:49">
      <c r="A468">
        <v>1841001110</v>
      </c>
      <c r="B468" t="s">
        <v>309</v>
      </c>
      <c r="C468" s="214">
        <v>1690579</v>
      </c>
      <c r="D468" s="251">
        <v>1552476.74</v>
      </c>
      <c r="E468">
        <v>0</v>
      </c>
      <c r="F468" s="251">
        <v>1552476.74</v>
      </c>
      <c r="G468" s="214">
        <v>1845000</v>
      </c>
      <c r="H468" s="251">
        <f>VLOOKUP(A468,הוצאות!$B$2:$T$519,19,0)</f>
        <v>2300000</v>
      </c>
      <c r="J468" s="251"/>
      <c r="K468" s="251"/>
      <c r="Q468" s="251"/>
      <c r="S468" s="251"/>
    </row>
    <row r="469" spans="1:49">
      <c r="A469">
        <v>1841003410</v>
      </c>
      <c r="B469" t="s">
        <v>311</v>
      </c>
      <c r="C469" s="214">
        <v>98956</v>
      </c>
      <c r="D469" s="251">
        <v>63000</v>
      </c>
      <c r="E469">
        <v>0</v>
      </c>
      <c r="F469" s="251">
        <v>63000</v>
      </c>
      <c r="G469" s="214">
        <v>108000</v>
      </c>
      <c r="H469" s="251">
        <f>VLOOKUP(A469,הוצאות!$B$2:$T$519,19,0)</f>
        <v>126000</v>
      </c>
      <c r="J469" s="251"/>
      <c r="K469" s="251"/>
      <c r="Q469" s="251"/>
      <c r="S469" s="251"/>
    </row>
    <row r="470" spans="1:49">
      <c r="A470">
        <v>1841003431</v>
      </c>
      <c r="B470" t="s">
        <v>26</v>
      </c>
      <c r="C470" s="214">
        <v>13750</v>
      </c>
      <c r="D470">
        <v>0</v>
      </c>
      <c r="E470">
        <v>0</v>
      </c>
      <c r="F470">
        <v>0</v>
      </c>
      <c r="G470" s="214">
        <v>15000</v>
      </c>
      <c r="H470" s="251">
        <f>VLOOKUP(A470,הוצאות!$B$2:$T$519,19,0)</f>
        <v>0</v>
      </c>
      <c r="K470" s="251"/>
    </row>
    <row r="471" spans="1:49">
      <c r="A471">
        <v>1841003540</v>
      </c>
      <c r="B471" t="s">
        <v>104</v>
      </c>
      <c r="C471" s="214">
        <v>1375</v>
      </c>
      <c r="D471">
        <v>0</v>
      </c>
      <c r="E471">
        <v>0</v>
      </c>
      <c r="F471">
        <v>0</v>
      </c>
      <c r="G471" s="214">
        <v>1500</v>
      </c>
      <c r="H471" s="251">
        <f>VLOOKUP(A471,הוצאות!$B$2:$T$519,19,0)</f>
        <v>0</v>
      </c>
      <c r="K471" s="251"/>
    </row>
    <row r="472" spans="1:49">
      <c r="A472">
        <v>1841003560</v>
      </c>
      <c r="B472" t="s">
        <v>312</v>
      </c>
      <c r="C472" s="214">
        <v>13750</v>
      </c>
      <c r="D472" s="251">
        <v>14855</v>
      </c>
      <c r="E472">
        <v>0</v>
      </c>
      <c r="F472" s="251">
        <v>14855</v>
      </c>
      <c r="G472" s="214">
        <v>15000</v>
      </c>
      <c r="H472" s="251">
        <f>VLOOKUP(A472,הוצאות!$B$2:$T$519,19,0)</f>
        <v>15000</v>
      </c>
      <c r="J472" s="251"/>
      <c r="Q472" s="251"/>
      <c r="S472" s="251"/>
    </row>
    <row r="473" spans="1:49">
      <c r="A473">
        <v>1841003570</v>
      </c>
      <c r="B473" t="s">
        <v>313</v>
      </c>
      <c r="C473" s="214">
        <v>16489</v>
      </c>
      <c r="D473">
        <v>0</v>
      </c>
      <c r="E473">
        <v>0</v>
      </c>
      <c r="F473">
        <v>0</v>
      </c>
      <c r="G473" s="214">
        <v>18000</v>
      </c>
      <c r="H473" s="251">
        <f>VLOOKUP(A473,הוצאות!$B$2:$T$519,19,0)</f>
        <v>0</v>
      </c>
      <c r="K473" s="251"/>
    </row>
    <row r="474" spans="1:49">
      <c r="A474">
        <v>1841003780</v>
      </c>
      <c r="B474" t="s">
        <v>18</v>
      </c>
      <c r="C474" s="214">
        <v>7326</v>
      </c>
      <c r="D474">
        <v>0</v>
      </c>
      <c r="E474" s="251">
        <v>6000</v>
      </c>
      <c r="F474" s="251">
        <v>6000</v>
      </c>
      <c r="G474" s="214">
        <v>8000</v>
      </c>
      <c r="H474" s="251">
        <f>VLOOKUP(A474,הוצאות!$B$2:$T$519,19,0)</f>
        <v>0</v>
      </c>
      <c r="I474" s="251"/>
      <c r="J474" s="251"/>
      <c r="K474" s="251"/>
      <c r="Q474" s="251"/>
      <c r="S474" s="251"/>
      <c r="AW474" s="251"/>
    </row>
    <row r="475" spans="1:49">
      <c r="A475">
        <v>1841003930</v>
      </c>
      <c r="B475" t="s">
        <v>314</v>
      </c>
      <c r="C475" s="214">
        <v>4587</v>
      </c>
      <c r="D475">
        <v>0</v>
      </c>
      <c r="E475">
        <v>0</v>
      </c>
      <c r="F475">
        <v>0</v>
      </c>
      <c r="G475" s="214">
        <v>5000</v>
      </c>
      <c r="H475" s="251">
        <f>VLOOKUP(A475,הוצאות!$B$2:$T$519,19,0)</f>
        <v>0</v>
      </c>
      <c r="K475" s="251"/>
    </row>
    <row r="476" spans="1:49">
      <c r="A476">
        <v>1842202750</v>
      </c>
      <c r="B476" t="s">
        <v>1816</v>
      </c>
      <c r="C476">
        <v>0</v>
      </c>
      <c r="D476" s="251">
        <v>35082</v>
      </c>
      <c r="E476">
        <v>0</v>
      </c>
      <c r="F476" s="251">
        <v>35082</v>
      </c>
      <c r="G476">
        <v>0</v>
      </c>
      <c r="H476" s="251">
        <f>VLOOKUP(A476,הוצאות!$B$2:$T$519,19,0)</f>
        <v>50000</v>
      </c>
      <c r="J476" s="251"/>
      <c r="K476" s="251"/>
      <c r="Q476" s="251"/>
      <c r="S476" s="251"/>
    </row>
    <row r="477" spans="1:49">
      <c r="A477">
        <v>1842202840</v>
      </c>
      <c r="B477" t="s">
        <v>315</v>
      </c>
      <c r="C477" s="214">
        <v>174097</v>
      </c>
      <c r="D477" s="251">
        <v>176201</v>
      </c>
      <c r="E477">
        <v>0</v>
      </c>
      <c r="F477" s="251">
        <v>176201</v>
      </c>
      <c r="G477" s="214">
        <v>190000</v>
      </c>
      <c r="H477" s="251">
        <f>VLOOKUP(A477,הוצאות!$B$2:$T$519,19,0)</f>
        <v>192219.27272727274</v>
      </c>
      <c r="J477" s="251"/>
      <c r="K477" s="251"/>
      <c r="Q477" s="251"/>
      <c r="S477" s="251"/>
    </row>
    <row r="478" spans="1:49">
      <c r="A478">
        <v>1842206840</v>
      </c>
      <c r="B478" t="s">
        <v>323</v>
      </c>
      <c r="C478" s="214">
        <v>60478</v>
      </c>
      <c r="D478" s="251">
        <v>62380</v>
      </c>
      <c r="E478">
        <v>0</v>
      </c>
      <c r="F478" s="251">
        <v>62380</v>
      </c>
      <c r="G478" s="214">
        <v>66000</v>
      </c>
      <c r="H478" s="251">
        <f>VLOOKUP(A478,הוצאות!$B$2:$T$519,19,0)</f>
        <v>70000</v>
      </c>
      <c r="J478" s="251"/>
      <c r="K478" s="251"/>
      <c r="Q478" s="251"/>
      <c r="S478" s="251"/>
    </row>
    <row r="479" spans="1:49">
      <c r="A479">
        <v>1842208840</v>
      </c>
      <c r="B479" t="s">
        <v>2025</v>
      </c>
      <c r="C479">
        <v>0</v>
      </c>
      <c r="D479" s="251">
        <v>7114</v>
      </c>
      <c r="E479">
        <v>0</v>
      </c>
      <c r="F479" s="251">
        <v>7114</v>
      </c>
      <c r="G479">
        <v>0</v>
      </c>
      <c r="H479" s="251">
        <f>VLOOKUP(A479,הוצאות!$B$2:$T$519,19,0)</f>
        <v>8000</v>
      </c>
      <c r="J479" s="251"/>
      <c r="K479" s="251"/>
      <c r="Q479" s="251"/>
      <c r="S479" s="251"/>
    </row>
    <row r="480" spans="1:49">
      <c r="A480">
        <v>1842401840</v>
      </c>
      <c r="B480" t="s">
        <v>324</v>
      </c>
      <c r="C480">
        <v>0</v>
      </c>
      <c r="D480" s="251">
        <v>14801</v>
      </c>
      <c r="E480">
        <v>0</v>
      </c>
      <c r="F480" s="251">
        <v>14801</v>
      </c>
      <c r="G480">
        <v>0</v>
      </c>
      <c r="H480" s="251">
        <f>VLOOKUP(A480,הוצאות!$B$2:$T$519,19,0)</f>
        <v>17333</v>
      </c>
      <c r="J480" s="251"/>
      <c r="K480" s="251"/>
      <c r="Q480" s="251"/>
      <c r="S480" s="251"/>
    </row>
    <row r="481" spans="1:19">
      <c r="A481">
        <v>1842402840</v>
      </c>
      <c r="B481" t="s">
        <v>325</v>
      </c>
      <c r="C481">
        <v>0</v>
      </c>
      <c r="D481" s="251">
        <v>18758</v>
      </c>
      <c r="E481">
        <v>0</v>
      </c>
      <c r="F481" s="251">
        <v>18758</v>
      </c>
      <c r="G481">
        <v>0</v>
      </c>
      <c r="H481" s="251">
        <f>VLOOKUP(A481,הוצאות!$B$2:$T$519,19,0)</f>
        <v>21000</v>
      </c>
      <c r="J481" s="251"/>
      <c r="K481" s="251"/>
      <c r="Q481" s="251"/>
      <c r="S481" s="251"/>
    </row>
    <row r="482" spans="1:19">
      <c r="A482">
        <v>1843501110</v>
      </c>
      <c r="B482" t="s">
        <v>326</v>
      </c>
      <c r="C482" s="214">
        <v>106293</v>
      </c>
      <c r="D482" s="251">
        <v>93189.63</v>
      </c>
      <c r="E482">
        <v>0</v>
      </c>
      <c r="F482" s="251">
        <v>93189.63</v>
      </c>
      <c r="G482" s="214">
        <v>116000</v>
      </c>
      <c r="H482" s="251">
        <f>VLOOKUP(A482,הוצאות!$B$2:$T$519,19,0)</f>
        <v>125003.25811000001</v>
      </c>
      <c r="J482" s="251"/>
      <c r="K482" s="251"/>
      <c r="Q482" s="251"/>
      <c r="S482" s="251"/>
    </row>
    <row r="483" spans="1:19">
      <c r="A483">
        <v>1843502840</v>
      </c>
      <c r="B483" t="s">
        <v>328</v>
      </c>
      <c r="C483" s="214">
        <v>117282</v>
      </c>
      <c r="D483" s="251">
        <v>221389</v>
      </c>
      <c r="E483">
        <v>0</v>
      </c>
      <c r="F483" s="251">
        <v>221389</v>
      </c>
      <c r="G483" s="214">
        <v>128000</v>
      </c>
      <c r="H483" s="251">
        <f>VLOOKUP(A483,הוצאות!$B$2:$T$519,19,0)</f>
        <v>240000</v>
      </c>
      <c r="J483" s="251"/>
      <c r="K483" s="251"/>
      <c r="Q483" s="251"/>
      <c r="S483" s="251"/>
    </row>
    <row r="484" spans="1:19">
      <c r="A484">
        <v>1843503750</v>
      </c>
      <c r="B484" t="s">
        <v>34</v>
      </c>
      <c r="C484" s="214">
        <v>1837</v>
      </c>
      <c r="D484" s="251">
        <v>23400</v>
      </c>
      <c r="E484">
        <v>0</v>
      </c>
      <c r="F484" s="251">
        <v>23400</v>
      </c>
      <c r="G484" s="214">
        <v>2000</v>
      </c>
      <c r="H484" s="251">
        <f>VLOOKUP(A484,הוצאות!$B$2:$T$519,19,0)</f>
        <v>10000</v>
      </c>
      <c r="J484" s="251"/>
      <c r="K484" s="251"/>
      <c r="L484" s="214"/>
      <c r="Q484" s="251"/>
      <c r="S484" s="251"/>
    </row>
    <row r="485" spans="1:19">
      <c r="A485">
        <v>1843503840</v>
      </c>
      <c r="B485" t="s">
        <v>329</v>
      </c>
      <c r="C485" s="214">
        <v>910800</v>
      </c>
      <c r="D485" s="251">
        <v>1158635</v>
      </c>
      <c r="E485">
        <v>0</v>
      </c>
      <c r="F485" s="251">
        <v>1158635</v>
      </c>
      <c r="G485" s="214">
        <v>994000</v>
      </c>
      <c r="H485" s="251">
        <f>VLOOKUP(A485,הוצאות!$B$2:$T$519,19,0)</f>
        <v>1200000</v>
      </c>
      <c r="J485" s="251"/>
      <c r="K485" s="251"/>
      <c r="Q485" s="251"/>
      <c r="S485" s="251"/>
    </row>
    <row r="486" spans="1:19">
      <c r="A486">
        <v>1843504720</v>
      </c>
      <c r="B486" t="s">
        <v>330</v>
      </c>
      <c r="C486" s="214">
        <v>1837</v>
      </c>
      <c r="D486">
        <v>0</v>
      </c>
      <c r="E486">
        <v>0</v>
      </c>
      <c r="F486">
        <v>0</v>
      </c>
      <c r="G486" s="214">
        <v>2000</v>
      </c>
      <c r="H486" s="251">
        <f>VLOOKUP(A486,הוצאות!$B$2:$T$519,19,0)</f>
        <v>0</v>
      </c>
      <c r="K486" s="251"/>
    </row>
    <row r="487" spans="1:19">
      <c r="A487">
        <v>1843504721</v>
      </c>
      <c r="B487" t="s">
        <v>331</v>
      </c>
      <c r="C487" s="214">
        <v>2750</v>
      </c>
      <c r="D487" s="251">
        <v>2468</v>
      </c>
      <c r="E487">
        <v>0</v>
      </c>
      <c r="F487" s="251">
        <v>2468</v>
      </c>
      <c r="G487" s="214">
        <v>3000</v>
      </c>
      <c r="H487" s="251">
        <f>VLOOKUP(A487,הוצאות!$B$2:$T$519,19,0)</f>
        <v>10000</v>
      </c>
      <c r="J487" s="251"/>
      <c r="Q487" s="251"/>
      <c r="S487" s="251"/>
    </row>
    <row r="488" spans="1:19">
      <c r="A488">
        <v>1843504750</v>
      </c>
      <c r="B488" t="s">
        <v>1827</v>
      </c>
      <c r="C488" s="214">
        <v>45815</v>
      </c>
      <c r="D488" s="251">
        <v>46874</v>
      </c>
      <c r="E488">
        <v>0</v>
      </c>
      <c r="F488" s="251">
        <v>46874</v>
      </c>
      <c r="G488" s="214">
        <v>50000</v>
      </c>
      <c r="H488" s="251">
        <f>VLOOKUP(A488,הוצאות!$B$2:$T$519,19,0)</f>
        <v>50000</v>
      </c>
      <c r="J488" s="251"/>
      <c r="K488" s="251"/>
      <c r="Q488" s="251"/>
      <c r="S488" s="251"/>
    </row>
    <row r="489" spans="1:19">
      <c r="A489">
        <v>1843504780</v>
      </c>
      <c r="B489" t="s">
        <v>333</v>
      </c>
      <c r="C489" s="214">
        <v>4587</v>
      </c>
      <c r="D489">
        <v>0</v>
      </c>
      <c r="E489">
        <v>0</v>
      </c>
      <c r="F489">
        <v>0</v>
      </c>
      <c r="G489" s="214">
        <v>5000</v>
      </c>
      <c r="H489" s="251">
        <f>VLOOKUP(A489,הוצאות!$B$2:$T$519,19,0)</f>
        <v>0</v>
      </c>
      <c r="K489" s="251"/>
    </row>
    <row r="490" spans="1:19">
      <c r="A490">
        <v>1843801840</v>
      </c>
      <c r="B490" t="s">
        <v>335</v>
      </c>
      <c r="C490" s="214">
        <v>2469434</v>
      </c>
      <c r="D490" s="251">
        <v>2945455</v>
      </c>
      <c r="E490">
        <v>0</v>
      </c>
      <c r="F490" s="251">
        <v>2945455</v>
      </c>
      <c r="G490" s="214">
        <v>2695000</v>
      </c>
      <c r="H490" s="251">
        <f>VLOOKUP(A490,הוצאות!$B$2:$T$519,19,0)</f>
        <v>3200000</v>
      </c>
      <c r="J490" s="251"/>
      <c r="K490" s="251"/>
      <c r="Q490" s="251"/>
      <c r="S490" s="251"/>
    </row>
    <row r="491" spans="1:19">
      <c r="A491">
        <v>1843900840</v>
      </c>
      <c r="B491" t="s">
        <v>1636</v>
      </c>
      <c r="C491" s="214">
        <v>852159</v>
      </c>
      <c r="D491">
        <v>0</v>
      </c>
      <c r="E491">
        <v>0</v>
      </c>
      <c r="F491">
        <v>0</v>
      </c>
      <c r="G491" s="214">
        <v>930000</v>
      </c>
      <c r="H491" s="251">
        <f>VLOOKUP(A491,הוצאות!$B$2:$T$519,19,0)</f>
        <v>0</v>
      </c>
      <c r="K491" s="251"/>
    </row>
    <row r="492" spans="1:19">
      <c r="A492">
        <v>1843901840</v>
      </c>
      <c r="B492" t="s">
        <v>338</v>
      </c>
      <c r="C492" s="214">
        <v>1291983</v>
      </c>
      <c r="D492" s="251">
        <v>1520987</v>
      </c>
      <c r="E492">
        <v>0</v>
      </c>
      <c r="F492" s="251">
        <v>1520987</v>
      </c>
      <c r="G492" s="214">
        <v>1410000</v>
      </c>
      <c r="H492" s="251">
        <f>VLOOKUP(A492,הוצאות!$B$2:$T$519,19,0)</f>
        <v>1659258.5454545454</v>
      </c>
      <c r="J492" s="251"/>
      <c r="K492" s="251"/>
      <c r="Q492" s="251"/>
      <c r="S492" s="251"/>
    </row>
    <row r="493" spans="1:19">
      <c r="A493">
        <v>1843902840</v>
      </c>
      <c r="B493" t="s">
        <v>2026</v>
      </c>
      <c r="C493">
        <v>0</v>
      </c>
      <c r="D493" s="251">
        <v>12282</v>
      </c>
      <c r="E493">
        <v>0</v>
      </c>
      <c r="F493" s="251">
        <v>12282</v>
      </c>
      <c r="G493">
        <v>0</v>
      </c>
      <c r="H493" s="251">
        <f>VLOOKUP(A493,הוצאות!$B$2:$T$519,19,0)</f>
        <v>14000</v>
      </c>
      <c r="J493" s="251"/>
      <c r="K493" s="251"/>
      <c r="Q493" s="251"/>
      <c r="S493" s="251"/>
    </row>
    <row r="494" spans="1:19">
      <c r="A494">
        <v>1843903840</v>
      </c>
      <c r="B494" t="s">
        <v>2027</v>
      </c>
      <c r="C494">
        <v>0</v>
      </c>
      <c r="D494" s="251">
        <v>2671</v>
      </c>
      <c r="E494">
        <v>0</v>
      </c>
      <c r="F494" s="251">
        <v>2671</v>
      </c>
      <c r="G494">
        <v>0</v>
      </c>
      <c r="H494" s="251">
        <f>VLOOKUP(A494,הוצאות!$B$2:$T$519,19,0)</f>
        <v>3000</v>
      </c>
      <c r="J494" s="251"/>
      <c r="K494" s="251"/>
      <c r="Q494" s="251"/>
      <c r="S494" s="251"/>
    </row>
    <row r="495" spans="1:19">
      <c r="A495">
        <v>1843904840</v>
      </c>
      <c r="B495" t="s">
        <v>2028</v>
      </c>
      <c r="C495">
        <v>0</v>
      </c>
      <c r="D495" s="251">
        <v>52990</v>
      </c>
      <c r="E495">
        <v>0</v>
      </c>
      <c r="F495" s="251">
        <v>52990</v>
      </c>
      <c r="G495">
        <v>0</v>
      </c>
      <c r="H495" s="251">
        <f>VLOOKUP(A495,הוצאות!$B$2:$T$519,19,0)</f>
        <v>60000</v>
      </c>
      <c r="J495" s="251"/>
      <c r="K495" s="251"/>
      <c r="Q495" s="251"/>
      <c r="S495" s="251"/>
    </row>
    <row r="496" spans="1:19">
      <c r="A496">
        <v>1844401110</v>
      </c>
      <c r="B496" t="s">
        <v>341</v>
      </c>
      <c r="C496" s="214">
        <v>64141</v>
      </c>
      <c r="D496" s="251">
        <v>51629.98</v>
      </c>
      <c r="E496">
        <v>0</v>
      </c>
      <c r="F496" s="251">
        <v>51629.98</v>
      </c>
      <c r="G496" s="214">
        <v>70000</v>
      </c>
      <c r="H496" s="251">
        <f>VLOOKUP(A496,הוצאות!$B$2:$T$519,19,0)</f>
        <v>71760.836389999997</v>
      </c>
      <c r="J496" s="251"/>
      <c r="K496" s="251"/>
      <c r="Q496" s="251"/>
      <c r="S496" s="251"/>
    </row>
    <row r="497" spans="1:49">
      <c r="A497">
        <v>1844401431</v>
      </c>
      <c r="B497" t="s">
        <v>342</v>
      </c>
      <c r="C497">
        <v>0</v>
      </c>
      <c r="D497" s="251">
        <v>2515.91</v>
      </c>
      <c r="E497">
        <v>0</v>
      </c>
      <c r="F497" s="251">
        <v>2515.91</v>
      </c>
      <c r="G497">
        <v>0</v>
      </c>
      <c r="H497" s="251">
        <f>VLOOKUP(A497,הוצאות!$B$2:$T$519,19,0)</f>
        <v>0</v>
      </c>
      <c r="J497" s="251"/>
      <c r="K497" s="251"/>
      <c r="Q497" s="251"/>
      <c r="S497" s="251"/>
    </row>
    <row r="498" spans="1:49">
      <c r="A498">
        <v>1844401432</v>
      </c>
      <c r="B498" t="s">
        <v>343</v>
      </c>
      <c r="C498" s="214">
        <v>2750</v>
      </c>
      <c r="D498">
        <v>0</v>
      </c>
      <c r="E498">
        <v>0</v>
      </c>
      <c r="F498">
        <v>0</v>
      </c>
      <c r="G498" s="214">
        <v>3000</v>
      </c>
      <c r="H498" s="251">
        <f>VLOOKUP(A498,הוצאות!$B$2:$T$519,19,0)</f>
        <v>0</v>
      </c>
      <c r="K498" s="251"/>
    </row>
    <row r="499" spans="1:49">
      <c r="A499">
        <v>1844401540</v>
      </c>
      <c r="B499" t="s">
        <v>217</v>
      </c>
      <c r="C499">
        <v>913</v>
      </c>
      <c r="D499">
        <v>0</v>
      </c>
      <c r="E499">
        <v>0</v>
      </c>
      <c r="F499">
        <v>0</v>
      </c>
      <c r="G499" s="214">
        <v>1000</v>
      </c>
      <c r="H499" s="251">
        <f>VLOOKUP(A499,הוצאות!$B$2:$T$519,19,0)</f>
        <v>0</v>
      </c>
      <c r="K499" s="251"/>
    </row>
    <row r="500" spans="1:49">
      <c r="A500">
        <v>1844401710</v>
      </c>
      <c r="B500" t="s">
        <v>1829</v>
      </c>
      <c r="C500">
        <v>0</v>
      </c>
      <c r="D500" s="251">
        <v>12000</v>
      </c>
      <c r="E500">
        <v>0</v>
      </c>
      <c r="F500" s="251">
        <v>12000</v>
      </c>
      <c r="G500">
        <v>0</v>
      </c>
      <c r="H500" s="251">
        <f>VLOOKUP(A500,הוצאות!$B$2:$T$519,19,0)</f>
        <v>13000</v>
      </c>
      <c r="J500" s="251"/>
      <c r="K500" s="251"/>
      <c r="Q500" s="251"/>
      <c r="S500" s="251"/>
    </row>
    <row r="501" spans="1:49">
      <c r="A501">
        <v>1844401720</v>
      </c>
      <c r="B501" t="s">
        <v>1830</v>
      </c>
      <c r="C501">
        <v>0</v>
      </c>
      <c r="D501" s="251">
        <v>8734.5</v>
      </c>
      <c r="E501">
        <v>0</v>
      </c>
      <c r="F501" s="251">
        <v>8734.5</v>
      </c>
      <c r="G501">
        <v>0</v>
      </c>
      <c r="H501" s="251">
        <f>VLOOKUP(A501,הוצאות!$B$2:$T$519,19,0)</f>
        <v>10000</v>
      </c>
      <c r="J501" s="251"/>
      <c r="K501" s="251"/>
      <c r="Q501" s="251"/>
      <c r="S501" s="251"/>
    </row>
    <row r="502" spans="1:49">
      <c r="A502">
        <v>1844401750</v>
      </c>
      <c r="B502" t="s">
        <v>1832</v>
      </c>
      <c r="C502" s="214">
        <v>123706</v>
      </c>
      <c r="D502" s="251">
        <v>78564.509999999995</v>
      </c>
      <c r="E502" s="251">
        <v>51060</v>
      </c>
      <c r="F502" s="251">
        <v>129624.51</v>
      </c>
      <c r="G502" s="214">
        <v>135000</v>
      </c>
      <c r="H502" s="251">
        <f>VLOOKUP(A502,הוצאות!$B$2:$T$519,19,0)</f>
        <v>145000</v>
      </c>
      <c r="I502" s="251"/>
      <c r="J502" s="251"/>
      <c r="Q502" s="251"/>
      <c r="S502" s="251"/>
      <c r="AW502" s="251"/>
    </row>
    <row r="503" spans="1:49">
      <c r="A503">
        <v>1844402840</v>
      </c>
      <c r="B503" t="s">
        <v>345</v>
      </c>
      <c r="C503" s="214">
        <v>91630</v>
      </c>
      <c r="D503" s="251">
        <v>84070</v>
      </c>
      <c r="E503">
        <v>0</v>
      </c>
      <c r="F503" s="251">
        <v>84070</v>
      </c>
      <c r="G503" s="214">
        <v>100000</v>
      </c>
      <c r="H503" s="251">
        <f>VLOOKUP(A503,הוצאות!$B$2:$T$519,19,0)</f>
        <v>95000</v>
      </c>
      <c r="J503" s="251"/>
      <c r="K503" s="251"/>
      <c r="Q503" s="251"/>
      <c r="S503" s="251"/>
    </row>
    <row r="504" spans="1:49">
      <c r="A504">
        <v>1845100840</v>
      </c>
      <c r="B504" t="s">
        <v>349</v>
      </c>
      <c r="C504">
        <v>0</v>
      </c>
      <c r="D504" s="251">
        <v>38662</v>
      </c>
      <c r="E504">
        <v>0</v>
      </c>
      <c r="F504" s="251">
        <v>38662</v>
      </c>
      <c r="G504">
        <v>0</v>
      </c>
      <c r="H504" s="251">
        <f>VLOOKUP(A504,הוצאות!$B$2:$T$519,19,0)</f>
        <v>45000</v>
      </c>
      <c r="J504" s="251"/>
      <c r="K504" s="251"/>
      <c r="Q504" s="251"/>
      <c r="S504" s="251"/>
    </row>
    <row r="505" spans="1:49">
      <c r="A505">
        <v>1845101840</v>
      </c>
      <c r="B505" t="s">
        <v>350</v>
      </c>
      <c r="C505" s="214">
        <v>4985585</v>
      </c>
      <c r="D505" s="251">
        <v>5651493</v>
      </c>
      <c r="E505">
        <v>0</v>
      </c>
      <c r="F505" s="251">
        <v>5651493</v>
      </c>
      <c r="G505" s="214">
        <v>5441000</v>
      </c>
      <c r="H505" s="251">
        <f>VLOOKUP(A505,הוצאות!$B$2:$T$519,19,0)</f>
        <v>6000000</v>
      </c>
      <c r="J505" s="251"/>
      <c r="K505" s="251"/>
      <c r="Q505" s="251"/>
      <c r="S505" s="251"/>
    </row>
    <row r="506" spans="1:49">
      <c r="A506">
        <v>1845102840</v>
      </c>
      <c r="B506" t="s">
        <v>351</v>
      </c>
      <c r="C506" s="214">
        <v>21076</v>
      </c>
      <c r="D506" s="251">
        <v>11882</v>
      </c>
      <c r="E506">
        <v>0</v>
      </c>
      <c r="F506" s="251">
        <v>11882</v>
      </c>
      <c r="G506" s="214">
        <v>23000</v>
      </c>
      <c r="H506" s="251">
        <f>VLOOKUP(A506,הוצאות!$B$2:$T$519,19,0)</f>
        <v>15000</v>
      </c>
      <c r="J506" s="251"/>
      <c r="K506" s="251"/>
      <c r="Q506" s="251"/>
      <c r="S506" s="251"/>
    </row>
    <row r="507" spans="1:49">
      <c r="A507">
        <v>1845103840</v>
      </c>
      <c r="B507" t="s">
        <v>352</v>
      </c>
      <c r="C507" s="214">
        <v>12826</v>
      </c>
      <c r="D507">
        <v>0</v>
      </c>
      <c r="E507">
        <v>0</v>
      </c>
      <c r="F507">
        <v>0</v>
      </c>
      <c r="G507" s="214">
        <v>14000</v>
      </c>
      <c r="H507" s="251">
        <f>VLOOKUP(A507,הוצאות!$B$2:$T$519,19,0)</f>
        <v>0</v>
      </c>
      <c r="K507" s="251"/>
    </row>
    <row r="508" spans="1:49">
      <c r="A508">
        <v>1845201110</v>
      </c>
      <c r="B508" t="s">
        <v>355</v>
      </c>
      <c r="C508" s="214">
        <v>197923</v>
      </c>
      <c r="D508" s="251">
        <v>151817.38</v>
      </c>
      <c r="E508">
        <v>0</v>
      </c>
      <c r="F508" s="251">
        <v>151817.38</v>
      </c>
      <c r="G508" s="214">
        <v>216000</v>
      </c>
      <c r="H508" s="251">
        <f>VLOOKUP(A508,הוצאות!$B$2:$T$519,19,0)</f>
        <v>201070.907378</v>
      </c>
      <c r="J508" s="251"/>
      <c r="K508" s="251"/>
      <c r="Q508" s="251"/>
      <c r="S508" s="251"/>
    </row>
    <row r="509" spans="1:49">
      <c r="A509">
        <v>1845201750</v>
      </c>
      <c r="B509" t="s">
        <v>1849</v>
      </c>
      <c r="C509">
        <v>0</v>
      </c>
      <c r="D509" s="251">
        <v>1450</v>
      </c>
      <c r="E509">
        <v>0</v>
      </c>
      <c r="F509" s="251">
        <v>1450</v>
      </c>
      <c r="G509">
        <v>0</v>
      </c>
      <c r="H509" s="251">
        <f>VLOOKUP(A509,הוצאות!$B$2:$T$519,19,0)</f>
        <v>0</v>
      </c>
      <c r="J509" s="251"/>
      <c r="K509" s="251"/>
      <c r="Q509" s="251"/>
      <c r="S509" s="251"/>
    </row>
    <row r="510" spans="1:49">
      <c r="A510">
        <v>1845201781</v>
      </c>
      <c r="B510" t="s">
        <v>1851</v>
      </c>
      <c r="C510" s="214">
        <v>91630</v>
      </c>
      <c r="D510">
        <v>0</v>
      </c>
      <c r="E510" s="251">
        <v>94228</v>
      </c>
      <c r="F510" s="251">
        <v>94228</v>
      </c>
      <c r="G510" s="214">
        <v>100000</v>
      </c>
      <c r="H510" s="251">
        <f>VLOOKUP(A510,הוצאות!$B$2:$T$519,19,0)</f>
        <v>0</v>
      </c>
      <c r="I510" s="251"/>
      <c r="J510" s="251"/>
      <c r="K510" s="251"/>
      <c r="Q510" s="251"/>
      <c r="S510" s="251"/>
      <c r="AW510" s="251"/>
    </row>
    <row r="511" spans="1:49">
      <c r="A511">
        <v>1845201840</v>
      </c>
      <c r="B511" t="s">
        <v>356</v>
      </c>
      <c r="C511" s="214">
        <v>438911</v>
      </c>
      <c r="D511" s="251">
        <v>697452</v>
      </c>
      <c r="E511">
        <v>0</v>
      </c>
      <c r="F511" s="251">
        <v>697452</v>
      </c>
      <c r="G511" s="214">
        <v>479000</v>
      </c>
      <c r="H511" s="251">
        <f>VLOOKUP(A511,הוצאות!$B$2:$T$519,19,0)</f>
        <v>760000</v>
      </c>
      <c r="J511" s="251"/>
      <c r="K511" s="251"/>
      <c r="Q511" s="251"/>
      <c r="S511" s="251"/>
    </row>
    <row r="512" spans="1:49">
      <c r="A512">
        <v>1845202840</v>
      </c>
      <c r="B512" t="s">
        <v>357</v>
      </c>
      <c r="C512" s="214">
        <v>8250</v>
      </c>
      <c r="D512" s="251">
        <v>4851</v>
      </c>
      <c r="E512">
        <v>0</v>
      </c>
      <c r="F512" s="251">
        <v>4851</v>
      </c>
      <c r="G512" s="214">
        <v>9000</v>
      </c>
      <c r="H512" s="251">
        <f>VLOOKUP(A512,הוצאות!$B$2:$T$519,19,0)</f>
        <v>6000</v>
      </c>
      <c r="J512" s="251"/>
      <c r="K512" s="251"/>
      <c r="Q512" s="251"/>
      <c r="S512" s="251"/>
    </row>
    <row r="513" spans="1:19">
      <c r="A513">
        <v>1845204840</v>
      </c>
      <c r="B513" t="s">
        <v>359</v>
      </c>
      <c r="C513" s="214">
        <v>361944</v>
      </c>
      <c r="D513" s="251">
        <v>494326</v>
      </c>
      <c r="E513">
        <v>0</v>
      </c>
      <c r="F513" s="251">
        <v>494326</v>
      </c>
      <c r="G513" s="214">
        <v>395000</v>
      </c>
      <c r="H513" s="251">
        <f>VLOOKUP(A513,הוצאות!$B$2:$T$519,19,0)</f>
        <v>539264.72727272729</v>
      </c>
      <c r="J513" s="251"/>
      <c r="K513" s="251"/>
      <c r="Q513" s="251"/>
      <c r="S513" s="251"/>
    </row>
    <row r="514" spans="1:19">
      <c r="A514">
        <v>1845301840</v>
      </c>
      <c r="B514" t="s">
        <v>361</v>
      </c>
      <c r="C514" s="214">
        <v>4587</v>
      </c>
      <c r="D514" s="251">
        <v>123206</v>
      </c>
      <c r="E514">
        <v>0</v>
      </c>
      <c r="F514" s="251">
        <v>123206</v>
      </c>
      <c r="G514" s="214">
        <v>5000</v>
      </c>
      <c r="H514" s="251">
        <f>VLOOKUP(A514,הוצאות!$B$2:$T$519,19,0)</f>
        <v>135000</v>
      </c>
      <c r="J514" s="251"/>
      <c r="K514" s="251"/>
      <c r="L514" s="251"/>
      <c r="Q514" s="251"/>
      <c r="S514" s="251"/>
    </row>
    <row r="515" spans="1:19">
      <c r="A515">
        <v>1845302840</v>
      </c>
      <c r="B515" t="s">
        <v>362</v>
      </c>
      <c r="C515" s="214">
        <v>10076</v>
      </c>
      <c r="D515" s="251">
        <v>17979</v>
      </c>
      <c r="E515">
        <v>0</v>
      </c>
      <c r="F515" s="251">
        <v>17979</v>
      </c>
      <c r="G515" s="214">
        <v>11000</v>
      </c>
      <c r="H515" s="251">
        <f>VLOOKUP(A515,הוצאות!$B$2:$T$519,19,0)</f>
        <v>20000</v>
      </c>
      <c r="J515" s="251"/>
      <c r="K515" s="251"/>
      <c r="Q515" s="251"/>
      <c r="S515" s="251"/>
    </row>
    <row r="516" spans="1:19">
      <c r="A516">
        <v>1845303840</v>
      </c>
      <c r="B516" t="s">
        <v>363</v>
      </c>
      <c r="C516" s="214">
        <v>168597</v>
      </c>
      <c r="D516">
        <v>0</v>
      </c>
      <c r="E516">
        <v>0</v>
      </c>
      <c r="F516">
        <v>0</v>
      </c>
      <c r="G516" s="214">
        <v>184000</v>
      </c>
      <c r="H516" s="251">
        <f>VLOOKUP(A516,הוצאות!$B$2:$T$519,19,0)</f>
        <v>0</v>
      </c>
      <c r="K516" s="251"/>
    </row>
    <row r="517" spans="1:19">
      <c r="A517">
        <v>1845304840</v>
      </c>
      <c r="B517" t="s">
        <v>364</v>
      </c>
      <c r="C517">
        <v>0</v>
      </c>
      <c r="D517" s="251">
        <v>330279</v>
      </c>
      <c r="E517">
        <v>0</v>
      </c>
      <c r="F517" s="251">
        <v>330279</v>
      </c>
      <c r="G517">
        <v>0</v>
      </c>
      <c r="H517" s="251">
        <f>VLOOKUP(A517,הוצאות!$B$2:$T$519,19,0)</f>
        <v>360000</v>
      </c>
      <c r="J517" s="251"/>
      <c r="K517" s="251"/>
      <c r="Q517" s="251"/>
      <c r="S517" s="251"/>
    </row>
    <row r="518" spans="1:19">
      <c r="A518">
        <v>1845800840</v>
      </c>
      <c r="B518" t="s">
        <v>1637</v>
      </c>
      <c r="C518" s="214">
        <v>1099560</v>
      </c>
      <c r="D518">
        <v>0</v>
      </c>
      <c r="E518">
        <v>0</v>
      </c>
      <c r="F518">
        <v>0</v>
      </c>
      <c r="G518" s="214">
        <v>1200000</v>
      </c>
      <c r="H518" s="251">
        <f>VLOOKUP(A518,הוצאות!$B$2:$T$519,19,0)</f>
        <v>0</v>
      </c>
      <c r="K518" s="251"/>
    </row>
    <row r="519" spans="1:19">
      <c r="A519">
        <v>1846302840</v>
      </c>
      <c r="B519" t="s">
        <v>366</v>
      </c>
      <c r="C519">
        <v>913</v>
      </c>
      <c r="D519" s="251">
        <v>1012</v>
      </c>
      <c r="E519">
        <v>0</v>
      </c>
      <c r="F519" s="251">
        <v>1012</v>
      </c>
      <c r="G519" s="214">
        <v>1000</v>
      </c>
      <c r="H519" s="251">
        <f>VLOOKUP(A519,הוצאות!$B$2:$T$519,19,0)</f>
        <v>5000</v>
      </c>
      <c r="J519" s="251"/>
      <c r="Q519" s="251"/>
      <c r="S519" s="251"/>
    </row>
    <row r="520" spans="1:19">
      <c r="A520">
        <v>1846401840</v>
      </c>
      <c r="B520" t="s">
        <v>367</v>
      </c>
      <c r="C520">
        <v>0</v>
      </c>
      <c r="D520" s="251">
        <v>2866</v>
      </c>
      <c r="E520">
        <v>0</v>
      </c>
      <c r="F520" s="251">
        <v>2866</v>
      </c>
      <c r="G520">
        <v>0</v>
      </c>
      <c r="H520" s="251">
        <f>VLOOKUP(A520,הוצאות!$B$2:$T$519,19,0)</f>
        <v>3000</v>
      </c>
      <c r="J520" s="251"/>
      <c r="K520" s="251"/>
      <c r="Q520" s="251"/>
      <c r="S520" s="251"/>
    </row>
    <row r="521" spans="1:19">
      <c r="A521">
        <v>1846501840</v>
      </c>
      <c r="B521" t="s">
        <v>369</v>
      </c>
      <c r="C521" s="214">
        <v>64141</v>
      </c>
      <c r="D521">
        <v>0</v>
      </c>
      <c r="E521">
        <v>0</v>
      </c>
      <c r="F521">
        <v>0</v>
      </c>
      <c r="G521" s="214">
        <v>70000</v>
      </c>
      <c r="H521" s="251">
        <f>VLOOKUP(A521,הוצאות!$B$2:$T$519,19,0)</f>
        <v>0</v>
      </c>
      <c r="K521" s="251"/>
    </row>
    <row r="522" spans="1:19">
      <c r="A522">
        <v>1846601840</v>
      </c>
      <c r="B522" t="s">
        <v>370</v>
      </c>
      <c r="C522" s="214">
        <v>41239</v>
      </c>
      <c r="D522" s="251">
        <v>25386</v>
      </c>
      <c r="E522">
        <v>0</v>
      </c>
      <c r="F522" s="251">
        <v>25386</v>
      </c>
      <c r="G522" s="214">
        <v>45000</v>
      </c>
      <c r="H522" s="251">
        <f>VLOOKUP(A522,הוצאות!$B$2:$T$519,19,0)</f>
        <v>30000</v>
      </c>
      <c r="J522" s="251"/>
      <c r="K522" s="251"/>
      <c r="Q522" s="251"/>
      <c r="S522" s="251"/>
    </row>
    <row r="523" spans="1:19">
      <c r="A523">
        <v>1846603840</v>
      </c>
      <c r="B523" t="s">
        <v>1710</v>
      </c>
      <c r="C523">
        <v>0</v>
      </c>
      <c r="D523" s="251">
        <v>37632</v>
      </c>
      <c r="E523">
        <v>0</v>
      </c>
      <c r="F523" s="251">
        <v>37632</v>
      </c>
      <c r="G523">
        <v>0</v>
      </c>
      <c r="H523" s="251">
        <f>VLOOKUP(A523,הוצאות!$B$2:$T$519,19,0)</f>
        <v>45000</v>
      </c>
      <c r="J523" s="251"/>
      <c r="K523" s="251"/>
      <c r="Q523" s="251"/>
      <c r="S523" s="251"/>
    </row>
    <row r="524" spans="1:19">
      <c r="A524">
        <v>1846701840</v>
      </c>
      <c r="B524" t="s">
        <v>372</v>
      </c>
      <c r="C524" s="214">
        <v>442574</v>
      </c>
      <c r="D524" s="251">
        <v>791844</v>
      </c>
      <c r="E524">
        <v>0</v>
      </c>
      <c r="F524" s="251">
        <v>791844</v>
      </c>
      <c r="G524" s="214">
        <v>483000</v>
      </c>
      <c r="H524" s="251">
        <f>VLOOKUP(A524,הוצאות!$B$2:$T$519,19,0)</f>
        <v>900000</v>
      </c>
      <c r="J524" s="251"/>
      <c r="K524" s="251"/>
      <c r="Q524" s="251"/>
      <c r="S524" s="251"/>
    </row>
    <row r="525" spans="1:19">
      <c r="A525">
        <v>1846702840</v>
      </c>
      <c r="B525" t="s">
        <v>373</v>
      </c>
      <c r="C525" s="214">
        <v>15576</v>
      </c>
      <c r="D525">
        <v>0</v>
      </c>
      <c r="E525">
        <v>0</v>
      </c>
      <c r="F525">
        <v>0</v>
      </c>
      <c r="G525" s="214">
        <v>17000</v>
      </c>
      <c r="H525" s="251">
        <f>VLOOKUP(A525,הוצאות!$B$2:$T$519,19,0)</f>
        <v>0</v>
      </c>
      <c r="K525" s="251"/>
    </row>
    <row r="526" spans="1:19">
      <c r="A526">
        <v>1846703840</v>
      </c>
      <c r="B526" t="s">
        <v>374</v>
      </c>
      <c r="C526" s="214">
        <v>299629</v>
      </c>
      <c r="D526" s="251">
        <v>509445</v>
      </c>
      <c r="E526">
        <v>0</v>
      </c>
      <c r="F526" s="251">
        <v>509445</v>
      </c>
      <c r="G526" s="214">
        <v>327000</v>
      </c>
      <c r="H526" s="251">
        <f>VLOOKUP(A526,הוצאות!$B$2:$T$519,19,0)</f>
        <v>600000</v>
      </c>
      <c r="J526" s="251"/>
      <c r="K526" s="251"/>
      <c r="Q526" s="251"/>
      <c r="S526" s="251"/>
    </row>
    <row r="527" spans="1:19">
      <c r="A527">
        <v>1846704840</v>
      </c>
      <c r="B527" t="s">
        <v>375</v>
      </c>
      <c r="C527" s="214">
        <v>130119</v>
      </c>
      <c r="D527" s="251">
        <v>142209</v>
      </c>
      <c r="E527">
        <v>0</v>
      </c>
      <c r="F527" s="251">
        <v>142209</v>
      </c>
      <c r="G527" s="214">
        <v>142000</v>
      </c>
      <c r="H527" s="251">
        <f>VLOOKUP(A527,הוצאות!$B$2:$T$519,19,0)</f>
        <v>180000</v>
      </c>
      <c r="J527" s="251"/>
      <c r="Q527" s="251"/>
      <c r="S527" s="251"/>
    </row>
    <row r="528" spans="1:19">
      <c r="A528">
        <v>1846705840</v>
      </c>
      <c r="B528" t="s">
        <v>2029</v>
      </c>
      <c r="C528">
        <v>0</v>
      </c>
      <c r="D528" s="251">
        <v>62436</v>
      </c>
      <c r="E528">
        <v>0</v>
      </c>
      <c r="F528" s="251">
        <v>62436</v>
      </c>
      <c r="G528">
        <v>0</v>
      </c>
      <c r="H528" s="251">
        <f>VLOOKUP(A528,הוצאות!$B$2:$T$519,19,0)</f>
        <v>70000</v>
      </c>
      <c r="J528" s="251"/>
      <c r="K528" s="251"/>
      <c r="Q528" s="251"/>
      <c r="S528" s="251"/>
    </row>
    <row r="529" spans="1:19">
      <c r="A529">
        <v>1846801840</v>
      </c>
      <c r="B529" t="s">
        <v>376</v>
      </c>
      <c r="C529" s="214">
        <v>43978</v>
      </c>
      <c r="D529" s="251">
        <v>12951</v>
      </c>
      <c r="E529">
        <v>0</v>
      </c>
      <c r="F529" s="251">
        <v>12951</v>
      </c>
      <c r="G529" s="214">
        <v>48000</v>
      </c>
      <c r="H529" s="251">
        <f>VLOOKUP(A529,הוצאות!$B$2:$T$519,19,0)</f>
        <v>15000</v>
      </c>
      <c r="J529" s="251"/>
      <c r="K529" s="251"/>
      <c r="Q529" s="251"/>
      <c r="S529" s="251"/>
    </row>
    <row r="530" spans="1:19">
      <c r="A530">
        <v>1847101840</v>
      </c>
      <c r="B530" t="s">
        <v>380</v>
      </c>
      <c r="C530">
        <v>0</v>
      </c>
      <c r="D530" s="251">
        <v>8469</v>
      </c>
      <c r="E530">
        <v>0</v>
      </c>
      <c r="F530" s="251">
        <v>8469</v>
      </c>
      <c r="G530">
        <v>0</v>
      </c>
      <c r="H530" s="251">
        <f>VLOOKUP(A530,הוצאות!$B$2:$T$519,19,0)</f>
        <v>15000</v>
      </c>
      <c r="J530" s="251"/>
      <c r="K530" s="251"/>
      <c r="Q530" s="251"/>
      <c r="S530" s="251"/>
    </row>
    <row r="531" spans="1:19">
      <c r="A531">
        <v>1847103840</v>
      </c>
      <c r="B531" t="s">
        <v>382</v>
      </c>
      <c r="C531" s="214">
        <v>262064</v>
      </c>
      <c r="D531" s="251">
        <v>254072</v>
      </c>
      <c r="E531">
        <v>0</v>
      </c>
      <c r="F531" s="251">
        <v>254072</v>
      </c>
      <c r="G531" s="214">
        <v>286000</v>
      </c>
      <c r="H531" s="251">
        <f>VLOOKUP(A531,הוצאות!$B$2:$T$519,19,0)</f>
        <v>280000</v>
      </c>
      <c r="J531" s="251"/>
      <c r="K531" s="251"/>
      <c r="Q531" s="251"/>
      <c r="S531" s="251"/>
    </row>
    <row r="532" spans="1:19">
      <c r="A532">
        <v>1847104840</v>
      </c>
      <c r="B532" t="s">
        <v>383</v>
      </c>
      <c r="C532" s="214">
        <v>81554</v>
      </c>
      <c r="D532" s="251">
        <v>478399</v>
      </c>
      <c r="E532">
        <v>0</v>
      </c>
      <c r="F532" s="251">
        <v>478399</v>
      </c>
      <c r="G532" s="214">
        <v>89000</v>
      </c>
      <c r="H532" s="251">
        <f>VLOOKUP(A532,הוצאות!$B$2:$T$519,19,0)</f>
        <v>550000</v>
      </c>
      <c r="J532" s="251"/>
      <c r="K532" s="251"/>
      <c r="Q532" s="251"/>
      <c r="S532" s="251"/>
    </row>
    <row r="533" spans="1:19">
      <c r="A533">
        <v>1847202840</v>
      </c>
      <c r="B533" t="s">
        <v>1631</v>
      </c>
      <c r="C533" s="214">
        <v>141108</v>
      </c>
      <c r="D533" s="251">
        <v>68448</v>
      </c>
      <c r="E533">
        <v>0</v>
      </c>
      <c r="F533" s="251">
        <v>68448</v>
      </c>
      <c r="G533" s="214">
        <v>154000</v>
      </c>
      <c r="H533" s="251">
        <f>VLOOKUP(A533,הוצאות!$B$2:$T$519,19,0)</f>
        <v>80000</v>
      </c>
      <c r="J533" s="251"/>
      <c r="K533" s="251"/>
      <c r="Q533" s="251"/>
      <c r="S533" s="251"/>
    </row>
    <row r="534" spans="1:19">
      <c r="A534">
        <v>1847301840</v>
      </c>
      <c r="B534" t="s">
        <v>386</v>
      </c>
      <c r="C534" s="214">
        <v>69641</v>
      </c>
      <c r="D534" s="251">
        <v>66224</v>
      </c>
      <c r="E534">
        <v>0</v>
      </c>
      <c r="F534" s="251">
        <v>66224</v>
      </c>
      <c r="G534" s="214">
        <v>76000</v>
      </c>
      <c r="H534" s="251">
        <f>VLOOKUP(A534,הוצאות!$B$2:$T$519,19,0)</f>
        <v>80000</v>
      </c>
      <c r="J534" s="251"/>
      <c r="K534" s="251"/>
      <c r="Q534" s="251"/>
      <c r="S534" s="251"/>
    </row>
    <row r="535" spans="1:19">
      <c r="A535">
        <v>1847400840</v>
      </c>
      <c r="B535" t="s">
        <v>388</v>
      </c>
      <c r="C535">
        <v>0</v>
      </c>
      <c r="D535" s="251">
        <v>26135</v>
      </c>
      <c r="E535">
        <v>0</v>
      </c>
      <c r="F535" s="251">
        <v>26135</v>
      </c>
      <c r="G535">
        <v>0</v>
      </c>
      <c r="H535" s="251">
        <f>VLOOKUP(A535,הוצאות!$B$2:$T$519,19,0)</f>
        <v>30000</v>
      </c>
      <c r="J535" s="251"/>
      <c r="K535" s="251"/>
      <c r="Q535" s="251"/>
      <c r="S535" s="251"/>
    </row>
    <row r="536" spans="1:19">
      <c r="A536">
        <v>1847500840</v>
      </c>
      <c r="B536" t="s">
        <v>1639</v>
      </c>
      <c r="C536" s="214">
        <v>320705</v>
      </c>
      <c r="D536" s="251">
        <v>133000</v>
      </c>
      <c r="E536">
        <v>0</v>
      </c>
      <c r="F536" s="251">
        <v>133000</v>
      </c>
      <c r="G536" s="214">
        <v>350000</v>
      </c>
      <c r="H536" s="251">
        <f>VLOOKUP(A536,הוצאות!$B$2:$T$519,19,0)</f>
        <v>160000</v>
      </c>
      <c r="J536" s="251"/>
      <c r="K536" s="251"/>
      <c r="Q536" s="251"/>
      <c r="S536" s="251"/>
    </row>
    <row r="537" spans="1:19">
      <c r="A537">
        <v>1848500840</v>
      </c>
      <c r="B537" t="s">
        <v>1637</v>
      </c>
      <c r="C537">
        <v>0</v>
      </c>
      <c r="D537" s="251">
        <v>294617</v>
      </c>
      <c r="E537">
        <v>0</v>
      </c>
      <c r="F537" s="251">
        <v>294617</v>
      </c>
      <c r="G537">
        <v>0</v>
      </c>
      <c r="H537" s="251">
        <f>VLOOKUP(A537,הוצאות!$B$2:$T$519,19,0)</f>
        <v>1200000</v>
      </c>
      <c r="J537" s="251"/>
      <c r="K537" s="251"/>
      <c r="Q537" s="251"/>
      <c r="S537" s="251"/>
    </row>
    <row r="538" spans="1:19">
      <c r="A538">
        <v>1848502110</v>
      </c>
      <c r="B538" t="s">
        <v>390</v>
      </c>
      <c r="C538">
        <v>0</v>
      </c>
      <c r="D538" s="251">
        <v>124610.65</v>
      </c>
      <c r="E538">
        <v>0</v>
      </c>
      <c r="F538" s="251">
        <v>124610.65</v>
      </c>
      <c r="G538">
        <v>0</v>
      </c>
      <c r="H538" s="251">
        <f>VLOOKUP(A538,הוצאות!$B$2:$T$519,19,0)</f>
        <v>0</v>
      </c>
      <c r="J538" s="251"/>
      <c r="K538" s="251"/>
      <c r="Q538" s="251"/>
      <c r="S538" s="251"/>
    </row>
    <row r="539" spans="1:19">
      <c r="A539">
        <v>1853000431</v>
      </c>
      <c r="B539" t="s">
        <v>1862</v>
      </c>
      <c r="C539">
        <v>0</v>
      </c>
      <c r="D539" s="251">
        <v>17002.73</v>
      </c>
      <c r="E539">
        <v>0</v>
      </c>
      <c r="F539" s="251">
        <v>17002.73</v>
      </c>
      <c r="G539">
        <v>0</v>
      </c>
      <c r="H539" s="251">
        <f>VLOOKUP(A539,הוצאות!$B$2:$T$519,19,0)</f>
        <v>18000</v>
      </c>
      <c r="J539" s="251"/>
      <c r="K539" s="251"/>
      <c r="Q539" s="251"/>
      <c r="S539" s="251"/>
    </row>
    <row r="540" spans="1:19">
      <c r="A540">
        <v>1853000432</v>
      </c>
      <c r="B540" t="s">
        <v>393</v>
      </c>
      <c r="C540" s="214">
        <v>16489</v>
      </c>
      <c r="D540">
        <v>0</v>
      </c>
      <c r="E540">
        <v>0</v>
      </c>
      <c r="F540">
        <v>0</v>
      </c>
      <c r="G540" s="214">
        <v>18000</v>
      </c>
      <c r="H540" s="251">
        <f>VLOOKUP(A540,הוצאות!$B$2:$T$519,19,0)</f>
        <v>0</v>
      </c>
      <c r="K540" s="251"/>
    </row>
    <row r="541" spans="1:19">
      <c r="A541">
        <v>1853000750</v>
      </c>
      <c r="B541" t="s">
        <v>1863</v>
      </c>
      <c r="C541" s="214">
        <v>16489</v>
      </c>
      <c r="D541">
        <v>0</v>
      </c>
      <c r="E541">
        <v>0</v>
      </c>
      <c r="F541">
        <v>0</v>
      </c>
      <c r="G541" s="214">
        <v>18000</v>
      </c>
      <c r="H541" s="251">
        <f>VLOOKUP(A541,הוצאות!$B$2:$T$519,19,0)</f>
        <v>0</v>
      </c>
      <c r="K541" s="251"/>
    </row>
    <row r="542" spans="1:19">
      <c r="A542">
        <v>1853000780</v>
      </c>
      <c r="B542" t="s">
        <v>18</v>
      </c>
      <c r="C542" s="214">
        <v>36652</v>
      </c>
      <c r="D542" s="251">
        <v>11755</v>
      </c>
      <c r="E542">
        <v>0</v>
      </c>
      <c r="F542" s="251">
        <v>11755</v>
      </c>
      <c r="G542" s="214">
        <v>40000</v>
      </c>
      <c r="H542" s="251">
        <f>VLOOKUP(A542,הוצאות!$B$2:$T$519,19,0)</f>
        <v>200000</v>
      </c>
      <c r="J542" s="251"/>
      <c r="K542" s="251"/>
      <c r="Q542" s="251"/>
      <c r="S542" s="251"/>
    </row>
    <row r="543" spans="1:19">
      <c r="A543">
        <v>1879000830</v>
      </c>
      <c r="B543" t="s">
        <v>395</v>
      </c>
      <c r="C543" s="214">
        <v>32076</v>
      </c>
      <c r="D543" s="251">
        <v>34161</v>
      </c>
      <c r="E543">
        <v>0</v>
      </c>
      <c r="F543" s="251">
        <v>34161</v>
      </c>
      <c r="G543" s="214">
        <v>35000</v>
      </c>
      <c r="H543" s="251">
        <f>VLOOKUP(A543,הוצאות!$B$2:$T$519,19,0)</f>
        <v>37266.545454545456</v>
      </c>
      <c r="J543" s="251"/>
      <c r="Q543" s="251"/>
      <c r="S543" s="251"/>
    </row>
    <row r="544" spans="1:19">
      <c r="A544">
        <v>1911000110</v>
      </c>
      <c r="B544" t="s">
        <v>396</v>
      </c>
      <c r="C544" s="214">
        <v>84304</v>
      </c>
      <c r="D544" s="251">
        <v>76226.91</v>
      </c>
      <c r="E544">
        <v>0</v>
      </c>
      <c r="F544" s="251">
        <v>76226.91</v>
      </c>
      <c r="G544" s="214">
        <v>92000</v>
      </c>
      <c r="H544" s="251">
        <f>VLOOKUP(A544,הוצאות!$B$2:$T$519,19,0)</f>
        <v>101078.31355000001</v>
      </c>
      <c r="J544" s="251"/>
      <c r="K544" s="251"/>
      <c r="Q544" s="251"/>
      <c r="S544" s="251"/>
    </row>
    <row r="545" spans="1:49">
      <c r="A545">
        <v>1913000720</v>
      </c>
      <c r="B545" t="s">
        <v>32</v>
      </c>
      <c r="C545" s="214">
        <v>41239</v>
      </c>
      <c r="D545" s="251">
        <v>19165</v>
      </c>
      <c r="E545" s="251">
        <v>6150.5</v>
      </c>
      <c r="F545" s="251">
        <v>25315.5</v>
      </c>
      <c r="G545" s="214">
        <v>45000</v>
      </c>
      <c r="H545" s="251">
        <f>VLOOKUP(A545,הוצאות!$B$2:$T$519,19,0)</f>
        <v>20000</v>
      </c>
      <c r="I545" s="251"/>
      <c r="J545" s="251"/>
      <c r="K545" s="251"/>
      <c r="Q545" s="251"/>
      <c r="S545" s="251"/>
      <c r="AW545" s="251"/>
    </row>
    <row r="546" spans="1:49">
      <c r="A546">
        <v>1913000750</v>
      </c>
      <c r="B546" t="s">
        <v>62</v>
      </c>
      <c r="C546" s="214">
        <v>17413</v>
      </c>
      <c r="D546" s="251">
        <v>21076</v>
      </c>
      <c r="E546">
        <v>0</v>
      </c>
      <c r="F546" s="251">
        <v>21076</v>
      </c>
      <c r="G546" s="214">
        <v>19000</v>
      </c>
      <c r="H546" s="251">
        <f>VLOOKUP(A546,הוצאות!$B$2:$T$519,19,0)</f>
        <v>40000</v>
      </c>
      <c r="J546" s="251"/>
      <c r="K546" s="251"/>
      <c r="Q546" s="251"/>
      <c r="S546" s="251"/>
    </row>
    <row r="547" spans="1:49">
      <c r="A547">
        <v>1913000780</v>
      </c>
      <c r="B547" t="s">
        <v>398</v>
      </c>
      <c r="C547" s="214">
        <v>139733</v>
      </c>
      <c r="D547" s="251">
        <v>133145.01999999999</v>
      </c>
      <c r="E547">
        <v>0</v>
      </c>
      <c r="F547" s="251">
        <v>133145.01999999999</v>
      </c>
      <c r="G547" s="214">
        <v>152500</v>
      </c>
      <c r="H547" s="251">
        <f>VLOOKUP(A547,הוצאות!$B$2:$T$519,19,0)</f>
        <v>60000</v>
      </c>
      <c r="J547" s="251"/>
      <c r="K547" s="251"/>
      <c r="Q547" s="251"/>
      <c r="S547" s="251"/>
    </row>
    <row r="548" spans="1:49">
      <c r="A548">
        <v>1913100772</v>
      </c>
      <c r="B548" t="s">
        <v>399</v>
      </c>
      <c r="C548" s="214">
        <v>1429428</v>
      </c>
      <c r="D548" s="251">
        <v>2301972.9</v>
      </c>
      <c r="E548">
        <v>0</v>
      </c>
      <c r="F548" s="251">
        <v>2301972.9</v>
      </c>
      <c r="G548" s="214">
        <v>1560000</v>
      </c>
      <c r="H548" s="251">
        <f>VLOOKUP(A548,הוצאות!$B$2:$T$519,19,0)</f>
        <v>3000000</v>
      </c>
      <c r="J548" s="251"/>
      <c r="K548" s="251"/>
      <c r="Q548" s="251"/>
      <c r="S548" s="251"/>
    </row>
    <row r="549" spans="1:49">
      <c r="A549">
        <v>1938000420</v>
      </c>
      <c r="B549" t="s">
        <v>150</v>
      </c>
      <c r="C549" s="214">
        <v>32076</v>
      </c>
      <c r="D549">
        <v>0</v>
      </c>
      <c r="E549">
        <v>0</v>
      </c>
      <c r="F549">
        <v>0</v>
      </c>
      <c r="G549" s="214">
        <v>35000</v>
      </c>
      <c r="H549" s="251">
        <f>VLOOKUP(A549,הוצאות!$B$2:$T$519,19,0)</f>
        <v>0</v>
      </c>
      <c r="K549" s="251"/>
    </row>
    <row r="550" spans="1:49">
      <c r="A550">
        <v>1938000432</v>
      </c>
      <c r="B550" t="s">
        <v>165</v>
      </c>
      <c r="C550" s="214">
        <v>45815</v>
      </c>
      <c r="D550">
        <v>0</v>
      </c>
      <c r="E550">
        <v>0</v>
      </c>
      <c r="F550">
        <v>0</v>
      </c>
      <c r="G550" s="214">
        <v>50000</v>
      </c>
      <c r="H550" s="251">
        <f>VLOOKUP(A550,הוצאות!$B$2:$T$519,19,0)</f>
        <v>0</v>
      </c>
      <c r="K550" s="251"/>
    </row>
    <row r="551" spans="1:49">
      <c r="A551">
        <v>1938000511</v>
      </c>
      <c r="B551" t="s">
        <v>400</v>
      </c>
      <c r="C551" s="214">
        <v>27489</v>
      </c>
      <c r="D551">
        <v>0</v>
      </c>
      <c r="E551">
        <v>0</v>
      </c>
      <c r="F551">
        <v>0</v>
      </c>
      <c r="G551" s="214">
        <v>30000</v>
      </c>
      <c r="H551" s="251">
        <f>VLOOKUP(A551,הוצאות!$B$2:$T$519,19,0)</f>
        <v>0</v>
      </c>
      <c r="K551" s="251"/>
    </row>
    <row r="552" spans="1:49">
      <c r="A552">
        <v>1938000540</v>
      </c>
      <c r="B552" t="s">
        <v>401</v>
      </c>
      <c r="C552" s="214">
        <v>68728</v>
      </c>
      <c r="D552">
        <v>936</v>
      </c>
      <c r="E552">
        <v>0</v>
      </c>
      <c r="F552">
        <v>936</v>
      </c>
      <c r="G552" s="214">
        <v>75000</v>
      </c>
      <c r="H552" s="251">
        <f>VLOOKUP(A552,הוצאות!$B$2:$T$519,19,0)</f>
        <v>1000</v>
      </c>
      <c r="K552" s="251"/>
    </row>
    <row r="553" spans="1:49">
      <c r="A553">
        <v>1938000560</v>
      </c>
      <c r="B553" t="s">
        <v>14</v>
      </c>
      <c r="C553" s="214">
        <v>73304</v>
      </c>
      <c r="D553" s="251">
        <v>59583</v>
      </c>
      <c r="E553">
        <v>0</v>
      </c>
      <c r="F553" s="251">
        <v>59583</v>
      </c>
      <c r="G553" s="214">
        <v>80000</v>
      </c>
      <c r="H553" s="251">
        <f>VLOOKUP(A553,הוצאות!$B$2:$T$519,19,0)</f>
        <v>0</v>
      </c>
      <c r="J553" s="251"/>
      <c r="K553" s="251"/>
      <c r="Q553" s="251"/>
      <c r="S553" s="251"/>
    </row>
    <row r="554" spans="1:49">
      <c r="A554">
        <v>1938000750</v>
      </c>
      <c r="B554" t="s">
        <v>62</v>
      </c>
      <c r="C554" s="214">
        <v>18326</v>
      </c>
      <c r="D554" s="251">
        <v>93322</v>
      </c>
      <c r="E554">
        <v>0</v>
      </c>
      <c r="F554" s="251">
        <v>93322</v>
      </c>
      <c r="G554" s="214">
        <v>20000</v>
      </c>
      <c r="H554" s="251">
        <f>VLOOKUP(A554,הוצאות!$B$2:$T$519,19,0)</f>
        <v>100000</v>
      </c>
      <c r="J554" s="251"/>
      <c r="K554" s="251"/>
      <c r="Q554" s="251"/>
      <c r="S554" s="251"/>
    </row>
    <row r="555" spans="1:49">
      <c r="A555">
        <v>1972000691</v>
      </c>
      <c r="B555" t="s">
        <v>402</v>
      </c>
      <c r="C555" s="214">
        <v>139733</v>
      </c>
      <c r="D555" s="251">
        <v>523976.7</v>
      </c>
      <c r="E555">
        <v>0</v>
      </c>
      <c r="F555" s="251">
        <v>523976.7</v>
      </c>
      <c r="G555" s="214">
        <v>152500</v>
      </c>
      <c r="H555" s="251">
        <f>VLOOKUP(A555,הוצאות!$B$2:$T$519,19,0)</f>
        <v>350000</v>
      </c>
      <c r="J555" s="251"/>
      <c r="K555" s="251"/>
      <c r="Q555" s="251"/>
      <c r="S555" s="251"/>
    </row>
    <row r="556" spans="1:49">
      <c r="A556">
        <v>1972000692</v>
      </c>
      <c r="B556" t="s">
        <v>403</v>
      </c>
      <c r="C556" s="214">
        <v>46728</v>
      </c>
      <c r="D556" s="251">
        <v>144277.51999999999</v>
      </c>
      <c r="E556">
        <v>0</v>
      </c>
      <c r="F556" s="251">
        <v>144277.51999999999</v>
      </c>
      <c r="G556" s="214">
        <v>51000</v>
      </c>
      <c r="H556" s="251">
        <f>VLOOKUP(A556,הוצאות!$B$2:$T$519,19,0)</f>
        <v>93000</v>
      </c>
      <c r="J556" s="251"/>
      <c r="K556" s="251"/>
      <c r="Q556" s="251"/>
      <c r="S556" s="251"/>
    </row>
    <row r="557" spans="1:49">
      <c r="A557">
        <v>1972000693</v>
      </c>
      <c r="B557" t="s">
        <v>404</v>
      </c>
      <c r="C557" s="214">
        <v>45815</v>
      </c>
      <c r="D557" s="251">
        <v>152562.10999999999</v>
      </c>
      <c r="E557">
        <v>0</v>
      </c>
      <c r="F557" s="251">
        <v>152562.10999999999</v>
      </c>
      <c r="G557" s="214">
        <v>50000</v>
      </c>
      <c r="H557" s="251">
        <f>VLOOKUP(A557,הוצאות!$B$2:$T$519,19,0)</f>
        <v>90000</v>
      </c>
      <c r="J557" s="251"/>
      <c r="K557" s="251"/>
      <c r="Q557" s="251"/>
      <c r="S557" s="251"/>
    </row>
    <row r="558" spans="1:49">
      <c r="A558">
        <v>1972000750</v>
      </c>
      <c r="B558" t="s">
        <v>406</v>
      </c>
      <c r="C558" s="214">
        <v>91630</v>
      </c>
      <c r="D558" s="251">
        <v>667022.69999999995</v>
      </c>
      <c r="E558" s="251">
        <v>11466</v>
      </c>
      <c r="F558" s="251">
        <v>678488.7</v>
      </c>
      <c r="G558" s="214">
        <v>100000</v>
      </c>
      <c r="H558" s="251">
        <f>VLOOKUP(A558,הוצאות!$B$2:$T$519,19,0)</f>
        <v>400000</v>
      </c>
      <c r="I558" s="251"/>
      <c r="J558" s="251"/>
      <c r="K558" s="251"/>
      <c r="Q558" s="251"/>
      <c r="S558" s="251"/>
      <c r="AW558" s="251"/>
    </row>
    <row r="559" spans="1:49">
      <c r="A559">
        <v>1972000751</v>
      </c>
      <c r="B559" t="s">
        <v>407</v>
      </c>
      <c r="C559" s="214">
        <v>36652</v>
      </c>
      <c r="D559">
        <v>0</v>
      </c>
      <c r="E559">
        <v>0</v>
      </c>
      <c r="F559">
        <v>0</v>
      </c>
      <c r="G559" s="214">
        <v>40000</v>
      </c>
      <c r="H559" s="251">
        <f>VLOOKUP(A559,הוצאות!$B$2:$T$519,19,0)</f>
        <v>0</v>
      </c>
      <c r="J559" s="251"/>
      <c r="K559" s="251"/>
      <c r="S559" s="251"/>
    </row>
    <row r="560" spans="1:49">
      <c r="A560">
        <v>1972000771</v>
      </c>
      <c r="B560" t="s">
        <v>408</v>
      </c>
      <c r="C560" s="214">
        <v>22913</v>
      </c>
      <c r="D560" s="251">
        <v>79417.100000000006</v>
      </c>
      <c r="E560">
        <v>0</v>
      </c>
      <c r="F560" s="251">
        <v>79417.100000000006</v>
      </c>
      <c r="G560" s="214">
        <v>25000</v>
      </c>
      <c r="H560" s="251">
        <f>VLOOKUP(A560,הוצאות!$B$2:$T$519,19,0)</f>
        <v>60000</v>
      </c>
      <c r="J560" s="251"/>
      <c r="K560" s="251"/>
      <c r="Q560" s="251"/>
      <c r="S560" s="251"/>
    </row>
    <row r="561" spans="1:19">
      <c r="A561">
        <v>1973000760</v>
      </c>
      <c r="B561" t="s">
        <v>409</v>
      </c>
      <c r="C561" s="214">
        <v>251988</v>
      </c>
      <c r="D561" s="251">
        <v>611974.56999999995</v>
      </c>
      <c r="E561">
        <v>0</v>
      </c>
      <c r="F561" s="251">
        <v>611974.56999999995</v>
      </c>
      <c r="G561" s="214">
        <v>275000</v>
      </c>
      <c r="H561" s="251">
        <f>VLOOKUP(A561,הוצאות!$B$2:$T$519,19,0)</f>
        <v>800000</v>
      </c>
      <c r="J561" s="251"/>
      <c r="K561" s="251"/>
      <c r="Q561" s="251"/>
      <c r="S561" s="251"/>
    </row>
    <row r="562" spans="1:19">
      <c r="A562">
        <v>1993000780</v>
      </c>
      <c r="B562" t="s">
        <v>410</v>
      </c>
      <c r="C562" s="214">
        <v>137445</v>
      </c>
      <c r="D562" s="251">
        <v>64245</v>
      </c>
      <c r="E562">
        <v>0</v>
      </c>
      <c r="F562" s="251">
        <v>64245</v>
      </c>
      <c r="G562" s="214">
        <v>150000</v>
      </c>
      <c r="H562" s="251">
        <f>VLOOKUP(A562,הוצאות!$B$2:$T$519,19,0)</f>
        <v>0</v>
      </c>
      <c r="J562" s="251"/>
      <c r="K562" s="251"/>
      <c r="Q562" s="251"/>
      <c r="S562" s="251"/>
    </row>
    <row r="563" spans="1:19">
      <c r="A563">
        <v>1995000860</v>
      </c>
      <c r="B563" t="s">
        <v>411</v>
      </c>
      <c r="C563" s="214">
        <v>3665200</v>
      </c>
      <c r="D563" s="251">
        <v>2943000</v>
      </c>
      <c r="E563">
        <v>0</v>
      </c>
      <c r="F563" s="251">
        <v>2943000</v>
      </c>
      <c r="G563" s="214">
        <v>4000000</v>
      </c>
      <c r="H563" s="251">
        <f>VLOOKUP(A563,הוצאות!$B$2:$T$519,19,0)</f>
        <v>4000000</v>
      </c>
      <c r="J563" s="251"/>
      <c r="K563" s="251"/>
      <c r="Q563" s="251"/>
      <c r="S563" s="251"/>
    </row>
    <row r="564" spans="1:19">
      <c r="A564">
        <v>1999000110</v>
      </c>
      <c r="B564" t="s">
        <v>412</v>
      </c>
      <c r="C564">
        <v>0</v>
      </c>
      <c r="D564" s="251">
        <v>13948.21</v>
      </c>
      <c r="E564">
        <v>0</v>
      </c>
      <c r="F564" s="251">
        <v>13948.21</v>
      </c>
      <c r="G564">
        <v>0</v>
      </c>
      <c r="H564" s="251">
        <f>VLOOKUP(A564,הוצאות!$B$2:$T$519,19,0)</f>
        <v>0</v>
      </c>
      <c r="J564" s="251"/>
      <c r="K564" s="251"/>
      <c r="Q564" s="251"/>
      <c r="S564" s="251"/>
    </row>
    <row r="565" spans="1:19">
      <c r="A565">
        <v>1999000310</v>
      </c>
      <c r="B565" t="s">
        <v>413</v>
      </c>
      <c r="C565" s="214">
        <v>505802</v>
      </c>
      <c r="D565" s="251">
        <v>435420.45</v>
      </c>
      <c r="E565">
        <v>0</v>
      </c>
      <c r="F565" s="251">
        <v>435420.45</v>
      </c>
      <c r="G565" s="214">
        <v>552000</v>
      </c>
      <c r="H565" s="251">
        <f>VLOOKUP(A565,הוצאות!$B$2:$T$519,19,0)</f>
        <v>610976.6</v>
      </c>
      <c r="J565" s="251"/>
      <c r="K565" s="251"/>
      <c r="Q565" s="251"/>
      <c r="S565" s="251"/>
    </row>
    <row r="566" spans="1:19">
      <c r="A566">
        <v>1999000980</v>
      </c>
      <c r="B566" t="s">
        <v>414</v>
      </c>
      <c r="C566" s="214">
        <v>804881</v>
      </c>
      <c r="D566">
        <v>0</v>
      </c>
      <c r="E566">
        <v>0</v>
      </c>
      <c r="F566">
        <v>0</v>
      </c>
      <c r="G566" s="214">
        <v>878400</v>
      </c>
      <c r="H566" s="251">
        <f>VLOOKUP(A566,הוצאות!$B$2:$T$519,19,0)</f>
        <v>0</v>
      </c>
      <c r="K566" s="251"/>
    </row>
    <row r="567" spans="1:19">
      <c r="A567">
        <v>1999900990</v>
      </c>
      <c r="B567" t="s">
        <v>1884</v>
      </c>
      <c r="C567" s="214">
        <v>1974731</v>
      </c>
      <c r="D567">
        <v>0</v>
      </c>
      <c r="E567">
        <v>0</v>
      </c>
      <c r="F567">
        <v>0</v>
      </c>
      <c r="G567" s="214">
        <v>2155120</v>
      </c>
      <c r="H567" s="251">
        <f>VLOOKUP(A567,הוצאות!$B$2:$T$519,19,0)</f>
        <v>2470800</v>
      </c>
      <c r="K567" s="251"/>
    </row>
    <row r="569" spans="1:19">
      <c r="C569" s="214">
        <f>SUM(C183:C568)</f>
        <v>83796009</v>
      </c>
      <c r="D569" s="214">
        <f t="shared" ref="D569:H569" si="1">SUM(D183:D568)</f>
        <v>76638582.389999986</v>
      </c>
      <c r="E569" s="214">
        <f t="shared" si="1"/>
        <v>2747910.31</v>
      </c>
      <c r="F569" s="214">
        <f t="shared" si="1"/>
        <v>79386492.699999988</v>
      </c>
      <c r="G569" s="214">
        <f t="shared" si="1"/>
        <v>91450036</v>
      </c>
      <c r="H569" s="214" t="e">
        <f t="shared" si="1"/>
        <v>#N/A</v>
      </c>
    </row>
    <row r="575" spans="1:19">
      <c r="A575" t="s">
        <v>0</v>
      </c>
      <c r="B575" t="s">
        <v>1</v>
      </c>
      <c r="C575" t="s">
        <v>1666</v>
      </c>
      <c r="D575" t="s">
        <v>1667</v>
      </c>
    </row>
    <row r="576" spans="1:19">
      <c r="A576">
        <v>1611100110</v>
      </c>
      <c r="B576" t="s">
        <v>3</v>
      </c>
      <c r="C576" s="214">
        <v>1000000</v>
      </c>
      <c r="D576" s="251">
        <v>1317413.43</v>
      </c>
    </row>
    <row r="577" spans="1:4">
      <c r="A577">
        <v>1611110110</v>
      </c>
      <c r="B577" t="s">
        <v>20</v>
      </c>
      <c r="C577" s="214">
        <v>330000</v>
      </c>
      <c r="D577">
        <v>0</v>
      </c>
    </row>
    <row r="578" spans="1:4">
      <c r="A578">
        <v>1611200110</v>
      </c>
      <c r="B578" t="s">
        <v>2031</v>
      </c>
      <c r="C578" s="214">
        <v>432000</v>
      </c>
      <c r="D578">
        <v>0</v>
      </c>
    </row>
    <row r="579" spans="1:4">
      <c r="A579">
        <v>1613000110</v>
      </c>
      <c r="B579" t="s">
        <v>24</v>
      </c>
      <c r="C579" s="214">
        <v>740000</v>
      </c>
      <c r="D579" s="251">
        <v>747000.44</v>
      </c>
    </row>
    <row r="580" spans="1:4">
      <c r="A580">
        <v>1613000320</v>
      </c>
      <c r="B580" t="s">
        <v>25</v>
      </c>
      <c r="C580">
        <v>0</v>
      </c>
      <c r="D580">
        <v>0</v>
      </c>
    </row>
    <row r="581" spans="1:4">
      <c r="A581">
        <v>1613100110</v>
      </c>
      <c r="B581" t="s">
        <v>1659</v>
      </c>
      <c r="C581" s="214">
        <v>70000</v>
      </c>
      <c r="D581">
        <v>0</v>
      </c>
    </row>
    <row r="582" spans="1:4">
      <c r="A582">
        <v>1615000110</v>
      </c>
      <c r="B582" t="s">
        <v>38</v>
      </c>
      <c r="C582" s="214">
        <v>307000</v>
      </c>
      <c r="D582" s="251">
        <v>223253.61</v>
      </c>
    </row>
    <row r="583" spans="1:4">
      <c r="A583">
        <v>1615100110</v>
      </c>
      <c r="B583" t="s">
        <v>1643</v>
      </c>
      <c r="C583" s="214">
        <v>140000</v>
      </c>
      <c r="D583">
        <v>0</v>
      </c>
    </row>
    <row r="584" spans="1:4">
      <c r="A584">
        <v>1615101110</v>
      </c>
      <c r="B584" t="s">
        <v>2031</v>
      </c>
      <c r="C584">
        <v>0</v>
      </c>
      <c r="D584" s="251">
        <v>246380.42</v>
      </c>
    </row>
    <row r="585" spans="1:4">
      <c r="A585">
        <v>1615200110</v>
      </c>
      <c r="B585" t="s">
        <v>1644</v>
      </c>
      <c r="C585" s="214">
        <v>40000</v>
      </c>
      <c r="D585">
        <v>0</v>
      </c>
    </row>
    <row r="586" spans="1:4">
      <c r="A586">
        <v>1619999399</v>
      </c>
      <c r="B586" t="s">
        <v>47</v>
      </c>
      <c r="C586">
        <v>0</v>
      </c>
      <c r="D586">
        <v>0</v>
      </c>
    </row>
    <row r="587" spans="1:4">
      <c r="A587">
        <v>1621200110</v>
      </c>
      <c r="B587" t="s">
        <v>48</v>
      </c>
      <c r="C587" s="214">
        <v>60000</v>
      </c>
      <c r="D587" s="251">
        <v>64457.57</v>
      </c>
    </row>
    <row r="588" spans="1:4">
      <c r="A588">
        <v>1621300110</v>
      </c>
      <c r="B588" t="s">
        <v>49</v>
      </c>
      <c r="C588" s="214">
        <v>450000</v>
      </c>
      <c r="D588" s="251">
        <v>426066.7</v>
      </c>
    </row>
    <row r="589" spans="1:4">
      <c r="A589">
        <v>1623000110</v>
      </c>
      <c r="B589" t="s">
        <v>59</v>
      </c>
      <c r="C589" s="214">
        <v>227000</v>
      </c>
      <c r="D589" s="251">
        <v>298499.90000000002</v>
      </c>
    </row>
    <row r="590" spans="1:4">
      <c r="A590">
        <v>1623000320</v>
      </c>
      <c r="B590" t="s">
        <v>25</v>
      </c>
      <c r="C590">
        <v>0</v>
      </c>
      <c r="D590">
        <v>0</v>
      </c>
    </row>
    <row r="591" spans="1:4">
      <c r="A591">
        <v>1629999399</v>
      </c>
      <c r="B591" t="s">
        <v>47</v>
      </c>
      <c r="C591">
        <v>0</v>
      </c>
      <c r="D591">
        <v>0</v>
      </c>
    </row>
    <row r="592" spans="1:4">
      <c r="A592">
        <v>1711000110</v>
      </c>
      <c r="B592" t="s">
        <v>1725</v>
      </c>
      <c r="C592">
        <v>0</v>
      </c>
      <c r="D592">
        <v>0</v>
      </c>
    </row>
    <row r="593" spans="1:4">
      <c r="A593">
        <v>1712200110</v>
      </c>
      <c r="B593" t="s">
        <v>1728</v>
      </c>
      <c r="C593">
        <v>0</v>
      </c>
      <c r="D593">
        <v>0</v>
      </c>
    </row>
    <row r="594" spans="1:4">
      <c r="A594">
        <v>1713000110</v>
      </c>
      <c r="B594" t="s">
        <v>82</v>
      </c>
      <c r="C594" s="214">
        <v>127000</v>
      </c>
      <c r="D594" s="251">
        <v>129118.96</v>
      </c>
    </row>
    <row r="595" spans="1:4">
      <c r="A595">
        <v>1713000320</v>
      </c>
      <c r="B595" t="s">
        <v>1732</v>
      </c>
      <c r="C595">
        <v>0</v>
      </c>
      <c r="D595">
        <v>0</v>
      </c>
    </row>
    <row r="596" spans="1:4">
      <c r="A596">
        <v>1719999399</v>
      </c>
      <c r="B596" t="s">
        <v>47</v>
      </c>
      <c r="C596">
        <v>0</v>
      </c>
      <c r="D596">
        <v>0</v>
      </c>
    </row>
    <row r="597" spans="1:4">
      <c r="A597">
        <v>1722000110</v>
      </c>
      <c r="B597" t="s">
        <v>1734</v>
      </c>
      <c r="C597">
        <v>0</v>
      </c>
      <c r="D597" s="251">
        <v>265050.25</v>
      </c>
    </row>
    <row r="598" spans="1:4">
      <c r="A598">
        <v>1722002110</v>
      </c>
      <c r="B598" t="s">
        <v>1735</v>
      </c>
      <c r="C598" s="214">
        <v>250000</v>
      </c>
      <c r="D598">
        <v>0</v>
      </c>
    </row>
    <row r="599" spans="1:4">
      <c r="A599">
        <v>1725000110</v>
      </c>
      <c r="B599" t="s">
        <v>92</v>
      </c>
      <c r="C599" s="214">
        <v>188400</v>
      </c>
      <c r="D599" s="251">
        <v>168875.97</v>
      </c>
    </row>
    <row r="600" spans="1:4">
      <c r="A600">
        <v>1729999399</v>
      </c>
      <c r="B600" t="s">
        <v>47</v>
      </c>
      <c r="C600">
        <v>0</v>
      </c>
      <c r="D600">
        <v>0</v>
      </c>
    </row>
    <row r="601" spans="1:4">
      <c r="A601">
        <v>1731000110</v>
      </c>
      <c r="B601" t="s">
        <v>97</v>
      </c>
      <c r="C601" s="214">
        <v>640000</v>
      </c>
      <c r="D601" s="251">
        <v>732716.18</v>
      </c>
    </row>
    <row r="602" spans="1:4">
      <c r="A602">
        <v>1739999399</v>
      </c>
      <c r="B602" t="s">
        <v>47</v>
      </c>
      <c r="C602">
        <v>0</v>
      </c>
      <c r="D602">
        <v>0</v>
      </c>
    </row>
    <row r="603" spans="1:4">
      <c r="A603">
        <v>1741000110</v>
      </c>
      <c r="B603" t="s">
        <v>103</v>
      </c>
      <c r="C603" s="214">
        <v>112000</v>
      </c>
      <c r="D603" s="251">
        <v>123791.87</v>
      </c>
    </row>
    <row r="604" spans="1:4">
      <c r="A604">
        <v>1741000320</v>
      </c>
      <c r="B604" t="s">
        <v>25</v>
      </c>
      <c r="C604">
        <v>0</v>
      </c>
      <c r="D604">
        <v>0</v>
      </c>
    </row>
    <row r="605" spans="1:4">
      <c r="A605">
        <v>1742200110</v>
      </c>
      <c r="B605" t="s">
        <v>1740</v>
      </c>
      <c r="C605">
        <v>0</v>
      </c>
      <c r="D605">
        <v>0</v>
      </c>
    </row>
    <row r="606" spans="1:4">
      <c r="A606">
        <v>1746000110</v>
      </c>
      <c r="B606" t="s">
        <v>1744</v>
      </c>
      <c r="C606">
        <v>0</v>
      </c>
      <c r="D606">
        <v>0</v>
      </c>
    </row>
    <row r="607" spans="1:4">
      <c r="A607">
        <v>1746100110</v>
      </c>
      <c r="B607" t="s">
        <v>1747</v>
      </c>
      <c r="C607">
        <v>0</v>
      </c>
      <c r="D607">
        <v>0</v>
      </c>
    </row>
    <row r="608" spans="1:4">
      <c r="A608">
        <v>1747200110</v>
      </c>
      <c r="B608" t="s">
        <v>115</v>
      </c>
      <c r="C608" s="214">
        <v>377000</v>
      </c>
      <c r="D608" s="251">
        <v>483576.06</v>
      </c>
    </row>
    <row r="609" spans="1:4">
      <c r="A609">
        <v>1747200320</v>
      </c>
      <c r="B609" t="s">
        <v>25</v>
      </c>
      <c r="C609">
        <v>0</v>
      </c>
      <c r="D609">
        <v>0</v>
      </c>
    </row>
    <row r="610" spans="1:4">
      <c r="A610">
        <v>1749999399</v>
      </c>
      <c r="B610" t="s">
        <v>47</v>
      </c>
      <c r="C610">
        <v>0</v>
      </c>
      <c r="D610">
        <v>0</v>
      </c>
    </row>
    <row r="611" spans="1:4">
      <c r="A611">
        <v>1811000110</v>
      </c>
      <c r="B611" t="s">
        <v>131</v>
      </c>
      <c r="C611" s="214">
        <v>710000</v>
      </c>
      <c r="D611" s="251">
        <v>761938.78</v>
      </c>
    </row>
    <row r="612" spans="1:4">
      <c r="A612">
        <v>1811000320</v>
      </c>
      <c r="B612" t="s">
        <v>25</v>
      </c>
      <c r="C612">
        <v>0</v>
      </c>
      <c r="D612">
        <v>0</v>
      </c>
    </row>
    <row r="613" spans="1:4">
      <c r="A613">
        <v>1812200110</v>
      </c>
      <c r="B613" t="s">
        <v>140</v>
      </c>
      <c r="C613" s="214">
        <v>1415000</v>
      </c>
      <c r="D613" s="251">
        <v>1903194.57</v>
      </c>
    </row>
    <row r="614" spans="1:4">
      <c r="A614">
        <v>1812300110</v>
      </c>
      <c r="B614" t="s">
        <v>146</v>
      </c>
      <c r="C614" s="214">
        <v>3560000</v>
      </c>
      <c r="D614" s="251">
        <v>5368547.3899999997</v>
      </c>
    </row>
    <row r="615" spans="1:4">
      <c r="A615">
        <v>1812300320</v>
      </c>
      <c r="B615" t="s">
        <v>147</v>
      </c>
      <c r="C615">
        <v>0</v>
      </c>
      <c r="D615" s="251">
        <v>11328</v>
      </c>
    </row>
    <row r="616" spans="1:4">
      <c r="A616">
        <v>1812310110</v>
      </c>
      <c r="B616" t="s">
        <v>2054</v>
      </c>
      <c r="C616">
        <v>0</v>
      </c>
      <c r="D616">
        <v>0</v>
      </c>
    </row>
    <row r="617" spans="1:4">
      <c r="A617">
        <v>1812312110</v>
      </c>
      <c r="B617" t="s">
        <v>2035</v>
      </c>
      <c r="C617" s="214">
        <v>500000</v>
      </c>
      <c r="D617">
        <v>0</v>
      </c>
    </row>
    <row r="618" spans="1:4">
      <c r="A618">
        <v>1812400110</v>
      </c>
      <c r="B618" t="s">
        <v>1756</v>
      </c>
      <c r="C618" s="214">
        <v>50000</v>
      </c>
      <c r="D618" s="251">
        <v>32631.83</v>
      </c>
    </row>
    <row r="619" spans="1:4">
      <c r="A619">
        <v>1812500110</v>
      </c>
      <c r="B619" t="s">
        <v>162</v>
      </c>
      <c r="C619" s="214">
        <v>98000</v>
      </c>
      <c r="D619" s="251">
        <v>140498.69</v>
      </c>
    </row>
    <row r="620" spans="1:4">
      <c r="A620">
        <v>1813200110</v>
      </c>
      <c r="B620" t="s">
        <v>1760</v>
      </c>
      <c r="C620" s="214">
        <v>70000</v>
      </c>
      <c r="D620" s="251">
        <v>195574.04</v>
      </c>
    </row>
    <row r="621" spans="1:4">
      <c r="A621">
        <v>1813210110</v>
      </c>
      <c r="B621" t="s">
        <v>168</v>
      </c>
      <c r="C621" s="214">
        <v>700000</v>
      </c>
      <c r="D621" s="251">
        <v>669345.5</v>
      </c>
    </row>
    <row r="622" spans="1:4">
      <c r="A622">
        <v>1813220110</v>
      </c>
      <c r="B622" t="s">
        <v>182</v>
      </c>
      <c r="C622" s="214">
        <v>457000</v>
      </c>
      <c r="D622" s="251">
        <v>514203.23</v>
      </c>
    </row>
    <row r="623" spans="1:4">
      <c r="A623">
        <v>1813220320</v>
      </c>
      <c r="B623" t="s">
        <v>183</v>
      </c>
      <c r="C623">
        <v>0</v>
      </c>
      <c r="D623" s="251">
        <v>4366</v>
      </c>
    </row>
    <row r="624" spans="1:4">
      <c r="A624">
        <v>1813230110</v>
      </c>
      <c r="B624" t="s">
        <v>196</v>
      </c>
      <c r="C624" s="214">
        <v>525000</v>
      </c>
      <c r="D624" s="251">
        <v>583236.43999999994</v>
      </c>
    </row>
    <row r="625" spans="1:4">
      <c r="A625">
        <v>1813230320</v>
      </c>
      <c r="B625" t="s">
        <v>25</v>
      </c>
      <c r="C625">
        <v>0</v>
      </c>
      <c r="D625">
        <v>0</v>
      </c>
    </row>
    <row r="626" spans="1:4">
      <c r="A626">
        <v>1813240110</v>
      </c>
      <c r="B626" t="s">
        <v>209</v>
      </c>
      <c r="C626">
        <v>0</v>
      </c>
      <c r="D626" s="251">
        <v>310241.32</v>
      </c>
    </row>
    <row r="627" spans="1:4">
      <c r="A627">
        <v>1813250110</v>
      </c>
      <c r="B627" t="s">
        <v>1762</v>
      </c>
      <c r="C627">
        <v>0</v>
      </c>
      <c r="D627" s="251">
        <v>91115.85</v>
      </c>
    </row>
    <row r="628" spans="1:4">
      <c r="A628">
        <v>1813300110</v>
      </c>
      <c r="B628" t="s">
        <v>216</v>
      </c>
      <c r="C628" s="214">
        <v>1265000</v>
      </c>
      <c r="D628" s="251">
        <v>1412849.12</v>
      </c>
    </row>
    <row r="629" spans="1:4">
      <c r="A629">
        <v>1813300320</v>
      </c>
      <c r="B629" t="s">
        <v>25</v>
      </c>
      <c r="C629">
        <v>0</v>
      </c>
      <c r="D629">
        <v>0</v>
      </c>
    </row>
    <row r="630" spans="1:4">
      <c r="A630">
        <v>1813800110</v>
      </c>
      <c r="B630" t="s">
        <v>2037</v>
      </c>
      <c r="C630">
        <v>0</v>
      </c>
      <c r="D630" s="251">
        <v>152504.98000000001</v>
      </c>
    </row>
    <row r="631" spans="1:4">
      <c r="A631">
        <v>1813810110</v>
      </c>
      <c r="B631" t="s">
        <v>2038</v>
      </c>
      <c r="C631">
        <v>0</v>
      </c>
      <c r="D631" s="251">
        <v>94618.2</v>
      </c>
    </row>
    <row r="632" spans="1:4">
      <c r="A632">
        <v>1814000110</v>
      </c>
      <c r="B632" t="s">
        <v>222</v>
      </c>
      <c r="C632" s="214">
        <v>650000</v>
      </c>
      <c r="D632" s="251">
        <v>882285.43</v>
      </c>
    </row>
    <row r="633" spans="1:4">
      <c r="A633">
        <v>1814000320</v>
      </c>
      <c r="B633" t="s">
        <v>1767</v>
      </c>
      <c r="C633">
        <v>0</v>
      </c>
      <c r="D633" s="251">
        <v>7500</v>
      </c>
    </row>
    <row r="634" spans="1:4">
      <c r="A634">
        <v>1815200110</v>
      </c>
      <c r="B634" t="s">
        <v>233</v>
      </c>
      <c r="C634" s="214">
        <v>7890000</v>
      </c>
      <c r="D634" s="251">
        <v>9028580.1999999993</v>
      </c>
    </row>
    <row r="635" spans="1:4">
      <c r="A635">
        <v>1815200320</v>
      </c>
      <c r="B635" t="s">
        <v>25</v>
      </c>
      <c r="C635">
        <v>0</v>
      </c>
      <c r="D635" s="251">
        <v>2098</v>
      </c>
    </row>
    <row r="636" spans="1:4">
      <c r="A636">
        <v>1815210110</v>
      </c>
      <c r="B636" t="s">
        <v>1770</v>
      </c>
      <c r="C636">
        <v>0</v>
      </c>
      <c r="D636">
        <v>0</v>
      </c>
    </row>
    <row r="637" spans="1:4">
      <c r="A637">
        <v>1815299399</v>
      </c>
      <c r="B637" t="s">
        <v>47</v>
      </c>
      <c r="C637">
        <v>0</v>
      </c>
      <c r="D637">
        <v>0</v>
      </c>
    </row>
    <row r="638" spans="1:4">
      <c r="A638">
        <v>1817300110</v>
      </c>
      <c r="B638" t="s">
        <v>247</v>
      </c>
      <c r="C638" s="214">
        <v>697000</v>
      </c>
      <c r="D638" s="251">
        <v>665873.89</v>
      </c>
    </row>
    <row r="639" spans="1:4">
      <c r="A639">
        <v>1817300320</v>
      </c>
      <c r="B639" t="s">
        <v>248</v>
      </c>
      <c r="C639">
        <v>0</v>
      </c>
      <c r="D639" s="251">
        <v>11199</v>
      </c>
    </row>
    <row r="640" spans="1:4">
      <c r="A640">
        <v>1817400320</v>
      </c>
      <c r="B640" t="s">
        <v>252</v>
      </c>
      <c r="C640">
        <v>0</v>
      </c>
      <c r="D640">
        <v>0</v>
      </c>
    </row>
    <row r="641" spans="1:4">
      <c r="A641">
        <v>1817600110</v>
      </c>
      <c r="B641" t="s">
        <v>2050</v>
      </c>
      <c r="C641">
        <v>0</v>
      </c>
      <c r="D641">
        <v>0</v>
      </c>
    </row>
    <row r="642" spans="1:4">
      <c r="A642">
        <v>1817610110</v>
      </c>
      <c r="B642" t="s">
        <v>257</v>
      </c>
      <c r="C642">
        <v>0</v>
      </c>
      <c r="D642">
        <v>0</v>
      </c>
    </row>
    <row r="643" spans="1:4">
      <c r="A643">
        <v>1817630110</v>
      </c>
      <c r="B643" t="s">
        <v>1782</v>
      </c>
      <c r="C643">
        <v>0</v>
      </c>
      <c r="D643" s="251">
        <v>62975.96</v>
      </c>
    </row>
    <row r="644" spans="1:4">
      <c r="A644">
        <v>1817700110</v>
      </c>
      <c r="B644" t="s">
        <v>261</v>
      </c>
      <c r="C644" s="214">
        <v>300000</v>
      </c>
      <c r="D644">
        <v>0</v>
      </c>
    </row>
    <row r="645" spans="1:4">
      <c r="A645">
        <v>1817710110</v>
      </c>
      <c r="B645" t="s">
        <v>265</v>
      </c>
      <c r="C645">
        <v>0</v>
      </c>
      <c r="D645">
        <v>0</v>
      </c>
    </row>
    <row r="646" spans="1:4">
      <c r="A646">
        <v>1817800110</v>
      </c>
      <c r="B646" t="s">
        <v>268</v>
      </c>
      <c r="C646" s="214">
        <v>650000</v>
      </c>
      <c r="D646" s="251">
        <v>829151.33</v>
      </c>
    </row>
    <row r="647" spans="1:4">
      <c r="A647">
        <v>1817800320</v>
      </c>
      <c r="B647" t="s">
        <v>159</v>
      </c>
      <c r="C647">
        <v>0</v>
      </c>
      <c r="D647" s="251">
        <v>1337</v>
      </c>
    </row>
    <row r="648" spans="1:4">
      <c r="A648">
        <v>1817900110</v>
      </c>
      <c r="B648" t="s">
        <v>270</v>
      </c>
      <c r="C648" s="214">
        <v>76000</v>
      </c>
      <c r="D648" s="251">
        <v>117177.27</v>
      </c>
    </row>
    <row r="649" spans="1:4">
      <c r="A649">
        <v>1817900320</v>
      </c>
      <c r="B649" t="s">
        <v>159</v>
      </c>
      <c r="C649">
        <v>0</v>
      </c>
      <c r="D649">
        <v>0</v>
      </c>
    </row>
    <row r="650" spans="1:4">
      <c r="A650">
        <v>1817910110</v>
      </c>
      <c r="B650" t="s">
        <v>1784</v>
      </c>
      <c r="C650" s="214">
        <v>77000</v>
      </c>
      <c r="D650" s="251">
        <v>422109.19</v>
      </c>
    </row>
    <row r="651" spans="1:4">
      <c r="A651">
        <v>1817910320</v>
      </c>
      <c r="B651" t="s">
        <v>1785</v>
      </c>
      <c r="C651">
        <v>0</v>
      </c>
      <c r="D651">
        <v>0</v>
      </c>
    </row>
    <row r="652" spans="1:4">
      <c r="A652">
        <v>1817911110</v>
      </c>
      <c r="B652" t="s">
        <v>1786</v>
      </c>
      <c r="C652" s="214">
        <v>85000</v>
      </c>
      <c r="D652">
        <v>0</v>
      </c>
    </row>
    <row r="653" spans="1:4">
      <c r="A653">
        <v>1817912110</v>
      </c>
      <c r="B653" t="s">
        <v>1788</v>
      </c>
      <c r="C653">
        <v>0</v>
      </c>
      <c r="D653" s="251">
        <v>62779.72</v>
      </c>
    </row>
    <row r="654" spans="1:4">
      <c r="A654">
        <v>1817913110</v>
      </c>
      <c r="B654" t="s">
        <v>1790</v>
      </c>
      <c r="C654">
        <v>0</v>
      </c>
      <c r="D654">
        <v>0</v>
      </c>
    </row>
    <row r="655" spans="1:4">
      <c r="A655">
        <v>1817917110</v>
      </c>
      <c r="B655" t="s">
        <v>2042</v>
      </c>
      <c r="C655" s="214">
        <v>150000</v>
      </c>
      <c r="D655" s="251">
        <v>72291.81</v>
      </c>
    </row>
    <row r="656" spans="1:4">
      <c r="A656">
        <v>1817918110</v>
      </c>
      <c r="B656" t="s">
        <v>1925</v>
      </c>
      <c r="C656" s="214">
        <v>154210</v>
      </c>
      <c r="D656" s="251">
        <v>107238.57</v>
      </c>
    </row>
    <row r="657" spans="1:4">
      <c r="A657">
        <v>1817919110</v>
      </c>
      <c r="B657" t="s">
        <v>1923</v>
      </c>
      <c r="C657" s="214">
        <v>108000</v>
      </c>
      <c r="D657" s="251">
        <v>39574.129999999997</v>
      </c>
    </row>
    <row r="658" spans="1:4">
      <c r="A658">
        <v>1819999399</v>
      </c>
      <c r="B658" t="s">
        <v>47</v>
      </c>
      <c r="C658">
        <v>0</v>
      </c>
      <c r="D658">
        <v>0</v>
      </c>
    </row>
    <row r="659" spans="1:4">
      <c r="A659">
        <v>1823000110</v>
      </c>
      <c r="B659" t="s">
        <v>1792</v>
      </c>
      <c r="C659">
        <v>0</v>
      </c>
      <c r="D659">
        <v>0</v>
      </c>
    </row>
    <row r="660" spans="1:4">
      <c r="A660">
        <v>1824000110</v>
      </c>
      <c r="B660" t="s">
        <v>1798</v>
      </c>
      <c r="C660">
        <v>0</v>
      </c>
      <c r="D660" s="251">
        <v>49353.46</v>
      </c>
    </row>
    <row r="661" spans="1:4">
      <c r="A661">
        <v>1824000320</v>
      </c>
      <c r="B661" t="s">
        <v>1799</v>
      </c>
      <c r="C661">
        <v>0</v>
      </c>
      <c r="D661">
        <v>0</v>
      </c>
    </row>
    <row r="662" spans="1:4">
      <c r="A662">
        <v>1824030110</v>
      </c>
      <c r="B662" t="s">
        <v>1802</v>
      </c>
      <c r="C662" s="214">
        <v>108000</v>
      </c>
      <c r="D662" s="251">
        <v>116643.62</v>
      </c>
    </row>
    <row r="663" spans="1:4">
      <c r="A663">
        <v>1828100110</v>
      </c>
      <c r="B663" t="s">
        <v>1629</v>
      </c>
      <c r="C663" s="214">
        <v>185000</v>
      </c>
      <c r="D663" s="251">
        <v>288044.71000000002</v>
      </c>
    </row>
    <row r="664" spans="1:4">
      <c r="A664">
        <v>1828300110</v>
      </c>
      <c r="B664" t="s">
        <v>279</v>
      </c>
      <c r="C664" s="214">
        <v>88000</v>
      </c>
      <c r="D664" s="251">
        <v>121940.82</v>
      </c>
    </row>
    <row r="665" spans="1:4">
      <c r="A665">
        <v>1828300320</v>
      </c>
      <c r="B665" t="s">
        <v>25</v>
      </c>
      <c r="C665">
        <v>0</v>
      </c>
      <c r="D665">
        <v>0</v>
      </c>
    </row>
    <row r="666" spans="1:4">
      <c r="A666">
        <v>1828400110</v>
      </c>
      <c r="B666" t="s">
        <v>1656</v>
      </c>
      <c r="C666" s="214">
        <v>35000</v>
      </c>
      <c r="D666" s="251">
        <v>3716.89</v>
      </c>
    </row>
    <row r="667" spans="1:4">
      <c r="A667">
        <v>1829100110</v>
      </c>
      <c r="B667" t="s">
        <v>284</v>
      </c>
      <c r="C667" s="214">
        <v>238000</v>
      </c>
      <c r="D667" s="251">
        <v>169419.05</v>
      </c>
    </row>
    <row r="668" spans="1:4">
      <c r="A668">
        <v>1829200110</v>
      </c>
      <c r="B668" t="s">
        <v>285</v>
      </c>
      <c r="C668">
        <v>0</v>
      </c>
      <c r="D668">
        <v>0</v>
      </c>
    </row>
    <row r="669" spans="1:4">
      <c r="A669">
        <v>1829210110</v>
      </c>
      <c r="B669" t="s">
        <v>293</v>
      </c>
      <c r="C669" s="214">
        <v>120000</v>
      </c>
      <c r="D669" s="251">
        <v>137659.81</v>
      </c>
    </row>
    <row r="670" spans="1:4">
      <c r="A670">
        <v>1829210320</v>
      </c>
      <c r="B670" t="s">
        <v>25</v>
      </c>
      <c r="C670">
        <v>0</v>
      </c>
      <c r="D670">
        <v>0</v>
      </c>
    </row>
    <row r="671" spans="1:4">
      <c r="A671">
        <v>1829999399</v>
      </c>
      <c r="B671" t="s">
        <v>47</v>
      </c>
      <c r="C671">
        <v>0</v>
      </c>
      <c r="D671">
        <v>0</v>
      </c>
    </row>
    <row r="672" spans="1:4">
      <c r="A672">
        <v>1832300110</v>
      </c>
      <c r="B672" t="s">
        <v>296</v>
      </c>
      <c r="C672">
        <v>0</v>
      </c>
      <c r="D672">
        <v>0</v>
      </c>
    </row>
    <row r="673" spans="1:4">
      <c r="A673">
        <v>1832400110</v>
      </c>
      <c r="B673" t="s">
        <v>300</v>
      </c>
      <c r="C673" s="214">
        <v>190000</v>
      </c>
      <c r="D673" s="251">
        <v>76611.41</v>
      </c>
    </row>
    <row r="674" spans="1:4">
      <c r="A674">
        <v>1832400320</v>
      </c>
      <c r="B674" t="s">
        <v>25</v>
      </c>
      <c r="C674">
        <v>0</v>
      </c>
      <c r="D674">
        <v>0</v>
      </c>
    </row>
    <row r="675" spans="1:4">
      <c r="A675">
        <v>1839999399</v>
      </c>
      <c r="B675" t="s">
        <v>47</v>
      </c>
      <c r="C675">
        <v>0</v>
      </c>
      <c r="D675">
        <v>0</v>
      </c>
    </row>
    <row r="676" spans="1:4">
      <c r="A676">
        <v>1841001110</v>
      </c>
      <c r="B676" t="s">
        <v>309</v>
      </c>
      <c r="C676" s="214">
        <v>1845000</v>
      </c>
      <c r="D676" s="251">
        <v>2117625.73</v>
      </c>
    </row>
    <row r="677" spans="1:4">
      <c r="A677">
        <v>1841001320</v>
      </c>
      <c r="B677" t="s">
        <v>25</v>
      </c>
      <c r="C677">
        <v>0</v>
      </c>
      <c r="D677" s="251">
        <v>4464</v>
      </c>
    </row>
    <row r="678" spans="1:4">
      <c r="A678">
        <v>1843501110</v>
      </c>
      <c r="B678" t="s">
        <v>326</v>
      </c>
      <c r="C678" s="214">
        <v>116000</v>
      </c>
      <c r="D678" s="251">
        <v>122348.3</v>
      </c>
    </row>
    <row r="679" spans="1:4">
      <c r="A679">
        <v>1843504110</v>
      </c>
      <c r="B679" t="s">
        <v>1818</v>
      </c>
      <c r="C679">
        <v>0</v>
      </c>
      <c r="D679">
        <v>0</v>
      </c>
    </row>
    <row r="680" spans="1:4">
      <c r="A680">
        <v>1844401110</v>
      </c>
      <c r="B680" t="s">
        <v>341</v>
      </c>
      <c r="C680" s="214">
        <v>70000</v>
      </c>
      <c r="D680" s="251">
        <v>70236.7</v>
      </c>
    </row>
    <row r="681" spans="1:4">
      <c r="A681">
        <v>1844401320</v>
      </c>
      <c r="B681" t="s">
        <v>25</v>
      </c>
      <c r="C681">
        <v>0</v>
      </c>
      <c r="D681">
        <v>0</v>
      </c>
    </row>
    <row r="682" spans="1:4">
      <c r="A682">
        <v>1844500110</v>
      </c>
      <c r="B682" t="s">
        <v>347</v>
      </c>
      <c r="C682">
        <v>0</v>
      </c>
      <c r="D682">
        <v>0</v>
      </c>
    </row>
    <row r="683" spans="1:4">
      <c r="A683">
        <v>1845200110</v>
      </c>
      <c r="B683" t="s">
        <v>1834</v>
      </c>
      <c r="C683">
        <v>0</v>
      </c>
      <c r="D683">
        <v>0</v>
      </c>
    </row>
    <row r="684" spans="1:4">
      <c r="A684">
        <v>1845201110</v>
      </c>
      <c r="B684" t="s">
        <v>355</v>
      </c>
      <c r="C684" s="214">
        <v>216000</v>
      </c>
      <c r="D684" s="251">
        <v>196800.34</v>
      </c>
    </row>
    <row r="685" spans="1:4">
      <c r="A685">
        <v>1847301110</v>
      </c>
      <c r="B685" t="s">
        <v>1858</v>
      </c>
      <c r="C685">
        <v>0</v>
      </c>
      <c r="D685">
        <v>0</v>
      </c>
    </row>
    <row r="686" spans="1:4">
      <c r="A686">
        <v>1848502110</v>
      </c>
      <c r="B686" t="s">
        <v>390</v>
      </c>
      <c r="C686">
        <v>0</v>
      </c>
      <c r="D686" s="251">
        <v>206269.34</v>
      </c>
    </row>
    <row r="687" spans="1:4">
      <c r="A687">
        <v>1848502320</v>
      </c>
      <c r="B687" t="s">
        <v>25</v>
      </c>
      <c r="C687">
        <v>0</v>
      </c>
      <c r="D687">
        <v>0</v>
      </c>
    </row>
    <row r="688" spans="1:4">
      <c r="A688">
        <v>1849999399</v>
      </c>
      <c r="B688" t="s">
        <v>47</v>
      </c>
      <c r="C688">
        <v>0</v>
      </c>
      <c r="D688">
        <v>0</v>
      </c>
    </row>
    <row r="689" spans="1:4">
      <c r="A689">
        <v>1853000110</v>
      </c>
      <c r="B689" t="s">
        <v>1861</v>
      </c>
      <c r="C689">
        <v>0</v>
      </c>
      <c r="D689">
        <v>0</v>
      </c>
    </row>
    <row r="690" spans="1:4">
      <c r="A690">
        <v>1853000320</v>
      </c>
      <c r="B690" t="s">
        <v>25</v>
      </c>
      <c r="C690">
        <v>0</v>
      </c>
      <c r="D690">
        <v>0</v>
      </c>
    </row>
    <row r="691" spans="1:4">
      <c r="A691">
        <v>1859999399</v>
      </c>
      <c r="B691" t="s">
        <v>47</v>
      </c>
      <c r="C691">
        <v>0</v>
      </c>
      <c r="D691">
        <v>0</v>
      </c>
    </row>
    <row r="692" spans="1:4">
      <c r="A692">
        <v>1911000110</v>
      </c>
      <c r="B692" t="s">
        <v>396</v>
      </c>
      <c r="C692" s="214">
        <v>92000</v>
      </c>
      <c r="D692" s="251">
        <v>98931.5</v>
      </c>
    </row>
    <row r="693" spans="1:4">
      <c r="A693">
        <v>1911000320</v>
      </c>
      <c r="B693" t="s">
        <v>1865</v>
      </c>
      <c r="C693">
        <v>0</v>
      </c>
      <c r="D693">
        <v>0</v>
      </c>
    </row>
    <row r="694" spans="1:4">
      <c r="A694">
        <v>1913000110</v>
      </c>
      <c r="B694" t="s">
        <v>1866</v>
      </c>
      <c r="C694">
        <v>0</v>
      </c>
      <c r="D694">
        <v>0</v>
      </c>
    </row>
    <row r="695" spans="1:4">
      <c r="A695">
        <v>1919999399</v>
      </c>
      <c r="B695" t="s">
        <v>47</v>
      </c>
      <c r="C695">
        <v>0</v>
      </c>
      <c r="D695">
        <v>0</v>
      </c>
    </row>
    <row r="696" spans="1:4">
      <c r="A696">
        <v>1999000110</v>
      </c>
      <c r="B696" t="s">
        <v>412</v>
      </c>
      <c r="C696">
        <v>0</v>
      </c>
      <c r="D696" s="251">
        <v>18237.310000000001</v>
      </c>
    </row>
    <row r="697" spans="1:4">
      <c r="A697">
        <v>1999000310</v>
      </c>
      <c r="B697" t="s">
        <v>413</v>
      </c>
      <c r="C697" s="214">
        <v>552000</v>
      </c>
      <c r="D697" s="251">
        <v>580560.6</v>
      </c>
    </row>
    <row r="699" spans="1:4">
      <c r="D699">
        <f t="shared" ref="D699" si="2">SUBTOTAL(9,D576:D698)</f>
        <v>34163430.390000001</v>
      </c>
    </row>
  </sheetData>
  <autoFilter ref="A1:H177" xr:uid="{00000000-0009-0000-0000-00001D000000}">
    <filterColumn colId="7">
      <filters>
        <filter val="#N/A"/>
      </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I30"/>
  <sheetViews>
    <sheetView rightToLeft="1" view="pageBreakPreview" zoomScale="60" zoomScaleNormal="100" workbookViewId="0">
      <selection activeCell="M30" sqref="M30"/>
    </sheetView>
  </sheetViews>
  <sheetFormatPr defaultColWidth="9" defaultRowHeight="15.75"/>
  <cols>
    <col min="1" max="1" width="3" style="21" customWidth="1"/>
    <col min="2" max="2" width="4.625" style="21" bestFit="1" customWidth="1"/>
    <col min="3" max="3" width="6.875" style="21" bestFit="1" customWidth="1"/>
    <col min="4" max="4" width="6.75" style="21" customWidth="1"/>
    <col min="5" max="5" width="24.375" style="21" bestFit="1" customWidth="1"/>
    <col min="6" max="6" width="9" style="21" customWidth="1"/>
    <col min="7" max="7" width="9" style="21"/>
    <col min="8" max="8" width="9" style="21" customWidth="1"/>
    <col min="9" max="16384" width="9" style="21"/>
  </cols>
  <sheetData>
    <row r="2" spans="2:9" ht="18.75">
      <c r="B2" s="272" t="s">
        <v>1547</v>
      </c>
      <c r="C2" s="272"/>
      <c r="D2" s="272"/>
      <c r="E2" s="272"/>
      <c r="F2" s="272"/>
      <c r="G2" s="272"/>
      <c r="H2" s="272"/>
    </row>
    <row r="3" spans="2:9">
      <c r="I3" s="21">
        <v>2016</v>
      </c>
    </row>
    <row r="4" spans="2:9" ht="31.5">
      <c r="B4" s="111" t="str">
        <f>הכנסות!C2</f>
        <v>סעיף</v>
      </c>
      <c r="C4" s="111" t="str">
        <f>הכנסות!D2</f>
        <v>פרק</v>
      </c>
      <c r="D4" s="111" t="str">
        <f>הכנסות!E2</f>
        <v>ראש פרק</v>
      </c>
      <c r="E4" s="111" t="str">
        <f>הכנסות!F2</f>
        <v>שם חשבון</v>
      </c>
      <c r="F4" s="111" t="str">
        <f>הכנסות!$H$2</f>
        <v>תקציב 2014</v>
      </c>
      <c r="G4" s="111" t="str">
        <f>הכנסות!$J$2</f>
        <v>ביצוע 2014</v>
      </c>
      <c r="H4" s="111" t="str">
        <f>הכנסות!$L$2</f>
        <v>תקציב שנתי 2016</v>
      </c>
      <c r="I4" s="111" t="str">
        <f>הכנסות!$L$2</f>
        <v>תקציב שנתי 2016</v>
      </c>
    </row>
    <row r="5" spans="2:9">
      <c r="B5" s="50" t="e">
        <f>הכנסות!#REF!</f>
        <v>#REF!</v>
      </c>
      <c r="C5" s="50" t="e">
        <f>הכנסות!#REF!</f>
        <v>#REF!</v>
      </c>
      <c r="D5" s="50" t="e">
        <f>הכנסות!#REF!</f>
        <v>#REF!</v>
      </c>
      <c r="E5" s="51" t="e">
        <f>הכנסות!#REF!</f>
        <v>#REF!</v>
      </c>
      <c r="F5" s="110" t="e">
        <f>הכנסות!#REF!</f>
        <v>#REF!</v>
      </c>
      <c r="G5" s="110" t="e">
        <f>הכנסות!#REF!</f>
        <v>#REF!</v>
      </c>
      <c r="H5" s="110" t="e">
        <f>הכנסות!#REF!</f>
        <v>#REF!</v>
      </c>
      <c r="I5" s="110" t="e">
        <f>הכנסות!#REF!</f>
        <v>#REF!</v>
      </c>
    </row>
    <row r="6" spans="2:9">
      <c r="B6" s="50" t="e">
        <f>הכנסות!#REF!</f>
        <v>#REF!</v>
      </c>
      <c r="C6" s="50" t="e">
        <f>הכנסות!#REF!</f>
        <v>#REF!</v>
      </c>
      <c r="D6" s="50" t="e">
        <f>הכנסות!#REF!</f>
        <v>#REF!</v>
      </c>
      <c r="E6" s="51" t="e">
        <f>הכנסות!#REF!</f>
        <v>#REF!</v>
      </c>
      <c r="F6" s="110" t="e">
        <f>הכנסות!#REF!</f>
        <v>#REF!</v>
      </c>
      <c r="G6" s="110" t="e">
        <f>הכנסות!#REF!</f>
        <v>#REF!</v>
      </c>
      <c r="H6" s="110" t="e">
        <f>הכנסות!#REF!</f>
        <v>#REF!</v>
      </c>
      <c r="I6" s="110" t="e">
        <f>הכנסות!#REF!</f>
        <v>#REF!</v>
      </c>
    </row>
    <row r="7" spans="2:9">
      <c r="B7" s="50" t="str">
        <f>הכנסות!C16</f>
        <v>220</v>
      </c>
      <c r="C7" s="50" t="str">
        <f>הכנסות!D16</f>
        <v>212300</v>
      </c>
      <c r="D7" s="50" t="str">
        <f>הכנסות!E16</f>
        <v>21</v>
      </c>
      <c r="E7" s="51" t="str">
        <f>הכנסות!F16</f>
        <v>השתת' תושבים בפינוי אשפה</v>
      </c>
      <c r="F7" s="110">
        <f>הכנסות!$H$16</f>
        <v>10997</v>
      </c>
      <c r="G7" s="110">
        <f>הכנסות!$J$16</f>
        <v>7854.49</v>
      </c>
      <c r="H7" s="110">
        <f>הכנסות!$L$16</f>
        <v>10000</v>
      </c>
      <c r="I7" s="110">
        <f>הכנסות!$L$16</f>
        <v>10000</v>
      </c>
    </row>
    <row r="8" spans="2:9">
      <c r="B8" s="50" t="e">
        <f>הכנסות!#REF!</f>
        <v>#REF!</v>
      </c>
      <c r="C8" s="50" t="e">
        <f>הכנסות!#REF!</f>
        <v>#REF!</v>
      </c>
      <c r="D8" s="50" t="e">
        <f>הכנסות!#REF!</f>
        <v>#REF!</v>
      </c>
      <c r="E8" s="51" t="e">
        <f>הכנסות!#REF!</f>
        <v>#REF!</v>
      </c>
      <c r="F8" s="110" t="e">
        <f>הכנסות!#REF!</f>
        <v>#REF!</v>
      </c>
      <c r="G8" s="110" t="e">
        <f>הכנסות!#REF!</f>
        <v>#REF!</v>
      </c>
      <c r="H8" s="110" t="e">
        <f>הכנסות!#REF!</f>
        <v>#REF!</v>
      </c>
      <c r="I8" s="110" t="e">
        <f>הכנסות!#REF!</f>
        <v>#REF!</v>
      </c>
    </row>
    <row r="9" spans="2:9">
      <c r="B9" s="50" t="e">
        <f>הכנסות!#REF!</f>
        <v>#REF!</v>
      </c>
      <c r="C9" s="50" t="e">
        <f>הכנסות!#REF!</f>
        <v>#REF!</v>
      </c>
      <c r="D9" s="50" t="e">
        <f>הכנסות!#REF!</f>
        <v>#REF!</v>
      </c>
      <c r="E9" s="51" t="e">
        <f>הכנסות!#REF!</f>
        <v>#REF!</v>
      </c>
      <c r="F9" s="110" t="e">
        <f>הכנסות!#REF!</f>
        <v>#REF!</v>
      </c>
      <c r="G9" s="110" t="e">
        <f>הכנסות!#REF!</f>
        <v>#REF!</v>
      </c>
      <c r="H9" s="110" t="e">
        <f>הכנסות!#REF!</f>
        <v>#REF!</v>
      </c>
      <c r="I9" s="110" t="e">
        <f>הכנסות!#REF!</f>
        <v>#REF!</v>
      </c>
    </row>
    <row r="10" spans="2:9">
      <c r="B10" s="50" t="str">
        <f>הכנסות!C17</f>
        <v>710</v>
      </c>
      <c r="C10" s="50" t="str">
        <f>הכנסות!D17</f>
        <v>233100</v>
      </c>
      <c r="D10" s="50" t="str">
        <f>הכנסות!E17</f>
        <v>23</v>
      </c>
      <c r="E10" s="51" t="str">
        <f>הכנסות!F17</f>
        <v>אגרות הועדה</v>
      </c>
      <c r="F10" s="110">
        <f>הכנסות!H17</f>
        <v>200000</v>
      </c>
      <c r="G10" s="110">
        <f>הכנסות!J17</f>
        <v>1146000</v>
      </c>
      <c r="H10" s="110">
        <f>הכנסות!L17</f>
        <v>700000</v>
      </c>
      <c r="I10" s="110">
        <f>הכנסות!N17</f>
        <v>500000</v>
      </c>
    </row>
    <row r="11" spans="2:9">
      <c r="B11" s="50" t="e">
        <f>הכנסות!#REF!</f>
        <v>#REF!</v>
      </c>
      <c r="C11" s="50" t="e">
        <f>הכנסות!#REF!</f>
        <v>#REF!</v>
      </c>
      <c r="D11" s="50" t="e">
        <f>הכנסות!#REF!</f>
        <v>#REF!</v>
      </c>
      <c r="E11" s="51" t="e">
        <f>הכנסות!#REF!</f>
        <v>#REF!</v>
      </c>
      <c r="F11" s="110" t="e">
        <f>הכנסות!#REF!</f>
        <v>#REF!</v>
      </c>
      <c r="G11" s="110" t="e">
        <f>הכנסות!#REF!</f>
        <v>#REF!</v>
      </c>
      <c r="H11" s="110" t="e">
        <f>הכנסות!#REF!</f>
        <v>#REF!</v>
      </c>
      <c r="I11" s="110" t="e">
        <f>הכנסות!#REF!</f>
        <v>#REF!</v>
      </c>
    </row>
    <row r="12" spans="2:9">
      <c r="B12" s="50" t="e">
        <f>הכנסות!#REF!</f>
        <v>#REF!</v>
      </c>
      <c r="C12" s="50" t="e">
        <f>הכנסות!#REF!</f>
        <v>#REF!</v>
      </c>
      <c r="D12" s="50" t="e">
        <f>הכנסות!#REF!</f>
        <v>#REF!</v>
      </c>
      <c r="E12" s="51" t="e">
        <f>הכנסות!#REF!</f>
        <v>#REF!</v>
      </c>
      <c r="F12" s="110" t="e">
        <f>הכנסות!#REF!</f>
        <v>#REF!</v>
      </c>
      <c r="G12" s="110" t="e">
        <f>הכנסות!#REF!</f>
        <v>#REF!</v>
      </c>
      <c r="H12" s="110" t="e">
        <f>הכנסות!#REF!</f>
        <v>#REF!</v>
      </c>
      <c r="I12" s="110" t="e">
        <f>הכנסות!#REF!</f>
        <v>#REF!</v>
      </c>
    </row>
    <row r="13" spans="2:9">
      <c r="B13" s="50" t="e">
        <f>הכנסות!#REF!</f>
        <v>#REF!</v>
      </c>
      <c r="C13" s="50" t="e">
        <f>הכנסות!#REF!</f>
        <v>#REF!</v>
      </c>
      <c r="D13" s="50" t="e">
        <f>הכנסות!#REF!</f>
        <v>#REF!</v>
      </c>
      <c r="E13" s="51" t="e">
        <f>הכנסות!#REF!</f>
        <v>#REF!</v>
      </c>
      <c r="F13" s="110" t="e">
        <f>הכנסות!#REF!</f>
        <v>#REF!</v>
      </c>
      <c r="G13" s="110" t="e">
        <f>הכנסות!#REF!</f>
        <v>#REF!</v>
      </c>
      <c r="H13" s="110" t="e">
        <f>הכנסות!#REF!</f>
        <v>#REF!</v>
      </c>
      <c r="I13" s="110" t="e">
        <f>הכנסות!#REF!</f>
        <v>#REF!</v>
      </c>
    </row>
    <row r="14" spans="2:9">
      <c r="B14" s="50" t="str">
        <f>הכנסות!C18</f>
        <v>290</v>
      </c>
      <c r="C14" s="50" t="str">
        <f>הכנסות!D18</f>
        <v>233410</v>
      </c>
      <c r="D14" s="50" t="str">
        <f>הכנסות!E18</f>
        <v>23</v>
      </c>
      <c r="E14" s="51" t="str">
        <f>הכנסות!F18</f>
        <v>היטל השבחה-ועדה לתכ ובניה</v>
      </c>
      <c r="F14" s="110">
        <f>הכנסות!H18</f>
        <v>650000</v>
      </c>
      <c r="G14" s="110">
        <f>הכנסות!J18</f>
        <v>682988</v>
      </c>
      <c r="H14" s="110">
        <f>הכנסות!L18</f>
        <v>1000000</v>
      </c>
      <c r="I14" s="110">
        <f>הכנסות!N18</f>
        <v>700000</v>
      </c>
    </row>
    <row r="15" spans="2:9">
      <c r="B15" s="50" t="e">
        <f>הכנסות!#REF!</f>
        <v>#REF!</v>
      </c>
      <c r="C15" s="50" t="e">
        <f>הכנסות!#REF!</f>
        <v>#REF!</v>
      </c>
      <c r="D15" s="50" t="e">
        <f>הכנסות!#REF!</f>
        <v>#REF!</v>
      </c>
      <c r="E15" s="51" t="e">
        <f>הכנסות!#REF!</f>
        <v>#REF!</v>
      </c>
      <c r="F15" s="110" t="e">
        <f>הכנסות!#REF!</f>
        <v>#REF!</v>
      </c>
      <c r="G15" s="110" t="e">
        <f>הכנסות!#REF!</f>
        <v>#REF!</v>
      </c>
      <c r="H15" s="110" t="e">
        <f>הכנסות!#REF!</f>
        <v>#REF!</v>
      </c>
      <c r="I15" s="110" t="e">
        <f>הכנסות!#REF!</f>
        <v>#REF!</v>
      </c>
    </row>
    <row r="16" spans="2:9">
      <c r="B16" s="50" t="str">
        <f>הכנסות!C19</f>
        <v>690</v>
      </c>
      <c r="C16" s="50" t="str">
        <f>הכנסות!D19</f>
        <v>269000</v>
      </c>
      <c r="D16" s="50" t="str">
        <f>הכנסות!E19</f>
        <v>26</v>
      </c>
      <c r="E16" s="51" t="str">
        <f>הכנסות!F19</f>
        <v>הכנסות שונות</v>
      </c>
      <c r="F16" s="110">
        <f>הכנסות!H19</f>
        <v>0</v>
      </c>
      <c r="G16" s="110">
        <f>הכנסות!J19</f>
        <v>34341.879999999997</v>
      </c>
      <c r="H16" s="110">
        <f>הכנסות!L19</f>
        <v>0</v>
      </c>
      <c r="I16" s="110">
        <f>הכנסות!N19</f>
        <v>150000</v>
      </c>
    </row>
    <row r="17" spans="2:9">
      <c r="B17" s="50" t="str">
        <f>הכנסות!C23</f>
        <v>691</v>
      </c>
      <c r="C17" s="50" t="str">
        <f>הכנסות!D23</f>
        <v>269000</v>
      </c>
      <c r="D17" s="50" t="str">
        <f>הכנסות!E23</f>
        <v>26</v>
      </c>
      <c r="E17" s="51" t="str">
        <f>הכנסות!F23</f>
        <v>החזר הוצאות משפטיות</v>
      </c>
      <c r="F17" s="110">
        <f>הכנסות!H23</f>
        <v>9003</v>
      </c>
      <c r="G17" s="110">
        <f>הכנסות!J23</f>
        <v>2317.65</v>
      </c>
      <c r="H17" s="110">
        <f>הכנסות!L23</f>
        <v>15000</v>
      </c>
      <c r="I17" s="110">
        <f>הכנסות!N23</f>
        <v>1000</v>
      </c>
    </row>
    <row r="18" spans="2:9">
      <c r="B18" s="50" t="e">
        <f>הכנסות!#REF!</f>
        <v>#REF!</v>
      </c>
      <c r="C18" s="50" t="e">
        <f>הכנסות!#REF!</f>
        <v>#REF!</v>
      </c>
      <c r="D18" s="50" t="e">
        <f>הכנסות!#REF!</f>
        <v>#REF!</v>
      </c>
      <c r="E18" s="51" t="e">
        <f>הכנסות!#REF!</f>
        <v>#REF!</v>
      </c>
      <c r="F18" s="110" t="e">
        <f>הכנסות!#REF!</f>
        <v>#REF!</v>
      </c>
      <c r="G18" s="110" t="e">
        <f>הכנסות!#REF!</f>
        <v>#REF!</v>
      </c>
      <c r="H18" s="110" t="e">
        <f>הכנסות!#REF!</f>
        <v>#REF!</v>
      </c>
      <c r="I18" s="110" t="e">
        <f>הכנסות!#REF!</f>
        <v>#REF!</v>
      </c>
    </row>
    <row r="19" spans="2:9">
      <c r="B19" s="50" t="str">
        <f>הכנסות!C165</f>
        <v>420</v>
      </c>
      <c r="C19" s="50" t="str">
        <f>הכנסות!D165</f>
        <v>329000</v>
      </c>
      <c r="D19" s="50" t="str">
        <f>הכנסות!E165</f>
        <v>32</v>
      </c>
      <c r="E19" s="51" t="str">
        <f>הכנסות!F165</f>
        <v>הכנסות ספורט מהשכרה</v>
      </c>
      <c r="F19" s="110">
        <f>הכנסות!H165</f>
        <v>0</v>
      </c>
      <c r="G19" s="110">
        <f>הכנסות!J165</f>
        <v>710</v>
      </c>
      <c r="H19" s="110">
        <f>הכנסות!L165</f>
        <v>30000</v>
      </c>
      <c r="I19" s="110">
        <f>הכנסות!N165</f>
        <v>5000</v>
      </c>
    </row>
    <row r="20" spans="2:9">
      <c r="B20" s="50" t="e">
        <f>הכנסות!#REF!</f>
        <v>#REF!</v>
      </c>
      <c r="C20" s="50" t="e">
        <f>הכנסות!#REF!</f>
        <v>#REF!</v>
      </c>
      <c r="D20" s="50" t="e">
        <f>הכנסות!#REF!</f>
        <v>#REF!</v>
      </c>
      <c r="E20" s="51" t="e">
        <f>הכנסות!#REF!</f>
        <v>#REF!</v>
      </c>
      <c r="F20" s="110" t="e">
        <f>הכנסות!#REF!</f>
        <v>#REF!</v>
      </c>
      <c r="G20" s="110" t="e">
        <f>הכנסות!#REF!</f>
        <v>#REF!</v>
      </c>
      <c r="H20" s="110" t="e">
        <f>הכנסות!#REF!</f>
        <v>#REF!</v>
      </c>
      <c r="I20" s="110" t="e">
        <f>הכנסות!#REF!</f>
        <v>#REF!</v>
      </c>
    </row>
    <row r="21" spans="2:9">
      <c r="B21" s="50" t="str">
        <f>הכנסות!C166</f>
        <v>420</v>
      </c>
      <c r="C21" s="50" t="str">
        <f>הכנסות!D166</f>
        <v>329200</v>
      </c>
      <c r="D21" s="50" t="str">
        <f>הכנסות!E166</f>
        <v>32</v>
      </c>
      <c r="E21" s="51" t="str">
        <f>הכנסות!F166</f>
        <v>השת תלמ' בחוגי ספורט</v>
      </c>
      <c r="F21" s="110">
        <f>הכנסות!H166</f>
        <v>6999</v>
      </c>
      <c r="G21" s="110">
        <f>הכנסות!J166</f>
        <v>26550</v>
      </c>
      <c r="H21" s="110">
        <f>הכנסות!L166</f>
        <v>30000</v>
      </c>
      <c r="I21" s="110">
        <f>הכנסות!N166</f>
        <v>2000</v>
      </c>
    </row>
    <row r="22" spans="2:9">
      <c r="B22" s="50" t="str">
        <f>הכנסות!C242</f>
        <v>220</v>
      </c>
      <c r="C22" s="50" t="str">
        <f>הכנסות!D242</f>
        <v>413200</v>
      </c>
      <c r="D22" s="50" t="str">
        <f>הכנסות!E242</f>
        <v>41</v>
      </c>
      <c r="E22" s="51" t="str">
        <f>הכנסות!F242</f>
        <v>מדי מים</v>
      </c>
      <c r="F22" s="110">
        <f>הכנסות!H242</f>
        <v>95006</v>
      </c>
      <c r="G22" s="110">
        <f>הכנסות!J242</f>
        <v>98746.95</v>
      </c>
      <c r="H22" s="110">
        <f>הכנסות!L242</f>
        <v>200000</v>
      </c>
      <c r="I22" s="110">
        <f>הכנסות!N242</f>
        <v>100000</v>
      </c>
    </row>
    <row r="23" spans="2:9">
      <c r="B23" s="50" t="str">
        <f>הכנסות!C243</f>
        <v>810</v>
      </c>
      <c r="C23" s="50" t="str">
        <f>הכנסות!D243</f>
        <v>413300</v>
      </c>
      <c r="D23" s="50" t="str">
        <f>הכנסות!E243</f>
        <v>41</v>
      </c>
      <c r="E23" s="51" t="str">
        <f>הכנסות!F243</f>
        <v>אגרות צנרת</v>
      </c>
      <c r="F23" s="110">
        <f>הכנסות!H243</f>
        <v>250000</v>
      </c>
      <c r="G23" s="110">
        <f>הכנסות!J243</f>
        <v>259877.29</v>
      </c>
      <c r="H23" s="110">
        <f>הכנסות!L243</f>
        <v>400000</v>
      </c>
      <c r="I23" s="110">
        <f>הכנסות!N243</f>
        <v>250000</v>
      </c>
    </row>
    <row r="24" spans="2:9">
      <c r="B24" s="50" t="str">
        <f>הכנסות!C244</f>
        <v>810</v>
      </c>
      <c r="C24" s="50" t="str">
        <f>הכנסות!D244</f>
        <v>414300</v>
      </c>
      <c r="D24" s="50" t="str">
        <f>הכנסות!E244</f>
        <v>41</v>
      </c>
      <c r="E24" s="51" t="str">
        <f>הכנסות!F244</f>
        <v>חלק המועצה היטל בצורת</v>
      </c>
      <c r="F24" s="110">
        <f>הכנסות!H244</f>
        <v>0</v>
      </c>
      <c r="G24" s="110">
        <f>הכנסות!J244</f>
        <v>0</v>
      </c>
      <c r="H24" s="110">
        <f>הכנסות!L244</f>
        <v>0</v>
      </c>
      <c r="I24" s="110">
        <f>הכנסות!N244</f>
        <v>0</v>
      </c>
    </row>
    <row r="25" spans="2:9">
      <c r="B25" s="50" t="str">
        <f>הכנסות!C245</f>
        <v>290</v>
      </c>
      <c r="C25" s="50" t="str">
        <f>הכנסות!D245</f>
        <v>433000</v>
      </c>
      <c r="D25" s="50" t="str">
        <f>הכנסות!E245</f>
        <v>43</v>
      </c>
      <c r="E25" s="51" t="str">
        <f>הכנסות!F245</f>
        <v>רשיונות עסקים</v>
      </c>
      <c r="F25" s="110">
        <f>הכנסות!H245</f>
        <v>0</v>
      </c>
      <c r="G25" s="110">
        <f>הכנסות!J245</f>
        <v>618</v>
      </c>
      <c r="H25" s="110">
        <f>הכנסות!L245</f>
        <v>0</v>
      </c>
      <c r="I25" s="110">
        <f>הכנסות!N245</f>
        <v>0</v>
      </c>
    </row>
    <row r="26" spans="2:9">
      <c r="B26" s="50" t="str">
        <f>הכנסות!C246</f>
        <v>410</v>
      </c>
      <c r="C26" s="50" t="str">
        <f>הכנסות!D246</f>
        <v>438000</v>
      </c>
      <c r="D26" s="50" t="str">
        <f>הכנסות!E246</f>
        <v>43</v>
      </c>
      <c r="E26" s="51" t="str">
        <f>הכנסות!F246</f>
        <v>הכ שונות ותרומות</v>
      </c>
      <c r="F26" s="110">
        <f>הכנסות!H246</f>
        <v>0</v>
      </c>
      <c r="G26" s="110">
        <f>הכנסות!J246</f>
        <v>0</v>
      </c>
      <c r="H26" s="110">
        <f>הכנסות!L246</f>
        <v>0</v>
      </c>
      <c r="I26" s="110">
        <f>הכנסות!N246</f>
        <v>0</v>
      </c>
    </row>
    <row r="27" spans="2:9">
      <c r="B27" s="50" t="str">
        <f>הכנסות!C248</f>
        <v>210</v>
      </c>
      <c r="C27" s="50" t="str">
        <f>הכנסות!D248</f>
        <v>472000</v>
      </c>
      <c r="D27" s="50" t="str">
        <f>הכנסות!E248</f>
        <v>47</v>
      </c>
      <c r="E27" s="51" t="str">
        <f>הכנסות!F248</f>
        <v>אגרות ביוב</v>
      </c>
      <c r="F27" s="110">
        <f>הכנסות!H248</f>
        <v>1200000</v>
      </c>
      <c r="G27" s="110">
        <f>הכנסות!J248</f>
        <v>892685.72</v>
      </c>
      <c r="H27" s="110">
        <f>הכנסות!L248</f>
        <v>1500000</v>
      </c>
      <c r="I27" s="110">
        <f>הכנסות!N248</f>
        <v>500000</v>
      </c>
    </row>
    <row r="28" spans="2:9">
      <c r="B28" s="50" t="str">
        <f>הכנסות!C250</f>
        <v>810</v>
      </c>
      <c r="C28" s="50" t="str">
        <f>הכנסות!D250</f>
        <v>472000</v>
      </c>
      <c r="D28" s="50" t="str">
        <f>הכנסות!E250</f>
        <v>47</v>
      </c>
      <c r="E28" s="51" t="str">
        <f>הכנסות!F250</f>
        <v>היטל ביוב</v>
      </c>
      <c r="F28" s="110">
        <f>הכנסות!H250</f>
        <v>800000</v>
      </c>
      <c r="G28" s="110">
        <f>הכנסות!J250</f>
        <v>590708.94999999995</v>
      </c>
      <c r="H28" s="110">
        <f>הכנסות!L250</f>
        <v>1050000</v>
      </c>
      <c r="I28" s="110">
        <f>הכנסות!N250</f>
        <v>300000</v>
      </c>
    </row>
    <row r="30" spans="2:9" s="112" customFormat="1" ht="17.25" thickBot="1">
      <c r="B30" s="113" t="s">
        <v>741</v>
      </c>
      <c r="C30" s="114"/>
      <c r="D30" s="114"/>
      <c r="E30" s="114"/>
      <c r="F30" s="115" t="e">
        <f>SUM(F5:F28)</f>
        <v>#REF!</v>
      </c>
      <c r="G30" s="115" t="e">
        <f>SUM(G5:G28)</f>
        <v>#REF!</v>
      </c>
      <c r="H30" s="115" t="e">
        <f>SUM(H5:H28)</f>
        <v>#REF!</v>
      </c>
      <c r="I30" s="115" t="e">
        <f>SUM(I5:I28)</f>
        <v>#REF!</v>
      </c>
    </row>
  </sheetData>
  <mergeCells count="1">
    <mergeCell ref="B2:H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&amp;C&amp;"David,רגיל"&amp;P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73"/>
  <sheetViews>
    <sheetView rightToLeft="1" view="pageBreakPreview" zoomScale="85" zoomScaleNormal="100" zoomScaleSheetLayoutView="85" workbookViewId="0">
      <selection activeCell="M30" sqref="M30"/>
    </sheetView>
  </sheetViews>
  <sheetFormatPr defaultRowHeight="14.25" outlineLevelRow="2"/>
  <cols>
    <col min="1" max="1" width="11.75" bestFit="1" customWidth="1"/>
    <col min="2" max="2" width="7.125" customWidth="1"/>
    <col min="3" max="3" width="6.875" bestFit="1" customWidth="1"/>
    <col min="4" max="4" width="7.625" bestFit="1" customWidth="1"/>
    <col min="5" max="5" width="22.125" bestFit="1" customWidth="1"/>
    <col min="6" max="6" width="10" customWidth="1"/>
    <col min="7" max="7" width="9.875" bestFit="1" customWidth="1"/>
    <col min="8" max="8" width="8.875" customWidth="1"/>
    <col min="9" max="9" width="9.875" bestFit="1" customWidth="1"/>
    <col min="10" max="10" width="8.875" customWidth="1"/>
    <col min="11" max="11" width="9.875" bestFit="1" customWidth="1"/>
  </cols>
  <sheetData>
    <row r="1" spans="1:11" ht="18.75">
      <c r="A1" s="65"/>
      <c r="B1" s="274" t="s">
        <v>1527</v>
      </c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8.75" customHeight="1">
      <c r="A2" s="66"/>
      <c r="B2" s="276" t="s">
        <v>1528</v>
      </c>
      <c r="C2" s="276"/>
      <c r="D2" s="276"/>
      <c r="E2" s="276"/>
      <c r="F2" s="276"/>
      <c r="G2" s="276"/>
      <c r="H2" s="276"/>
      <c r="I2" s="276"/>
      <c r="J2" s="276"/>
      <c r="K2" s="276"/>
    </row>
    <row r="4" spans="1:11" ht="15.75">
      <c r="F4" s="275" t="s">
        <v>422</v>
      </c>
      <c r="G4" s="275"/>
      <c r="H4" s="275" t="s">
        <v>423</v>
      </c>
      <c r="I4" s="275"/>
      <c r="J4" s="275" t="s">
        <v>600</v>
      </c>
      <c r="K4" s="275"/>
    </row>
    <row r="5" spans="1:11" ht="31.5">
      <c r="B5" s="49" t="str">
        <f>הוצאות!C2</f>
        <v>סעיף</v>
      </c>
      <c r="C5" s="49" t="str">
        <f>הוצאות!D2</f>
        <v>פרק</v>
      </c>
      <c r="D5" s="49" t="str">
        <f>הוצאות!E2</f>
        <v>ראש פרק</v>
      </c>
      <c r="E5" s="49" t="str">
        <f>הוצאות!F2</f>
        <v>שם חשבון</v>
      </c>
      <c r="F5" s="49" t="s">
        <v>1526</v>
      </c>
      <c r="G5" s="49" t="str">
        <f>הוצאות!G2</f>
        <v>תקציב שנתי 2014</v>
      </c>
      <c r="H5" s="49" t="s">
        <v>1526</v>
      </c>
      <c r="I5" s="49" t="str">
        <f>הוצאות!H2</f>
        <v>ביצוע  שנתי 2014</v>
      </c>
      <c r="J5" s="49" t="s">
        <v>1526</v>
      </c>
      <c r="K5" s="49" t="str">
        <f>הוצאות!$J$2</f>
        <v>הצעת תקציב 2016</v>
      </c>
    </row>
    <row r="6" spans="1:11" ht="15.75" outlineLevel="2">
      <c r="A6" t="str">
        <f>"1"&amp;C6&amp;"110"</f>
        <v>1611100110</v>
      </c>
      <c r="B6" s="50" t="str">
        <f>הוצאות!C4</f>
        <v>110</v>
      </c>
      <c r="C6" s="50" t="str">
        <f>הוצאות!D4</f>
        <v>611100</v>
      </c>
      <c r="D6" s="50" t="str">
        <f>הוצאות!E4</f>
        <v>61</v>
      </c>
      <c r="E6" s="51" t="str">
        <f>הוצאות!F4</f>
        <v>נבחרים-שכר</v>
      </c>
      <c r="F6" s="63">
        <v>1</v>
      </c>
      <c r="G6" s="52">
        <f>הוצאות!G4</f>
        <v>620000</v>
      </c>
      <c r="H6" s="63">
        <v>1</v>
      </c>
      <c r="I6" s="52">
        <f>הוצאות!H4</f>
        <v>619578.73</v>
      </c>
      <c r="J6" s="63">
        <v>2</v>
      </c>
      <c r="K6" s="52">
        <f>הוצאות!$J$4</f>
        <v>930000</v>
      </c>
    </row>
    <row r="7" spans="1:11" ht="15.75" outlineLevel="2">
      <c r="A7" t="str">
        <f t="shared" ref="A7:A65" si="0">"1"&amp;C7&amp;"110"</f>
        <v>1611110110</v>
      </c>
      <c r="B7" s="50" t="str">
        <f>הוצאות!C14</f>
        <v>110</v>
      </c>
      <c r="C7" s="50" t="str">
        <f>הוצאות!D14</f>
        <v>611110</v>
      </c>
      <c r="D7" s="50" t="str">
        <f>הוצאות!E14</f>
        <v>61</v>
      </c>
      <c r="E7" s="51" t="str">
        <f>הוצאות!F14</f>
        <v>לשכת ר"המועצה שכר</v>
      </c>
      <c r="F7" s="63"/>
      <c r="G7" s="52">
        <f>הוצאות!G14</f>
        <v>0</v>
      </c>
      <c r="H7" s="63">
        <v>0.57999999999999996</v>
      </c>
      <c r="I7" s="52">
        <f>הוצאות!H14</f>
        <v>56295</v>
      </c>
      <c r="J7" s="63">
        <v>2</v>
      </c>
      <c r="K7" s="52">
        <f>הוצאות!$J$14</f>
        <v>257000</v>
      </c>
    </row>
    <row r="8" spans="1:11" ht="15.75" outlineLevel="2">
      <c r="A8" t="str">
        <f t="shared" si="0"/>
        <v>1613000110</v>
      </c>
      <c r="B8" s="50" t="str">
        <f>הוצאות!C19</f>
        <v>110</v>
      </c>
      <c r="C8" s="50" t="str">
        <f>הוצאות!D19</f>
        <v>613000</v>
      </c>
      <c r="D8" s="50" t="str">
        <f>הוצאות!E19</f>
        <v>61</v>
      </c>
      <c r="E8" s="51" t="str">
        <f>הוצאות!F19</f>
        <v>מזכירות - שכר</v>
      </c>
      <c r="F8" s="63">
        <v>2</v>
      </c>
      <c r="G8" s="52">
        <f>הוצאות!G19</f>
        <v>726000</v>
      </c>
      <c r="H8" s="63">
        <v>2</v>
      </c>
      <c r="I8" s="52">
        <f>הוצאות!H19</f>
        <v>592680.28</v>
      </c>
      <c r="J8" s="63">
        <v>2</v>
      </c>
      <c r="K8" s="52">
        <f>הוצאות!$J$19</f>
        <v>720000</v>
      </c>
    </row>
    <row r="9" spans="1:11" ht="15.75" outlineLevel="2">
      <c r="A9" t="str">
        <f t="shared" si="0"/>
        <v>1615000110</v>
      </c>
      <c r="B9" s="50" t="str">
        <f>הוצאות!C34</f>
        <v>110</v>
      </c>
      <c r="C9" s="50" t="str">
        <f>הוצאות!D34</f>
        <v>615000</v>
      </c>
      <c r="D9" s="50" t="str">
        <f>הוצאות!E34</f>
        <v>61</v>
      </c>
      <c r="E9" s="51" t="str">
        <f>הוצאות!F34</f>
        <v>מבקר פנים-שכר</v>
      </c>
      <c r="F9" s="63">
        <v>0.25</v>
      </c>
      <c r="G9" s="52">
        <f>הוצאות!G34</f>
        <v>202000</v>
      </c>
      <c r="H9" s="63">
        <v>0.25</v>
      </c>
      <c r="I9" s="52">
        <f>הוצאות!H34</f>
        <v>108063.52</v>
      </c>
      <c r="J9" s="63">
        <v>0.5</v>
      </c>
      <c r="K9" s="52">
        <f>הוצאות!$J$34</f>
        <v>176000</v>
      </c>
    </row>
    <row r="10" spans="1:11" s="58" customFormat="1" ht="15.75" outlineLevel="1">
      <c r="B10" s="53"/>
      <c r="C10" s="53"/>
      <c r="D10" s="53" t="s">
        <v>1136</v>
      </c>
      <c r="E10" s="67" t="s">
        <v>1529</v>
      </c>
      <c r="F10" s="68">
        <f>SUM(F6:F9)</f>
        <v>3.25</v>
      </c>
      <c r="G10" s="69">
        <f>SUBTOTAL(9,G6:G9)</f>
        <v>1548000</v>
      </c>
      <c r="H10" s="68">
        <f>SUM(H6:H9)</f>
        <v>3.83</v>
      </c>
      <c r="I10" s="69">
        <f>SUBTOTAL(9,I6:I9)</f>
        <v>1376617.53</v>
      </c>
      <c r="J10" s="68">
        <f>SUM(J6:J9)</f>
        <v>6.5</v>
      </c>
      <c r="K10" s="69">
        <f>SUBTOTAL(9,K6:K9)</f>
        <v>2083000</v>
      </c>
    </row>
    <row r="11" spans="1:11" ht="15.75" outlineLevel="2">
      <c r="A11" t="str">
        <f t="shared" si="0"/>
        <v>1621200110</v>
      </c>
      <c r="B11" s="50" t="str">
        <f>הוצאות!C48</f>
        <v>110</v>
      </c>
      <c r="C11" s="50" t="str">
        <f>הוצאות!D48</f>
        <v>621200</v>
      </c>
      <c r="D11" s="50" t="str">
        <f>הוצאות!E48</f>
        <v>62</v>
      </c>
      <c r="E11" s="51" t="str">
        <f>הוצאות!F48</f>
        <v>מינהל רכש ואספקה</v>
      </c>
      <c r="F11" s="63"/>
      <c r="G11" s="52">
        <f>הוצאות!G48</f>
        <v>0</v>
      </c>
      <c r="H11" s="63">
        <v>0</v>
      </c>
      <c r="I11" s="52">
        <f>הוצאות!H48</f>
        <v>3139.94</v>
      </c>
      <c r="J11" s="63">
        <v>0.5</v>
      </c>
      <c r="K11" s="52">
        <f>הוצאות!J48</f>
        <v>60000</v>
      </c>
    </row>
    <row r="12" spans="1:11" ht="15.75" outlineLevel="2">
      <c r="A12" t="str">
        <f t="shared" si="0"/>
        <v>1621300110</v>
      </c>
      <c r="B12" s="50" t="str">
        <f>הוצאות!C49</f>
        <v>110</v>
      </c>
      <c r="C12" s="50" t="str">
        <f>הוצאות!D49</f>
        <v>621300</v>
      </c>
      <c r="D12" s="50" t="str">
        <f>הוצאות!E49</f>
        <v>62</v>
      </c>
      <c r="E12" s="51" t="str">
        <f>הוצאות!F49</f>
        <v>גזברות והנה"ח שכר</v>
      </c>
      <c r="F12" s="63">
        <v>1</v>
      </c>
      <c r="G12" s="52">
        <f>הוצאות!G49</f>
        <v>475000</v>
      </c>
      <c r="H12" s="63">
        <v>1</v>
      </c>
      <c r="I12" s="52">
        <f>הוצאות!H49</f>
        <v>479765.45</v>
      </c>
      <c r="J12" s="63">
        <v>1</v>
      </c>
      <c r="K12" s="52">
        <f>הוצאות!J49</f>
        <v>520000</v>
      </c>
    </row>
    <row r="13" spans="1:11" ht="15.75" outlineLevel="2">
      <c r="A13" t="str">
        <f t="shared" si="0"/>
        <v>1623000110</v>
      </c>
      <c r="B13" s="50" t="str">
        <f>הוצאות!C61</f>
        <v>110</v>
      </c>
      <c r="C13" s="50" t="str">
        <f>הוצאות!D61</f>
        <v>623000</v>
      </c>
      <c r="D13" s="50" t="str">
        <f>הוצאות!E61</f>
        <v>62</v>
      </c>
      <c r="E13" s="51" t="str">
        <f>הוצאות!F61</f>
        <v>גבייה-משכורת</v>
      </c>
      <c r="F13" s="63">
        <v>1.5</v>
      </c>
      <c r="G13" s="52">
        <f>הוצאות!G61</f>
        <v>200000</v>
      </c>
      <c r="H13" s="63">
        <v>1.5</v>
      </c>
      <c r="I13" s="52">
        <f>הוצאות!H61</f>
        <v>199872.08</v>
      </c>
      <c r="J13" s="63">
        <v>1.5</v>
      </c>
      <c r="K13" s="52">
        <f>הוצאות!$J$61</f>
        <v>220000</v>
      </c>
    </row>
    <row r="14" spans="1:11" s="58" customFormat="1" ht="15.75" outlineLevel="1">
      <c r="B14" s="53"/>
      <c r="C14" s="53"/>
      <c r="D14" s="53" t="s">
        <v>1137</v>
      </c>
      <c r="E14" s="67" t="s">
        <v>1530</v>
      </c>
      <c r="F14" s="68">
        <f>SUM(F11:F13)</f>
        <v>2.5</v>
      </c>
      <c r="G14" s="69">
        <f>SUBTOTAL(9,G11:G13)</f>
        <v>675000</v>
      </c>
      <c r="H14" s="68">
        <f>SUM(H11:H13)</f>
        <v>2.5</v>
      </c>
      <c r="I14" s="69">
        <f>SUBTOTAL(9,I11:I13)</f>
        <v>682777.47</v>
      </c>
      <c r="J14" s="68">
        <f>SUM(J11:J13)</f>
        <v>3</v>
      </c>
      <c r="K14" s="69">
        <f>SUBTOTAL(9,K11:K13)</f>
        <v>800000</v>
      </c>
    </row>
    <row r="15" spans="1:11" ht="15.75" outlineLevel="2">
      <c r="A15" t="str">
        <f t="shared" si="0"/>
        <v>1713000110</v>
      </c>
      <c r="B15" s="50" t="str">
        <f>הוצאות!C88</f>
        <v>110</v>
      </c>
      <c r="C15" s="50" t="str">
        <f>הוצאות!D88</f>
        <v>713000</v>
      </c>
      <c r="D15" s="50" t="str">
        <f>הוצאות!E88</f>
        <v>71</v>
      </c>
      <c r="E15" s="51" t="str">
        <f>הוצאות!F88</f>
        <v>פיקוח תברואי-משכורת</v>
      </c>
      <c r="F15" s="63">
        <v>1</v>
      </c>
      <c r="G15" s="52">
        <f>הוצאות!G88</f>
        <v>113000</v>
      </c>
      <c r="H15" s="63">
        <v>0.94</v>
      </c>
      <c r="I15" s="52">
        <f>הוצאות!H88</f>
        <v>105754.71</v>
      </c>
      <c r="J15" s="63">
        <v>1</v>
      </c>
      <c r="K15" s="52">
        <f>הוצאות!$J$88</f>
        <v>120000</v>
      </c>
    </row>
    <row r="16" spans="1:11" s="58" customFormat="1" ht="15.75" outlineLevel="1">
      <c r="B16" s="53"/>
      <c r="C16" s="53"/>
      <c r="D16" s="53" t="s">
        <v>1138</v>
      </c>
      <c r="E16" s="67" t="s">
        <v>1531</v>
      </c>
      <c r="F16" s="68">
        <f>SUM(F15)</f>
        <v>1</v>
      </c>
      <c r="G16" s="69">
        <f>SUBTOTAL(9,G15:G15)</f>
        <v>113000</v>
      </c>
      <c r="H16" s="68">
        <f>SUM(H15)</f>
        <v>0.94</v>
      </c>
      <c r="I16" s="69">
        <f>SUBTOTAL(9,I15:I15)</f>
        <v>105754.71</v>
      </c>
      <c r="J16" s="68">
        <f>SUM(J15)</f>
        <v>1</v>
      </c>
      <c r="K16" s="69">
        <f>SUBTOTAL(9,K15:K15)</f>
        <v>120000</v>
      </c>
    </row>
    <row r="17" spans="1:13" ht="15.75" outlineLevel="2">
      <c r="A17" t="str">
        <f t="shared" si="0"/>
        <v>1722000110</v>
      </c>
      <c r="B17" s="50" t="str">
        <f>הוצאות!C95</f>
        <v>110</v>
      </c>
      <c r="C17" s="50" t="str">
        <f>הוצאות!D95</f>
        <v>722000</v>
      </c>
      <c r="D17" s="50" t="str">
        <f>הוצאות!E95</f>
        <v>72</v>
      </c>
      <c r="E17" s="51" t="str">
        <f>הוצאות!F95</f>
        <v>קב"ט-משכורת</v>
      </c>
      <c r="F17" s="63">
        <v>1</v>
      </c>
      <c r="G17" s="52">
        <f>הוצאות!G95</f>
        <v>102000</v>
      </c>
      <c r="H17" s="63">
        <v>1</v>
      </c>
      <c r="I17" s="52">
        <f>הוצאות!H95</f>
        <v>115078.34</v>
      </c>
      <c r="J17" s="63">
        <v>1</v>
      </c>
      <c r="K17" s="52">
        <f>הוצאות!$J$95</f>
        <v>130000</v>
      </c>
    </row>
    <row r="18" spans="1:13" s="58" customFormat="1" ht="15.75" outlineLevel="1">
      <c r="B18" s="53"/>
      <c r="C18" s="53"/>
      <c r="D18" s="53" t="s">
        <v>1139</v>
      </c>
      <c r="E18" s="67" t="s">
        <v>1532</v>
      </c>
      <c r="F18" s="68">
        <f>SUM(F17)</f>
        <v>1</v>
      </c>
      <c r="G18" s="69">
        <f>SUBTOTAL(9,G17:G17)</f>
        <v>102000</v>
      </c>
      <c r="H18" s="68">
        <f>SUM(H17)</f>
        <v>1</v>
      </c>
      <c r="I18" s="69">
        <f>SUBTOTAL(9,I17:I17)</f>
        <v>115078.34</v>
      </c>
      <c r="J18" s="68">
        <f>SUM(J17)</f>
        <v>1</v>
      </c>
      <c r="K18" s="69">
        <f>SUBTOTAL(9,K17:K17)</f>
        <v>130000</v>
      </c>
    </row>
    <row r="19" spans="1:13" ht="15.75" outlineLevel="2">
      <c r="A19" t="str">
        <f t="shared" si="0"/>
        <v>1731000110</v>
      </c>
      <c r="B19" s="50" t="str">
        <f>הוצאות!C115</f>
        <v>110</v>
      </c>
      <c r="C19" s="50" t="str">
        <f>הוצאות!D115</f>
        <v>731000</v>
      </c>
      <c r="D19" s="50" t="str">
        <f>הוצאות!E115</f>
        <v>73</v>
      </c>
      <c r="E19" s="51" t="str">
        <f>הוצאות!F115</f>
        <v>מהנדס-משכורת</v>
      </c>
      <c r="F19" s="63">
        <v>2</v>
      </c>
      <c r="G19" s="52">
        <f>הוצאות!G115</f>
        <v>651000</v>
      </c>
      <c r="H19" s="63">
        <v>2</v>
      </c>
      <c r="I19" s="52">
        <f>הוצאות!H115</f>
        <v>648811.22</v>
      </c>
      <c r="J19" s="63">
        <v>2</v>
      </c>
      <c r="K19" s="52">
        <f>הוצאות!$J$115</f>
        <v>620000</v>
      </c>
    </row>
    <row r="20" spans="1:13" s="58" customFormat="1" ht="15.75" outlineLevel="1">
      <c r="B20" s="53"/>
      <c r="C20" s="53"/>
      <c r="D20" s="53" t="s">
        <v>1140</v>
      </c>
      <c r="E20" s="67" t="s">
        <v>1533</v>
      </c>
      <c r="F20" s="68">
        <f>SUM(F19)</f>
        <v>2</v>
      </c>
      <c r="G20" s="69">
        <f>SUBTOTAL(9,G19:G19)</f>
        <v>651000</v>
      </c>
      <c r="H20" s="68">
        <f>SUM(H19)</f>
        <v>2</v>
      </c>
      <c r="I20" s="69">
        <f>SUBTOTAL(9,I19:I19)</f>
        <v>648811.22</v>
      </c>
      <c r="J20" s="68">
        <f>SUM(J19)</f>
        <v>2</v>
      </c>
      <c r="K20" s="69">
        <f>SUBTOTAL(9,K19:K19)</f>
        <v>620000</v>
      </c>
    </row>
    <row r="21" spans="1:13" ht="15.75" outlineLevel="2">
      <c r="A21" t="str">
        <f t="shared" si="0"/>
        <v>1741000110</v>
      </c>
      <c r="B21" s="50" t="str">
        <f>הוצאות!C124</f>
        <v>110</v>
      </c>
      <c r="C21" s="50" t="str">
        <f>הוצאות!D124</f>
        <v>741000</v>
      </c>
      <c r="D21" s="50" t="str">
        <f>הוצאות!E124</f>
        <v>74</v>
      </c>
      <c r="E21" s="51" t="str">
        <f>הוצאות!F124</f>
        <v>נכסים ציבוריים-משכורת</v>
      </c>
      <c r="F21" s="63">
        <v>1</v>
      </c>
      <c r="G21" s="52">
        <f>הוצאות!G124</f>
        <v>122000</v>
      </c>
      <c r="H21" s="63">
        <v>1</v>
      </c>
      <c r="I21" s="52">
        <f>הוצאות!H124</f>
        <v>86766.14</v>
      </c>
      <c r="J21" s="63">
        <v>1</v>
      </c>
      <c r="K21" s="52">
        <f>הוצאות!$J$124</f>
        <v>100000</v>
      </c>
    </row>
    <row r="22" spans="1:13" ht="15.75" outlineLevel="2">
      <c r="A22" t="str">
        <f t="shared" si="0"/>
        <v>1747200110</v>
      </c>
      <c r="B22" s="50" t="str">
        <f>הוצאות!C139</f>
        <v>110</v>
      </c>
      <c r="C22" s="50" t="str">
        <f>הוצאות!D139</f>
        <v>747200</v>
      </c>
      <c r="D22" s="50" t="str">
        <f>הוצאות!E139</f>
        <v>74</v>
      </c>
      <c r="E22" s="51" t="str">
        <f>הוצאות!F139</f>
        <v>חוף רחצה-משכורת</v>
      </c>
      <c r="F22" s="63">
        <v>1</v>
      </c>
      <c r="G22" s="52">
        <f>הוצאות!G139</f>
        <v>204000</v>
      </c>
      <c r="H22" s="63">
        <v>0.67</v>
      </c>
      <c r="I22" s="52">
        <f>הוצאות!H139</f>
        <v>258383.65</v>
      </c>
      <c r="J22" s="63">
        <v>2</v>
      </c>
      <c r="K22" s="52">
        <f>הוצאות!$J$139</f>
        <v>400000</v>
      </c>
    </row>
    <row r="23" spans="1:13" s="58" customFormat="1" ht="15.75" outlineLevel="1">
      <c r="B23" s="53"/>
      <c r="C23" s="53"/>
      <c r="D23" s="53" t="s">
        <v>1141</v>
      </c>
      <c r="E23" s="67" t="s">
        <v>1534</v>
      </c>
      <c r="F23" s="68">
        <f>SUM(F21:F22)</f>
        <v>2</v>
      </c>
      <c r="G23" s="69">
        <f>SUBTOTAL(9,G21:G22)</f>
        <v>326000</v>
      </c>
      <c r="H23" s="68">
        <f>SUM(H21:H22)</f>
        <v>1.67</v>
      </c>
      <c r="I23" s="69">
        <f>SUBTOTAL(9,I21:I22)</f>
        <v>345149.79</v>
      </c>
      <c r="J23" s="68">
        <f>SUM(J21:J22)</f>
        <v>3</v>
      </c>
      <c r="K23" s="69">
        <f>SUBTOTAL(9,K21:K22)</f>
        <v>500000</v>
      </c>
    </row>
    <row r="24" spans="1:13" ht="15.75" outlineLevel="2">
      <c r="A24" t="str">
        <f t="shared" si="0"/>
        <v>1811000110</v>
      </c>
      <c r="B24" s="50" t="str">
        <f>הוצאות!C157</f>
        <v>110</v>
      </c>
      <c r="C24" s="50" t="str">
        <f>הוצאות!D157</f>
        <v>811000</v>
      </c>
      <c r="D24" s="50" t="str">
        <f>הוצאות!E157</f>
        <v>81</v>
      </c>
      <c r="E24" s="51" t="str">
        <f>הוצאות!F157</f>
        <v>מנהל חינוך-משכורת</v>
      </c>
      <c r="F24" s="63">
        <v>3</v>
      </c>
      <c r="G24" s="52">
        <f>הוצאות!G157</f>
        <v>545000</v>
      </c>
      <c r="H24" s="63">
        <v>3</v>
      </c>
      <c r="I24" s="52">
        <f>הוצאות!H157</f>
        <v>672356.63</v>
      </c>
      <c r="J24" s="63">
        <v>3</v>
      </c>
      <c r="K24" s="52">
        <f>הוצאות!$J$157</f>
        <v>650000</v>
      </c>
    </row>
    <row r="25" spans="1:13" ht="15.75" outlineLevel="2">
      <c r="A25" t="str">
        <f t="shared" si="0"/>
        <v>1812200110</v>
      </c>
      <c r="B25" s="50" t="str">
        <f>הוצאות!C166</f>
        <v>110</v>
      </c>
      <c r="C25" s="50" t="str">
        <f>הוצאות!D166</f>
        <v>812200</v>
      </c>
      <c r="D25" s="50" t="str">
        <f>הוצאות!E166</f>
        <v>81</v>
      </c>
      <c r="E25" s="51" t="str">
        <f>הוצאות!F166</f>
        <v>גני"י חובה-משכורת</v>
      </c>
      <c r="F25" s="63">
        <v>12</v>
      </c>
      <c r="G25" s="52">
        <f>הוצאות!G166</f>
        <v>1279000</v>
      </c>
      <c r="H25" s="63">
        <v>12.49</v>
      </c>
      <c r="I25" s="52">
        <f>הוצאות!H166</f>
        <v>1278012.6299999999</v>
      </c>
      <c r="J25" s="63">
        <v>12.49</v>
      </c>
      <c r="K25" s="52">
        <f>הוצאות!$J$166</f>
        <v>1210000</v>
      </c>
    </row>
    <row r="26" spans="1:13" ht="15.75" outlineLevel="2">
      <c r="A26" t="str">
        <f t="shared" si="0"/>
        <v>1812300110</v>
      </c>
      <c r="B26" s="50" t="str">
        <f>הוצאות!C179</f>
        <v>110</v>
      </c>
      <c r="C26" s="50" t="str">
        <f>הוצאות!D179</f>
        <v>812300</v>
      </c>
      <c r="D26" s="50" t="str">
        <f>הוצאות!E179</f>
        <v>81</v>
      </c>
      <c r="E26" s="51" t="str">
        <f>הוצאות!F179</f>
        <v>גנים ט.חובה-משכורת</v>
      </c>
      <c r="F26" s="63">
        <v>19</v>
      </c>
      <c r="G26" s="52">
        <f>הוצאות!G179</f>
        <v>2100000</v>
      </c>
      <c r="H26" s="63">
        <f>14.92+3.7</f>
        <v>18.62</v>
      </c>
      <c r="I26" s="52">
        <f>הוצאות!H179</f>
        <v>2163772.9700000002</v>
      </c>
      <c r="J26" s="63">
        <f>14.92+3.7</f>
        <v>18.62</v>
      </c>
      <c r="K26" s="52">
        <f>הוצאות!$J$179</f>
        <v>2278000</v>
      </c>
    </row>
    <row r="27" spans="1:13" ht="15.75" outlineLevel="2">
      <c r="A27" t="str">
        <f t="shared" si="0"/>
        <v>1812400110</v>
      </c>
      <c r="B27" s="50" t="str">
        <f>הוצאות!C196</f>
        <v>110</v>
      </c>
      <c r="C27" s="50" t="str">
        <f>הוצאות!D196</f>
        <v>812400</v>
      </c>
      <c r="D27" s="50" t="str">
        <f>הוצאות!E196</f>
        <v>81</v>
      </c>
      <c r="E27" s="51" t="str">
        <f>הוצאות!F196</f>
        <v>שכר מרכז גיל רך 360</v>
      </c>
      <c r="F27" s="63">
        <v>0</v>
      </c>
      <c r="G27" s="52">
        <f>הוצאות!G196</f>
        <v>0</v>
      </c>
      <c r="H27" s="63">
        <v>0</v>
      </c>
      <c r="I27" s="52">
        <f>הוצאות!H196</f>
        <v>0</v>
      </c>
      <c r="J27" s="63"/>
      <c r="K27" s="52">
        <f>הוצאות!$J$196</f>
        <v>0</v>
      </c>
    </row>
    <row r="28" spans="1:13" ht="15.75" outlineLevel="2">
      <c r="A28" t="str">
        <f t="shared" si="0"/>
        <v>1812500110</v>
      </c>
      <c r="B28" s="50" t="str">
        <f>הוצאות!C197</f>
        <v>110</v>
      </c>
      <c r="C28" s="50" t="str">
        <f>הוצאות!D197</f>
        <v>812500</v>
      </c>
      <c r="D28" s="50" t="str">
        <f>הוצאות!E197</f>
        <v>81</v>
      </c>
      <c r="E28" s="51" t="str">
        <f>הוצאות!F197</f>
        <v>גנים טיפוליים-משכורת</v>
      </c>
      <c r="F28" s="63">
        <v>1</v>
      </c>
      <c r="G28" s="52">
        <f>הוצאות!G197</f>
        <v>115000</v>
      </c>
      <c r="H28" s="63">
        <v>1</v>
      </c>
      <c r="I28" s="52">
        <f>הוצאות!H197</f>
        <v>115009.38</v>
      </c>
      <c r="J28" s="63">
        <v>1</v>
      </c>
      <c r="K28" s="52">
        <f>הוצאות!$J$197</f>
        <v>120000</v>
      </c>
    </row>
    <row r="29" spans="1:13" ht="15.75" outlineLevel="2">
      <c r="A29" t="str">
        <f t="shared" si="0"/>
        <v>1813200110</v>
      </c>
      <c r="B29" s="50" t="str">
        <f>הוצאות!C202</f>
        <v>110</v>
      </c>
      <c r="C29" s="50" t="str">
        <f>הוצאות!D202</f>
        <v>813200</v>
      </c>
      <c r="D29" s="50" t="str">
        <f>הוצאות!E202</f>
        <v>81</v>
      </c>
      <c r="E29" s="51" t="str">
        <f>הוצאות!F202</f>
        <v>בתי ספר יסודיים - שכר</v>
      </c>
      <c r="F29" s="63">
        <v>0</v>
      </c>
      <c r="G29" s="52">
        <f>הוצאות!G202</f>
        <v>136000</v>
      </c>
      <c r="H29" s="63">
        <v>0</v>
      </c>
      <c r="I29" s="52">
        <f>הוצאות!H202</f>
        <v>327561.55</v>
      </c>
      <c r="J29" s="63">
        <v>0</v>
      </c>
      <c r="K29" s="52">
        <f>הוצאות!$J$202</f>
        <v>1300000</v>
      </c>
    </row>
    <row r="30" spans="1:13" ht="15.75" outlineLevel="2">
      <c r="A30" t="str">
        <f t="shared" si="0"/>
        <v>1813210110</v>
      </c>
      <c r="B30" s="50" t="str">
        <f>הוצאות!C208</f>
        <v>110</v>
      </c>
      <c r="C30" s="50" t="str">
        <f>הוצאות!D208</f>
        <v>813210</v>
      </c>
      <c r="D30" s="50" t="str">
        <f>הוצאות!E208</f>
        <v>81</v>
      </c>
      <c r="E30" s="51" t="str">
        <f>הוצאות!F208</f>
        <v>ב"ס א -משכורת</v>
      </c>
      <c r="F30" s="63">
        <v>5</v>
      </c>
      <c r="G30" s="52">
        <f>הוצאות!G208</f>
        <v>383000</v>
      </c>
      <c r="H30" s="63">
        <v>5.04</v>
      </c>
      <c r="I30" s="52">
        <f>הוצאות!H208</f>
        <v>622643.21</v>
      </c>
      <c r="J30" s="63">
        <v>5.04</v>
      </c>
      <c r="K30" s="52">
        <f>הוצאות!$J$208</f>
        <v>10000</v>
      </c>
    </row>
    <row r="31" spans="1:13" ht="15.75" outlineLevel="2">
      <c r="A31" t="str">
        <f t="shared" si="0"/>
        <v>1813220110</v>
      </c>
      <c r="B31" s="50" t="str">
        <f>הוצאות!C217</f>
        <v>110</v>
      </c>
      <c r="C31" s="50" t="str">
        <f>הוצאות!D217</f>
        <v>813220</v>
      </c>
      <c r="D31" s="50" t="str">
        <f>הוצאות!E217</f>
        <v>81</v>
      </c>
      <c r="E31" s="51" t="str">
        <f>הוצאות!F217</f>
        <v>ב"ס ב -משכורת</v>
      </c>
      <c r="F31" s="63">
        <v>3</v>
      </c>
      <c r="G31" s="52">
        <f>הוצאות!G217</f>
        <v>249000</v>
      </c>
      <c r="H31" s="63">
        <v>2.99</v>
      </c>
      <c r="I31" s="52">
        <f>הוצאות!H217</f>
        <v>477475.2</v>
      </c>
      <c r="J31" s="63">
        <v>3</v>
      </c>
      <c r="K31" s="52">
        <f>הוצאות!$J$217</f>
        <v>480000</v>
      </c>
    </row>
    <row r="32" spans="1:13" ht="15.75" outlineLevel="2">
      <c r="A32" t="str">
        <f t="shared" si="0"/>
        <v>1813230110</v>
      </c>
      <c r="B32" s="50" t="str">
        <f>הוצאות!C225</f>
        <v>110</v>
      </c>
      <c r="C32" s="50" t="str">
        <f>הוצאות!D225</f>
        <v>813230</v>
      </c>
      <c r="D32" s="50" t="str">
        <f>הוצאות!E225</f>
        <v>81</v>
      </c>
      <c r="E32" s="51" t="str">
        <f>הוצאות!F225</f>
        <v>ב"ס ג חדשני-משכורת</v>
      </c>
      <c r="F32" s="63">
        <v>4</v>
      </c>
      <c r="G32" s="52">
        <f>הוצאות!G225</f>
        <v>288000</v>
      </c>
      <c r="H32" s="63">
        <v>3.5</v>
      </c>
      <c r="I32" s="52">
        <f>הוצאות!H225+2734</f>
        <v>416818.74</v>
      </c>
      <c r="J32" s="63">
        <v>3.5</v>
      </c>
      <c r="K32" s="52">
        <f>הוצאות!$J$225</f>
        <v>20000</v>
      </c>
      <c r="M32" s="71" t="s">
        <v>1539</v>
      </c>
    </row>
    <row r="33" spans="1:13" ht="15.75" outlineLevel="2">
      <c r="A33" t="str">
        <f t="shared" si="0"/>
        <v>1813240110</v>
      </c>
      <c r="B33" s="50" t="str">
        <f>הוצאות!C234</f>
        <v>110</v>
      </c>
      <c r="C33" s="50" t="str">
        <f>הוצאות!D234</f>
        <v>813240</v>
      </c>
      <c r="D33" s="50" t="str">
        <f>הוצאות!E234</f>
        <v>81</v>
      </c>
      <c r="E33" s="51" t="str">
        <f>הוצאות!F234</f>
        <v>משכורת ב"ס יסודי ד</v>
      </c>
      <c r="F33" s="63">
        <v>2</v>
      </c>
      <c r="G33" s="52">
        <f>הוצאות!G234</f>
        <v>93000</v>
      </c>
      <c r="H33" s="63">
        <v>1.8</v>
      </c>
      <c r="I33" s="52">
        <f>הוצאות!H234</f>
        <v>0</v>
      </c>
      <c r="J33" s="63">
        <v>2</v>
      </c>
      <c r="K33" s="52">
        <f>הוצאות!$J$234</f>
        <v>0</v>
      </c>
    </row>
    <row r="34" spans="1:13" ht="15.75" outlineLevel="2">
      <c r="A34" t="str">
        <f t="shared" si="0"/>
        <v>1813250110</v>
      </c>
      <c r="B34" s="50" t="str">
        <f>הוצאות!C240</f>
        <v>110</v>
      </c>
      <c r="C34" s="50" t="str">
        <f>הוצאות!D240</f>
        <v>813250</v>
      </c>
      <c r="D34" s="50" t="str">
        <f>הוצאות!E240</f>
        <v>81</v>
      </c>
      <c r="E34" s="51" t="str">
        <f>הוצאות!F240</f>
        <v>משכורת -תוכנית יסודי</v>
      </c>
      <c r="F34" s="63">
        <v>0</v>
      </c>
      <c r="G34" s="52">
        <f>הוצאות!G240</f>
        <v>16000</v>
      </c>
      <c r="H34" s="63">
        <v>0</v>
      </c>
      <c r="I34" s="52">
        <f>הוצאות!H240</f>
        <v>9193.48</v>
      </c>
      <c r="J34" s="63">
        <v>0</v>
      </c>
      <c r="K34" s="52">
        <f>הוצאות!$J$240</f>
        <v>10000</v>
      </c>
    </row>
    <row r="35" spans="1:13" ht="15.75" outlineLevel="2">
      <c r="A35" t="str">
        <f t="shared" si="0"/>
        <v>1813300110</v>
      </c>
      <c r="B35" s="50" t="str">
        <f>הוצאות!C242</f>
        <v>110</v>
      </c>
      <c r="C35" s="50" t="str">
        <f>הוצאות!D242</f>
        <v>813300</v>
      </c>
      <c r="D35" s="50" t="str">
        <f>הוצאות!E242</f>
        <v>81</v>
      </c>
      <c r="E35" s="51" t="str">
        <f>הוצאות!F242</f>
        <v>משכורת ב"ס לחינוך מיוחד</v>
      </c>
      <c r="F35" s="63">
        <v>10</v>
      </c>
      <c r="G35" s="52">
        <f>הוצאות!G242</f>
        <v>1141000</v>
      </c>
      <c r="H35" s="63">
        <v>10.17</v>
      </c>
      <c r="I35" s="52">
        <f>הוצאות!H242+3770</f>
        <v>1198810.67</v>
      </c>
      <c r="J35" s="63">
        <v>10.17</v>
      </c>
      <c r="K35" s="52">
        <f>הוצאות!$J$242</f>
        <v>1340000</v>
      </c>
      <c r="M35" s="71" t="s">
        <v>1539</v>
      </c>
    </row>
    <row r="36" spans="1:13" ht="15.75" outlineLevel="2">
      <c r="A36" t="str">
        <f t="shared" si="0"/>
        <v>1814000110</v>
      </c>
      <c r="B36" s="50" t="str">
        <f>הוצאות!C256</f>
        <v>110</v>
      </c>
      <c r="C36" s="50" t="str">
        <f>הוצאות!D256</f>
        <v>814000</v>
      </c>
      <c r="D36" s="50" t="str">
        <f>הוצאות!E256</f>
        <v>81</v>
      </c>
      <c r="E36" s="51" t="str">
        <f>הוצאות!F256</f>
        <v>חט"ב-משכורת</v>
      </c>
      <c r="F36" s="63">
        <v>3</v>
      </c>
      <c r="G36" s="52">
        <f>הוצאות!G256</f>
        <v>443000</v>
      </c>
      <c r="H36" s="63">
        <v>3.48</v>
      </c>
      <c r="I36" s="52">
        <f>הוצאות!H256</f>
        <v>441870.56</v>
      </c>
      <c r="J36" s="63">
        <v>3.48</v>
      </c>
      <c r="K36" s="52">
        <f>הוצאות!$J$256</f>
        <v>600000</v>
      </c>
    </row>
    <row r="37" spans="1:13" ht="15.75" outlineLevel="2">
      <c r="A37" t="str">
        <f t="shared" si="0"/>
        <v>1815200110</v>
      </c>
      <c r="B37" s="50" t="str">
        <f>הוצאות!C268</f>
        <v>110</v>
      </c>
      <c r="C37" s="50" t="str">
        <f>הוצאות!D268</f>
        <v>815200</v>
      </c>
      <c r="D37" s="50" t="str">
        <f>הוצאות!E268</f>
        <v>81</v>
      </c>
      <c r="E37" s="51" t="str">
        <f>הוצאות!F268</f>
        <v>ב"ס תיכון-משכורת</v>
      </c>
      <c r="F37" s="63">
        <v>41</v>
      </c>
      <c r="G37" s="52">
        <f>הוצאות!G268</f>
        <v>5930000</v>
      </c>
      <c r="H37" s="63">
        <f>40.28+2</f>
        <v>42.28</v>
      </c>
      <c r="I37" s="52">
        <f>הוצאות!H268+33671</f>
        <v>6357435.0199999996</v>
      </c>
      <c r="J37" s="63">
        <v>42.28</v>
      </c>
      <c r="K37" s="52">
        <f>הוצאות!$J$268</f>
        <v>7400000</v>
      </c>
      <c r="M37" s="71" t="s">
        <v>1539</v>
      </c>
    </row>
    <row r="38" spans="1:13" ht="15.75" outlineLevel="2">
      <c r="A38" t="str">
        <f t="shared" si="0"/>
        <v>1817300110</v>
      </c>
      <c r="B38" s="50" t="str">
        <f>הוצאות!C284</f>
        <v>110</v>
      </c>
      <c r="C38" s="50" t="str">
        <f>הוצאות!D284</f>
        <v>817300</v>
      </c>
      <c r="D38" s="50" t="str">
        <f>הוצאות!E284</f>
        <v>81</v>
      </c>
      <c r="E38" s="51" t="str">
        <f>הוצאות!F284</f>
        <v>שפ"י - משכורת</v>
      </c>
      <c r="F38" s="63">
        <v>5</v>
      </c>
      <c r="G38" s="52">
        <f>הוצאות!G284</f>
        <v>508000</v>
      </c>
      <c r="H38" s="63">
        <v>4.7300000000000004</v>
      </c>
      <c r="I38" s="52">
        <f>הוצאות!H284</f>
        <v>556388.25</v>
      </c>
      <c r="J38" s="63">
        <v>4.7300000000000004</v>
      </c>
      <c r="K38" s="52">
        <f>הוצאות!$J$284</f>
        <v>650000</v>
      </c>
    </row>
    <row r="39" spans="1:13" ht="15.75" outlineLevel="2">
      <c r="A39" t="e">
        <f t="shared" si="0"/>
        <v>#REF!</v>
      </c>
      <c r="B39" s="50" t="e">
        <f>הוצאות!#REF!</f>
        <v>#REF!</v>
      </c>
      <c r="C39" s="50" t="e">
        <f>הוצאות!#REF!</f>
        <v>#REF!</v>
      </c>
      <c r="D39" s="50" t="e">
        <f>הוצאות!#REF!</f>
        <v>#REF!</v>
      </c>
      <c r="E39" s="51" t="e">
        <f>הוצאות!#REF!</f>
        <v>#REF!</v>
      </c>
      <c r="F39" s="63">
        <v>0</v>
      </c>
      <c r="G39" s="52" t="e">
        <f>הוצאות!#REF!</f>
        <v>#REF!</v>
      </c>
      <c r="H39" s="63"/>
      <c r="I39" s="52" t="e">
        <f>הוצאות!#REF!</f>
        <v>#REF!</v>
      </c>
      <c r="J39" s="63"/>
      <c r="K39" s="52" t="e">
        <f>הוצאות!#REF!</f>
        <v>#REF!</v>
      </c>
    </row>
    <row r="40" spans="1:13" ht="15.75" outlineLevel="2">
      <c r="A40" t="e">
        <f t="shared" si="0"/>
        <v>#REF!</v>
      </c>
      <c r="B40" s="50" t="e">
        <f>הוצאות!#REF!</f>
        <v>#REF!</v>
      </c>
      <c r="C40" s="50" t="e">
        <f>הוצאות!#REF!</f>
        <v>#REF!</v>
      </c>
      <c r="D40" s="50" t="e">
        <f>הוצאות!#REF!</f>
        <v>#REF!</v>
      </c>
      <c r="E40" s="51" t="e">
        <f>הוצאות!#REF!</f>
        <v>#REF!</v>
      </c>
      <c r="F40" s="63">
        <v>0</v>
      </c>
      <c r="G40" s="52" t="e">
        <f>הוצאות!#REF!</f>
        <v>#REF!</v>
      </c>
      <c r="H40" s="63">
        <v>0</v>
      </c>
      <c r="I40" s="52" t="e">
        <f>הוצאות!#REF!</f>
        <v>#REF!</v>
      </c>
      <c r="J40" s="63">
        <v>0</v>
      </c>
      <c r="K40" s="52" t="e">
        <f>הוצאות!#REF!</f>
        <v>#REF!</v>
      </c>
    </row>
    <row r="41" spans="1:13" ht="15.75" outlineLevel="2">
      <c r="A41" t="str">
        <f t="shared" si="0"/>
        <v>1817700110</v>
      </c>
      <c r="B41" s="50" t="str">
        <f>הוצאות!C297</f>
        <v>110</v>
      </c>
      <c r="C41" s="50" t="str">
        <f>הוצאות!D297</f>
        <v>817700</v>
      </c>
      <c r="D41" s="50" t="str">
        <f>הוצאות!E297</f>
        <v>81</v>
      </c>
      <c r="E41" s="51" t="str">
        <f>הוצאות!F297</f>
        <v>קב"סים-משכורת</v>
      </c>
      <c r="F41" s="63">
        <v>0</v>
      </c>
      <c r="G41" s="52">
        <f>הוצאות!G297</f>
        <v>200000</v>
      </c>
      <c r="H41" s="63"/>
      <c r="I41" s="52">
        <f>הוצאות!H297</f>
        <v>0</v>
      </c>
      <c r="J41" s="63">
        <v>2</v>
      </c>
      <c r="K41" s="52">
        <f>הוצאות!$J$297</f>
        <v>0</v>
      </c>
    </row>
    <row r="42" spans="1:13" ht="15.75" outlineLevel="2">
      <c r="A42" t="e">
        <f t="shared" si="0"/>
        <v>#REF!</v>
      </c>
      <c r="B42" s="50" t="e">
        <f>הוצאות!#REF!</f>
        <v>#REF!</v>
      </c>
      <c r="C42" s="50" t="e">
        <f>הוצאות!#REF!</f>
        <v>#REF!</v>
      </c>
      <c r="D42" s="50" t="e">
        <f>הוצאות!#REF!</f>
        <v>#REF!</v>
      </c>
      <c r="E42" s="51" t="e">
        <f>הוצאות!#REF!</f>
        <v>#REF!</v>
      </c>
      <c r="F42" s="63">
        <v>0</v>
      </c>
      <c r="G42" s="52" t="e">
        <f>הוצאות!#REF!</f>
        <v>#REF!</v>
      </c>
      <c r="H42" s="63"/>
      <c r="I42" s="52" t="e">
        <f>הוצאות!#REF!</f>
        <v>#REF!</v>
      </c>
      <c r="J42" s="63">
        <v>0</v>
      </c>
      <c r="K42" s="52" t="e">
        <f>הוצאות!#REF!</f>
        <v>#REF!</v>
      </c>
    </row>
    <row r="43" spans="1:13" ht="15.75" outlineLevel="2">
      <c r="A43" t="str">
        <f t="shared" si="0"/>
        <v>1817800110</v>
      </c>
      <c r="B43" s="50" t="str">
        <f>הוצאות!C301</f>
        <v>110</v>
      </c>
      <c r="C43" s="50" t="str">
        <f>הוצאות!D301</f>
        <v>817800</v>
      </c>
      <c r="D43" s="50" t="str">
        <f>הוצאות!E301</f>
        <v>81</v>
      </c>
      <c r="E43" s="51" t="str">
        <f>הוצאות!F301</f>
        <v>מלווים -משכורת</v>
      </c>
      <c r="F43" s="63">
        <v>2</v>
      </c>
      <c r="G43" s="52">
        <f>הוצאות!G301</f>
        <v>333000</v>
      </c>
      <c r="H43" s="63">
        <v>1.82</v>
      </c>
      <c r="I43" s="52">
        <f>הוצאות!H301</f>
        <v>522142.67</v>
      </c>
      <c r="J43" s="63">
        <v>1.82</v>
      </c>
      <c r="K43" s="52">
        <f>הוצאות!$J$301</f>
        <v>700000</v>
      </c>
    </row>
    <row r="44" spans="1:13" ht="15.75" outlineLevel="2">
      <c r="A44" t="str">
        <f t="shared" si="0"/>
        <v>1817900110</v>
      </c>
      <c r="B44" s="50" t="str">
        <f>הוצאות!C303</f>
        <v>110</v>
      </c>
      <c r="C44" s="50" t="str">
        <f>הוצאות!D303</f>
        <v>817900</v>
      </c>
      <c r="D44" s="50" t="str">
        <f>הוצאות!E303</f>
        <v>81</v>
      </c>
      <c r="E44" s="51" t="str">
        <f>הוצאות!F303</f>
        <v>שכר קב"ס</v>
      </c>
      <c r="F44" s="63">
        <v>0</v>
      </c>
      <c r="G44" s="52">
        <f>הוצאות!G303</f>
        <v>156000</v>
      </c>
      <c r="H44" s="63">
        <v>0</v>
      </c>
      <c r="I44" s="52">
        <f>הוצאות!H303</f>
        <v>1077.4000000000001</v>
      </c>
      <c r="J44" s="63">
        <v>0</v>
      </c>
      <c r="K44" s="52">
        <f>הוצאות!J303</f>
        <v>120000</v>
      </c>
    </row>
    <row r="45" spans="1:13" ht="15.75" outlineLevel="2">
      <c r="A45" t="str">
        <f t="shared" si="0"/>
        <v>1817910110</v>
      </c>
      <c r="B45" s="50" t="str">
        <f>הוצאות!C305</f>
        <v>110</v>
      </c>
      <c r="C45" s="50" t="str">
        <f>הוצאות!D305</f>
        <v>817910</v>
      </c>
      <c r="D45" s="50" t="str">
        <f>הוצאות!E305</f>
        <v>81</v>
      </c>
      <c r="E45" s="51" t="str">
        <f>הוצאות!F305</f>
        <v>משכורת- חינוך בלתי מפורמלי</v>
      </c>
      <c r="F45" s="63">
        <v>0</v>
      </c>
      <c r="G45" s="52">
        <f>הוצאות!G305</f>
        <v>35000</v>
      </c>
      <c r="H45" s="63">
        <v>0</v>
      </c>
      <c r="I45" s="52">
        <f>הוצאות!H305</f>
        <v>81226.289999999994</v>
      </c>
      <c r="J45" s="63">
        <v>0</v>
      </c>
      <c r="K45" s="52">
        <f>הוצאות!J305</f>
        <v>150000</v>
      </c>
    </row>
    <row r="46" spans="1:13" s="58" customFormat="1" ht="15.75" outlineLevel="1">
      <c r="B46" s="53"/>
      <c r="C46" s="53"/>
      <c r="D46" s="53" t="s">
        <v>1142</v>
      </c>
      <c r="E46" s="67" t="s">
        <v>1535</v>
      </c>
      <c r="F46" s="68">
        <f>SUM(F24:F45)</f>
        <v>110</v>
      </c>
      <c r="G46" s="69" t="e">
        <f>SUBTOTAL(9,G24:G45)</f>
        <v>#REF!</v>
      </c>
      <c r="H46" s="68">
        <f>SUM(H24:H45)</f>
        <v>110.92</v>
      </c>
      <c r="I46" s="69" t="e">
        <f>SUBTOTAL(9,I24:I45)</f>
        <v>#REF!</v>
      </c>
      <c r="J46" s="68">
        <f>SUM(J24:J45)</f>
        <v>113.13</v>
      </c>
      <c r="K46" s="69" t="e">
        <f>SUBTOTAL(9,K24:K45)</f>
        <v>#REF!</v>
      </c>
    </row>
    <row r="47" spans="1:13" ht="15.75" outlineLevel="2">
      <c r="A47" t="str">
        <f t="shared" si="0"/>
        <v>1824030110</v>
      </c>
      <c r="B47" s="50" t="str">
        <f>הוצאות!C331</f>
        <v>110</v>
      </c>
      <c r="C47" s="50" t="str">
        <f>הוצאות!D331</f>
        <v>824030</v>
      </c>
      <c r="D47" s="50" t="str">
        <f>הוצאות!E331</f>
        <v>82</v>
      </c>
      <c r="E47" s="51" t="str">
        <f>הוצאות!F331</f>
        <v>תרבות וספריה</v>
      </c>
      <c r="F47" s="63">
        <v>1</v>
      </c>
      <c r="G47" s="52">
        <f>הוצאות!G331</f>
        <v>153000</v>
      </c>
      <c r="H47" s="63">
        <v>1</v>
      </c>
      <c r="I47" s="52">
        <f>הוצאות!H331</f>
        <v>94766.52</v>
      </c>
      <c r="J47" s="63">
        <v>1</v>
      </c>
      <c r="K47" s="52">
        <f>הוצאות!$J$331</f>
        <v>110000</v>
      </c>
    </row>
    <row r="48" spans="1:13" ht="15.75" outlineLevel="2">
      <c r="A48" t="str">
        <f t="shared" si="0"/>
        <v>1828300110</v>
      </c>
      <c r="B48" s="50" t="str">
        <f>הוצאות!C335</f>
        <v>110</v>
      </c>
      <c r="C48" s="50" t="str">
        <f>הוצאות!D335</f>
        <v>828300</v>
      </c>
      <c r="D48" s="50" t="str">
        <f>הוצאות!E335</f>
        <v>82</v>
      </c>
      <c r="E48" s="51" t="str">
        <f>הוצאות!F335</f>
        <v>חוגי נוער-שכר</v>
      </c>
      <c r="F48" s="63">
        <v>1</v>
      </c>
      <c r="G48" s="52">
        <f>הוצאות!G335</f>
        <v>114000</v>
      </c>
      <c r="H48" s="63">
        <v>1.23</v>
      </c>
      <c r="I48" s="52">
        <f>הוצאות!H335</f>
        <v>320950.34000000003</v>
      </c>
      <c r="J48" s="63">
        <v>1</v>
      </c>
      <c r="K48" s="52">
        <f>הוצאות!$J$335</f>
        <v>200000</v>
      </c>
    </row>
    <row r="49" spans="1:13" ht="15.75" outlineLevel="2">
      <c r="A49" t="str">
        <f t="shared" si="0"/>
        <v>1829100110</v>
      </c>
      <c r="B49" s="50" t="str">
        <f>הוצאות!C343</f>
        <v>110</v>
      </c>
      <c r="C49" s="50" t="str">
        <f>הוצאות!D343</f>
        <v>829100</v>
      </c>
      <c r="D49" s="50" t="str">
        <f>הוצאות!E343</f>
        <v>82</v>
      </c>
      <c r="E49" s="51" t="str">
        <f>הוצאות!F343</f>
        <v>מנהל ספורט_-משכורת</v>
      </c>
      <c r="F49" s="63">
        <v>1</v>
      </c>
      <c r="G49" s="52">
        <f>הוצאות!G343</f>
        <v>144000</v>
      </c>
      <c r="H49" s="63">
        <v>1.5</v>
      </c>
      <c r="I49" s="52">
        <f>הוצאות!H343</f>
        <v>226419.3</v>
      </c>
      <c r="J49" s="63">
        <v>2</v>
      </c>
      <c r="K49" s="52">
        <f>הוצאות!J343</f>
        <v>190000</v>
      </c>
    </row>
    <row r="50" spans="1:13" ht="15.75" outlineLevel="2">
      <c r="A50" t="str">
        <f t="shared" si="0"/>
        <v>1829200110</v>
      </c>
      <c r="B50" s="50" t="str">
        <f>הוצאות!C345</f>
        <v>110</v>
      </c>
      <c r="C50" s="50" t="str">
        <f>הוצאות!D345</f>
        <v>829200</v>
      </c>
      <c r="D50" s="50" t="str">
        <f>הוצאות!E345</f>
        <v>82</v>
      </c>
      <c r="E50" s="51" t="str">
        <f>הוצאות!F345</f>
        <v>מדריכי ספורט-שכר</v>
      </c>
      <c r="F50" s="63">
        <v>0</v>
      </c>
      <c r="G50" s="52">
        <f>הוצאות!G345</f>
        <v>24000</v>
      </c>
      <c r="H50" s="63">
        <v>0</v>
      </c>
      <c r="I50" s="52">
        <f>הוצאות!H345</f>
        <v>0</v>
      </c>
      <c r="J50" s="63">
        <v>0</v>
      </c>
      <c r="K50" s="52">
        <f>הוצאות!J345</f>
        <v>100000</v>
      </c>
    </row>
    <row r="51" spans="1:13" ht="15.75" outlineLevel="2">
      <c r="A51" t="str">
        <f t="shared" si="0"/>
        <v>1829210110</v>
      </c>
      <c r="B51" s="50" t="str">
        <f>הוצאות!C357</f>
        <v>110</v>
      </c>
      <c r="C51" s="50" t="str">
        <f>הוצאות!D357</f>
        <v>829210</v>
      </c>
      <c r="D51" s="50" t="str">
        <f>הוצאות!E357</f>
        <v>82</v>
      </c>
      <c r="E51" s="51" t="str">
        <f>הוצאות!F357</f>
        <v>שכר מדריכי ספורט</v>
      </c>
      <c r="F51" s="63">
        <v>0</v>
      </c>
      <c r="G51" s="52">
        <f>הוצאות!G357</f>
        <v>25000</v>
      </c>
      <c r="H51" s="63">
        <v>0.1</v>
      </c>
      <c r="I51" s="52">
        <f>הוצאות!H357</f>
        <v>20055.96</v>
      </c>
      <c r="J51" s="63">
        <v>0</v>
      </c>
      <c r="K51" s="52">
        <f>הוצאות!$J$357</f>
        <v>0</v>
      </c>
    </row>
    <row r="52" spans="1:13" s="58" customFormat="1" ht="15.75" outlineLevel="1">
      <c r="B52" s="53"/>
      <c r="C52" s="53"/>
      <c r="D52" s="53" t="s">
        <v>1143</v>
      </c>
      <c r="E52" s="67" t="s">
        <v>1536</v>
      </c>
      <c r="F52" s="68">
        <f>SUM(F47:F51)</f>
        <v>3</v>
      </c>
      <c r="G52" s="69">
        <f>SUBTOTAL(9,G47:G51)</f>
        <v>460000</v>
      </c>
      <c r="H52" s="68">
        <f>SUM(H47:H51)</f>
        <v>3.83</v>
      </c>
      <c r="I52" s="69">
        <f>SUBTOTAL(9,I47:I51)</f>
        <v>662192.12</v>
      </c>
      <c r="J52" s="68">
        <f>SUM(J47:J51)</f>
        <v>4</v>
      </c>
      <c r="K52" s="69">
        <f>SUBTOTAL(9,K47:K51)</f>
        <v>600000</v>
      </c>
    </row>
    <row r="53" spans="1:13" ht="15.75" outlineLevel="2">
      <c r="A53" t="e">
        <f t="shared" si="0"/>
        <v>#REF!</v>
      </c>
      <c r="B53" s="50" t="e">
        <f>הוצאות!#REF!</f>
        <v>#REF!</v>
      </c>
      <c r="C53" s="50" t="e">
        <f>הוצאות!#REF!</f>
        <v>#REF!</v>
      </c>
      <c r="D53" s="50" t="e">
        <f>הוצאות!#REF!</f>
        <v>#REF!</v>
      </c>
      <c r="E53" s="51" t="e">
        <f>הוצאות!#REF!</f>
        <v>#REF!</v>
      </c>
      <c r="F53" s="63">
        <v>1.1000000000000001</v>
      </c>
      <c r="G53" s="52" t="e">
        <f>הוצאות!#REF!</f>
        <v>#REF!</v>
      </c>
      <c r="H53" s="63">
        <v>1.1000000000000001</v>
      </c>
      <c r="I53" s="52" t="e">
        <f>הוצאות!#REF!</f>
        <v>#REF!</v>
      </c>
      <c r="J53" s="63">
        <v>1.1000000000000001</v>
      </c>
      <c r="K53" s="52" t="e">
        <f>הוצאות!#REF!</f>
        <v>#REF!</v>
      </c>
    </row>
    <row r="54" spans="1:13" ht="15.75" outlineLevel="2">
      <c r="A54" t="str">
        <f t="shared" si="0"/>
        <v>1832400110</v>
      </c>
      <c r="B54" s="50" t="str">
        <f>הוצאות!C367</f>
        <v>110</v>
      </c>
      <c r="C54" s="50" t="str">
        <f>הוצאות!D367</f>
        <v>832400</v>
      </c>
      <c r="D54" s="50" t="str">
        <f>הוצאות!E367</f>
        <v>83</v>
      </c>
      <c r="E54" s="51" t="str">
        <f>הוצאות!F367</f>
        <v>בריאות המשפחה-משכורת</v>
      </c>
      <c r="F54" s="63">
        <v>1.7</v>
      </c>
      <c r="G54" s="52">
        <f>הוצאות!G367</f>
        <v>173000</v>
      </c>
      <c r="H54" s="63">
        <v>1.7</v>
      </c>
      <c r="I54" s="52">
        <f>הוצאות!H367</f>
        <v>170142.89</v>
      </c>
      <c r="J54" s="63">
        <v>1.7</v>
      </c>
      <c r="K54" s="52">
        <f>הוצאות!$J$367</f>
        <v>200000</v>
      </c>
    </row>
    <row r="55" spans="1:13" s="58" customFormat="1" ht="15.75" outlineLevel="1">
      <c r="B55" s="53"/>
      <c r="C55" s="53"/>
      <c r="D55" s="53" t="s">
        <v>1144</v>
      </c>
      <c r="E55" s="67" t="s">
        <v>719</v>
      </c>
      <c r="F55" s="68">
        <f>SUM(F53:F54)</f>
        <v>2.8</v>
      </c>
      <c r="G55" s="69" t="e">
        <f>SUBTOTAL(9,G53:G54)</f>
        <v>#REF!</v>
      </c>
      <c r="H55" s="68">
        <f>SUM(H53:H54)</f>
        <v>2.8</v>
      </c>
      <c r="I55" s="69" t="e">
        <f>SUBTOTAL(9,I53:I54)</f>
        <v>#REF!</v>
      </c>
      <c r="J55" s="68">
        <f>SUM(J53:J54)</f>
        <v>2.8</v>
      </c>
      <c r="K55" s="69" t="e">
        <f>SUBTOTAL(9,K53:K54)</f>
        <v>#REF!</v>
      </c>
    </row>
    <row r="56" spans="1:13" ht="15.75" outlineLevel="2">
      <c r="A56" t="str">
        <f t="shared" si="0"/>
        <v>1841001110</v>
      </c>
      <c r="B56" s="50" t="str">
        <f>הוצאות!C379</f>
        <v>110</v>
      </c>
      <c r="C56" s="50" t="str">
        <f>הוצאות!D379</f>
        <v>841001</v>
      </c>
      <c r="D56" s="50" t="str">
        <f>הוצאות!E379</f>
        <v>84</v>
      </c>
      <c r="E56" s="51" t="str">
        <f>הוצאות!F379</f>
        <v>שכר עובדי מחלקה</v>
      </c>
      <c r="F56" s="63">
        <v>10.02</v>
      </c>
      <c r="G56" s="52">
        <f>הוצאות!G379</f>
        <v>1532000</v>
      </c>
      <c r="H56" s="63">
        <v>10.02</v>
      </c>
      <c r="I56" s="52">
        <f>הוצאות!H379+8720</f>
        <v>1483818.19</v>
      </c>
      <c r="J56" s="63">
        <f>10.02+0.75+1.89</f>
        <v>12.66</v>
      </c>
      <c r="K56" s="52">
        <f>הוצאות!$J$379</f>
        <v>1973000</v>
      </c>
      <c r="M56" s="71" t="s">
        <v>1539</v>
      </c>
    </row>
    <row r="57" spans="1:13" ht="15.75" outlineLevel="2">
      <c r="A57" t="str">
        <f t="shared" si="0"/>
        <v>1843501110</v>
      </c>
      <c r="B57" s="50" t="str">
        <f>הוצאות!C396</f>
        <v>110</v>
      </c>
      <c r="C57" s="50" t="str">
        <f>הוצאות!D396</f>
        <v>843501</v>
      </c>
      <c r="D57" s="50" t="str">
        <f>הוצאות!E396</f>
        <v>84</v>
      </c>
      <c r="E57" s="51" t="str">
        <f>הוצאות!F396</f>
        <v>רכזות משפחתונים-שכר</v>
      </c>
      <c r="F57" s="63">
        <v>0.75</v>
      </c>
      <c r="G57" s="52">
        <f>הוצאות!G396</f>
        <v>70000</v>
      </c>
      <c r="H57" s="63">
        <v>0.75</v>
      </c>
      <c r="I57" s="52">
        <f>הוצאות!H396</f>
        <v>108473.09</v>
      </c>
      <c r="J57" s="63"/>
      <c r="K57" s="52">
        <f>הוצאות!$J$396</f>
        <v>0</v>
      </c>
    </row>
    <row r="58" spans="1:13" ht="15.75" outlineLevel="2">
      <c r="A58" t="str">
        <f t="shared" si="0"/>
        <v>1844401110</v>
      </c>
      <c r="B58" s="50" t="str">
        <f>הוצאות!C413</f>
        <v>110</v>
      </c>
      <c r="C58" s="50" t="str">
        <f>הוצאות!D413</f>
        <v>844401</v>
      </c>
      <c r="D58" s="50" t="str">
        <f>הוצאות!E413</f>
        <v>84</v>
      </c>
      <c r="E58" s="51" t="str">
        <f>הוצאות!F413</f>
        <v>מועדונים לזקנים-שכר</v>
      </c>
      <c r="F58" s="63">
        <v>0.7</v>
      </c>
      <c r="G58" s="52">
        <f>הוצאות!G413</f>
        <v>57000</v>
      </c>
      <c r="H58" s="63">
        <v>0.7</v>
      </c>
      <c r="I58" s="52">
        <f>הוצאות!H413</f>
        <v>66509.759999999995</v>
      </c>
      <c r="J58" s="63">
        <v>0.7</v>
      </c>
      <c r="K58" s="52">
        <f>הוצאות!$J$413</f>
        <v>70000</v>
      </c>
    </row>
    <row r="59" spans="1:13" ht="15.75" outlineLevel="2">
      <c r="A59" t="str">
        <f t="shared" si="0"/>
        <v>1844500110</v>
      </c>
      <c r="B59" s="50" t="str">
        <f>הוצאות!C424</f>
        <v>110</v>
      </c>
      <c r="C59" s="50" t="str">
        <f>הוצאות!D424</f>
        <v>844500</v>
      </c>
      <c r="D59" s="50" t="str">
        <f>הוצאות!E424</f>
        <v>84</v>
      </c>
      <c r="E59" s="51" t="str">
        <f>הוצאות!F424</f>
        <v>שכר מועדון לקשיש</v>
      </c>
      <c r="F59" s="63">
        <v>0</v>
      </c>
      <c r="G59" s="52">
        <f>הוצאות!G424</f>
        <v>0</v>
      </c>
      <c r="H59" s="63">
        <v>0</v>
      </c>
      <c r="I59" s="52">
        <f>הוצאות!H424</f>
        <v>0</v>
      </c>
      <c r="J59" s="63">
        <v>0</v>
      </c>
      <c r="K59" s="52">
        <f>הוצאות!$J$424</f>
        <v>0</v>
      </c>
    </row>
    <row r="60" spans="1:13" ht="15.75" outlineLevel="2">
      <c r="A60" t="str">
        <f t="shared" si="0"/>
        <v>1845201110</v>
      </c>
      <c r="B60" s="50" t="str">
        <f>הוצאות!C432</f>
        <v>110</v>
      </c>
      <c r="C60" s="50" t="str">
        <f>הוצאות!D432</f>
        <v>845201</v>
      </c>
      <c r="D60" s="50" t="str">
        <f>הוצאות!E432</f>
        <v>84</v>
      </c>
      <c r="E60" s="51" t="str">
        <f>הוצאות!F432</f>
        <v>מעון יום-מטפלות</v>
      </c>
      <c r="F60" s="63">
        <v>1.89</v>
      </c>
      <c r="G60" s="52">
        <f>הוצאות!G432</f>
        <v>201000</v>
      </c>
      <c r="H60" s="63">
        <v>1.89</v>
      </c>
      <c r="I60" s="52">
        <f>הוצאות!H432</f>
        <v>185371.14</v>
      </c>
      <c r="J60" s="63"/>
      <c r="K60" s="52">
        <f>הוצאות!$J$432</f>
        <v>0</v>
      </c>
    </row>
    <row r="61" spans="1:13" s="58" customFormat="1" ht="15.75" outlineLevel="1">
      <c r="B61" s="53"/>
      <c r="C61" s="53"/>
      <c r="D61" s="53" t="s">
        <v>1145</v>
      </c>
      <c r="E61" s="67" t="s">
        <v>1537</v>
      </c>
      <c r="F61" s="68">
        <f>SUM(F56:F60)</f>
        <v>13.36</v>
      </c>
      <c r="G61" s="69">
        <f>SUBTOTAL(9,G56:G60)</f>
        <v>1860000</v>
      </c>
      <c r="H61" s="68">
        <f>SUM(H56:H60)</f>
        <v>13.36</v>
      </c>
      <c r="I61" s="69">
        <f>SUBTOTAL(9,I56:I60)</f>
        <v>1844172.1800000002</v>
      </c>
      <c r="J61" s="68">
        <f>SUM(J56:J60)</f>
        <v>13.36</v>
      </c>
      <c r="K61" s="69">
        <f>SUBTOTAL(9,K56:K60)</f>
        <v>2043000</v>
      </c>
    </row>
    <row r="62" spans="1:13" ht="15.75" outlineLevel="2">
      <c r="A62" t="str">
        <f t="shared" si="0"/>
        <v>1911000110</v>
      </c>
      <c r="B62" s="50" t="str">
        <f>הוצאות!C483</f>
        <v>110</v>
      </c>
      <c r="C62" s="50" t="str">
        <f>הוצאות!D483</f>
        <v>911000</v>
      </c>
      <c r="D62" s="50" t="str">
        <f>הוצאות!E483</f>
        <v>91</v>
      </c>
      <c r="E62" s="51" t="str">
        <f>הוצאות!F483</f>
        <v>מנהל המים-משכורת</v>
      </c>
      <c r="F62" s="63">
        <v>1</v>
      </c>
      <c r="G62" s="52">
        <f>הוצאות!G483</f>
        <v>149000</v>
      </c>
      <c r="H62" s="63">
        <v>1</v>
      </c>
      <c r="I62" s="52">
        <f>הוצאות!H483</f>
        <v>165301.41</v>
      </c>
      <c r="J62" s="63">
        <v>1</v>
      </c>
      <c r="K62" s="52">
        <f>הוצאות!$J$483</f>
        <v>170000</v>
      </c>
    </row>
    <row r="63" spans="1:13" s="58" customFormat="1" ht="15.75" outlineLevel="1">
      <c r="B63" s="53"/>
      <c r="C63" s="53"/>
      <c r="D63" s="53" t="s">
        <v>1146</v>
      </c>
      <c r="E63" s="67" t="s">
        <v>165</v>
      </c>
      <c r="F63" s="68">
        <f>SUM(F62)</f>
        <v>1</v>
      </c>
      <c r="G63" s="69">
        <f>SUBTOTAL(9,G62:G62)</f>
        <v>149000</v>
      </c>
      <c r="H63" s="68">
        <f>SUM(H62)</f>
        <v>1</v>
      </c>
      <c r="I63" s="69">
        <f>SUBTOTAL(9,I62:I62)</f>
        <v>165301.41</v>
      </c>
      <c r="J63" s="68">
        <f>SUM(J62)</f>
        <v>1</v>
      </c>
      <c r="K63" s="69">
        <f>SUBTOTAL(9,K62:K62)</f>
        <v>170000</v>
      </c>
    </row>
    <row r="64" spans="1:13" ht="15.75" outlineLevel="2">
      <c r="A64" t="str">
        <f t="shared" si="0"/>
        <v>1999000110</v>
      </c>
      <c r="B64" s="50" t="str">
        <f>הוצאות!C514</f>
        <v>110</v>
      </c>
      <c r="C64" s="50" t="str">
        <f>הוצאות!D514</f>
        <v>999000</v>
      </c>
      <c r="D64" s="50" t="str">
        <f>הוצאות!E514</f>
        <v>99</v>
      </c>
      <c r="E64" s="51" t="str">
        <f>הוצאות!F514</f>
        <v>פנסיה נבחרים</v>
      </c>
      <c r="F64" s="63"/>
      <c r="G64" s="52">
        <f>הוצאות!G514</f>
        <v>0</v>
      </c>
      <c r="H64" s="63">
        <v>0.16</v>
      </c>
      <c r="I64" s="52">
        <f>הוצאות!H514</f>
        <v>36112.5</v>
      </c>
      <c r="J64" s="63"/>
      <c r="K64" s="52">
        <f>הוצאות!J514</f>
        <v>0</v>
      </c>
    </row>
    <row r="65" spans="1:11" ht="15.75" outlineLevel="2">
      <c r="A65" t="str">
        <f t="shared" si="0"/>
        <v>1999000110</v>
      </c>
      <c r="B65" s="54" t="str">
        <f>הוצאות!C515</f>
        <v>310</v>
      </c>
      <c r="C65" s="54" t="str">
        <f>הוצאות!D515</f>
        <v>999000</v>
      </c>
      <c r="D65" s="54" t="str">
        <f>הוצאות!E515</f>
        <v>99</v>
      </c>
      <c r="E65" s="55" t="str">
        <f>הוצאות!F515</f>
        <v>פנסיונרים-משכורת</v>
      </c>
      <c r="F65" s="64">
        <v>1</v>
      </c>
      <c r="G65" s="56">
        <f>הוצאות!G515</f>
        <v>515000</v>
      </c>
      <c r="H65" s="64">
        <v>1.1599999999999999</v>
      </c>
      <c r="I65" s="56">
        <f>הוצאות!H515</f>
        <v>506164.09</v>
      </c>
      <c r="J65" s="64">
        <v>1.1599999999999999</v>
      </c>
      <c r="K65" s="56">
        <f>הוצאות!J515</f>
        <v>510000</v>
      </c>
    </row>
    <row r="66" spans="1:11" s="58" customFormat="1" ht="15.75" outlineLevel="1">
      <c r="B66" s="57"/>
      <c r="C66" s="57"/>
      <c r="D66" s="57" t="s">
        <v>1147</v>
      </c>
      <c r="E66" s="62" t="s">
        <v>1538</v>
      </c>
      <c r="F66" s="59">
        <f>SUBTOTAL(9,F64:F65)</f>
        <v>1</v>
      </c>
      <c r="G66" s="70">
        <f>SUBTOTAL(9,G64:G65)</f>
        <v>515000</v>
      </c>
      <c r="H66" s="59">
        <f>SUM(H64:H65)</f>
        <v>1.3199999999999998</v>
      </c>
      <c r="I66" s="70">
        <f>SUBTOTAL(9,I64:I65)</f>
        <v>542276.59000000008</v>
      </c>
      <c r="J66" s="59">
        <f>SUM(J64:J65)</f>
        <v>1.1599999999999999</v>
      </c>
      <c r="K66" s="70">
        <f>SUBTOTAL(9,K64:K65)</f>
        <v>510000</v>
      </c>
    </row>
    <row r="67" spans="1:11" s="58" customFormat="1" ht="15.75">
      <c r="B67" s="57"/>
      <c r="C67" s="57"/>
      <c r="D67" s="57" t="s">
        <v>1148</v>
      </c>
      <c r="E67" s="62"/>
      <c r="F67" s="70">
        <f>+F10+F14+F16+F18+F20+F23+F46+F52+F55+F61+F63+F66</f>
        <v>142.91</v>
      </c>
      <c r="G67" s="70" t="e">
        <f>SUBTOTAL(9,G6:G65)</f>
        <v>#REF!</v>
      </c>
      <c r="H67" s="70">
        <f>+H10+H14+H16+H18+H20+H23+H46+H52+H55+H61+H63+H66</f>
        <v>145.17000000000002</v>
      </c>
      <c r="I67" s="70" t="e">
        <f>SUBTOTAL(9,I6:I65)</f>
        <v>#REF!</v>
      </c>
      <c r="J67" s="70">
        <f>+J10+J14+J16+J18+J20+J23+J46+J52+J55+J61+J63+J66</f>
        <v>151.95000000000002</v>
      </c>
      <c r="K67" s="70" t="e">
        <f>SUBTOTAL(9,K6:K65)</f>
        <v>#REF!</v>
      </c>
    </row>
    <row r="70" spans="1:11">
      <c r="I70">
        <v>2734</v>
      </c>
    </row>
    <row r="71" spans="1:11">
      <c r="I71">
        <v>3770</v>
      </c>
    </row>
    <row r="72" spans="1:11">
      <c r="I72">
        <v>33671</v>
      </c>
    </row>
    <row r="73" spans="1:11">
      <c r="I73">
        <v>8720</v>
      </c>
    </row>
  </sheetData>
  <mergeCells count="5">
    <mergeCell ref="B1:K1"/>
    <mergeCell ref="F4:G4"/>
    <mergeCell ref="H4:I4"/>
    <mergeCell ref="J4:K4"/>
    <mergeCell ref="B2:K2"/>
  </mergeCells>
  <conditionalFormatting sqref="B6:K64">
    <cfRule type="expression" dxfId="590" priority="4">
      <formula>$B6="110"</formula>
    </cfRule>
  </conditionalFormatting>
  <conditionalFormatting sqref="B65:I65 K65 B66:K67">
    <cfRule type="expression" dxfId="589" priority="3">
      <formula>$B65="110"</formula>
    </cfRule>
  </conditionalFormatting>
  <conditionalFormatting sqref="J65">
    <cfRule type="expression" dxfId="588" priority="1">
      <formula>$B65="110"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8" orientation="portrait" r:id="rId1"/>
  <headerFooter>
    <oddFooter>&amp;C&amp;"David,רגיל"&amp;P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BO109"/>
  <sheetViews>
    <sheetView rightToLeft="1" view="pageBreakPreview" zoomScale="55" zoomScaleNormal="55" zoomScaleSheetLayoutView="55" workbookViewId="0">
      <selection activeCell="M30" sqref="M30"/>
    </sheetView>
  </sheetViews>
  <sheetFormatPr defaultColWidth="9" defaultRowHeight="12.75"/>
  <cols>
    <col min="1" max="1" width="9" style="120"/>
    <col min="2" max="2" width="5.375" style="120" bestFit="1" customWidth="1"/>
    <col min="3" max="3" width="33.375" style="120" bestFit="1" customWidth="1"/>
    <col min="4" max="4" width="22.375" style="120" bestFit="1" customWidth="1"/>
    <col min="5" max="5" width="8.625" style="120" bestFit="1" customWidth="1"/>
    <col min="6" max="6" width="13.25" style="120" bestFit="1" customWidth="1"/>
    <col min="7" max="7" width="8.625" style="120" bestFit="1" customWidth="1"/>
    <col min="8" max="8" width="23.875" style="120" bestFit="1" customWidth="1"/>
    <col min="9" max="9" width="15.375" style="119" bestFit="1" customWidth="1"/>
    <col min="10" max="10" width="12.875" style="120" customWidth="1"/>
    <col min="11" max="11" width="23.375" style="120" hidden="1" customWidth="1"/>
    <col min="12" max="16384" width="9" style="120"/>
  </cols>
  <sheetData>
    <row r="1" spans="2:67" s="117" customFormat="1" ht="20.25">
      <c r="B1" s="279" t="s">
        <v>1548</v>
      </c>
      <c r="C1" s="280"/>
      <c r="D1" s="280"/>
      <c r="E1" s="280"/>
      <c r="F1" s="280"/>
      <c r="G1" s="280"/>
      <c r="H1" s="281"/>
      <c r="I1" s="116"/>
    </row>
    <row r="2" spans="2:67" ht="5.25" customHeight="1">
      <c r="B2" s="118"/>
      <c r="C2" s="118"/>
      <c r="D2" s="118"/>
      <c r="E2" s="118"/>
      <c r="F2" s="118"/>
      <c r="G2" s="118"/>
      <c r="H2" s="118"/>
      <c r="J2" s="118"/>
    </row>
    <row r="3" spans="2:67" s="117" customFormat="1" ht="29.25" customHeight="1">
      <c r="B3" s="282" t="s">
        <v>1549</v>
      </c>
      <c r="C3" s="282" t="s">
        <v>1550</v>
      </c>
      <c r="D3" s="121"/>
      <c r="E3" s="277" t="s">
        <v>422</v>
      </c>
      <c r="F3" s="278"/>
      <c r="G3" s="277" t="s">
        <v>1551</v>
      </c>
      <c r="H3" s="278"/>
      <c r="I3" s="277" t="s">
        <v>1552</v>
      </c>
      <c r="J3" s="278"/>
      <c r="K3" s="122"/>
    </row>
    <row r="4" spans="2:67" s="128" customFormat="1" ht="60">
      <c r="B4" s="283"/>
      <c r="C4" s="283"/>
      <c r="D4" s="123"/>
      <c r="E4" s="124" t="s">
        <v>1526</v>
      </c>
      <c r="F4" s="124" t="s">
        <v>1553</v>
      </c>
      <c r="G4" s="124" t="s">
        <v>1526</v>
      </c>
      <c r="H4" s="124" t="s">
        <v>1554</v>
      </c>
      <c r="I4" s="124" t="s">
        <v>1526</v>
      </c>
      <c r="J4" s="124" t="s">
        <v>1554</v>
      </c>
      <c r="K4" s="125" t="s">
        <v>1555</v>
      </c>
      <c r="L4" s="120"/>
      <c r="M4" s="120"/>
      <c r="N4" s="126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</row>
    <row r="5" spans="2:67" ht="20.25">
      <c r="B5" s="123">
        <v>6</v>
      </c>
      <c r="C5" s="129" t="s">
        <v>673</v>
      </c>
      <c r="D5" s="129"/>
      <c r="E5" s="130"/>
      <c r="F5" s="130"/>
      <c r="G5" s="130"/>
      <c r="H5" s="131"/>
      <c r="I5" s="130"/>
      <c r="J5" s="131"/>
      <c r="K5" s="132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</row>
    <row r="6" spans="2:67" ht="20.25">
      <c r="B6" s="123">
        <v>61</v>
      </c>
      <c r="C6" s="123" t="s">
        <v>1556</v>
      </c>
      <c r="D6" s="133"/>
      <c r="E6" s="133"/>
      <c r="F6" s="133"/>
      <c r="G6" s="133"/>
      <c r="H6" s="133"/>
      <c r="I6" s="133"/>
      <c r="J6" s="133"/>
      <c r="K6" s="132"/>
      <c r="M6" s="120" t="s">
        <v>1543</v>
      </c>
    </row>
    <row r="7" spans="2:67" ht="20.25">
      <c r="B7" s="123"/>
      <c r="C7" s="123"/>
      <c r="D7" s="123" t="s">
        <v>1556</v>
      </c>
      <c r="E7" s="131">
        <v>1</v>
      </c>
      <c r="F7" s="131">
        <v>620</v>
      </c>
      <c r="G7" s="131">
        <v>1</v>
      </c>
      <c r="H7" s="131">
        <v>619.57899999999995</v>
      </c>
      <c r="I7" s="131">
        <v>2</v>
      </c>
      <c r="J7" s="131">
        <v>930</v>
      </c>
      <c r="K7" s="132"/>
    </row>
    <row r="8" spans="2:67" ht="20.25">
      <c r="B8" s="123"/>
      <c r="C8" s="134" t="s">
        <v>1557</v>
      </c>
      <c r="D8" s="123"/>
      <c r="E8" s="135">
        <f t="shared" ref="E8:J8" si="0">SUM(E7)</f>
        <v>1</v>
      </c>
      <c r="F8" s="135">
        <f t="shared" si="0"/>
        <v>620</v>
      </c>
      <c r="G8" s="135">
        <f t="shared" si="0"/>
        <v>1</v>
      </c>
      <c r="H8" s="135">
        <f t="shared" si="0"/>
        <v>619.57899999999995</v>
      </c>
      <c r="I8" s="135">
        <f t="shared" si="0"/>
        <v>2</v>
      </c>
      <c r="J8" s="135">
        <f t="shared" si="0"/>
        <v>930</v>
      </c>
      <c r="K8" s="132"/>
    </row>
    <row r="9" spans="2:67" ht="20.25">
      <c r="B9" s="123">
        <v>61</v>
      </c>
      <c r="C9" s="123" t="s">
        <v>1529</v>
      </c>
      <c r="D9" s="123"/>
      <c r="E9" s="131"/>
      <c r="F9" s="131"/>
      <c r="G9" s="131"/>
      <c r="H9" s="131"/>
      <c r="I9" s="131"/>
      <c r="J9" s="131"/>
      <c r="K9" s="132"/>
    </row>
    <row r="10" spans="2:67" ht="20.25">
      <c r="B10" s="123"/>
      <c r="C10" s="123"/>
      <c r="D10" s="123" t="s">
        <v>1558</v>
      </c>
      <c r="E10" s="131">
        <v>0.25</v>
      </c>
      <c r="F10" s="131">
        <v>0</v>
      </c>
      <c r="G10" s="131">
        <v>0.57999999999999996</v>
      </c>
      <c r="H10" s="131">
        <v>55.5</v>
      </c>
      <c r="I10" s="131">
        <v>2</v>
      </c>
      <c r="J10" s="131">
        <v>250</v>
      </c>
      <c r="K10" s="132"/>
    </row>
    <row r="11" spans="2:67" ht="20.25">
      <c r="B11" s="123"/>
      <c r="C11" s="123"/>
      <c r="D11" s="123" t="s">
        <v>1559</v>
      </c>
      <c r="E11" s="131">
        <v>2</v>
      </c>
      <c r="F11" s="131">
        <v>726</v>
      </c>
      <c r="G11" s="131">
        <v>2</v>
      </c>
      <c r="H11" s="131">
        <v>593</v>
      </c>
      <c r="I11" s="131">
        <v>2</v>
      </c>
      <c r="J11" s="131">
        <v>655</v>
      </c>
      <c r="K11" s="132"/>
    </row>
    <row r="12" spans="2:67" ht="20.25">
      <c r="B12" s="123"/>
      <c r="C12" s="123"/>
      <c r="D12" s="123" t="s">
        <v>1560</v>
      </c>
      <c r="E12" s="131">
        <v>0.25</v>
      </c>
      <c r="F12" s="131">
        <v>202</v>
      </c>
      <c r="G12" s="131">
        <v>0.25</v>
      </c>
      <c r="H12" s="131">
        <v>108</v>
      </c>
      <c r="I12" s="131">
        <v>0.5</v>
      </c>
      <c r="J12" s="131">
        <v>176</v>
      </c>
      <c r="K12" s="132"/>
    </row>
    <row r="13" spans="2:67" ht="20.25">
      <c r="B13" s="123"/>
      <c r="C13" s="134" t="s">
        <v>1561</v>
      </c>
      <c r="D13" s="123"/>
      <c r="E13" s="135">
        <f t="shared" ref="E13:J13" si="1">SUM(E10:E12)</f>
        <v>2.5</v>
      </c>
      <c r="F13" s="135">
        <f t="shared" si="1"/>
        <v>928</v>
      </c>
      <c r="G13" s="135">
        <f t="shared" si="1"/>
        <v>2.83</v>
      </c>
      <c r="H13" s="135">
        <f t="shared" si="1"/>
        <v>756.5</v>
      </c>
      <c r="I13" s="135">
        <f t="shared" si="1"/>
        <v>4.5</v>
      </c>
      <c r="J13" s="135">
        <f t="shared" si="1"/>
        <v>1081</v>
      </c>
      <c r="K13" s="132"/>
    </row>
    <row r="14" spans="2:67" ht="20.25">
      <c r="B14" s="123">
        <v>62</v>
      </c>
      <c r="C14" s="123" t="s">
        <v>1562</v>
      </c>
      <c r="D14" s="123"/>
      <c r="E14" s="131"/>
      <c r="F14" s="131"/>
      <c r="G14" s="131"/>
      <c r="H14" s="131"/>
      <c r="I14" s="131"/>
      <c r="J14" s="131"/>
      <c r="K14" s="132"/>
    </row>
    <row r="15" spans="2:67" ht="20.25">
      <c r="B15" s="123"/>
      <c r="C15" s="123"/>
      <c r="D15" s="123" t="s">
        <v>1563</v>
      </c>
      <c r="E15" s="131">
        <v>0</v>
      </c>
      <c r="F15" s="131"/>
      <c r="G15" s="131">
        <v>0</v>
      </c>
      <c r="H15" s="131">
        <v>3</v>
      </c>
      <c r="I15" s="131">
        <v>0.5</v>
      </c>
      <c r="J15" s="131">
        <v>60</v>
      </c>
      <c r="K15" s="132"/>
    </row>
    <row r="16" spans="2:67" ht="20.25">
      <c r="B16" s="123"/>
      <c r="C16" s="123"/>
      <c r="D16" s="123" t="s">
        <v>1564</v>
      </c>
      <c r="E16" s="131">
        <v>1.5</v>
      </c>
      <c r="F16" s="131">
        <v>475</v>
      </c>
      <c r="G16" s="131">
        <v>1</v>
      </c>
      <c r="H16" s="131">
        <v>480</v>
      </c>
      <c r="I16" s="131">
        <v>1</v>
      </c>
      <c r="J16" s="131">
        <v>485</v>
      </c>
      <c r="K16" s="132"/>
    </row>
    <row r="17" spans="2:13" ht="20.25">
      <c r="B17" s="123"/>
      <c r="C17" s="123"/>
      <c r="D17" s="123" t="s">
        <v>1565</v>
      </c>
      <c r="E17" s="131">
        <v>1.5</v>
      </c>
      <c r="F17" s="131">
        <v>200</v>
      </c>
      <c r="G17" s="131">
        <v>1.5</v>
      </c>
      <c r="H17" s="131">
        <v>200</v>
      </c>
      <c r="I17" s="131">
        <v>1.5</v>
      </c>
      <c r="J17" s="131">
        <v>205</v>
      </c>
      <c r="K17" s="132"/>
    </row>
    <row r="18" spans="2:13" ht="20.25">
      <c r="B18" s="123"/>
      <c r="C18" s="134" t="s">
        <v>1566</v>
      </c>
      <c r="D18" s="123"/>
      <c r="E18" s="135">
        <f t="shared" ref="E18:J18" si="2">SUM(E15:E17)</f>
        <v>3</v>
      </c>
      <c r="F18" s="135">
        <f t="shared" si="2"/>
        <v>675</v>
      </c>
      <c r="G18" s="135">
        <f t="shared" si="2"/>
        <v>2.5</v>
      </c>
      <c r="H18" s="135">
        <f t="shared" si="2"/>
        <v>683</v>
      </c>
      <c r="I18" s="135">
        <f t="shared" si="2"/>
        <v>3</v>
      </c>
      <c r="J18" s="135">
        <f t="shared" si="2"/>
        <v>750</v>
      </c>
      <c r="K18" s="132"/>
    </row>
    <row r="19" spans="2:13" ht="20.25">
      <c r="B19" s="123"/>
      <c r="C19" s="136" t="s">
        <v>716</v>
      </c>
      <c r="D19" s="136"/>
      <c r="E19" s="137">
        <f t="shared" ref="E19:J19" si="3">+E18+E13+E8</f>
        <v>6.5</v>
      </c>
      <c r="F19" s="137">
        <f t="shared" si="3"/>
        <v>2223</v>
      </c>
      <c r="G19" s="138">
        <f t="shared" si="3"/>
        <v>6.33</v>
      </c>
      <c r="H19" s="137">
        <f t="shared" si="3"/>
        <v>2059.0789999999997</v>
      </c>
      <c r="I19" s="137">
        <f t="shared" si="3"/>
        <v>9.5</v>
      </c>
      <c r="J19" s="137">
        <f t="shared" si="3"/>
        <v>2761</v>
      </c>
      <c r="K19" s="132"/>
    </row>
    <row r="20" spans="2:13" ht="20.25">
      <c r="B20" s="123">
        <v>7</v>
      </c>
      <c r="C20" s="129" t="s">
        <v>650</v>
      </c>
      <c r="D20" s="129"/>
      <c r="E20" s="131"/>
      <c r="F20" s="131"/>
      <c r="G20" s="131"/>
      <c r="H20" s="131"/>
      <c r="I20" s="131"/>
      <c r="J20" s="131"/>
      <c r="K20" s="132"/>
    </row>
    <row r="21" spans="2:13" ht="20.25">
      <c r="B21" s="123">
        <v>71</v>
      </c>
      <c r="C21" s="134" t="s">
        <v>1531</v>
      </c>
      <c r="D21" s="134" t="s">
        <v>1567</v>
      </c>
      <c r="E21" s="135">
        <v>1</v>
      </c>
      <c r="F21" s="135">
        <v>113</v>
      </c>
      <c r="G21" s="135">
        <v>0.94</v>
      </c>
      <c r="H21" s="135">
        <v>105.755</v>
      </c>
      <c r="I21" s="135">
        <v>1</v>
      </c>
      <c r="J21" s="135">
        <v>110</v>
      </c>
      <c r="K21" s="132"/>
    </row>
    <row r="22" spans="2:13" ht="20.25">
      <c r="B22" s="123">
        <v>72</v>
      </c>
      <c r="C22" s="134" t="s">
        <v>1568</v>
      </c>
      <c r="D22" s="134" t="s">
        <v>1569</v>
      </c>
      <c r="E22" s="135">
        <v>1</v>
      </c>
      <c r="F22" s="135">
        <v>102</v>
      </c>
      <c r="G22" s="135">
        <v>1</v>
      </c>
      <c r="H22" s="135">
        <v>115.078</v>
      </c>
      <c r="I22" s="135">
        <v>1</v>
      </c>
      <c r="J22" s="135">
        <v>120</v>
      </c>
      <c r="K22" s="132"/>
    </row>
    <row r="23" spans="2:13" ht="20.25">
      <c r="B23" s="123">
        <v>73</v>
      </c>
      <c r="C23" s="134" t="s">
        <v>1533</v>
      </c>
      <c r="D23" s="134" t="s">
        <v>1570</v>
      </c>
      <c r="E23" s="135">
        <v>2</v>
      </c>
      <c r="F23" s="135">
        <v>651</v>
      </c>
      <c r="G23" s="135">
        <v>2</v>
      </c>
      <c r="H23" s="135">
        <v>648.81100000000004</v>
      </c>
      <c r="I23" s="135">
        <v>2</v>
      </c>
      <c r="J23" s="135">
        <v>570</v>
      </c>
      <c r="K23" s="132"/>
    </row>
    <row r="24" spans="2:13" ht="20.25">
      <c r="B24" s="123">
        <v>74</v>
      </c>
      <c r="C24" s="123" t="s">
        <v>1534</v>
      </c>
      <c r="D24" s="123"/>
      <c r="E24" s="131"/>
      <c r="F24" s="131"/>
      <c r="G24" s="131"/>
      <c r="H24" s="131"/>
      <c r="I24" s="131"/>
      <c r="J24" s="131"/>
      <c r="K24" s="132"/>
      <c r="M24" s="120" t="s">
        <v>1571</v>
      </c>
    </row>
    <row r="25" spans="2:13" ht="20.25">
      <c r="B25" s="123"/>
      <c r="C25" s="123"/>
      <c r="D25" s="123" t="s">
        <v>1534</v>
      </c>
      <c r="E25" s="131">
        <v>1</v>
      </c>
      <c r="F25" s="131">
        <v>122</v>
      </c>
      <c r="G25" s="131">
        <v>1</v>
      </c>
      <c r="H25" s="131">
        <v>87</v>
      </c>
      <c r="I25" s="131">
        <v>1</v>
      </c>
      <c r="J25" s="131">
        <v>90</v>
      </c>
      <c r="K25" s="132"/>
    </row>
    <row r="26" spans="2:13" ht="20.25">
      <c r="B26" s="123"/>
      <c r="C26" s="123"/>
      <c r="D26" s="123" t="s">
        <v>1572</v>
      </c>
      <c r="E26" s="131">
        <v>1</v>
      </c>
      <c r="F26" s="131">
        <v>204</v>
      </c>
      <c r="G26" s="131">
        <v>0.67</v>
      </c>
      <c r="H26" s="131">
        <v>258</v>
      </c>
      <c r="I26" s="131">
        <v>2</v>
      </c>
      <c r="J26" s="131">
        <v>350</v>
      </c>
      <c r="K26" s="132"/>
    </row>
    <row r="27" spans="2:13" ht="20.25">
      <c r="B27" s="123"/>
      <c r="C27" s="134" t="s">
        <v>1573</v>
      </c>
      <c r="D27" s="134"/>
      <c r="E27" s="135">
        <f t="shared" ref="E27:J27" si="4">SUM(E25:E26)</f>
        <v>2</v>
      </c>
      <c r="F27" s="135">
        <f t="shared" si="4"/>
        <v>326</v>
      </c>
      <c r="G27" s="135">
        <f t="shared" si="4"/>
        <v>1.67</v>
      </c>
      <c r="H27" s="135">
        <f t="shared" si="4"/>
        <v>345</v>
      </c>
      <c r="I27" s="135">
        <f t="shared" si="4"/>
        <v>3</v>
      </c>
      <c r="J27" s="135">
        <f t="shared" si="4"/>
        <v>440</v>
      </c>
      <c r="K27" s="132"/>
    </row>
    <row r="28" spans="2:13" ht="20.25">
      <c r="B28" s="123">
        <v>76</v>
      </c>
      <c r="C28" s="123" t="s">
        <v>1574</v>
      </c>
      <c r="D28" s="123"/>
      <c r="E28" s="131"/>
      <c r="F28" s="131"/>
      <c r="G28" s="131"/>
      <c r="H28" s="131"/>
      <c r="I28" s="131"/>
      <c r="J28" s="131"/>
      <c r="K28" s="132"/>
    </row>
    <row r="29" spans="2:13" ht="20.25">
      <c r="B29" s="123">
        <v>79</v>
      </c>
      <c r="C29" s="123" t="s">
        <v>1575</v>
      </c>
      <c r="D29" s="123"/>
      <c r="E29" s="131"/>
      <c r="F29" s="131"/>
      <c r="G29" s="131"/>
      <c r="H29" s="131"/>
      <c r="I29" s="131"/>
      <c r="J29" s="131"/>
      <c r="K29" s="132"/>
    </row>
    <row r="30" spans="2:13" s="117" customFormat="1" ht="20.25">
      <c r="B30" s="134"/>
      <c r="C30" s="136" t="s">
        <v>1576</v>
      </c>
      <c r="D30" s="136"/>
      <c r="E30" s="137">
        <f t="shared" ref="E30:J30" si="5">+E27+E23+E22+E21</f>
        <v>6</v>
      </c>
      <c r="F30" s="137">
        <f t="shared" si="5"/>
        <v>1192</v>
      </c>
      <c r="G30" s="138">
        <f t="shared" si="5"/>
        <v>5.6099999999999994</v>
      </c>
      <c r="H30" s="137">
        <f t="shared" si="5"/>
        <v>1214.6440000000002</v>
      </c>
      <c r="I30" s="137">
        <f t="shared" si="5"/>
        <v>7</v>
      </c>
      <c r="J30" s="137">
        <f t="shared" si="5"/>
        <v>1240</v>
      </c>
      <c r="K30" s="139"/>
    </row>
    <row r="31" spans="2:13" ht="20.25">
      <c r="B31" s="123">
        <v>8</v>
      </c>
      <c r="C31" s="129" t="s">
        <v>1577</v>
      </c>
      <c r="D31" s="129"/>
      <c r="E31" s="131"/>
      <c r="F31" s="131"/>
      <c r="G31" s="131"/>
      <c r="H31" s="131"/>
      <c r="I31" s="131"/>
      <c r="J31" s="131"/>
      <c r="K31" s="132"/>
    </row>
    <row r="32" spans="2:13" ht="20.25">
      <c r="B32" s="123">
        <v>81</v>
      </c>
      <c r="C32" s="123" t="s">
        <v>1535</v>
      </c>
      <c r="D32" s="123"/>
      <c r="E32" s="131"/>
      <c r="F32" s="131"/>
      <c r="G32" s="131"/>
      <c r="H32" s="131"/>
      <c r="I32" s="131"/>
      <c r="J32" s="131"/>
      <c r="K32" s="132"/>
      <c r="M32" s="120" t="s">
        <v>1578</v>
      </c>
    </row>
    <row r="33" spans="2:11" ht="20.25">
      <c r="B33" s="123"/>
      <c r="C33" s="123"/>
      <c r="D33" s="123" t="s">
        <v>1579</v>
      </c>
      <c r="E33" s="131">
        <v>3</v>
      </c>
      <c r="F33" s="131">
        <v>545</v>
      </c>
      <c r="G33" s="131">
        <v>3</v>
      </c>
      <c r="H33" s="131">
        <v>672</v>
      </c>
      <c r="I33" s="131">
        <v>3</v>
      </c>
      <c r="J33" s="131">
        <v>650</v>
      </c>
      <c r="K33" s="132"/>
    </row>
    <row r="34" spans="2:11" ht="20.25">
      <c r="B34" s="123"/>
      <c r="C34" s="123"/>
      <c r="D34" s="123" t="s">
        <v>1580</v>
      </c>
      <c r="E34" s="131">
        <v>12</v>
      </c>
      <c r="F34" s="131">
        <v>1279</v>
      </c>
      <c r="G34" s="131">
        <v>12.49</v>
      </c>
      <c r="H34" s="131">
        <v>1278</v>
      </c>
      <c r="I34" s="131">
        <v>12.49</v>
      </c>
      <c r="J34" s="131">
        <v>1350</v>
      </c>
      <c r="K34" s="132"/>
    </row>
    <row r="35" spans="2:11" ht="20.25">
      <c r="B35" s="123"/>
      <c r="C35" s="123"/>
      <c r="D35" s="123" t="s">
        <v>1581</v>
      </c>
      <c r="E35" s="131">
        <v>19</v>
      </c>
      <c r="F35" s="131">
        <v>2100</v>
      </c>
      <c r="G35" s="131">
        <v>18.62</v>
      </c>
      <c r="H35" s="131">
        <v>2164</v>
      </c>
      <c r="I35" s="131">
        <v>18.62</v>
      </c>
      <c r="J35" s="131">
        <v>2300</v>
      </c>
      <c r="K35" s="132"/>
    </row>
    <row r="36" spans="2:11" ht="20.25">
      <c r="B36" s="123"/>
      <c r="C36" s="123"/>
      <c r="D36" s="123" t="s">
        <v>159</v>
      </c>
      <c r="E36" s="131">
        <v>0</v>
      </c>
      <c r="F36" s="131">
        <v>0</v>
      </c>
      <c r="G36" s="131">
        <v>0</v>
      </c>
      <c r="H36" s="131">
        <v>0</v>
      </c>
      <c r="I36" s="131"/>
      <c r="J36" s="131">
        <v>0</v>
      </c>
      <c r="K36" s="132"/>
    </row>
    <row r="37" spans="2:11" ht="20.25">
      <c r="B37" s="123"/>
      <c r="C37" s="123"/>
      <c r="D37" s="123" t="s">
        <v>1582</v>
      </c>
      <c r="E37" s="131">
        <v>1</v>
      </c>
      <c r="F37" s="131">
        <v>115</v>
      </c>
      <c r="G37" s="131">
        <v>1</v>
      </c>
      <c r="H37" s="131">
        <v>115</v>
      </c>
      <c r="I37" s="131">
        <v>1</v>
      </c>
      <c r="J37" s="131">
        <v>120</v>
      </c>
      <c r="K37" s="132"/>
    </row>
    <row r="38" spans="2:11" ht="20.25">
      <c r="B38" s="123"/>
      <c r="C38" s="123"/>
      <c r="D38" s="123" t="s">
        <v>1583</v>
      </c>
      <c r="E38" s="131">
        <v>0</v>
      </c>
      <c r="F38" s="131">
        <v>136</v>
      </c>
      <c r="G38" s="131">
        <v>0</v>
      </c>
      <c r="H38" s="131">
        <v>328</v>
      </c>
      <c r="I38" s="131">
        <v>0</v>
      </c>
      <c r="J38" s="131">
        <v>685</v>
      </c>
      <c r="K38" s="132"/>
    </row>
    <row r="39" spans="2:11" ht="20.25">
      <c r="B39" s="123"/>
      <c r="C39" s="123"/>
      <c r="D39" s="123" t="s">
        <v>1584</v>
      </c>
      <c r="E39" s="131">
        <v>5</v>
      </c>
      <c r="F39" s="131">
        <v>383</v>
      </c>
      <c r="G39" s="131">
        <v>5.04</v>
      </c>
      <c r="H39" s="131">
        <v>623</v>
      </c>
      <c r="I39" s="131">
        <v>5.04</v>
      </c>
      <c r="J39" s="131">
        <v>280</v>
      </c>
      <c r="K39" s="132"/>
    </row>
    <row r="40" spans="2:11" ht="20.25">
      <c r="B40" s="123"/>
      <c r="C40" s="123"/>
      <c r="D40" s="123" t="s">
        <v>1585</v>
      </c>
      <c r="E40" s="131">
        <v>3</v>
      </c>
      <c r="F40" s="131">
        <v>249</v>
      </c>
      <c r="G40" s="131">
        <v>2.99</v>
      </c>
      <c r="H40" s="131">
        <v>478</v>
      </c>
      <c r="I40" s="131">
        <v>3</v>
      </c>
      <c r="J40" s="131">
        <v>280</v>
      </c>
      <c r="K40" s="132"/>
    </row>
    <row r="41" spans="2:11" ht="20.25">
      <c r="B41" s="123"/>
      <c r="C41" s="123"/>
      <c r="D41" s="123" t="s">
        <v>1586</v>
      </c>
      <c r="E41" s="131">
        <v>4</v>
      </c>
      <c r="F41" s="131">
        <v>288</v>
      </c>
      <c r="G41" s="131">
        <v>3.5</v>
      </c>
      <c r="H41" s="131">
        <v>417</v>
      </c>
      <c r="I41" s="131">
        <v>3.5</v>
      </c>
      <c r="J41" s="131">
        <v>300</v>
      </c>
      <c r="K41" s="132"/>
    </row>
    <row r="42" spans="2:11" ht="20.25">
      <c r="B42" s="123"/>
      <c r="C42" s="123"/>
      <c r="D42" s="123" t="s">
        <v>1587</v>
      </c>
      <c r="E42" s="131">
        <v>2</v>
      </c>
      <c r="F42" s="131">
        <v>93</v>
      </c>
      <c r="G42" s="131">
        <v>1.8</v>
      </c>
      <c r="H42" s="131">
        <v>0</v>
      </c>
      <c r="I42" s="131">
        <v>2</v>
      </c>
      <c r="J42" s="131">
        <v>300</v>
      </c>
      <c r="K42" s="132"/>
    </row>
    <row r="43" spans="2:11" ht="20.25">
      <c r="B43" s="123"/>
      <c r="C43" s="123"/>
      <c r="D43" s="123" t="s">
        <v>1588</v>
      </c>
      <c r="E43" s="131">
        <v>0</v>
      </c>
      <c r="F43" s="131">
        <v>16</v>
      </c>
      <c r="G43" s="131">
        <v>0</v>
      </c>
      <c r="H43" s="131">
        <v>9</v>
      </c>
      <c r="I43" s="131">
        <v>0</v>
      </c>
      <c r="J43" s="131">
        <v>10</v>
      </c>
      <c r="K43" s="132"/>
    </row>
    <row r="44" spans="2:11" ht="20.25">
      <c r="B44" s="123"/>
      <c r="C44" s="123"/>
      <c r="D44" s="123" t="s">
        <v>1589</v>
      </c>
      <c r="E44" s="131">
        <v>10</v>
      </c>
      <c r="F44" s="131">
        <v>1141</v>
      </c>
      <c r="G44" s="131">
        <v>10.17</v>
      </c>
      <c r="H44" s="131">
        <v>1199</v>
      </c>
      <c r="I44" s="131">
        <v>10.17</v>
      </c>
      <c r="J44" s="131">
        <v>1250</v>
      </c>
      <c r="K44" s="132"/>
    </row>
    <row r="45" spans="2:11" ht="20.25">
      <c r="B45" s="123"/>
      <c r="C45" s="123"/>
      <c r="D45" s="123" t="s">
        <v>1590</v>
      </c>
      <c r="E45" s="131">
        <v>3</v>
      </c>
      <c r="F45" s="131">
        <v>443</v>
      </c>
      <c r="G45" s="131">
        <v>3.48</v>
      </c>
      <c r="H45" s="131">
        <v>442</v>
      </c>
      <c r="I45" s="131">
        <v>3.48</v>
      </c>
      <c r="J45" s="131">
        <v>450</v>
      </c>
      <c r="K45" s="132"/>
    </row>
    <row r="46" spans="2:11" ht="20.25">
      <c r="B46" s="123"/>
      <c r="C46" s="123"/>
      <c r="D46" s="123" t="s">
        <v>1591</v>
      </c>
      <c r="E46" s="131">
        <v>41</v>
      </c>
      <c r="F46" s="131">
        <v>5930</v>
      </c>
      <c r="G46" s="131">
        <v>42.28</v>
      </c>
      <c r="H46" s="131">
        <v>6357</v>
      </c>
      <c r="I46" s="131">
        <v>42.28</v>
      </c>
      <c r="J46" s="131">
        <v>6400</v>
      </c>
      <c r="K46" s="132"/>
    </row>
    <row r="47" spans="2:11" ht="20.25">
      <c r="B47" s="123"/>
      <c r="C47" s="123"/>
      <c r="D47" s="123" t="s">
        <v>525</v>
      </c>
      <c r="E47" s="131">
        <v>5</v>
      </c>
      <c r="F47" s="131">
        <v>508</v>
      </c>
      <c r="G47" s="131">
        <v>4.7300000000000004</v>
      </c>
      <c r="H47" s="131">
        <v>556</v>
      </c>
      <c r="I47" s="131">
        <v>4.7300000000000004</v>
      </c>
      <c r="J47" s="131">
        <v>650</v>
      </c>
      <c r="K47" s="132"/>
    </row>
    <row r="48" spans="2:11" ht="20.25">
      <c r="B48" s="123"/>
      <c r="C48" s="123"/>
      <c r="D48" s="123" t="s">
        <v>528</v>
      </c>
      <c r="E48" s="131">
        <v>0</v>
      </c>
      <c r="F48" s="131">
        <v>349</v>
      </c>
      <c r="G48" s="131"/>
      <c r="H48" s="131">
        <v>0</v>
      </c>
      <c r="I48" s="131"/>
      <c r="J48" s="131">
        <v>350</v>
      </c>
      <c r="K48" s="132"/>
    </row>
    <row r="49" spans="2:11" ht="20.25">
      <c r="B49" s="123"/>
      <c r="C49" s="123"/>
      <c r="D49" s="123" t="s">
        <v>391</v>
      </c>
      <c r="E49" s="131">
        <v>0</v>
      </c>
      <c r="F49" s="131">
        <v>220</v>
      </c>
      <c r="G49" s="131">
        <v>0</v>
      </c>
      <c r="H49" s="131">
        <v>25</v>
      </c>
      <c r="I49" s="131">
        <v>0</v>
      </c>
      <c r="J49" s="131">
        <v>220</v>
      </c>
      <c r="K49" s="132"/>
    </row>
    <row r="50" spans="2:11" ht="20.25">
      <c r="B50" s="123"/>
      <c r="C50" s="123"/>
      <c r="D50" s="123" t="s">
        <v>535</v>
      </c>
      <c r="E50" s="131">
        <v>0</v>
      </c>
      <c r="F50" s="131">
        <v>200</v>
      </c>
      <c r="G50" s="131"/>
      <c r="H50" s="131">
        <v>0</v>
      </c>
      <c r="I50" s="131">
        <v>2</v>
      </c>
      <c r="J50" s="131">
        <v>130</v>
      </c>
      <c r="K50" s="132"/>
    </row>
    <row r="51" spans="2:11" ht="20.25">
      <c r="B51" s="123"/>
      <c r="C51" s="123"/>
      <c r="D51" s="123" t="s">
        <v>1592</v>
      </c>
      <c r="E51" s="131">
        <v>0</v>
      </c>
      <c r="F51" s="131">
        <v>0</v>
      </c>
      <c r="G51" s="131"/>
      <c r="H51" s="131">
        <v>0</v>
      </c>
      <c r="I51" s="131">
        <v>0</v>
      </c>
      <c r="J51" s="131">
        <v>160</v>
      </c>
      <c r="K51" s="132"/>
    </row>
    <row r="52" spans="2:11" ht="20.25">
      <c r="B52" s="123"/>
      <c r="C52" s="123"/>
      <c r="D52" s="123" t="s">
        <v>1593</v>
      </c>
      <c r="E52" s="131">
        <v>2</v>
      </c>
      <c r="F52" s="131">
        <v>333</v>
      </c>
      <c r="G52" s="131">
        <v>1.82</v>
      </c>
      <c r="H52" s="131">
        <v>522</v>
      </c>
      <c r="I52" s="131">
        <v>1.82</v>
      </c>
      <c r="J52" s="131">
        <v>200</v>
      </c>
      <c r="K52" s="132"/>
    </row>
    <row r="53" spans="2:11" ht="20.25">
      <c r="B53" s="123"/>
      <c r="C53" s="123"/>
      <c r="D53" s="123" t="s">
        <v>1594</v>
      </c>
      <c r="E53" s="131">
        <v>0</v>
      </c>
      <c r="F53" s="131">
        <v>156</v>
      </c>
      <c r="G53" s="131">
        <v>0</v>
      </c>
      <c r="H53" s="131">
        <v>1</v>
      </c>
      <c r="I53" s="131">
        <v>0</v>
      </c>
      <c r="J53" s="131">
        <v>0</v>
      </c>
      <c r="K53" s="132"/>
    </row>
    <row r="54" spans="2:11" ht="20.25">
      <c r="B54" s="123"/>
      <c r="C54" s="123"/>
      <c r="D54" s="123" t="s">
        <v>1595</v>
      </c>
      <c r="E54" s="131">
        <v>0</v>
      </c>
      <c r="F54" s="131">
        <v>35</v>
      </c>
      <c r="G54" s="131">
        <v>0</v>
      </c>
      <c r="H54" s="131">
        <v>81</v>
      </c>
      <c r="I54" s="131">
        <v>0</v>
      </c>
      <c r="J54" s="131">
        <v>300</v>
      </c>
      <c r="K54" s="132"/>
    </row>
    <row r="55" spans="2:11" ht="20.25">
      <c r="B55" s="123"/>
      <c r="C55" s="134" t="s">
        <v>626</v>
      </c>
      <c r="D55" s="123"/>
      <c r="E55" s="135">
        <f t="shared" ref="E55:J55" si="6">SUM(E33:E54)</f>
        <v>110</v>
      </c>
      <c r="F55" s="135">
        <f t="shared" si="6"/>
        <v>14519</v>
      </c>
      <c r="G55" s="135">
        <f t="shared" si="6"/>
        <v>110.92</v>
      </c>
      <c r="H55" s="135">
        <f t="shared" si="6"/>
        <v>15267</v>
      </c>
      <c r="I55" s="135">
        <f t="shared" si="6"/>
        <v>113.13</v>
      </c>
      <c r="J55" s="135">
        <f t="shared" si="6"/>
        <v>16385</v>
      </c>
      <c r="K55" s="132"/>
    </row>
    <row r="56" spans="2:11" ht="20.25">
      <c r="B56" s="123">
        <v>82</v>
      </c>
      <c r="C56" s="123" t="s">
        <v>1536</v>
      </c>
      <c r="D56" s="123"/>
      <c r="E56" s="131"/>
      <c r="F56" s="131"/>
      <c r="G56" s="131"/>
      <c r="H56" s="131"/>
      <c r="I56" s="131"/>
      <c r="J56" s="131"/>
      <c r="K56" s="132"/>
    </row>
    <row r="57" spans="2:11" ht="20.25">
      <c r="B57" s="123"/>
      <c r="C57" s="123"/>
      <c r="D57" s="123" t="s">
        <v>593</v>
      </c>
      <c r="E57" s="131">
        <v>1</v>
      </c>
      <c r="F57" s="131">
        <v>153</v>
      </c>
      <c r="G57" s="131">
        <v>1</v>
      </c>
      <c r="H57" s="131">
        <v>95</v>
      </c>
      <c r="I57" s="131">
        <v>1</v>
      </c>
      <c r="J57" s="131">
        <v>100</v>
      </c>
      <c r="K57" s="132"/>
    </row>
    <row r="58" spans="2:11" ht="20.25">
      <c r="B58" s="123"/>
      <c r="C58" s="123"/>
      <c r="D58" s="123" t="s">
        <v>280</v>
      </c>
      <c r="E58" s="131">
        <v>1</v>
      </c>
      <c r="F58" s="131">
        <v>114</v>
      </c>
      <c r="G58" s="131">
        <v>1.23</v>
      </c>
      <c r="H58" s="131">
        <v>321</v>
      </c>
      <c r="I58" s="131">
        <v>1</v>
      </c>
      <c r="J58" s="131">
        <v>190</v>
      </c>
      <c r="K58" s="132"/>
    </row>
    <row r="59" spans="2:11" ht="20.25">
      <c r="B59" s="123"/>
      <c r="C59" s="123"/>
      <c r="D59" s="123" t="s">
        <v>1596</v>
      </c>
      <c r="E59" s="131">
        <v>1</v>
      </c>
      <c r="F59" s="131">
        <v>144</v>
      </c>
      <c r="G59" s="131">
        <v>1.5</v>
      </c>
      <c r="H59" s="131">
        <v>226</v>
      </c>
      <c r="I59" s="131">
        <v>2</v>
      </c>
      <c r="J59" s="131">
        <v>180</v>
      </c>
      <c r="K59" s="132"/>
    </row>
    <row r="60" spans="2:11" ht="20.25">
      <c r="B60" s="123"/>
      <c r="C60" s="123"/>
      <c r="D60" s="123" t="s">
        <v>1597</v>
      </c>
      <c r="E60" s="131">
        <v>0</v>
      </c>
      <c r="F60" s="131">
        <v>24</v>
      </c>
      <c r="G60" s="131">
        <v>0</v>
      </c>
      <c r="H60" s="131">
        <v>0</v>
      </c>
      <c r="I60" s="131">
        <v>0</v>
      </c>
      <c r="J60" s="131">
        <v>100</v>
      </c>
      <c r="K60" s="132"/>
    </row>
    <row r="61" spans="2:11" ht="20.25">
      <c r="B61" s="123"/>
      <c r="C61" s="123"/>
      <c r="D61" s="123" t="s">
        <v>1597</v>
      </c>
      <c r="E61" s="131">
        <v>0</v>
      </c>
      <c r="F61" s="131">
        <v>25</v>
      </c>
      <c r="G61" s="131">
        <v>0.1</v>
      </c>
      <c r="H61" s="131">
        <v>20</v>
      </c>
      <c r="I61" s="131">
        <v>0</v>
      </c>
      <c r="J61" s="131">
        <v>0</v>
      </c>
      <c r="K61" s="132"/>
    </row>
    <row r="62" spans="2:11" ht="20.25">
      <c r="B62" s="123"/>
      <c r="C62" s="123"/>
      <c r="D62" s="134" t="s">
        <v>718</v>
      </c>
      <c r="E62" s="135">
        <f t="shared" ref="E62:J62" si="7">SUM(E57:E61)</f>
        <v>3</v>
      </c>
      <c r="F62" s="135">
        <f t="shared" si="7"/>
        <v>460</v>
      </c>
      <c r="G62" s="135">
        <f t="shared" si="7"/>
        <v>3.83</v>
      </c>
      <c r="H62" s="135">
        <f t="shared" si="7"/>
        <v>662</v>
      </c>
      <c r="I62" s="135">
        <f t="shared" si="7"/>
        <v>4</v>
      </c>
      <c r="J62" s="135">
        <f t="shared" si="7"/>
        <v>570</v>
      </c>
      <c r="K62" s="132"/>
    </row>
    <row r="63" spans="2:11" ht="20.25">
      <c r="B63" s="123"/>
      <c r="C63" s="123"/>
      <c r="D63" s="123"/>
      <c r="E63" s="131"/>
      <c r="F63" s="131"/>
      <c r="G63" s="131"/>
      <c r="H63" s="131"/>
      <c r="I63" s="131"/>
      <c r="J63" s="131"/>
      <c r="K63" s="132"/>
    </row>
    <row r="64" spans="2:11" ht="20.25">
      <c r="B64" s="123">
        <v>83</v>
      </c>
      <c r="C64" s="123" t="s">
        <v>719</v>
      </c>
      <c r="D64" s="123"/>
      <c r="E64" s="131"/>
      <c r="F64" s="131"/>
      <c r="G64" s="131"/>
      <c r="H64" s="131"/>
      <c r="I64" s="131"/>
      <c r="J64" s="131"/>
      <c r="K64" s="132"/>
    </row>
    <row r="65" spans="2:11" ht="20.25">
      <c r="B65" s="123"/>
      <c r="C65" s="123"/>
      <c r="D65" s="123" t="s">
        <v>1598</v>
      </c>
      <c r="E65" s="131">
        <v>1.1000000000000001</v>
      </c>
      <c r="F65" s="131">
        <v>120</v>
      </c>
      <c r="G65" s="131">
        <v>1.1000000000000001</v>
      </c>
      <c r="H65" s="131">
        <v>135</v>
      </c>
      <c r="I65" s="131">
        <v>1.1000000000000001</v>
      </c>
      <c r="J65" s="131">
        <v>140</v>
      </c>
      <c r="K65" s="132"/>
    </row>
    <row r="66" spans="2:11" ht="20.25">
      <c r="B66" s="123"/>
      <c r="C66" s="123"/>
      <c r="D66" s="123" t="s">
        <v>1599</v>
      </c>
      <c r="E66" s="131">
        <v>1.7</v>
      </c>
      <c r="F66" s="131">
        <v>173</v>
      </c>
      <c r="G66" s="131">
        <v>1.7</v>
      </c>
      <c r="H66" s="131">
        <v>170</v>
      </c>
      <c r="I66" s="131">
        <v>1.7</v>
      </c>
      <c r="J66" s="131">
        <v>170</v>
      </c>
      <c r="K66" s="132"/>
    </row>
    <row r="67" spans="2:11" ht="20.25">
      <c r="B67" s="123"/>
      <c r="C67" s="134" t="s">
        <v>720</v>
      </c>
      <c r="D67" s="134"/>
      <c r="E67" s="135">
        <f t="shared" ref="E67:J67" si="8">SUM(E65:E66)</f>
        <v>2.8</v>
      </c>
      <c r="F67" s="135">
        <f t="shared" si="8"/>
        <v>293</v>
      </c>
      <c r="G67" s="135">
        <f t="shared" si="8"/>
        <v>2.8</v>
      </c>
      <c r="H67" s="135">
        <f t="shared" si="8"/>
        <v>305</v>
      </c>
      <c r="I67" s="135">
        <f t="shared" si="8"/>
        <v>2.8</v>
      </c>
      <c r="J67" s="135">
        <f t="shared" si="8"/>
        <v>310</v>
      </c>
      <c r="K67" s="132"/>
    </row>
    <row r="68" spans="2:11" ht="20.25">
      <c r="B68" s="123">
        <v>84</v>
      </c>
      <c r="C68" s="123" t="s">
        <v>1537</v>
      </c>
      <c r="D68" s="123"/>
      <c r="E68" s="131"/>
      <c r="F68" s="131"/>
      <c r="G68" s="131"/>
      <c r="H68" s="131"/>
      <c r="I68" s="131"/>
      <c r="J68" s="131"/>
      <c r="K68" s="132"/>
    </row>
    <row r="69" spans="2:11" ht="20.25">
      <c r="B69" s="123"/>
      <c r="C69" s="123"/>
      <c r="D69" s="123" t="s">
        <v>1600</v>
      </c>
      <c r="E69" s="131">
        <v>10.02</v>
      </c>
      <c r="F69" s="131">
        <v>1532</v>
      </c>
      <c r="G69" s="131">
        <v>10.02</v>
      </c>
      <c r="H69" s="131">
        <v>1484</v>
      </c>
      <c r="I69" s="131">
        <v>12.66</v>
      </c>
      <c r="J69" s="131">
        <v>1600</v>
      </c>
      <c r="K69" s="132"/>
    </row>
    <row r="70" spans="2:11" ht="20.25">
      <c r="B70" s="123"/>
      <c r="C70" s="123"/>
      <c r="D70" s="123" t="s">
        <v>327</v>
      </c>
      <c r="E70" s="131">
        <v>0.75</v>
      </c>
      <c r="F70" s="131">
        <v>70</v>
      </c>
      <c r="G70" s="131">
        <v>0.75</v>
      </c>
      <c r="H70" s="131">
        <v>108</v>
      </c>
      <c r="I70" s="131"/>
      <c r="J70" s="131">
        <v>0</v>
      </c>
      <c r="K70" s="132"/>
    </row>
    <row r="71" spans="2:11" ht="20.25">
      <c r="B71" s="123"/>
      <c r="C71" s="123"/>
      <c r="D71" s="123" t="s">
        <v>1601</v>
      </c>
      <c r="E71" s="131">
        <v>0.7</v>
      </c>
      <c r="F71" s="131">
        <v>57</v>
      </c>
      <c r="G71" s="131">
        <v>0.7</v>
      </c>
      <c r="H71" s="131">
        <v>67</v>
      </c>
      <c r="I71" s="131">
        <v>0.7</v>
      </c>
      <c r="J71" s="131">
        <v>70</v>
      </c>
      <c r="K71" s="132"/>
    </row>
    <row r="72" spans="2:11" ht="20.25">
      <c r="B72" s="123"/>
      <c r="C72" s="123"/>
      <c r="D72" s="123" t="s">
        <v>1602</v>
      </c>
      <c r="E72" s="131">
        <v>0</v>
      </c>
      <c r="F72" s="131">
        <v>0</v>
      </c>
      <c r="G72" s="131">
        <v>0</v>
      </c>
      <c r="H72" s="131">
        <v>0</v>
      </c>
      <c r="I72" s="131">
        <v>0</v>
      </c>
      <c r="J72" s="131">
        <v>0</v>
      </c>
      <c r="K72" s="132"/>
    </row>
    <row r="73" spans="2:11" ht="20.25">
      <c r="B73" s="123"/>
      <c r="C73" s="123"/>
      <c r="D73" s="123" t="s">
        <v>355</v>
      </c>
      <c r="E73" s="131">
        <v>1.89</v>
      </c>
      <c r="F73" s="131">
        <v>201</v>
      </c>
      <c r="G73" s="131">
        <v>1.89</v>
      </c>
      <c r="H73" s="131">
        <v>185</v>
      </c>
      <c r="I73" s="131"/>
      <c r="J73" s="131">
        <v>0</v>
      </c>
      <c r="K73" s="132"/>
    </row>
    <row r="74" spans="2:11" ht="20.25">
      <c r="B74" s="123"/>
      <c r="C74" s="134" t="s">
        <v>629</v>
      </c>
      <c r="D74" s="134"/>
      <c r="E74" s="135">
        <f t="shared" ref="E74:J74" si="9">SUM(E69:E73)</f>
        <v>13.36</v>
      </c>
      <c r="F74" s="135">
        <f t="shared" si="9"/>
        <v>1860</v>
      </c>
      <c r="G74" s="135">
        <f t="shared" si="9"/>
        <v>13.36</v>
      </c>
      <c r="H74" s="135">
        <f t="shared" si="9"/>
        <v>1844</v>
      </c>
      <c r="I74" s="135">
        <f t="shared" si="9"/>
        <v>13.36</v>
      </c>
      <c r="J74" s="135">
        <f t="shared" si="9"/>
        <v>1670</v>
      </c>
      <c r="K74" s="132"/>
    </row>
    <row r="75" spans="2:11" ht="20.25">
      <c r="B75" s="123">
        <v>85</v>
      </c>
      <c r="C75" s="123" t="s">
        <v>1603</v>
      </c>
      <c r="D75" s="123"/>
      <c r="E75" s="131"/>
      <c r="F75" s="131"/>
      <c r="G75" s="131"/>
      <c r="H75" s="131"/>
      <c r="I75" s="131"/>
      <c r="J75" s="131"/>
      <c r="K75" s="132"/>
    </row>
    <row r="76" spans="2:11" ht="20.25">
      <c r="B76" s="123">
        <v>86</v>
      </c>
      <c r="C76" s="123" t="s">
        <v>1604</v>
      </c>
      <c r="D76" s="123"/>
      <c r="E76" s="131"/>
      <c r="F76" s="131"/>
      <c r="G76" s="131"/>
      <c r="H76" s="131"/>
      <c r="I76" s="131"/>
      <c r="J76" s="131"/>
      <c r="K76" s="132"/>
    </row>
    <row r="77" spans="2:11" ht="20.25">
      <c r="B77" s="123">
        <v>87</v>
      </c>
      <c r="C77" s="123" t="s">
        <v>1605</v>
      </c>
      <c r="D77" s="123"/>
      <c r="E77" s="131"/>
      <c r="F77" s="131"/>
      <c r="G77" s="131"/>
      <c r="H77" s="131"/>
      <c r="I77" s="131"/>
      <c r="J77" s="131"/>
      <c r="K77" s="132"/>
    </row>
    <row r="78" spans="2:11" s="117" customFormat="1" ht="20.25">
      <c r="B78" s="134"/>
      <c r="C78" s="136" t="s">
        <v>1606</v>
      </c>
      <c r="D78" s="136"/>
      <c r="E78" s="137">
        <f t="shared" ref="E78:J78" si="10">+E74+E67+E62+E55</f>
        <v>129.16</v>
      </c>
      <c r="F78" s="137">
        <f t="shared" si="10"/>
        <v>17132</v>
      </c>
      <c r="G78" s="138">
        <f t="shared" si="10"/>
        <v>130.91</v>
      </c>
      <c r="H78" s="137">
        <f t="shared" si="10"/>
        <v>18078</v>
      </c>
      <c r="I78" s="137">
        <f t="shared" si="10"/>
        <v>133.29</v>
      </c>
      <c r="J78" s="137">
        <f t="shared" si="10"/>
        <v>18935</v>
      </c>
      <c r="K78" s="139"/>
    </row>
    <row r="79" spans="2:11" ht="20.25">
      <c r="B79" s="123">
        <v>9</v>
      </c>
      <c r="C79" s="129" t="s">
        <v>663</v>
      </c>
      <c r="D79" s="129"/>
      <c r="E79" s="131"/>
      <c r="F79" s="131"/>
      <c r="G79" s="131"/>
      <c r="H79" s="131"/>
      <c r="I79" s="131"/>
      <c r="J79" s="131"/>
      <c r="K79" s="132"/>
    </row>
    <row r="80" spans="2:11" ht="20.25">
      <c r="B80" s="123">
        <v>91</v>
      </c>
      <c r="C80" s="123" t="s">
        <v>165</v>
      </c>
      <c r="D80" s="123"/>
      <c r="E80" s="131">
        <v>1</v>
      </c>
      <c r="F80" s="131">
        <v>149</v>
      </c>
      <c r="G80" s="131">
        <v>1</v>
      </c>
      <c r="H80" s="131">
        <v>165.30099999999999</v>
      </c>
      <c r="I80" s="131">
        <v>1</v>
      </c>
      <c r="J80" s="131">
        <v>170</v>
      </c>
      <c r="K80" s="132"/>
    </row>
    <row r="81" spans="2:11" ht="20.25">
      <c r="B81" s="123">
        <v>92</v>
      </c>
      <c r="C81" s="123" t="s">
        <v>1607</v>
      </c>
      <c r="D81" s="123"/>
      <c r="E81" s="131"/>
      <c r="F81" s="131"/>
      <c r="G81" s="131"/>
      <c r="H81" s="131"/>
      <c r="I81" s="131"/>
      <c r="J81" s="131"/>
      <c r="K81" s="132"/>
    </row>
    <row r="82" spans="2:11" ht="20.25">
      <c r="B82" s="123">
        <v>93</v>
      </c>
      <c r="C82" s="123" t="s">
        <v>1608</v>
      </c>
      <c r="D82" s="123"/>
      <c r="E82" s="131"/>
      <c r="F82" s="131"/>
      <c r="G82" s="131"/>
      <c r="H82" s="131"/>
      <c r="I82" s="131"/>
      <c r="J82" s="131"/>
      <c r="K82" s="132"/>
    </row>
    <row r="83" spans="2:11" ht="20.25">
      <c r="B83" s="123">
        <v>97</v>
      </c>
      <c r="C83" s="123" t="s">
        <v>1609</v>
      </c>
      <c r="D83" s="123"/>
      <c r="E83" s="131"/>
      <c r="F83" s="131"/>
      <c r="G83" s="131"/>
      <c r="H83" s="131"/>
      <c r="I83" s="131"/>
      <c r="J83" s="131"/>
      <c r="K83" s="132"/>
    </row>
    <row r="84" spans="2:11" s="117" customFormat="1" ht="20.25">
      <c r="B84" s="134"/>
      <c r="C84" s="136" t="s">
        <v>1610</v>
      </c>
      <c r="D84" s="136"/>
      <c r="E84" s="137">
        <f t="shared" ref="E84:J84" si="11">SUM(E80:E83)</f>
        <v>1</v>
      </c>
      <c r="F84" s="137">
        <f t="shared" si="11"/>
        <v>149</v>
      </c>
      <c r="G84" s="137">
        <f t="shared" si="11"/>
        <v>1</v>
      </c>
      <c r="H84" s="137">
        <f t="shared" si="11"/>
        <v>165.30099999999999</v>
      </c>
      <c r="I84" s="137">
        <f t="shared" si="11"/>
        <v>1</v>
      </c>
      <c r="J84" s="137">
        <f t="shared" si="11"/>
        <v>170</v>
      </c>
      <c r="K84" s="139"/>
    </row>
    <row r="85" spans="2:11" s="117" customFormat="1" ht="20.25">
      <c r="B85" s="134"/>
      <c r="C85" s="136" t="s">
        <v>1538</v>
      </c>
      <c r="D85" s="136"/>
      <c r="E85" s="137">
        <v>1</v>
      </c>
      <c r="F85" s="137">
        <v>515</v>
      </c>
      <c r="G85" s="137">
        <v>1</v>
      </c>
      <c r="H85" s="137">
        <v>542.27700000000004</v>
      </c>
      <c r="I85" s="137">
        <v>1.1599999999999999</v>
      </c>
      <c r="J85" s="137">
        <v>510</v>
      </c>
      <c r="K85" s="139"/>
    </row>
    <row r="86" spans="2:11" s="117" customFormat="1" ht="20.25">
      <c r="B86" s="134"/>
      <c r="C86" s="140" t="s">
        <v>1611</v>
      </c>
      <c r="D86" s="140"/>
      <c r="E86" s="141">
        <f t="shared" ref="E86:J86" si="12">E19+E30+E78+E84+E85</f>
        <v>143.66</v>
      </c>
      <c r="F86" s="141">
        <f t="shared" si="12"/>
        <v>21211</v>
      </c>
      <c r="G86" s="141">
        <f t="shared" si="12"/>
        <v>144.85</v>
      </c>
      <c r="H86" s="141">
        <f t="shared" si="12"/>
        <v>22059.300999999999</v>
      </c>
      <c r="I86" s="141">
        <f t="shared" si="12"/>
        <v>151.94999999999999</v>
      </c>
      <c r="J86" s="141">
        <f t="shared" si="12"/>
        <v>23616</v>
      </c>
      <c r="K86" s="139"/>
    </row>
    <row r="87" spans="2:11" ht="18.75">
      <c r="B87" s="142"/>
      <c r="C87" s="142"/>
      <c r="D87" s="142"/>
      <c r="E87" s="142"/>
      <c r="F87" s="142"/>
      <c r="G87" s="142"/>
      <c r="H87" s="142"/>
      <c r="I87" s="143"/>
      <c r="J87" s="142"/>
      <c r="K87" s="142"/>
    </row>
    <row r="88" spans="2:11">
      <c r="B88" s="144"/>
    </row>
    <row r="99" spans="9:12" ht="20.25">
      <c r="I99" s="123" t="s">
        <v>1612</v>
      </c>
      <c r="J99" s="123">
        <f>+G86</f>
        <v>144.85</v>
      </c>
      <c r="K99" s="145"/>
      <c r="L99" s="146"/>
    </row>
    <row r="100" spans="9:12" ht="20.25">
      <c r="I100" s="147" t="s">
        <v>1613</v>
      </c>
      <c r="J100" s="148">
        <v>0.5</v>
      </c>
      <c r="K100" s="145"/>
      <c r="L100" s="146" t="s">
        <v>1614</v>
      </c>
    </row>
    <row r="101" spans="9:12" ht="20.25">
      <c r="I101" s="149"/>
      <c r="J101" s="148">
        <v>0.25</v>
      </c>
      <c r="K101" s="145"/>
      <c r="L101" s="146" t="s">
        <v>1542</v>
      </c>
    </row>
    <row r="102" spans="9:12" ht="20.25">
      <c r="I102" s="149"/>
      <c r="J102" s="148">
        <v>1</v>
      </c>
      <c r="K102" s="145"/>
      <c r="L102" s="146" t="s">
        <v>1615</v>
      </c>
    </row>
    <row r="103" spans="9:12" ht="20.25">
      <c r="I103" s="149"/>
      <c r="J103" s="148">
        <v>1</v>
      </c>
      <c r="K103" s="145"/>
      <c r="L103" s="146" t="s">
        <v>1543</v>
      </c>
    </row>
    <row r="104" spans="9:12" ht="20.25">
      <c r="I104" s="149"/>
      <c r="J104" s="148">
        <v>3</v>
      </c>
      <c r="K104" s="145"/>
      <c r="L104" s="146" t="s">
        <v>1535</v>
      </c>
    </row>
    <row r="105" spans="9:12" ht="20.25">
      <c r="I105" s="149"/>
      <c r="J105" s="148">
        <v>1</v>
      </c>
      <c r="K105" s="145"/>
      <c r="L105" s="146" t="s">
        <v>1572</v>
      </c>
    </row>
    <row r="106" spans="9:12" ht="20.25">
      <c r="I106" s="149"/>
      <c r="J106" s="148">
        <v>0.16</v>
      </c>
      <c r="K106" s="145"/>
      <c r="L106" s="146" t="s">
        <v>1616</v>
      </c>
    </row>
    <row r="107" spans="9:12" ht="20.25">
      <c r="I107" s="150"/>
      <c r="J107" s="148"/>
      <c r="K107" s="145"/>
      <c r="L107" s="146"/>
    </row>
    <row r="108" spans="9:12" ht="20.25">
      <c r="I108" s="129" t="s">
        <v>1617</v>
      </c>
      <c r="J108" s="129">
        <f>SUM(J99:J107)</f>
        <v>151.76</v>
      </c>
      <c r="K108" s="145"/>
      <c r="L108" s="146"/>
    </row>
    <row r="109" spans="9:12" ht="20.25">
      <c r="I109" s="123"/>
      <c r="J109" s="123"/>
      <c r="K109" s="145"/>
      <c r="L109" s="146"/>
    </row>
  </sheetData>
  <mergeCells count="6">
    <mergeCell ref="I3:J3"/>
    <mergeCell ref="B1:H1"/>
    <mergeCell ref="B3:B4"/>
    <mergeCell ref="C3:C4"/>
    <mergeCell ref="E3:F3"/>
    <mergeCell ref="G3:H3"/>
  </mergeCells>
  <pageMargins left="0.75" right="0.75" top="1" bottom="1" header="0.5" footer="0.5"/>
  <pageSetup paperSize="9" scale="5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filterMode="1"/>
  <dimension ref="A1:AV264"/>
  <sheetViews>
    <sheetView rightToLeft="1" view="pageBreakPreview" zoomScaleNormal="100" zoomScaleSheetLayoutView="100" workbookViewId="0">
      <selection activeCell="B19" sqref="B19"/>
    </sheetView>
  </sheetViews>
  <sheetFormatPr defaultColWidth="9" defaultRowHeight="14.25"/>
  <cols>
    <col min="1" max="1" width="6.375" customWidth="1"/>
    <col min="2" max="2" width="15.125" style="3" customWidth="1"/>
    <col min="3" max="3" width="6.75" style="3" customWidth="1"/>
    <col min="4" max="4" width="7.875" style="3" customWidth="1"/>
    <col min="5" max="5" width="11.625" style="3" bestFit="1" customWidth="1"/>
    <col min="6" max="6" width="27.875" bestFit="1" customWidth="1"/>
    <col min="7" max="8" width="13.375" hidden="1" customWidth="1"/>
    <col min="9" max="9" width="18.375" hidden="1" customWidth="1"/>
    <col min="10" max="11" width="15" hidden="1" customWidth="1"/>
    <col min="12" max="12" width="11.375" hidden="1" customWidth="1"/>
    <col min="13" max="13" width="12" hidden="1" customWidth="1"/>
    <col min="14" max="21" width="15.875" style="169" hidden="1" customWidth="1"/>
    <col min="22" max="25" width="15.875" style="169" customWidth="1"/>
    <col min="26" max="26" width="15.875" style="156" customWidth="1"/>
    <col min="27" max="27" width="19.75" customWidth="1"/>
    <col min="28" max="29" width="9" customWidth="1"/>
    <col min="30" max="30" width="12.25" customWidth="1"/>
    <col min="31" max="41" width="9" customWidth="1"/>
  </cols>
  <sheetData>
    <row r="1" spans="1:27" ht="34.5" customHeight="1" thickBot="1">
      <c r="A1" s="21"/>
      <c r="B1" s="198"/>
      <c r="C1" s="151"/>
      <c r="D1" s="151"/>
      <c r="E1" s="151"/>
      <c r="F1" s="152" t="s">
        <v>421</v>
      </c>
      <c r="G1" s="152"/>
      <c r="H1" s="152"/>
      <c r="I1" s="152" t="s">
        <v>416</v>
      </c>
      <c r="J1" s="152"/>
      <c r="K1" s="152"/>
      <c r="L1" s="152"/>
      <c r="M1" s="15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55"/>
      <c r="AA1" s="199"/>
    </row>
    <row r="2" spans="1:27" s="194" customFormat="1" ht="31.5">
      <c r="A2" s="99" t="s">
        <v>595</v>
      </c>
      <c r="B2" s="97" t="s">
        <v>0</v>
      </c>
      <c r="C2" s="200" t="s">
        <v>596</v>
      </c>
      <c r="D2" s="200" t="s">
        <v>597</v>
      </c>
      <c r="E2" s="200" t="s">
        <v>598</v>
      </c>
      <c r="F2" s="200" t="s">
        <v>1</v>
      </c>
      <c r="G2" s="200" t="s">
        <v>422</v>
      </c>
      <c r="H2" s="200" t="s">
        <v>422</v>
      </c>
      <c r="I2" s="200" t="s">
        <v>423</v>
      </c>
      <c r="J2" s="200" t="s">
        <v>423</v>
      </c>
      <c r="K2" s="200" t="s">
        <v>424</v>
      </c>
      <c r="L2" s="201" t="s">
        <v>1624</v>
      </c>
      <c r="M2" s="201" t="s">
        <v>1622</v>
      </c>
      <c r="N2" s="202" t="s">
        <v>1621</v>
      </c>
      <c r="O2" s="202"/>
      <c r="P2" s="202" t="s">
        <v>1660</v>
      </c>
      <c r="Q2" s="203" t="s">
        <v>1663</v>
      </c>
      <c r="R2" s="203" t="s">
        <v>1664</v>
      </c>
      <c r="S2" s="203" t="s">
        <v>1665</v>
      </c>
      <c r="T2" s="203" t="s">
        <v>2046</v>
      </c>
      <c r="U2" s="203" t="s">
        <v>2047</v>
      </c>
      <c r="V2" s="203" t="s">
        <v>2002</v>
      </c>
      <c r="W2" s="203" t="s">
        <v>2089</v>
      </c>
      <c r="X2" s="203" t="s">
        <v>2087</v>
      </c>
      <c r="Y2" s="203" t="s">
        <v>2084</v>
      </c>
      <c r="Z2" s="204"/>
      <c r="AA2" s="200" t="s">
        <v>417</v>
      </c>
    </row>
    <row r="3" spans="1:27" s="194" customFormat="1" ht="15.75">
      <c r="A3" s="99"/>
      <c r="B3" s="97"/>
      <c r="C3" s="100" t="s">
        <v>703</v>
      </c>
      <c r="D3" s="97"/>
      <c r="E3" s="97"/>
      <c r="F3" s="97"/>
      <c r="G3" s="97"/>
      <c r="H3" s="97"/>
      <c r="I3" s="97"/>
      <c r="J3" s="97"/>
      <c r="K3" s="97"/>
      <c r="L3" s="97"/>
      <c r="M3" s="97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101"/>
      <c r="Z3" s="52"/>
      <c r="AA3" s="97"/>
    </row>
    <row r="4" spans="1:27" ht="15.75">
      <c r="A4" s="21">
        <v>1</v>
      </c>
      <c r="B4" s="50">
        <v>1111000100</v>
      </c>
      <c r="C4" s="50" t="str">
        <f>RIGHT(B4,3)</f>
        <v>100</v>
      </c>
      <c r="D4" s="50" t="str">
        <f>MID(B4,2,6)</f>
        <v>111000</v>
      </c>
      <c r="E4" s="50" t="str">
        <f>LEFT(D4,2)</f>
        <v>11</v>
      </c>
      <c r="F4" s="51" t="s">
        <v>426</v>
      </c>
      <c r="G4" s="110">
        <v>-4700000</v>
      </c>
      <c r="H4" s="110">
        <f>G4*-1</f>
        <v>4700000</v>
      </c>
      <c r="I4" s="110">
        <v>-5493836.4400000004</v>
      </c>
      <c r="J4" s="110">
        <f>I4*-1</f>
        <v>5493836.4400000004</v>
      </c>
      <c r="K4" s="110">
        <v>793836.44</v>
      </c>
      <c r="L4" s="110">
        <v>5200000</v>
      </c>
      <c r="M4" s="110">
        <v>4860000</v>
      </c>
      <c r="N4" s="52">
        <v>5400000</v>
      </c>
      <c r="O4" s="52"/>
      <c r="P4" s="52">
        <f>N4+O4</f>
        <v>5400000</v>
      </c>
      <c r="Q4" s="52">
        <v>4011109.61</v>
      </c>
      <c r="R4" s="52">
        <f>Q4/11*12</f>
        <v>4375755.9381818185</v>
      </c>
      <c r="S4" s="52">
        <v>4600000</v>
      </c>
      <c r="T4" s="52">
        <f>-VLOOKUP(B4,'2174'!$A$1:$G$177,6,0)</f>
        <v>2890735.12</v>
      </c>
      <c r="U4" s="63">
        <v>4600000</v>
      </c>
      <c r="V4" s="52">
        <v>5300000</v>
      </c>
      <c r="W4" s="52">
        <f>-VLOOKUP(B4,'ביצוע 2019'!$A$3:$H$1103,7,0)</f>
        <v>4733311.84</v>
      </c>
      <c r="X4" s="52">
        <v>5513000</v>
      </c>
      <c r="Y4" s="101">
        <f>IF((X4+W4+V4)&lt;&gt;0,1,0)</f>
        <v>1</v>
      </c>
      <c r="Z4" s="52"/>
      <c r="AA4" s="206"/>
    </row>
    <row r="5" spans="1:27" ht="15.75">
      <c r="A5" s="21">
        <v>1</v>
      </c>
      <c r="B5" s="50">
        <v>1111200100</v>
      </c>
      <c r="C5" s="50" t="str">
        <f>RIGHT(B5,3)</f>
        <v>100</v>
      </c>
      <c r="D5" s="50" t="str">
        <f>MID(B5,2,6)</f>
        <v>111200</v>
      </c>
      <c r="E5" s="50" t="str">
        <f>LEFT(D5,2)</f>
        <v>11</v>
      </c>
      <c r="F5" s="51" t="s">
        <v>427</v>
      </c>
      <c r="G5" s="110">
        <v>-1100000</v>
      </c>
      <c r="H5" s="110">
        <f>G5*-1</f>
        <v>1100000</v>
      </c>
      <c r="I5" s="110">
        <v>-849961.57</v>
      </c>
      <c r="J5" s="110">
        <f>I5*-1</f>
        <v>849961.57</v>
      </c>
      <c r="K5" s="110">
        <v>-250038.43</v>
      </c>
      <c r="L5" s="110">
        <v>1000000</v>
      </c>
      <c r="M5" s="110">
        <v>1050000</v>
      </c>
      <c r="N5" s="52">
        <v>1050000</v>
      </c>
      <c r="O5" s="52"/>
      <c r="P5" s="52">
        <f>N5+O5</f>
        <v>1050000</v>
      </c>
      <c r="Q5" s="52">
        <v>1798457</v>
      </c>
      <c r="R5" s="52">
        <f>Q5/11*12</f>
        <v>1961953.0909090908</v>
      </c>
      <c r="S5" s="52">
        <v>2100000</v>
      </c>
      <c r="T5" s="52">
        <f>-VLOOKUP(B5,'2174'!$A$1:$G$177,6,0)</f>
        <v>1251325.93</v>
      </c>
      <c r="U5" s="63">
        <v>1700000</v>
      </c>
      <c r="V5" s="52">
        <f t="shared" ref="V5" si="0">U5</f>
        <v>1700000</v>
      </c>
      <c r="W5" s="52">
        <f>-VLOOKUP(B5,'ביצוע 2019'!$A$3:$H$1103,7,0)</f>
        <v>1665987.48</v>
      </c>
      <c r="X5" s="52">
        <v>2000000</v>
      </c>
      <c r="Y5" s="101">
        <f t="shared" ref="Y5:Y19" si="1">IF((X5+W5+V5)&lt;&gt;0,1,0)</f>
        <v>1</v>
      </c>
      <c r="Z5" s="52"/>
      <c r="AA5" s="206"/>
    </row>
    <row r="6" spans="1:27" ht="15.75">
      <c r="A6" s="21">
        <v>3</v>
      </c>
      <c r="B6" s="50">
        <v>1111000114</v>
      </c>
      <c r="C6" s="50" t="str">
        <f t="shared" ref="C6" si="2">RIGHT(B6,3)</f>
        <v>114</v>
      </c>
      <c r="D6" s="50" t="str">
        <f t="shared" ref="D6" si="3">MID(B6,2,6)</f>
        <v>111000</v>
      </c>
      <c r="E6" s="50" t="str">
        <f t="shared" ref="E6" si="4">LEFT(D6,2)</f>
        <v>11</v>
      </c>
      <c r="F6" s="51" t="s">
        <v>2005</v>
      </c>
      <c r="G6" s="110"/>
      <c r="H6" s="110"/>
      <c r="I6" s="110"/>
      <c r="J6" s="110"/>
      <c r="K6" s="110"/>
      <c r="L6" s="110"/>
      <c r="M6" s="110"/>
      <c r="N6" s="52"/>
      <c r="O6" s="52"/>
      <c r="P6" s="52"/>
      <c r="Q6" s="52"/>
      <c r="R6" s="52"/>
      <c r="S6" s="52"/>
      <c r="T6" s="52">
        <f>-VLOOKUP(B6,'2174'!$A$1:$G$177,6,0)</f>
        <v>80711.58</v>
      </c>
      <c r="U6" s="63">
        <v>100000</v>
      </c>
      <c r="V6" s="52">
        <v>100000</v>
      </c>
      <c r="W6" s="52">
        <f>-VLOOKUP(B6,'ביצוע 2019'!$A$3:$H$1103,7,0)</f>
        <v>111579.65</v>
      </c>
      <c r="X6" s="261">
        <v>120000</v>
      </c>
      <c r="Y6" s="101">
        <f t="shared" si="1"/>
        <v>1</v>
      </c>
      <c r="Z6" s="52"/>
      <c r="AA6" s="206"/>
    </row>
    <row r="7" spans="1:27" ht="15.75">
      <c r="A7" s="21">
        <v>2</v>
      </c>
      <c r="B7" s="50">
        <v>1116000100</v>
      </c>
      <c r="C7" s="50" t="str">
        <f>RIGHT(B7,3)</f>
        <v>100</v>
      </c>
      <c r="D7" s="50" t="str">
        <f>MID(B7,2,6)</f>
        <v>116000</v>
      </c>
      <c r="E7" s="50" t="str">
        <f>LEFT(D7,2)</f>
        <v>11</v>
      </c>
      <c r="F7" s="51" t="s">
        <v>428</v>
      </c>
      <c r="G7" s="110">
        <v>-3000000</v>
      </c>
      <c r="H7" s="110">
        <f>G7*-1</f>
        <v>3000000</v>
      </c>
      <c r="I7" s="110">
        <v>-3490523.85</v>
      </c>
      <c r="J7" s="110">
        <f>I7*-1</f>
        <v>3490523.85</v>
      </c>
      <c r="K7" s="110">
        <v>490523.85</v>
      </c>
      <c r="L7" s="110">
        <v>3500000</v>
      </c>
      <c r="M7" s="110">
        <v>3500000</v>
      </c>
      <c r="N7" s="52">
        <v>4000000</v>
      </c>
      <c r="O7" s="52"/>
      <c r="P7" s="52">
        <f>N7+O7</f>
        <v>4000000</v>
      </c>
      <c r="Q7" s="52">
        <v>3690000</v>
      </c>
      <c r="R7" s="52">
        <v>4000000</v>
      </c>
      <c r="S7" s="52">
        <v>4000000</v>
      </c>
      <c r="T7" s="52">
        <f>-VLOOKUP(B7,'2174'!$A$1:$G$177,6,0)</f>
        <v>2943000</v>
      </c>
      <c r="U7" s="63">
        <v>4100000</v>
      </c>
      <c r="V7" s="52">
        <v>4000000</v>
      </c>
      <c r="W7" s="52">
        <f>-VLOOKUP(B7,'ביצוע 2019'!$A$3:$H$1103,7,0)</f>
        <v>3892654.4</v>
      </c>
      <c r="X7" s="52">
        <v>4333000</v>
      </c>
      <c r="Y7" s="101">
        <f t="shared" si="1"/>
        <v>1</v>
      </c>
      <c r="Z7" s="52"/>
      <c r="AA7" s="206"/>
    </row>
    <row r="8" spans="1:27" ht="15.75">
      <c r="A8" s="21"/>
      <c r="B8" s="222"/>
      <c r="C8" s="222"/>
      <c r="D8" s="222"/>
      <c r="E8" s="222"/>
      <c r="F8" s="223" t="s">
        <v>1937</v>
      </c>
      <c r="G8" s="224"/>
      <c r="H8" s="224"/>
      <c r="I8" s="224"/>
      <c r="J8" s="224"/>
      <c r="K8" s="224"/>
      <c r="L8" s="224"/>
      <c r="M8" s="224"/>
      <c r="N8" s="225">
        <f>SUM(N4:N7)</f>
        <v>10450000</v>
      </c>
      <c r="O8" s="225"/>
      <c r="P8" s="225">
        <f t="shared" ref="P8:V8" si="5">SUM(P4:P7)</f>
        <v>10450000</v>
      </c>
      <c r="Q8" s="225">
        <f t="shared" si="5"/>
        <v>9499566.6099999994</v>
      </c>
      <c r="R8" s="225">
        <f t="shared" si="5"/>
        <v>10337709.029090909</v>
      </c>
      <c r="S8" s="225">
        <f t="shared" si="5"/>
        <v>10700000</v>
      </c>
      <c r="T8" s="225">
        <f t="shared" si="5"/>
        <v>7165772.6299999999</v>
      </c>
      <c r="U8" s="225">
        <f t="shared" si="5"/>
        <v>10500000</v>
      </c>
      <c r="V8" s="225">
        <f t="shared" si="5"/>
        <v>11100000</v>
      </c>
      <c r="W8" s="225">
        <f t="shared" ref="W8:X8" si="6">SUM(W4:W7)</f>
        <v>10403533.370000001</v>
      </c>
      <c r="X8" s="225">
        <f t="shared" si="6"/>
        <v>11966000</v>
      </c>
      <c r="Y8" s="101">
        <f t="shared" si="1"/>
        <v>1</v>
      </c>
      <c r="Z8" s="52"/>
      <c r="AA8" s="206"/>
    </row>
    <row r="9" spans="1:27" ht="15.75">
      <c r="A9" s="21">
        <v>4</v>
      </c>
      <c r="B9" s="50">
        <v>1191000910</v>
      </c>
      <c r="C9" s="50" t="str">
        <f>RIGHT(B9,3)</f>
        <v>910</v>
      </c>
      <c r="D9" s="50" t="str">
        <f>MID(B9,2,6)</f>
        <v>191000</v>
      </c>
      <c r="E9" s="50" t="str">
        <f>LEFT(D9,2)</f>
        <v>19</v>
      </c>
      <c r="F9" s="51" t="s">
        <v>431</v>
      </c>
      <c r="G9" s="110">
        <v>-14900000</v>
      </c>
      <c r="H9" s="110">
        <f>G9*-1</f>
        <v>14900000</v>
      </c>
      <c r="I9" s="110">
        <v>-12842807.470000001</v>
      </c>
      <c r="J9" s="110">
        <f>I9*-1</f>
        <v>12842807.470000001</v>
      </c>
      <c r="K9" s="110">
        <v>-2057192.53</v>
      </c>
      <c r="L9" s="110">
        <v>12048000</v>
      </c>
      <c r="M9" s="110">
        <v>13824400</v>
      </c>
      <c r="N9" s="52">
        <v>15533000</v>
      </c>
      <c r="O9" s="52"/>
      <c r="P9" s="52">
        <f>N9+O9</f>
        <v>15533000</v>
      </c>
      <c r="Q9" s="52">
        <f>-VLOOKUP(B:B,'דוח כספי 1-10.17'!A:D,4,0)</f>
        <v>12499385.42</v>
      </c>
      <c r="R9" s="52">
        <v>16447000</v>
      </c>
      <c r="S9" s="52">
        <f>16966000*0.85</f>
        <v>14421100</v>
      </c>
      <c r="T9" s="52">
        <f>-VLOOKUP(B9,'2174'!$A$1:$G$177,6,0)+1203000*2</f>
        <v>12823697.539999999</v>
      </c>
      <c r="U9" s="63">
        <f>16966000*0.85</f>
        <v>14421100</v>
      </c>
      <c r="V9" s="52">
        <f>16472000*0.85</f>
        <v>14001200</v>
      </c>
      <c r="W9" s="52">
        <f>-VLOOKUP(B9,'ביצוע 2019'!$A$3:$H$1103,7,0)</f>
        <v>14001580.82</v>
      </c>
      <c r="X9" s="52">
        <v>14031000</v>
      </c>
      <c r="Y9" s="101">
        <f t="shared" si="1"/>
        <v>1</v>
      </c>
      <c r="Z9" s="52"/>
      <c r="AA9" s="206" t="s">
        <v>2126</v>
      </c>
    </row>
    <row r="10" spans="1:27" ht="15.75">
      <c r="A10" s="21">
        <v>6</v>
      </c>
      <c r="B10" s="50">
        <v>1192000910</v>
      </c>
      <c r="C10" s="50" t="str">
        <f>RIGHT(B10,3)</f>
        <v>910</v>
      </c>
      <c r="D10" s="50" t="str">
        <f>MID(B10,2,6)</f>
        <v>192000</v>
      </c>
      <c r="E10" s="50" t="str">
        <f>LEFT(D10,2)</f>
        <v>19</v>
      </c>
      <c r="F10" s="51" t="s">
        <v>432</v>
      </c>
      <c r="G10" s="110">
        <v>0</v>
      </c>
      <c r="H10" s="110">
        <f>G10*-1</f>
        <v>0</v>
      </c>
      <c r="I10" s="110">
        <v>0</v>
      </c>
      <c r="J10" s="110">
        <f>I10*-1</f>
        <v>0</v>
      </c>
      <c r="K10" s="110">
        <v>0</v>
      </c>
      <c r="L10" s="110">
        <v>240000</v>
      </c>
      <c r="M10" s="110">
        <v>3257000</v>
      </c>
      <c r="N10" s="52">
        <v>878400</v>
      </c>
      <c r="O10" s="52"/>
      <c r="P10" s="52">
        <f>N10+O10</f>
        <v>878400</v>
      </c>
      <c r="Q10" s="52">
        <f>-VLOOKUP(B:B,'דוח כספי 1-10.17'!A:D,4,0)</f>
        <v>611665</v>
      </c>
      <c r="R10" s="52">
        <f>Q10/10*12</f>
        <v>733998</v>
      </c>
      <c r="S10" s="52">
        <v>643000</v>
      </c>
      <c r="T10" s="52">
        <f>-VLOOKUP(B10,'2174'!$A$1:$G$177,6,0)</f>
        <v>0</v>
      </c>
      <c r="U10" s="63">
        <v>1000000</v>
      </c>
      <c r="V10" s="52">
        <v>0</v>
      </c>
      <c r="W10" s="52">
        <f>-VLOOKUP(B10,'ביצוע 2019'!$A$3:$H$1103,7,0)</f>
        <v>196033</v>
      </c>
      <c r="X10" s="261">
        <f t="shared" ref="X10" si="7">W10</f>
        <v>196033</v>
      </c>
      <c r="Y10" s="101">
        <f t="shared" si="1"/>
        <v>1</v>
      </c>
      <c r="Z10" s="52" t="s">
        <v>2128</v>
      </c>
      <c r="AA10" s="160"/>
    </row>
    <row r="11" spans="1:27" ht="15.75">
      <c r="A11" s="21">
        <v>5</v>
      </c>
      <c r="B11" s="50">
        <v>1192010910</v>
      </c>
      <c r="C11" s="50" t="str">
        <f>RIGHT(B11,3)</f>
        <v>910</v>
      </c>
      <c r="D11" s="50" t="str">
        <f>MID(B11,2,6)</f>
        <v>192010</v>
      </c>
      <c r="E11" s="50" t="str">
        <f>LEFT(D11,2)</f>
        <v>19</v>
      </c>
      <c r="F11" s="51" t="s">
        <v>433</v>
      </c>
      <c r="G11" s="110">
        <v>0</v>
      </c>
      <c r="H11" s="110">
        <f>G11*-1</f>
        <v>0</v>
      </c>
      <c r="I11" s="110">
        <f>-689516-1118000</f>
        <v>-1807516</v>
      </c>
      <c r="J11" s="110">
        <f>I11*-1</f>
        <v>1807516</v>
      </c>
      <c r="K11" s="110">
        <v>689516</v>
      </c>
      <c r="L11" s="110">
        <v>2126000</v>
      </c>
      <c r="M11" s="110"/>
      <c r="N11" s="52">
        <v>2741000</v>
      </c>
      <c r="O11" s="52"/>
      <c r="P11" s="52">
        <f>N11+O11</f>
        <v>2741000</v>
      </c>
      <c r="Q11" s="52">
        <f>-VLOOKUP(B:B,'דוח כספי 1-10.17'!A:D,4,0)</f>
        <v>594449.57999999996</v>
      </c>
      <c r="R11" s="52">
        <v>1800000</v>
      </c>
      <c r="S11" s="52">
        <f>16966000*0.15</f>
        <v>2544900</v>
      </c>
      <c r="T11" s="52">
        <f>-VLOOKUP(B11,'2174'!$A$1:$G$177,6,0)</f>
        <v>0</v>
      </c>
      <c r="U11" s="63">
        <v>848276</v>
      </c>
      <c r="V11" s="52">
        <f>16472000-14001200</f>
        <v>2470800</v>
      </c>
      <c r="W11" s="52">
        <f>-VLOOKUP(B11,'ביצוע 2019'!$A$3:$H$1103,7,0)</f>
        <v>823621</v>
      </c>
      <c r="X11" s="52">
        <v>2876000</v>
      </c>
      <c r="Y11" s="101">
        <f t="shared" si="1"/>
        <v>1</v>
      </c>
      <c r="Z11" s="52"/>
      <c r="AA11" s="260">
        <v>0.15</v>
      </c>
    </row>
    <row r="12" spans="1:27" ht="15.75">
      <c r="A12" s="21">
        <v>6</v>
      </c>
      <c r="B12" s="50">
        <v>1194000910</v>
      </c>
      <c r="C12" s="50" t="str">
        <f>RIGHT(B12,3)</f>
        <v>910</v>
      </c>
      <c r="D12" s="50" t="str">
        <f>MID(B12,2,6)</f>
        <v>194000</v>
      </c>
      <c r="E12" s="50" t="str">
        <f>LEFT(D12,2)</f>
        <v>19</v>
      </c>
      <c r="F12" s="51" t="s">
        <v>434</v>
      </c>
      <c r="G12" s="110"/>
      <c r="H12" s="110"/>
      <c r="I12" s="110"/>
      <c r="J12" s="110"/>
      <c r="K12" s="110"/>
      <c r="L12" s="110"/>
      <c r="M12" s="110"/>
      <c r="N12" s="52"/>
      <c r="O12" s="52"/>
      <c r="P12" s="52"/>
      <c r="Q12" s="52"/>
      <c r="R12" s="52"/>
      <c r="S12" s="52"/>
      <c r="T12" s="52"/>
      <c r="U12" s="63"/>
      <c r="V12" s="52">
        <v>0</v>
      </c>
      <c r="W12" s="52">
        <f>-VLOOKUP(B12,'ביצוע 2019'!$A$3:$H$1103,7,0)</f>
        <v>417012.2</v>
      </c>
      <c r="X12" s="261">
        <f>2917000-X10-X13</f>
        <v>420967</v>
      </c>
      <c r="Y12" s="101">
        <f t="shared" si="1"/>
        <v>1</v>
      </c>
      <c r="Z12" s="52" t="s">
        <v>2031</v>
      </c>
      <c r="AA12" s="206"/>
    </row>
    <row r="13" spans="1:27" ht="15.75">
      <c r="A13" s="21">
        <v>6</v>
      </c>
      <c r="B13" s="50">
        <v>1196000910</v>
      </c>
      <c r="C13" s="50" t="str">
        <f>RIGHT(B13,3)</f>
        <v>910</v>
      </c>
      <c r="D13" s="50" t="str">
        <f>MID(B13,2,6)</f>
        <v>196000</v>
      </c>
      <c r="E13" s="50" t="str">
        <f>LEFT(D13,2)</f>
        <v>19</v>
      </c>
      <c r="F13" s="51" t="s">
        <v>434</v>
      </c>
      <c r="G13" s="110">
        <v>-50000</v>
      </c>
      <c r="H13" s="110">
        <f>G13*-1</f>
        <v>50000</v>
      </c>
      <c r="I13" s="110">
        <v>-453766</v>
      </c>
      <c r="J13" s="110">
        <f>I13*-1</f>
        <v>453766</v>
      </c>
      <c r="K13" s="110">
        <v>403766</v>
      </c>
      <c r="L13" s="110">
        <v>0</v>
      </c>
      <c r="M13" s="110">
        <v>446000</v>
      </c>
      <c r="N13" s="52">
        <v>446000</v>
      </c>
      <c r="O13" s="52"/>
      <c r="P13" s="52">
        <f>N13+O13</f>
        <v>446000</v>
      </c>
      <c r="Q13" s="52">
        <f>-VLOOKUP(B:B,'דוח כספי 1-10.17'!A:D,4,0)</f>
        <v>0</v>
      </c>
      <c r="R13" s="52">
        <f>Q13/10*12</f>
        <v>0</v>
      </c>
      <c r="S13" s="52">
        <v>0</v>
      </c>
      <c r="T13" s="52">
        <f>-VLOOKUP(B13,'2174'!$A$1:$G$177,6,0)</f>
        <v>383782.62</v>
      </c>
      <c r="U13" s="63">
        <f>644000+150000</f>
        <v>794000</v>
      </c>
      <c r="V13" s="52">
        <f>740000+500000</f>
        <v>1240000</v>
      </c>
      <c r="W13" s="52">
        <f>-VLOOKUP(B13,'ביצוע 2019'!$A$3:$H$1103,7,0)</f>
        <v>2397036</v>
      </c>
      <c r="X13" s="261">
        <v>2300000</v>
      </c>
      <c r="Y13" s="101">
        <f t="shared" si="1"/>
        <v>1</v>
      </c>
      <c r="Z13" s="52" t="s">
        <v>2127</v>
      </c>
      <c r="AA13" s="206"/>
    </row>
    <row r="14" spans="1:27" ht="15.75">
      <c r="A14" s="21"/>
      <c r="B14" s="222"/>
      <c r="C14" s="222"/>
      <c r="D14" s="222"/>
      <c r="E14" s="222"/>
      <c r="F14" s="223" t="s">
        <v>1938</v>
      </c>
      <c r="G14" s="224"/>
      <c r="H14" s="224"/>
      <c r="I14" s="224"/>
      <c r="J14" s="224"/>
      <c r="K14" s="224"/>
      <c r="L14" s="224"/>
      <c r="M14" s="224"/>
      <c r="N14" s="225">
        <f>SUM(N9:N13)</f>
        <v>19598400</v>
      </c>
      <c r="O14" s="225"/>
      <c r="P14" s="225">
        <f>SUM(P9:P13)</f>
        <v>19598400</v>
      </c>
      <c r="Q14" s="225">
        <f>SUM(Q9:Q13)</f>
        <v>13705500</v>
      </c>
      <c r="R14" s="225">
        <f>SUM(R9:R13)</f>
        <v>18980998</v>
      </c>
      <c r="S14" s="225">
        <f>SUM(S9:S13)</f>
        <v>17609000</v>
      </c>
      <c r="T14" s="225">
        <f t="shared" ref="T14:X14" si="8">SUM(T9:T13)</f>
        <v>13207480.159999998</v>
      </c>
      <c r="U14" s="225">
        <f t="shared" si="8"/>
        <v>17063376</v>
      </c>
      <c r="V14" s="225">
        <f t="shared" si="8"/>
        <v>17712000</v>
      </c>
      <c r="W14" s="225">
        <f t="shared" si="8"/>
        <v>17835283.02</v>
      </c>
      <c r="X14" s="225">
        <f t="shared" si="8"/>
        <v>19824000</v>
      </c>
      <c r="Y14" s="101">
        <f t="shared" si="1"/>
        <v>1</v>
      </c>
      <c r="Z14" s="52"/>
      <c r="AA14" s="206"/>
    </row>
    <row r="15" spans="1:27" ht="15.75">
      <c r="A15" s="21">
        <v>3</v>
      </c>
      <c r="B15" s="50">
        <v>1121000291</v>
      </c>
      <c r="C15" s="50" t="str">
        <f t="shared" ref="C15:C23" si="9">RIGHT(B15,3)</f>
        <v>291</v>
      </c>
      <c r="D15" s="50" t="str">
        <f t="shared" ref="D15:D23" si="10">MID(B15,2,6)</f>
        <v>121000</v>
      </c>
      <c r="E15" s="50" t="str">
        <f t="shared" ref="E15:E23" si="11">LEFT(D15,2)</f>
        <v>12</v>
      </c>
      <c r="F15" s="51" t="s">
        <v>430</v>
      </c>
      <c r="G15" s="110">
        <v>-47996</v>
      </c>
      <c r="H15" s="110">
        <f>G15*-1</f>
        <v>47996</v>
      </c>
      <c r="I15" s="110">
        <v>-115000</v>
      </c>
      <c r="J15" s="110">
        <f>I15*-1</f>
        <v>115000</v>
      </c>
      <c r="K15" s="110">
        <v>67004</v>
      </c>
      <c r="L15" s="110">
        <v>50000</v>
      </c>
      <c r="M15" s="110">
        <v>40000</v>
      </c>
      <c r="N15" s="52">
        <v>40000</v>
      </c>
      <c r="O15" s="52"/>
      <c r="P15" s="52">
        <f t="shared" ref="P15:P23" si="12">N15+O15</f>
        <v>40000</v>
      </c>
      <c r="Q15" s="52">
        <f>-VLOOKUP(B:B,'דוח כספי 1-10.17'!A:D,4,0)</f>
        <v>41400</v>
      </c>
      <c r="R15" s="52">
        <f>Q15/10*12</f>
        <v>49680</v>
      </c>
      <c r="S15" s="52">
        <v>50000</v>
      </c>
      <c r="T15" s="52">
        <f>-VLOOKUP(B15,'2174'!$A$1:$G$177,6,0)</f>
        <v>54600</v>
      </c>
      <c r="U15" s="63">
        <f t="shared" ref="U15:U20" si="13">T15*12/11</f>
        <v>59563.63636363636</v>
      </c>
      <c r="V15" s="52">
        <v>60000</v>
      </c>
      <c r="W15" s="52">
        <f>-VLOOKUP(B15,'ביצוע 2019'!$A$3:$H$1103,7,0)</f>
        <v>75200</v>
      </c>
      <c r="X15" s="52">
        <v>80000</v>
      </c>
      <c r="Y15" s="101">
        <f t="shared" si="1"/>
        <v>1</v>
      </c>
      <c r="Z15" s="52"/>
      <c r="AA15" s="206"/>
    </row>
    <row r="16" spans="1:27" ht="15.75">
      <c r="A16" s="21">
        <v>3</v>
      </c>
      <c r="B16" s="50">
        <v>1212300220</v>
      </c>
      <c r="C16" s="50" t="str">
        <f t="shared" si="9"/>
        <v>220</v>
      </c>
      <c r="D16" s="50" t="str">
        <f t="shared" si="10"/>
        <v>212300</v>
      </c>
      <c r="E16" s="50" t="str">
        <f t="shared" si="11"/>
        <v>21</v>
      </c>
      <c r="F16" s="51" t="s">
        <v>436</v>
      </c>
      <c r="G16" s="110">
        <v>-10997</v>
      </c>
      <c r="H16" s="110">
        <f>G16*-1</f>
        <v>10997</v>
      </c>
      <c r="I16" s="110">
        <v>-7854.49</v>
      </c>
      <c r="J16" s="110">
        <f>I16*-1</f>
        <v>7854.49</v>
      </c>
      <c r="K16" s="110">
        <v>-3142.51</v>
      </c>
      <c r="L16" s="110">
        <v>10000</v>
      </c>
      <c r="M16" s="110">
        <v>22500</v>
      </c>
      <c r="N16" s="52">
        <v>22500</v>
      </c>
      <c r="O16" s="52"/>
      <c r="P16" s="52">
        <f t="shared" si="12"/>
        <v>22500</v>
      </c>
      <c r="Q16" s="52">
        <f>-VLOOKUP(B:B,'דוח כספי 1-10.17'!A:D,4,0)</f>
        <v>301.48</v>
      </c>
      <c r="R16" s="52">
        <f>Q16/10*12</f>
        <v>361.77600000000007</v>
      </c>
      <c r="S16" s="52">
        <v>0</v>
      </c>
      <c r="T16" s="52">
        <f>-VLOOKUP(B16,'2174'!$A$1:$G$177,6,0)</f>
        <v>2384.41</v>
      </c>
      <c r="U16" s="63">
        <f t="shared" si="13"/>
        <v>2601.1745454545453</v>
      </c>
      <c r="V16" s="52">
        <v>3000</v>
      </c>
      <c r="W16" s="52">
        <f>-VLOOKUP(B16,'ביצוע 2019'!$A$3:$H$1103,7,0)</f>
        <v>8069.83</v>
      </c>
      <c r="X16" s="52">
        <v>0</v>
      </c>
      <c r="Y16" s="101">
        <f t="shared" si="1"/>
        <v>1</v>
      </c>
      <c r="Z16" s="52"/>
      <c r="AA16" s="206"/>
    </row>
    <row r="17" spans="1:27" ht="15.75">
      <c r="A17" s="21">
        <v>3</v>
      </c>
      <c r="B17" s="50">
        <v>1233100710</v>
      </c>
      <c r="C17" s="50" t="str">
        <f t="shared" si="9"/>
        <v>710</v>
      </c>
      <c r="D17" s="50" t="str">
        <f t="shared" si="10"/>
        <v>233100</v>
      </c>
      <c r="E17" s="50" t="str">
        <f t="shared" si="11"/>
        <v>23</v>
      </c>
      <c r="F17" s="51" t="s">
        <v>440</v>
      </c>
      <c r="G17" s="110">
        <v>-200000</v>
      </c>
      <c r="H17" s="110">
        <f>G17*-1</f>
        <v>200000</v>
      </c>
      <c r="I17" s="110">
        <f>-146000-1000000</f>
        <v>-1146000</v>
      </c>
      <c r="J17" s="110">
        <f>I17*-1</f>
        <v>1146000</v>
      </c>
      <c r="K17" s="110">
        <v>-54000</v>
      </c>
      <c r="L17" s="110">
        <v>700000</v>
      </c>
      <c r="M17" s="110">
        <v>500000</v>
      </c>
      <c r="N17" s="52">
        <v>500000</v>
      </c>
      <c r="O17" s="52"/>
      <c r="P17" s="52">
        <f t="shared" si="12"/>
        <v>500000</v>
      </c>
      <c r="Q17" s="52">
        <f>-VLOOKUP(B:B,'דוח כספי 1-10.17'!A:D,4,0)</f>
        <v>0</v>
      </c>
      <c r="R17" s="52">
        <v>500000</v>
      </c>
      <c r="S17" s="52">
        <v>500000</v>
      </c>
      <c r="T17" s="52">
        <v>458333.33</v>
      </c>
      <c r="U17" s="63">
        <f t="shared" si="13"/>
        <v>499999.99636363634</v>
      </c>
      <c r="V17" s="52">
        <f t="shared" ref="V17" si="14">U17</f>
        <v>499999.99636363634</v>
      </c>
      <c r="W17" s="52">
        <f>-VLOOKUP(B17,'ביצוע 2019'!$A$3:$H$1103,7,0)</f>
        <v>500000</v>
      </c>
      <c r="X17" s="52">
        <f t="shared" ref="X17:X22" si="15">W17</f>
        <v>500000</v>
      </c>
      <c r="Y17" s="101">
        <f t="shared" si="1"/>
        <v>1</v>
      </c>
      <c r="Z17" s="52"/>
      <c r="AA17" s="206"/>
    </row>
    <row r="18" spans="1:27" ht="15.75">
      <c r="A18" s="21">
        <v>3</v>
      </c>
      <c r="B18" s="50">
        <v>1233410290</v>
      </c>
      <c r="C18" s="50" t="str">
        <f t="shared" si="9"/>
        <v>290</v>
      </c>
      <c r="D18" s="50" t="str">
        <f t="shared" si="10"/>
        <v>233410</v>
      </c>
      <c r="E18" s="50" t="str">
        <f t="shared" si="11"/>
        <v>23</v>
      </c>
      <c r="F18" s="51" t="s">
        <v>1991</v>
      </c>
      <c r="G18" s="110">
        <v>-650000</v>
      </c>
      <c r="H18" s="110">
        <f>G18*-1</f>
        <v>650000</v>
      </c>
      <c r="I18" s="110">
        <f>-382988-300000</f>
        <v>-682988</v>
      </c>
      <c r="J18" s="110">
        <f>I18*-1</f>
        <v>682988</v>
      </c>
      <c r="K18" s="110">
        <v>-267012</v>
      </c>
      <c r="L18" s="110">
        <v>1000000</v>
      </c>
      <c r="M18" s="110">
        <v>700000</v>
      </c>
      <c r="N18" s="52">
        <v>700000</v>
      </c>
      <c r="O18" s="52"/>
      <c r="P18" s="52">
        <f t="shared" si="12"/>
        <v>700000</v>
      </c>
      <c r="Q18" s="52">
        <f>-VLOOKUP(B:B,'דוח כספי 1-10.17'!A:D,4,0)</f>
        <v>250000</v>
      </c>
      <c r="R18" s="52">
        <f>Q18/10*12</f>
        <v>300000</v>
      </c>
      <c r="S18" s="52">
        <v>450000</v>
      </c>
      <c r="T18" s="52">
        <f>450000*0.916666666666667</f>
        <v>412500.00000000012</v>
      </c>
      <c r="U18" s="63">
        <f t="shared" si="13"/>
        <v>450000.00000000017</v>
      </c>
      <c r="V18" s="52">
        <v>500000</v>
      </c>
      <c r="W18" s="52">
        <f>-VLOOKUP(B18,'ביצוע 2019'!$A$3:$H$1103,7,0)</f>
        <v>1085641</v>
      </c>
      <c r="X18" s="52">
        <v>1200000</v>
      </c>
      <c r="Y18" s="101">
        <f t="shared" si="1"/>
        <v>1</v>
      </c>
      <c r="Z18" s="52"/>
      <c r="AA18" s="206"/>
    </row>
    <row r="19" spans="1:27" ht="15.75">
      <c r="A19" s="21">
        <v>3</v>
      </c>
      <c r="B19" s="50">
        <v>1269000690</v>
      </c>
      <c r="C19" s="50" t="str">
        <f t="shared" si="9"/>
        <v>690</v>
      </c>
      <c r="D19" s="50" t="str">
        <f t="shared" si="10"/>
        <v>269000</v>
      </c>
      <c r="E19" s="50" t="str">
        <f t="shared" si="11"/>
        <v>26</v>
      </c>
      <c r="F19" s="51" t="s">
        <v>446</v>
      </c>
      <c r="G19" s="110">
        <v>0</v>
      </c>
      <c r="H19" s="110">
        <f>G19*-1</f>
        <v>0</v>
      </c>
      <c r="I19" s="110">
        <v>-34341.879999999997</v>
      </c>
      <c r="J19" s="110">
        <f>I19*-1</f>
        <v>34341.879999999997</v>
      </c>
      <c r="K19" s="110">
        <v>34341.879999999997</v>
      </c>
      <c r="L19" s="110">
        <v>0</v>
      </c>
      <c r="M19" s="110">
        <v>100000</v>
      </c>
      <c r="N19" s="52">
        <v>150000</v>
      </c>
      <c r="O19" s="52"/>
      <c r="P19" s="52">
        <f t="shared" si="12"/>
        <v>150000</v>
      </c>
      <c r="Q19" s="52">
        <f>-VLOOKUP(B:B,'דוח כספי 1-10.17'!A:D,4,0)</f>
        <v>95514.87</v>
      </c>
      <c r="R19" s="52">
        <f>Q19/10*12</f>
        <v>114617.84399999998</v>
      </c>
      <c r="S19" s="52">
        <v>150000</v>
      </c>
      <c r="T19" s="52">
        <f>-VLOOKUP(B19,'2174'!$A$1:$G$177,6,0)</f>
        <v>106684.67</v>
      </c>
      <c r="U19" s="63">
        <f t="shared" si="13"/>
        <v>116383.27636363637</v>
      </c>
      <c r="V19" s="52">
        <v>120000</v>
      </c>
      <c r="W19" s="52">
        <f>-VLOOKUP(B19,'ביצוע 2019'!$A$3:$H$1103,7,0)</f>
        <v>950936.89</v>
      </c>
      <c r="X19" s="52"/>
      <c r="Y19" s="101">
        <f t="shared" si="1"/>
        <v>1</v>
      </c>
      <c r="Z19" s="52"/>
      <c r="AA19" s="206"/>
    </row>
    <row r="20" spans="1:27" ht="15.75" hidden="1">
      <c r="A20" s="21">
        <v>3</v>
      </c>
      <c r="B20" s="50">
        <v>1269000692</v>
      </c>
      <c r="C20" s="50" t="str">
        <f t="shared" si="9"/>
        <v>692</v>
      </c>
      <c r="D20" s="50" t="str">
        <f t="shared" si="10"/>
        <v>269000</v>
      </c>
      <c r="E20" s="50" t="str">
        <f t="shared" si="11"/>
        <v>26</v>
      </c>
      <c r="F20" s="51" t="s">
        <v>1683</v>
      </c>
      <c r="G20" s="110"/>
      <c r="H20" s="110"/>
      <c r="I20" s="110"/>
      <c r="J20" s="110"/>
      <c r="K20" s="110"/>
      <c r="L20" s="110"/>
      <c r="M20" s="110"/>
      <c r="N20" s="52">
        <v>14000</v>
      </c>
      <c r="O20" s="52"/>
      <c r="P20" s="52">
        <f t="shared" si="12"/>
        <v>14000</v>
      </c>
      <c r="Q20" s="52">
        <f>-VLOOKUP(B:B,'דוח כספי 1-10.17'!A:D,4,0)</f>
        <v>11000</v>
      </c>
      <c r="R20" s="52">
        <f>Q20/4*12</f>
        <v>33000</v>
      </c>
      <c r="S20" s="52">
        <v>33000</v>
      </c>
      <c r="T20" s="52"/>
      <c r="U20" s="63">
        <f t="shared" si="13"/>
        <v>0</v>
      </c>
      <c r="V20" s="52">
        <v>0</v>
      </c>
      <c r="W20" s="52">
        <f>-VLOOKUP(B20,'ביצוע 2019'!$A$3:$H$1103,7,0)</f>
        <v>0</v>
      </c>
      <c r="X20" s="52">
        <f t="shared" si="15"/>
        <v>0</v>
      </c>
      <c r="Y20" s="101">
        <f t="shared" ref="Y20:Y68" si="16">IF((X20+W20+U20+V20)&lt;&gt;0,1,0)</f>
        <v>0</v>
      </c>
      <c r="Z20" s="52"/>
      <c r="AA20" s="206"/>
    </row>
    <row r="21" spans="1:27" ht="15.75">
      <c r="A21" s="21">
        <v>3</v>
      </c>
      <c r="B21" s="50">
        <v>1269000693</v>
      </c>
      <c r="C21" s="50" t="str">
        <f t="shared" si="9"/>
        <v>693</v>
      </c>
      <c r="D21" s="50" t="str">
        <f t="shared" si="10"/>
        <v>269000</v>
      </c>
      <c r="E21" s="50" t="str">
        <f t="shared" si="11"/>
        <v>26</v>
      </c>
      <c r="F21" s="51" t="s">
        <v>2098</v>
      </c>
      <c r="G21" s="110"/>
      <c r="H21" s="110"/>
      <c r="I21" s="110"/>
      <c r="J21" s="110"/>
      <c r="K21" s="110"/>
      <c r="L21" s="110"/>
      <c r="M21" s="110"/>
      <c r="N21" s="52"/>
      <c r="O21" s="52"/>
      <c r="P21" s="52"/>
      <c r="Q21" s="52"/>
      <c r="R21" s="52"/>
      <c r="S21" s="52"/>
      <c r="T21" s="52"/>
      <c r="U21" s="63"/>
      <c r="V21" s="52">
        <v>0</v>
      </c>
      <c r="W21" s="52">
        <f>-VLOOKUP(B21,'ביצוע 2019'!$A$3:$H$1103,7,0)</f>
        <v>284524.77999999997</v>
      </c>
      <c r="X21" s="52"/>
      <c r="Y21" s="101">
        <f>IF((X21+W21+V21)&lt;&gt;0,1,0)</f>
        <v>1</v>
      </c>
      <c r="Z21" s="52"/>
      <c r="AA21" s="206"/>
    </row>
    <row r="22" spans="1:27" ht="15.75" hidden="1">
      <c r="A22" s="21">
        <v>3</v>
      </c>
      <c r="B22" s="50">
        <v>1269000694</v>
      </c>
      <c r="C22" s="50" t="str">
        <f t="shared" si="9"/>
        <v>694</v>
      </c>
      <c r="D22" s="50" t="str">
        <f t="shared" si="10"/>
        <v>269000</v>
      </c>
      <c r="E22" s="50" t="str">
        <f t="shared" si="11"/>
        <v>26</v>
      </c>
      <c r="F22" s="51" t="s">
        <v>1684</v>
      </c>
      <c r="G22" s="110"/>
      <c r="H22" s="110"/>
      <c r="I22" s="110"/>
      <c r="J22" s="110"/>
      <c r="K22" s="110"/>
      <c r="L22" s="110"/>
      <c r="M22" s="110"/>
      <c r="N22" s="52">
        <v>0</v>
      </c>
      <c r="O22" s="52"/>
      <c r="P22" s="52">
        <f t="shared" si="12"/>
        <v>0</v>
      </c>
      <c r="Q22" s="52">
        <f>-VLOOKUP(B:B,'דוח כספי 1-10.17'!A:D,4,0)</f>
        <v>383.79</v>
      </c>
      <c r="R22" s="52">
        <v>0</v>
      </c>
      <c r="S22" s="52">
        <v>0</v>
      </c>
      <c r="T22" s="52"/>
      <c r="U22" s="52"/>
      <c r="V22" s="52"/>
      <c r="W22" s="52">
        <f>-VLOOKUP(B22,'ביצוע 2019'!$A$3:$H$1103,7,0)</f>
        <v>0</v>
      </c>
      <c r="X22" s="52">
        <f t="shared" si="15"/>
        <v>0</v>
      </c>
      <c r="Y22" s="101">
        <f t="shared" si="16"/>
        <v>0</v>
      </c>
      <c r="Z22" s="52"/>
      <c r="AA22" s="206"/>
    </row>
    <row r="23" spans="1:27" ht="15.75" hidden="1">
      <c r="A23" s="21">
        <v>3</v>
      </c>
      <c r="B23" s="50">
        <v>1269000691</v>
      </c>
      <c r="C23" s="50" t="str">
        <f t="shared" si="9"/>
        <v>691</v>
      </c>
      <c r="D23" s="50" t="str">
        <f t="shared" si="10"/>
        <v>269000</v>
      </c>
      <c r="E23" s="50" t="str">
        <f t="shared" si="11"/>
        <v>26</v>
      </c>
      <c r="F23" s="51" t="s">
        <v>447</v>
      </c>
      <c r="G23" s="110">
        <v>-9003</v>
      </c>
      <c r="H23" s="110">
        <f>G23*-1</f>
        <v>9003</v>
      </c>
      <c r="I23" s="110">
        <v>-2317.65</v>
      </c>
      <c r="J23" s="110">
        <f>I23*-1</f>
        <v>2317.65</v>
      </c>
      <c r="K23" s="110">
        <v>-6685.35</v>
      </c>
      <c r="L23" s="110">
        <v>15000</v>
      </c>
      <c r="M23" s="110">
        <v>1000</v>
      </c>
      <c r="N23" s="52">
        <v>1000</v>
      </c>
      <c r="O23" s="52"/>
      <c r="P23" s="52">
        <f t="shared" si="12"/>
        <v>1000</v>
      </c>
      <c r="Q23" s="52">
        <f>-VLOOKUP(B:B,'דוח כספי 1-10.17'!A:D,4,0)</f>
        <v>522.5</v>
      </c>
      <c r="R23" s="52">
        <v>0</v>
      </c>
      <c r="S23" s="52">
        <v>0</v>
      </c>
      <c r="T23" s="52">
        <f>-VLOOKUP(B23,'2174'!$A$1:$G$177,6,0)</f>
        <v>84.38</v>
      </c>
      <c r="U23" s="63">
        <v>0</v>
      </c>
      <c r="V23" s="52">
        <v>0</v>
      </c>
      <c r="W23" s="52"/>
      <c r="X23" s="52"/>
      <c r="Y23" s="101">
        <f t="shared" ref="Y23:Y25" si="17">IF((X23+W23+V23)&lt;&gt;0,1,0)</f>
        <v>0</v>
      </c>
      <c r="Z23" s="52"/>
      <c r="AA23" s="206"/>
    </row>
    <row r="24" spans="1:27" ht="15.75">
      <c r="A24" s="21"/>
      <c r="B24" s="222"/>
      <c r="C24" s="222"/>
      <c r="D24" s="222"/>
      <c r="E24" s="222"/>
      <c r="F24" s="223" t="s">
        <v>1936</v>
      </c>
      <c r="G24" s="224"/>
      <c r="H24" s="224"/>
      <c r="I24" s="224"/>
      <c r="J24" s="224"/>
      <c r="K24" s="224"/>
      <c r="L24" s="224"/>
      <c r="M24" s="224"/>
      <c r="N24" s="225">
        <f>SUM(N15:N23)</f>
        <v>1427500</v>
      </c>
      <c r="O24" s="225"/>
      <c r="P24" s="225">
        <f t="shared" ref="P24:X24" si="18">SUM(P15:P23)</f>
        <v>1427500</v>
      </c>
      <c r="Q24" s="225">
        <f t="shared" si="18"/>
        <v>399122.63999999996</v>
      </c>
      <c r="R24" s="225">
        <f t="shared" si="18"/>
        <v>997659.61999999988</v>
      </c>
      <c r="S24" s="225">
        <f t="shared" si="18"/>
        <v>1183000</v>
      </c>
      <c r="T24" s="225">
        <f t="shared" si="18"/>
        <v>1034586.7900000002</v>
      </c>
      <c r="U24" s="225">
        <f t="shared" si="18"/>
        <v>1128548.0836363637</v>
      </c>
      <c r="V24" s="225">
        <f t="shared" si="18"/>
        <v>1182999.9963636363</v>
      </c>
      <c r="W24" s="225">
        <f t="shared" si="18"/>
        <v>2904372.5</v>
      </c>
      <c r="X24" s="225">
        <f t="shared" si="18"/>
        <v>1780000</v>
      </c>
      <c r="Y24" s="101">
        <f t="shared" si="17"/>
        <v>1</v>
      </c>
      <c r="Z24" s="52"/>
      <c r="AA24" s="206"/>
    </row>
    <row r="25" spans="1:27" ht="15.75">
      <c r="A25" s="21">
        <v>8</v>
      </c>
      <c r="B25" s="50">
        <v>1224000970</v>
      </c>
      <c r="C25" s="50" t="str">
        <f>RIGHT(B25,3)</f>
        <v>970</v>
      </c>
      <c r="D25" s="50" t="str">
        <f>MID(B25,2,6)</f>
        <v>224000</v>
      </c>
      <c r="E25" s="50" t="str">
        <f>LEFT(D25,2)</f>
        <v>22</v>
      </c>
      <c r="F25" s="51" t="s">
        <v>92</v>
      </c>
      <c r="G25" s="110">
        <v>0</v>
      </c>
      <c r="H25" s="110">
        <f>G25*-1</f>
        <v>0</v>
      </c>
      <c r="I25" s="110">
        <v>-42798</v>
      </c>
      <c r="J25" s="110">
        <f>I25*-1</f>
        <v>42798</v>
      </c>
      <c r="K25" s="110">
        <v>42798</v>
      </c>
      <c r="L25" s="110">
        <v>243000</v>
      </c>
      <c r="M25" s="110">
        <v>50000</v>
      </c>
      <c r="N25" s="52">
        <v>243000</v>
      </c>
      <c r="O25" s="52"/>
      <c r="P25" s="52">
        <f>N25+O25</f>
        <v>243000</v>
      </c>
      <c r="Q25" s="52">
        <f>-VLOOKUP(B:B,'דוח כספי 1-10.17'!A:D,4,0)</f>
        <v>0</v>
      </c>
      <c r="R25" s="52">
        <v>243000</v>
      </c>
      <c r="S25" s="220">
        <v>275000</v>
      </c>
      <c r="T25" s="52">
        <f>-VLOOKUP(B25,'2174'!$A$1:$G$177,6,0)</f>
        <v>295704</v>
      </c>
      <c r="U25" s="63">
        <v>275000</v>
      </c>
      <c r="V25" s="52">
        <f>421000*0.85</f>
        <v>357850</v>
      </c>
      <c r="W25" s="52">
        <f>-VLOOKUP(B25,'ביצוע 2019'!$A$3:$H$1103,7,0)</f>
        <v>507806</v>
      </c>
      <c r="X25" s="52">
        <f>610833*0.85</f>
        <v>519208.05</v>
      </c>
      <c r="Y25" s="101">
        <f t="shared" si="17"/>
        <v>1</v>
      </c>
      <c r="Z25" s="52"/>
      <c r="AA25" s="206" t="s">
        <v>2074</v>
      </c>
    </row>
    <row r="26" spans="1:27" ht="15.75" hidden="1">
      <c r="A26" s="21">
        <v>8</v>
      </c>
      <c r="B26" s="50">
        <v>1244000990</v>
      </c>
      <c r="C26" s="50" t="str">
        <f>RIGHT(B26,3)</f>
        <v>990</v>
      </c>
      <c r="D26" s="50" t="str">
        <f>MID(B26,2,6)</f>
        <v>244000</v>
      </c>
      <c r="E26" s="50" t="str">
        <f>LEFT(D26,2)</f>
        <v>24</v>
      </c>
      <c r="F26" s="51" t="s">
        <v>94</v>
      </c>
      <c r="G26" s="110">
        <v>-10997</v>
      </c>
      <c r="H26" s="110">
        <f>G26*-1</f>
        <v>10997</v>
      </c>
      <c r="I26" s="110">
        <v>-18813</v>
      </c>
      <c r="J26" s="110">
        <f>I26*-1</f>
        <v>18813</v>
      </c>
      <c r="K26" s="110">
        <v>7816</v>
      </c>
      <c r="L26" s="110">
        <v>18000</v>
      </c>
      <c r="M26" s="110">
        <v>21500</v>
      </c>
      <c r="N26" s="52">
        <v>20000</v>
      </c>
      <c r="O26" s="52"/>
      <c r="P26" s="52">
        <f>N26+O26</f>
        <v>20000</v>
      </c>
      <c r="Q26" s="52">
        <f>-VLOOKUP(B:B,'דוח כספי 1-10.17'!A:D,4,0)</f>
        <v>0</v>
      </c>
      <c r="R26" s="52">
        <f>Q26/10*12</f>
        <v>0</v>
      </c>
      <c r="S26" s="52"/>
      <c r="T26" s="52">
        <f>-VLOOKUP(B26,'2174'!$A$1:$G$177,6,0)</f>
        <v>0</v>
      </c>
      <c r="U26" s="63">
        <f t="shared" ref="U26" si="19">T26*12/11</f>
        <v>0</v>
      </c>
      <c r="V26" s="52">
        <f t="shared" ref="V26" si="20">U26</f>
        <v>0</v>
      </c>
      <c r="W26" s="52">
        <f>-VLOOKUP(B26,'ביצוע 2019'!$A$3:$H$1103,7,0)</f>
        <v>0</v>
      </c>
      <c r="X26" s="52">
        <f t="shared" ref="X26" si="21">W26</f>
        <v>0</v>
      </c>
      <c r="Y26" s="101">
        <f t="shared" si="16"/>
        <v>0</v>
      </c>
      <c r="Z26" s="52"/>
      <c r="AA26" s="206"/>
    </row>
    <row r="27" spans="1:27" ht="15.75">
      <c r="A27" s="21"/>
      <c r="B27" s="222"/>
      <c r="C27" s="222"/>
      <c r="D27" s="222"/>
      <c r="E27" s="222"/>
      <c r="F27" s="223" t="s">
        <v>1939</v>
      </c>
      <c r="G27" s="224"/>
      <c r="H27" s="224"/>
      <c r="I27" s="224"/>
      <c r="J27" s="224"/>
      <c r="K27" s="224"/>
      <c r="L27" s="224"/>
      <c r="M27" s="224"/>
      <c r="N27" s="225">
        <f>SUM(N25:N26)</f>
        <v>263000</v>
      </c>
      <c r="O27" s="225"/>
      <c r="P27" s="225">
        <f>SUM(P25:P26)</f>
        <v>263000</v>
      </c>
      <c r="Q27" s="225">
        <f>SUM(Q25:Q26)</f>
        <v>0</v>
      </c>
      <c r="R27" s="225">
        <f>SUM(R25:R26)</f>
        <v>243000</v>
      </c>
      <c r="S27" s="225">
        <f>SUM(S25:S26)</f>
        <v>275000</v>
      </c>
      <c r="T27" s="225">
        <f t="shared" ref="T27:V27" si="22">SUM(T25:T26)</f>
        <v>295704</v>
      </c>
      <c r="U27" s="225">
        <f t="shared" si="22"/>
        <v>275000</v>
      </c>
      <c r="V27" s="225">
        <f t="shared" si="22"/>
        <v>357850</v>
      </c>
      <c r="W27" s="225">
        <f t="shared" ref="W27:X27" si="23">SUM(W25:W26)</f>
        <v>507806</v>
      </c>
      <c r="X27" s="225">
        <f t="shared" si="23"/>
        <v>519208.05</v>
      </c>
      <c r="Y27" s="101">
        <f t="shared" ref="Y27:Y28" si="24">IF((X27+W27+V27)&lt;&gt;0,1,0)</f>
        <v>1</v>
      </c>
      <c r="Z27" s="52"/>
      <c r="AA27" s="206"/>
    </row>
    <row r="28" spans="1:27" ht="15.75" customHeight="1">
      <c r="A28" s="21"/>
      <c r="B28" s="229"/>
      <c r="C28" s="230"/>
      <c r="D28" s="230"/>
      <c r="E28" s="230"/>
      <c r="F28" s="229" t="s">
        <v>704</v>
      </c>
      <c r="G28" s="227">
        <f t="shared" ref="G28:M28" si="25">SUM(G4:G23)</f>
        <v>-24667996</v>
      </c>
      <c r="H28" s="227">
        <f t="shared" si="25"/>
        <v>24667996</v>
      </c>
      <c r="I28" s="227">
        <f t="shared" si="25"/>
        <v>-26926913.349999998</v>
      </c>
      <c r="J28" s="227">
        <f t="shared" si="25"/>
        <v>26926913.349999998</v>
      </c>
      <c r="K28" s="227">
        <f t="shared" si="25"/>
        <v>-159082.65000000005</v>
      </c>
      <c r="L28" s="227">
        <f t="shared" si="25"/>
        <v>25889000</v>
      </c>
      <c r="M28" s="227">
        <f t="shared" si="25"/>
        <v>28300900</v>
      </c>
      <c r="N28" s="228">
        <f t="shared" ref="N28:V28" si="26">N8+N14+N24+N27</f>
        <v>31738900</v>
      </c>
      <c r="O28" s="228">
        <f t="shared" si="26"/>
        <v>0</v>
      </c>
      <c r="P28" s="228">
        <f t="shared" si="26"/>
        <v>31738900</v>
      </c>
      <c r="Q28" s="228">
        <f t="shared" si="26"/>
        <v>23604189.25</v>
      </c>
      <c r="R28" s="228">
        <f t="shared" si="26"/>
        <v>30559366.649090912</v>
      </c>
      <c r="S28" s="228">
        <f t="shared" si="26"/>
        <v>29767000</v>
      </c>
      <c r="T28" s="228">
        <f t="shared" si="26"/>
        <v>21703543.579999998</v>
      </c>
      <c r="U28" s="228">
        <f t="shared" si="26"/>
        <v>28966924.083636362</v>
      </c>
      <c r="V28" s="228">
        <f t="shared" si="26"/>
        <v>30352849.996363636</v>
      </c>
      <c r="W28" s="228">
        <f t="shared" ref="W28:X28" si="27">W8+W14+W24+W27</f>
        <v>31650994.890000001</v>
      </c>
      <c r="X28" s="228">
        <f t="shared" si="27"/>
        <v>34089208.049999997</v>
      </c>
      <c r="Y28" s="101">
        <f t="shared" si="24"/>
        <v>1</v>
      </c>
      <c r="Z28" s="52"/>
      <c r="AA28" s="206"/>
    </row>
    <row r="29" spans="1:27" ht="15.75" hidden="1">
      <c r="A29" s="21"/>
      <c r="B29" s="50"/>
      <c r="C29" s="100" t="s">
        <v>702</v>
      </c>
      <c r="D29" s="50"/>
      <c r="E29" s="50"/>
      <c r="F29" s="51"/>
      <c r="G29" s="110"/>
      <c r="H29" s="110"/>
      <c r="I29" s="110"/>
      <c r="J29" s="110"/>
      <c r="K29" s="110"/>
      <c r="L29" s="110"/>
      <c r="M29" s="110"/>
      <c r="N29" s="52"/>
      <c r="O29" s="52"/>
      <c r="P29" s="52">
        <f>N29+O29</f>
        <v>0</v>
      </c>
      <c r="Q29" s="52"/>
      <c r="R29" s="52"/>
      <c r="S29" s="52"/>
      <c r="T29" s="52"/>
      <c r="U29" s="52"/>
      <c r="V29" s="52"/>
      <c r="W29" s="52"/>
      <c r="X29" s="52"/>
      <c r="Y29" s="101">
        <f t="shared" si="16"/>
        <v>0</v>
      </c>
      <c r="Z29" s="52"/>
      <c r="AA29" s="206"/>
    </row>
    <row r="30" spans="1:27" ht="15.75">
      <c r="A30" s="21">
        <v>9</v>
      </c>
      <c r="B30" s="50">
        <v>1311020920</v>
      </c>
      <c r="C30" s="50" t="str">
        <f>RIGHT(B30,3)</f>
        <v>920</v>
      </c>
      <c r="D30" s="50" t="str">
        <f>MID(B30,2,6)</f>
        <v>311020</v>
      </c>
      <c r="E30" s="50" t="str">
        <f>LEFT(D30,2)</f>
        <v>31</v>
      </c>
      <c r="F30" s="51" t="s">
        <v>139</v>
      </c>
      <c r="G30" s="110">
        <v>-120000</v>
      </c>
      <c r="H30" s="110">
        <f>G30*-1</f>
        <v>120000</v>
      </c>
      <c r="I30" s="110">
        <v>-120938</v>
      </c>
      <c r="J30" s="110">
        <f>I30*-1</f>
        <v>120938</v>
      </c>
      <c r="K30" s="110">
        <v>938</v>
      </c>
      <c r="L30" s="110">
        <v>130000</v>
      </c>
      <c r="M30" s="110">
        <v>130000</v>
      </c>
      <c r="N30" s="52">
        <v>130000</v>
      </c>
      <c r="O30" s="52"/>
      <c r="P30" s="52">
        <f>N30+O30</f>
        <v>130000</v>
      </c>
      <c r="Q30" s="52">
        <f>-VLOOKUP(B:B,'דוח כספי 1-10.17'!A:D,4,0)</f>
        <v>0</v>
      </c>
      <c r="R30" s="52">
        <v>130000</v>
      </c>
      <c r="S30" s="52">
        <v>130000</v>
      </c>
      <c r="T30" s="52">
        <f>-VLOOKUP(B30,'2174'!$A$1:$G$177,6,0)</f>
        <v>0</v>
      </c>
      <c r="U30" s="63">
        <v>130000</v>
      </c>
      <c r="V30" s="52">
        <v>130000</v>
      </c>
      <c r="W30" s="52">
        <f>-VLOOKUP(B30,'ביצוע 2019'!$A$3:$H$1103,7,0)</f>
        <v>0</v>
      </c>
      <c r="X30" s="52">
        <f>W30</f>
        <v>0</v>
      </c>
      <c r="Y30" s="101">
        <f t="shared" ref="Y30:Y31" si="28">IF((X30+W30+V30)&lt;&gt;0,1,0)</f>
        <v>1</v>
      </c>
      <c r="Z30" s="52"/>
      <c r="AA30" s="206"/>
    </row>
    <row r="31" spans="1:27" ht="15.75">
      <c r="A31" s="21"/>
      <c r="B31" s="222"/>
      <c r="C31" s="222"/>
      <c r="D31" s="222"/>
      <c r="E31" s="222"/>
      <c r="F31" s="223" t="s">
        <v>1940</v>
      </c>
      <c r="G31" s="224"/>
      <c r="H31" s="224"/>
      <c r="I31" s="224"/>
      <c r="J31" s="224"/>
      <c r="K31" s="224"/>
      <c r="L31" s="224"/>
      <c r="M31" s="224"/>
      <c r="N31" s="225">
        <f>SUM(N30)</f>
        <v>130000</v>
      </c>
      <c r="O31" s="225"/>
      <c r="P31" s="225">
        <f>SUM(P30)</f>
        <v>130000</v>
      </c>
      <c r="Q31" s="225">
        <f>SUM(Q30)</f>
        <v>0</v>
      </c>
      <c r="R31" s="225">
        <f>SUM(R30)</f>
        <v>130000</v>
      </c>
      <c r="S31" s="225">
        <f>SUM(S30)</f>
        <v>130000</v>
      </c>
      <c r="T31" s="225">
        <f t="shared" ref="T31:X31" si="29">SUM(T30)</f>
        <v>0</v>
      </c>
      <c r="U31" s="225">
        <f t="shared" si="29"/>
        <v>130000</v>
      </c>
      <c r="V31" s="225">
        <f t="shared" si="29"/>
        <v>130000</v>
      </c>
      <c r="W31" s="225">
        <f t="shared" si="29"/>
        <v>0</v>
      </c>
      <c r="X31" s="225">
        <f t="shared" si="29"/>
        <v>0</v>
      </c>
      <c r="Y31" s="101">
        <f t="shared" si="28"/>
        <v>1</v>
      </c>
      <c r="Z31" s="52"/>
      <c r="AA31" s="206"/>
    </row>
    <row r="32" spans="1:27" ht="15.75" hidden="1">
      <c r="A32" s="21">
        <v>9</v>
      </c>
      <c r="B32" s="50">
        <v>1312000920</v>
      </c>
      <c r="C32" s="50" t="str">
        <f>RIGHT(B32,3)</f>
        <v>920</v>
      </c>
      <c r="D32" s="50" t="str">
        <f>MID(B32,2,6)</f>
        <v>312000</v>
      </c>
      <c r="E32" s="50" t="str">
        <f>LEFT(D32,2)</f>
        <v>31</v>
      </c>
      <c r="F32" s="51" t="s">
        <v>450</v>
      </c>
      <c r="G32" s="110">
        <v>-100000</v>
      </c>
      <c r="H32" s="110">
        <f>G32*-1</f>
        <v>100000</v>
      </c>
      <c r="I32" s="110">
        <v>-65205</v>
      </c>
      <c r="J32" s="110">
        <f>I32*-1</f>
        <v>65205</v>
      </c>
      <c r="K32" s="110">
        <v>-34795</v>
      </c>
      <c r="L32" s="110">
        <v>100000</v>
      </c>
      <c r="M32" s="110">
        <f>+L32</f>
        <v>100000</v>
      </c>
      <c r="N32" s="52">
        <v>100000</v>
      </c>
      <c r="O32" s="52"/>
      <c r="P32" s="52">
        <f>N32+O32</f>
        <v>100000</v>
      </c>
      <c r="Q32" s="52">
        <f>-VLOOKUP(B:B,'דוח כספי 1-10.17'!A:D,4,0)</f>
        <v>0</v>
      </c>
      <c r="R32" s="52">
        <v>100000</v>
      </c>
      <c r="S32" s="52">
        <v>100000</v>
      </c>
      <c r="T32" s="52">
        <f>-VLOOKUP(B32,'2174'!$A$1:$G$177,6,0)</f>
        <v>0</v>
      </c>
      <c r="U32" s="63">
        <f t="shared" ref="U32:U36" si="30">T32*12/11</f>
        <v>0</v>
      </c>
      <c r="V32" s="52">
        <v>0</v>
      </c>
      <c r="W32" s="52">
        <f>-VLOOKUP(B32,'ביצוע 2019'!$A$3:$H$1103,7,0)</f>
        <v>0</v>
      </c>
      <c r="X32" s="52">
        <f t="shared" ref="X32:X41" si="31">W32</f>
        <v>0</v>
      </c>
      <c r="Y32" s="101">
        <f t="shared" si="16"/>
        <v>0</v>
      </c>
      <c r="Z32" s="52"/>
      <c r="AA32" s="206"/>
    </row>
    <row r="33" spans="1:27" ht="15.75">
      <c r="A33" s="21">
        <v>10</v>
      </c>
      <c r="B33" s="50">
        <v>1312200410</v>
      </c>
      <c r="C33" s="50" t="str">
        <f t="shared" ref="C33" si="32">RIGHT(B33,3)</f>
        <v>410</v>
      </c>
      <c r="D33" s="50" t="str">
        <f t="shared" ref="D33" si="33">MID(B33,2,6)</f>
        <v>312200</v>
      </c>
      <c r="E33" s="50" t="str">
        <f t="shared" ref="E33" si="34">LEFT(D33,2)</f>
        <v>31</v>
      </c>
      <c r="F33" s="51" t="s">
        <v>142</v>
      </c>
      <c r="G33" s="110"/>
      <c r="H33" s="110"/>
      <c r="I33" s="110"/>
      <c r="J33" s="110"/>
      <c r="K33" s="110"/>
      <c r="L33" s="110"/>
      <c r="M33" s="110"/>
      <c r="N33" s="52"/>
      <c r="O33" s="52"/>
      <c r="P33" s="52"/>
      <c r="Q33" s="52"/>
      <c r="R33" s="52"/>
      <c r="S33" s="52"/>
      <c r="T33" s="52">
        <f>-VLOOKUP(B33,'2174'!$A$1:$G$177,6,0)</f>
        <v>9900</v>
      </c>
      <c r="U33" s="63">
        <v>10000</v>
      </c>
      <c r="V33" s="52">
        <v>15000</v>
      </c>
      <c r="W33" s="52">
        <f>-VLOOKUP(B33,'ביצוע 2019'!$A$3:$H$1103,7,0)</f>
        <v>6500</v>
      </c>
      <c r="X33" s="52">
        <f t="shared" si="31"/>
        <v>6500</v>
      </c>
      <c r="Y33" s="101">
        <f>IF((X33+W33+V33)&lt;&gt;0,1,0)</f>
        <v>1</v>
      </c>
      <c r="Z33" s="52"/>
      <c r="AA33" s="206"/>
    </row>
    <row r="34" spans="1:27" ht="15.75" hidden="1">
      <c r="A34" s="21">
        <v>9</v>
      </c>
      <c r="B34" s="50">
        <v>1312200920</v>
      </c>
      <c r="C34" s="50" t="str">
        <f>RIGHT(B34,3)</f>
        <v>920</v>
      </c>
      <c r="D34" s="50" t="str">
        <f>MID(B34,2,6)</f>
        <v>312200</v>
      </c>
      <c r="E34" s="50" t="str">
        <f>LEFT(D34,2)</f>
        <v>31</v>
      </c>
      <c r="F34" s="51" t="s">
        <v>451</v>
      </c>
      <c r="G34" s="110">
        <v>0</v>
      </c>
      <c r="H34" s="110">
        <f>G34*-1</f>
        <v>0</v>
      </c>
      <c r="I34" s="110">
        <v>0</v>
      </c>
      <c r="J34" s="110">
        <f>I34*-1</f>
        <v>0</v>
      </c>
      <c r="K34" s="110">
        <v>0</v>
      </c>
      <c r="L34" s="110">
        <v>65000</v>
      </c>
      <c r="M34" s="110">
        <v>70000</v>
      </c>
      <c r="N34" s="52">
        <v>70000</v>
      </c>
      <c r="O34" s="52"/>
      <c r="P34" s="52">
        <f>N34+O34</f>
        <v>70000</v>
      </c>
      <c r="Q34" s="52">
        <f>-VLOOKUP(B:B,'דוח כספי 1-10.17'!A:D,4,0)</f>
        <v>0</v>
      </c>
      <c r="R34" s="52">
        <f t="shared" ref="R34:R42" si="35">Q34/10*12</f>
        <v>0</v>
      </c>
      <c r="S34" s="52">
        <v>70000</v>
      </c>
      <c r="T34" s="52">
        <f>-VLOOKUP(B34,'2174'!$A$1:$G$177,6,0)</f>
        <v>0</v>
      </c>
      <c r="U34" s="63">
        <f t="shared" si="30"/>
        <v>0</v>
      </c>
      <c r="V34" s="52">
        <f t="shared" ref="V34" si="36">U34</f>
        <v>0</v>
      </c>
      <c r="W34" s="52">
        <f>-VLOOKUP(B34,'ביצוע 2019'!$A$3:$H$1103,7,0)</f>
        <v>0</v>
      </c>
      <c r="X34" s="52">
        <f t="shared" si="31"/>
        <v>0</v>
      </c>
      <c r="Y34" s="101">
        <f t="shared" si="16"/>
        <v>0</v>
      </c>
      <c r="Z34" s="52"/>
      <c r="AA34" s="51"/>
    </row>
    <row r="35" spans="1:27" ht="15.75">
      <c r="A35" s="21">
        <v>9</v>
      </c>
      <c r="B35" s="50">
        <v>1312200990</v>
      </c>
      <c r="C35" s="50"/>
      <c r="D35" s="50"/>
      <c r="E35" s="50"/>
      <c r="F35" s="51" t="s">
        <v>2060</v>
      </c>
      <c r="G35" s="110"/>
      <c r="H35" s="110"/>
      <c r="I35" s="110"/>
      <c r="J35" s="110"/>
      <c r="K35" s="110"/>
      <c r="L35" s="110"/>
      <c r="M35" s="110"/>
      <c r="N35" s="52"/>
      <c r="O35" s="52"/>
      <c r="P35" s="52"/>
      <c r="Q35" s="52"/>
      <c r="R35" s="52"/>
      <c r="S35" s="52"/>
      <c r="T35" s="52">
        <f>-VLOOKUP(B35,'2174'!$A$1:$G$177,6,0)</f>
        <v>301711</v>
      </c>
      <c r="U35" s="63">
        <v>301711</v>
      </c>
      <c r="V35" s="52">
        <v>300000</v>
      </c>
      <c r="W35" s="52">
        <f>-VLOOKUP(B35,'ביצוע 2019'!$A$3:$H$1103,7,0)</f>
        <v>263660.64</v>
      </c>
      <c r="X35" s="52">
        <f t="shared" si="31"/>
        <v>263660.64</v>
      </c>
      <c r="Y35" s="101">
        <f t="shared" ref="Y35:Y37" si="37">IF((X35+W35+V35)&lt;&gt;0,1,0)</f>
        <v>1</v>
      </c>
      <c r="Z35" s="52"/>
      <c r="AA35" s="51"/>
    </row>
    <row r="36" spans="1:27" ht="15.75">
      <c r="A36" s="21">
        <v>9</v>
      </c>
      <c r="B36" s="50">
        <v>1312201920</v>
      </c>
      <c r="C36" s="50" t="str">
        <f>RIGHT(B36,3)</f>
        <v>920</v>
      </c>
      <c r="D36" s="50" t="str">
        <f>MID(B36,2,6)</f>
        <v>312201</v>
      </c>
      <c r="E36" s="50" t="str">
        <f>LEFT(D36,2)</f>
        <v>31</v>
      </c>
      <c r="F36" s="51" t="s">
        <v>452</v>
      </c>
      <c r="G36" s="110">
        <v>-1569003</v>
      </c>
      <c r="H36" s="110">
        <f>G36*-1</f>
        <v>1569003</v>
      </c>
      <c r="I36" s="110">
        <v>-1508531.65</v>
      </c>
      <c r="J36" s="110">
        <f>I36*-1</f>
        <v>1508531.65</v>
      </c>
      <c r="K36" s="110">
        <v>-60471.35</v>
      </c>
      <c r="L36" s="110">
        <f>1600000+300000</f>
        <v>1900000</v>
      </c>
      <c r="M36" s="110">
        <v>2610000</v>
      </c>
      <c r="N36" s="52">
        <v>2610000</v>
      </c>
      <c r="O36" s="52"/>
      <c r="P36" s="52">
        <f>N36+O36</f>
        <v>2610000</v>
      </c>
      <c r="Q36" s="52">
        <f>-VLOOKUP(B:B,'דוח כספי 1-10.17'!A:D,4,0)</f>
        <v>2676112.91</v>
      </c>
      <c r="R36" s="52">
        <f t="shared" si="35"/>
        <v>3211335.4920000006</v>
      </c>
      <c r="S36" s="52">
        <v>3220000</v>
      </c>
      <c r="T36" s="52">
        <f>-VLOOKUP(B36,'2174'!$A$1:$G$177,6,0)</f>
        <v>2074646.88</v>
      </c>
      <c r="U36" s="63">
        <f t="shared" si="30"/>
        <v>2263251.1418181816</v>
      </c>
      <c r="V36" s="52">
        <v>2270000</v>
      </c>
      <c r="W36" s="52">
        <f>-VLOOKUP(B36,'ביצוע 2019'!$A$3:$H$1103,7,0)</f>
        <v>3756721.46</v>
      </c>
      <c r="X36" s="52">
        <f t="shared" si="31"/>
        <v>3756721.46</v>
      </c>
      <c r="Y36" s="101">
        <f t="shared" si="37"/>
        <v>1</v>
      </c>
      <c r="Z36" s="52"/>
      <c r="AA36" s="206"/>
    </row>
    <row r="37" spans="1:27" ht="15.75">
      <c r="A37" s="21">
        <v>9</v>
      </c>
      <c r="B37" s="50">
        <v>1312202920</v>
      </c>
      <c r="C37" s="50">
        <v>920</v>
      </c>
      <c r="D37" s="50">
        <v>312200</v>
      </c>
      <c r="E37" s="50">
        <v>31</v>
      </c>
      <c r="F37" s="51" t="s">
        <v>1989</v>
      </c>
      <c r="G37" s="110"/>
      <c r="H37" s="110"/>
      <c r="I37" s="110"/>
      <c r="J37" s="110"/>
      <c r="K37" s="110"/>
      <c r="L37" s="110"/>
      <c r="M37" s="110"/>
      <c r="N37" s="52">
        <f>274175+48000</f>
        <v>322175</v>
      </c>
      <c r="O37" s="52"/>
      <c r="P37" s="52">
        <f>N37+O37</f>
        <v>322175</v>
      </c>
      <c r="Q37" s="52">
        <f>-VLOOKUP(B:B,'דוח כספי 1-10.17'!A:D,4,0)</f>
        <v>48000</v>
      </c>
      <c r="R37" s="52">
        <f t="shared" si="35"/>
        <v>57600</v>
      </c>
      <c r="S37" s="52">
        <v>215000</v>
      </c>
      <c r="T37" s="52">
        <f>-VLOOKUP(B37,'2174'!$A$1:$G$177,6,0)</f>
        <v>13901</v>
      </c>
      <c r="U37" s="63">
        <f t="shared" ref="U37:U42" si="38">T37*12/11</f>
        <v>15164.727272727272</v>
      </c>
      <c r="V37" s="52">
        <v>84031</v>
      </c>
      <c r="W37" s="52">
        <f>-VLOOKUP(B37,'ביצוע 2019'!$A$3:$H$1103,7,0)</f>
        <v>16800</v>
      </c>
      <c r="X37" s="52">
        <f t="shared" si="31"/>
        <v>16800</v>
      </c>
      <c r="Y37" s="101">
        <f t="shared" si="37"/>
        <v>1</v>
      </c>
      <c r="Z37" s="52"/>
      <c r="AA37" s="51"/>
    </row>
    <row r="38" spans="1:27" ht="15.75" hidden="1">
      <c r="A38" s="21">
        <v>10</v>
      </c>
      <c r="B38" s="50">
        <v>1312300410</v>
      </c>
      <c r="C38" s="50" t="str">
        <f>RIGHT(B38,3)</f>
        <v>410</v>
      </c>
      <c r="D38" s="50" t="str">
        <f>MID(B38,2,6)</f>
        <v>312300</v>
      </c>
      <c r="E38" s="50" t="str">
        <f>LEFT(D38,2)</f>
        <v>31</v>
      </c>
      <c r="F38" s="51" t="s">
        <v>453</v>
      </c>
      <c r="G38" s="110">
        <v>0</v>
      </c>
      <c r="H38" s="110">
        <f>G38*-1</f>
        <v>0</v>
      </c>
      <c r="I38" s="110">
        <v>-196.5</v>
      </c>
      <c r="J38" s="110">
        <f>I38*-1</f>
        <v>196.5</v>
      </c>
      <c r="K38" s="110">
        <v>196.5</v>
      </c>
      <c r="L38" s="110">
        <v>0</v>
      </c>
      <c r="M38" s="110">
        <v>37000</v>
      </c>
      <c r="N38" s="52">
        <v>37000</v>
      </c>
      <c r="O38" s="52"/>
      <c r="P38" s="52">
        <f>N38+O38</f>
        <v>37000</v>
      </c>
      <c r="Q38" s="52">
        <f>-VLOOKUP(B:B,'דוח כספי 1-10.17'!A:D,4,0)</f>
        <v>0</v>
      </c>
      <c r="R38" s="52">
        <f t="shared" si="35"/>
        <v>0</v>
      </c>
      <c r="S38" s="52">
        <v>37000</v>
      </c>
      <c r="T38" s="52">
        <f>-VLOOKUP(B38,'2174'!$A$1:$G$177,6,0)</f>
        <v>0</v>
      </c>
      <c r="U38" s="63">
        <f t="shared" si="38"/>
        <v>0</v>
      </c>
      <c r="V38" s="52">
        <f t="shared" ref="V38:V42" si="39">U38</f>
        <v>0</v>
      </c>
      <c r="W38" s="52">
        <f>-VLOOKUP(B38,'ביצוע 2019'!$A$3:$H$1103,7,0)</f>
        <v>0</v>
      </c>
      <c r="X38" s="52">
        <f t="shared" si="31"/>
        <v>0</v>
      </c>
      <c r="Y38" s="101">
        <f t="shared" si="16"/>
        <v>0</v>
      </c>
      <c r="Z38" s="52"/>
      <c r="AA38" s="51"/>
    </row>
    <row r="39" spans="1:27" ht="15.75">
      <c r="A39" s="21">
        <v>9</v>
      </c>
      <c r="B39" s="50">
        <v>1312300920</v>
      </c>
      <c r="C39" s="50" t="str">
        <f>RIGHT(B39,3)</f>
        <v>920</v>
      </c>
      <c r="D39" s="50" t="str">
        <f>MID(B39,2,6)</f>
        <v>312300</v>
      </c>
      <c r="E39" s="50" t="str">
        <f>LEFT(D39,2)</f>
        <v>31</v>
      </c>
      <c r="F39" s="51" t="s">
        <v>454</v>
      </c>
      <c r="G39" s="110">
        <v>-4700000</v>
      </c>
      <c r="H39" s="110">
        <f>G39*-1</f>
        <v>4700000</v>
      </c>
      <c r="I39" s="110">
        <v>-4652618.53</v>
      </c>
      <c r="J39" s="110">
        <f>I39*-1</f>
        <v>4652618.53</v>
      </c>
      <c r="K39" s="110">
        <v>-47381.47</v>
      </c>
      <c r="L39" s="110">
        <v>4800000</v>
      </c>
      <c r="M39" s="110">
        <v>2470000</v>
      </c>
      <c r="N39" s="52">
        <v>2470000</v>
      </c>
      <c r="O39" s="52"/>
      <c r="P39" s="52">
        <f>N39+O39</f>
        <v>2470000</v>
      </c>
      <c r="Q39" s="52">
        <f>-VLOOKUP(B:B,'דוח כספי 1-10.17'!A:D,4,0)</f>
        <v>4050657.88</v>
      </c>
      <c r="R39" s="52">
        <f t="shared" si="35"/>
        <v>4860789.4560000002</v>
      </c>
      <c r="S39" s="52">
        <v>4870000</v>
      </c>
      <c r="T39" s="52">
        <f>-VLOOKUP(B39,'2174'!$A$1:$G$177,6,0)</f>
        <v>4865031.0999999996</v>
      </c>
      <c r="U39" s="63">
        <f t="shared" si="38"/>
        <v>5307306.6545454543</v>
      </c>
      <c r="V39" s="52">
        <v>5350000</v>
      </c>
      <c r="W39" s="52">
        <f>-VLOOKUP(B39,'ביצוע 2019'!$A$3:$H$1103,7,0)</f>
        <v>5312776.08</v>
      </c>
      <c r="X39" s="52">
        <f t="shared" si="31"/>
        <v>5312776.08</v>
      </c>
      <c r="Y39" s="101">
        <f t="shared" ref="Y39:Y44" si="40">IF((X39+W39+V39)&lt;&gt;0,1,0)</f>
        <v>1</v>
      </c>
      <c r="Z39" s="52"/>
      <c r="AA39" s="206"/>
    </row>
    <row r="40" spans="1:27" ht="15.75">
      <c r="A40" s="21">
        <v>9</v>
      </c>
      <c r="B40" s="50">
        <v>1312301920</v>
      </c>
      <c r="C40" s="50"/>
      <c r="D40" s="50"/>
      <c r="E40" s="50"/>
      <c r="F40" s="51" t="s">
        <v>1892</v>
      </c>
      <c r="G40" s="110"/>
      <c r="H40" s="110"/>
      <c r="I40" s="110"/>
      <c r="J40" s="110"/>
      <c r="K40" s="110"/>
      <c r="L40" s="110"/>
      <c r="M40" s="110"/>
      <c r="N40" s="52"/>
      <c r="O40" s="52"/>
      <c r="P40" s="52"/>
      <c r="Q40" s="52"/>
      <c r="R40" s="52"/>
      <c r="S40" s="52"/>
      <c r="T40" s="52">
        <f>-VLOOKUP(B40,'2174'!$A$1:$G$177,6,0)</f>
        <v>46546.5</v>
      </c>
      <c r="U40" s="63">
        <v>56962.5</v>
      </c>
      <c r="V40" s="52">
        <v>57000</v>
      </c>
      <c r="W40" s="52">
        <f>-VLOOKUP(B40,'ביצוע 2019'!$A$3:$H$1103,7,0)</f>
        <v>59567</v>
      </c>
      <c r="X40" s="52">
        <f t="shared" si="31"/>
        <v>59567</v>
      </c>
      <c r="Y40" s="101">
        <f t="shared" si="40"/>
        <v>1</v>
      </c>
      <c r="Z40" s="52"/>
      <c r="AA40" s="206"/>
    </row>
    <row r="41" spans="1:27" ht="15.75">
      <c r="A41" s="21">
        <v>9</v>
      </c>
      <c r="B41" s="50">
        <v>1312302920</v>
      </c>
      <c r="C41" s="50"/>
      <c r="D41" s="50"/>
      <c r="E41" s="50"/>
      <c r="F41" s="51" t="s">
        <v>1889</v>
      </c>
      <c r="G41" s="110"/>
      <c r="H41" s="110"/>
      <c r="I41" s="110"/>
      <c r="J41" s="110"/>
      <c r="K41" s="110"/>
      <c r="L41" s="110"/>
      <c r="M41" s="110"/>
      <c r="N41" s="52"/>
      <c r="O41" s="52"/>
      <c r="P41" s="52"/>
      <c r="Q41" s="52"/>
      <c r="R41" s="52"/>
      <c r="S41" s="52"/>
      <c r="T41" s="52">
        <f>-VLOOKUP(B41,'2174'!$A$1:$G$177,6,0)</f>
        <v>27222.400000000001</v>
      </c>
      <c r="U41" s="63">
        <f>T41*12/11</f>
        <v>29697.163636363639</v>
      </c>
      <c r="V41" s="52">
        <v>30000</v>
      </c>
      <c r="W41" s="52">
        <f>-VLOOKUP(B41,'ביצוע 2019'!$A$3:$H$1103,7,0)</f>
        <v>32947</v>
      </c>
      <c r="X41" s="52">
        <f t="shared" si="31"/>
        <v>32947</v>
      </c>
      <c r="Y41" s="101">
        <f t="shared" si="40"/>
        <v>1</v>
      </c>
      <c r="Z41" s="52"/>
      <c r="AA41" s="206"/>
    </row>
    <row r="42" spans="1:27" ht="15.75" hidden="1">
      <c r="A42" s="21">
        <v>9</v>
      </c>
      <c r="B42" s="50">
        <v>1312310920</v>
      </c>
      <c r="C42" s="50">
        <v>920</v>
      </c>
      <c r="D42" s="50">
        <v>312310</v>
      </c>
      <c r="E42" s="50">
        <v>31</v>
      </c>
      <c r="F42" s="51" t="s">
        <v>1628</v>
      </c>
      <c r="G42" s="110"/>
      <c r="H42" s="110"/>
      <c r="I42" s="110"/>
      <c r="J42" s="110"/>
      <c r="K42" s="110"/>
      <c r="L42" s="110"/>
      <c r="M42" s="110"/>
      <c r="N42" s="52">
        <v>1600000</v>
      </c>
      <c r="O42" s="52"/>
      <c r="P42" s="52">
        <f>N42+O42</f>
        <v>1600000</v>
      </c>
      <c r="Q42" s="52">
        <f>-VLOOKUP(B:B,'דוח כספי 1-10.17'!A:D,4,0)</f>
        <v>0</v>
      </c>
      <c r="R42" s="52">
        <f t="shared" si="35"/>
        <v>0</v>
      </c>
      <c r="S42" s="52"/>
      <c r="T42" s="52">
        <f>-VLOOKUP(B42,'2174'!$A$1:$G$177,6,0)</f>
        <v>0</v>
      </c>
      <c r="U42" s="63">
        <f t="shared" si="38"/>
        <v>0</v>
      </c>
      <c r="V42" s="52">
        <f t="shared" si="39"/>
        <v>0</v>
      </c>
      <c r="W42" s="52">
        <v>0</v>
      </c>
      <c r="X42" s="52"/>
      <c r="Y42" s="101">
        <f t="shared" si="40"/>
        <v>0</v>
      </c>
      <c r="Z42" s="52"/>
      <c r="AA42" s="51"/>
    </row>
    <row r="43" spans="1:27" s="216" customFormat="1" ht="15.75">
      <c r="A43" s="197">
        <v>9</v>
      </c>
      <c r="B43" s="217">
        <v>1312311920</v>
      </c>
      <c r="C43" s="217" t="str">
        <f>RIGHT(B43,3)</f>
        <v>920</v>
      </c>
      <c r="D43" s="217" t="str">
        <f>MID(B43,2,6)</f>
        <v>312311</v>
      </c>
      <c r="E43" s="217" t="str">
        <f>LEFT(D43,2)</f>
        <v>31</v>
      </c>
      <c r="F43" s="218" t="s">
        <v>1886</v>
      </c>
      <c r="G43" s="219"/>
      <c r="H43" s="219"/>
      <c r="I43" s="219"/>
      <c r="J43" s="219"/>
      <c r="K43" s="219"/>
      <c r="L43" s="219"/>
      <c r="M43" s="219"/>
      <c r="N43" s="220">
        <v>451028</v>
      </c>
      <c r="O43" s="220"/>
      <c r="P43" s="220">
        <v>0</v>
      </c>
      <c r="Q43" s="220">
        <f>-VLOOKUP(B:B,'דוח כספי 1-10.17'!A:D,4,0)</f>
        <v>451028</v>
      </c>
      <c r="R43" s="220">
        <v>1800000</v>
      </c>
      <c r="S43" s="220">
        <v>4200000</v>
      </c>
      <c r="T43" s="52">
        <f>-VLOOKUP(B43,'2174'!$A$1:$G$177,6,0)</f>
        <v>2420918.02</v>
      </c>
      <c r="U43" s="63">
        <v>3000000</v>
      </c>
      <c r="V43" s="52">
        <v>3200000</v>
      </c>
      <c r="W43" s="52">
        <f>-VLOOKUP(B43,'ביצוע 2019'!$A$3:$H$1103,7,0)</f>
        <v>2059884.56</v>
      </c>
      <c r="X43" s="52">
        <f>W43+16244</f>
        <v>2076128.56</v>
      </c>
      <c r="Y43" s="101">
        <f t="shared" si="40"/>
        <v>1</v>
      </c>
      <c r="Z43" s="52"/>
      <c r="AA43" s="215"/>
    </row>
    <row r="44" spans="1:27" s="216" customFormat="1" ht="15.75">
      <c r="A44" s="197"/>
      <c r="B44" s="222"/>
      <c r="C44" s="222"/>
      <c r="D44" s="222"/>
      <c r="E44" s="222"/>
      <c r="F44" s="223" t="s">
        <v>1941</v>
      </c>
      <c r="G44" s="224"/>
      <c r="H44" s="224"/>
      <c r="I44" s="224"/>
      <c r="J44" s="224"/>
      <c r="K44" s="224"/>
      <c r="L44" s="224"/>
      <c r="M44" s="224"/>
      <c r="N44" s="225">
        <f t="shared" ref="N44:X44" si="41">SUM(N32:N43)</f>
        <v>7660203</v>
      </c>
      <c r="O44" s="225">
        <f t="shared" si="41"/>
        <v>0</v>
      </c>
      <c r="P44" s="225">
        <f t="shared" si="41"/>
        <v>7209175</v>
      </c>
      <c r="Q44" s="225">
        <f t="shared" si="41"/>
        <v>7225798.79</v>
      </c>
      <c r="R44" s="225">
        <f t="shared" si="41"/>
        <v>10029724.948000001</v>
      </c>
      <c r="S44" s="225">
        <f t="shared" si="41"/>
        <v>12712000</v>
      </c>
      <c r="T44" s="225">
        <f t="shared" si="41"/>
        <v>9759876.9000000004</v>
      </c>
      <c r="U44" s="225">
        <f t="shared" si="41"/>
        <v>10984093.187272727</v>
      </c>
      <c r="V44" s="225">
        <f t="shared" si="41"/>
        <v>11306031</v>
      </c>
      <c r="W44" s="225">
        <f t="shared" si="41"/>
        <v>11508856.74</v>
      </c>
      <c r="X44" s="225">
        <f t="shared" si="41"/>
        <v>11525100.74</v>
      </c>
      <c r="Y44" s="101">
        <f t="shared" si="40"/>
        <v>1</v>
      </c>
      <c r="Z44" s="52"/>
      <c r="AA44" s="215"/>
    </row>
    <row r="45" spans="1:27" ht="15.75" hidden="1">
      <c r="A45" s="21">
        <v>10</v>
      </c>
      <c r="B45" s="50">
        <v>1313200410</v>
      </c>
      <c r="C45" s="50" t="str">
        <f t="shared" ref="C45" si="42">RIGHT(B45,3)</f>
        <v>410</v>
      </c>
      <c r="D45" s="50" t="str">
        <f t="shared" ref="D45" si="43">MID(B45,2,6)</f>
        <v>313200</v>
      </c>
      <c r="E45" s="50" t="str">
        <f t="shared" ref="E45" si="44">LEFT(D45,2)</f>
        <v>31</v>
      </c>
      <c r="F45" s="51" t="s">
        <v>457</v>
      </c>
      <c r="G45" s="110">
        <v>0</v>
      </c>
      <c r="H45" s="110">
        <f t="shared" ref="H45:H51" si="45">G45*-1</f>
        <v>0</v>
      </c>
      <c r="I45" s="110">
        <v>0</v>
      </c>
      <c r="J45" s="110">
        <f t="shared" ref="J45:J51" si="46">I45*-1</f>
        <v>0</v>
      </c>
      <c r="K45" s="110">
        <v>0</v>
      </c>
      <c r="L45" s="110">
        <v>0</v>
      </c>
      <c r="M45" s="110">
        <v>10000</v>
      </c>
      <c r="N45" s="52">
        <v>10000</v>
      </c>
      <c r="O45" s="52"/>
      <c r="P45" s="52">
        <f t="shared" ref="P45:P59" si="47">N45+O45</f>
        <v>10000</v>
      </c>
      <c r="Q45" s="52">
        <f>-VLOOKUP(B:B,'דוח כספי 1-10.17'!A:D,4,0)</f>
        <v>0</v>
      </c>
      <c r="R45" s="52">
        <f t="shared" ref="R45:R69" si="48">Q45/10*12</f>
        <v>0</v>
      </c>
      <c r="S45" s="52">
        <v>10000</v>
      </c>
      <c r="T45" s="52">
        <f>-VLOOKUP(B45,'2174'!$A$1:$G$177,6,0)</f>
        <v>0</v>
      </c>
      <c r="U45" s="63">
        <f t="shared" ref="U45:U51" si="49">T45*12/11</f>
        <v>0</v>
      </c>
      <c r="V45" s="52">
        <f t="shared" ref="V45" si="50">U45</f>
        <v>0</v>
      </c>
      <c r="W45" s="52">
        <f>-VLOOKUP(B45,'ביצוע 2019'!$A$3:$H$1103,7,0)</f>
        <v>0</v>
      </c>
      <c r="X45" s="52">
        <f t="shared" ref="X45:X83" si="51">W45</f>
        <v>0</v>
      </c>
      <c r="Y45" s="101">
        <f t="shared" si="16"/>
        <v>0</v>
      </c>
      <c r="Z45" s="52"/>
      <c r="AA45" s="51"/>
    </row>
    <row r="46" spans="1:27" ht="15.75">
      <c r="A46" s="21">
        <v>9</v>
      </c>
      <c r="B46" s="50">
        <v>1313205920</v>
      </c>
      <c r="C46" s="50" t="str">
        <f t="shared" ref="C46:C84" si="52">RIGHT(B46,3)</f>
        <v>920</v>
      </c>
      <c r="D46" s="50" t="str">
        <f t="shared" ref="D46:D84" si="53">MID(B46,2,6)</f>
        <v>313205</v>
      </c>
      <c r="E46" s="50" t="str">
        <f t="shared" ref="E46:E84" si="54">LEFT(D46,2)</f>
        <v>31</v>
      </c>
      <c r="F46" s="51" t="s">
        <v>1658</v>
      </c>
      <c r="G46" s="110"/>
      <c r="H46" s="110"/>
      <c r="I46" s="110"/>
      <c r="J46" s="110"/>
      <c r="K46" s="110"/>
      <c r="L46" s="110"/>
      <c r="M46" s="110"/>
      <c r="N46" s="52"/>
      <c r="O46" s="52"/>
      <c r="P46" s="52"/>
      <c r="Q46" s="52"/>
      <c r="R46" s="52"/>
      <c r="S46" s="52"/>
      <c r="T46" s="52"/>
      <c r="U46" s="63"/>
      <c r="V46" s="52">
        <v>952000</v>
      </c>
      <c r="W46" s="52">
        <f>-VLOOKUP(B46,'ביצוע 2019'!$A$3:$H$1103,7,0)</f>
        <v>1396627</v>
      </c>
      <c r="X46" s="52">
        <v>950000</v>
      </c>
      <c r="Y46" s="101">
        <f t="shared" ref="Y46:Y56" si="55">IF((X46+W46+V46)&lt;&gt;0,1,0)</f>
        <v>1</v>
      </c>
      <c r="Z46" s="52"/>
      <c r="AA46" s="51"/>
    </row>
    <row r="47" spans="1:27" ht="15.75">
      <c r="A47" s="21">
        <v>9</v>
      </c>
      <c r="B47" s="50">
        <v>1313200920</v>
      </c>
      <c r="C47" s="50" t="str">
        <f t="shared" si="52"/>
        <v>920</v>
      </c>
      <c r="D47" s="50" t="str">
        <f t="shared" si="53"/>
        <v>313200</v>
      </c>
      <c r="E47" s="50" t="str">
        <f t="shared" si="54"/>
        <v>31</v>
      </c>
      <c r="F47" s="51" t="s">
        <v>1654</v>
      </c>
      <c r="G47" s="110">
        <v>-183998</v>
      </c>
      <c r="H47" s="110">
        <f t="shared" si="45"/>
        <v>183998</v>
      </c>
      <c r="I47" s="110">
        <v>-448639.85</v>
      </c>
      <c r="J47" s="110">
        <f t="shared" si="46"/>
        <v>448639.85</v>
      </c>
      <c r="K47" s="110">
        <v>264641.84999999998</v>
      </c>
      <c r="L47" s="110">
        <v>450000</v>
      </c>
      <c r="M47" s="110">
        <v>100000</v>
      </c>
      <c r="N47" s="52">
        <v>100000</v>
      </c>
      <c r="O47" s="52"/>
      <c r="P47" s="52">
        <f t="shared" si="47"/>
        <v>100000</v>
      </c>
      <c r="Q47" s="52">
        <f>-VLOOKUP(B:B,'דוח כספי 1-10.17'!A:D,4,0)</f>
        <v>114910.31</v>
      </c>
      <c r="R47" s="52">
        <f t="shared" si="48"/>
        <v>137892.37199999997</v>
      </c>
      <c r="S47" s="52">
        <v>140000</v>
      </c>
      <c r="T47" s="52">
        <f>-VLOOKUP(B47,'2174'!$A$1:$G$177,6,0)</f>
        <v>4039.28</v>
      </c>
      <c r="U47" s="63">
        <f t="shared" si="49"/>
        <v>4406.4872727272732</v>
      </c>
      <c r="V47" s="52">
        <v>5000</v>
      </c>
      <c r="W47" s="52">
        <f>-VLOOKUP(B47,'ביצוע 2019'!$A$3:$H$1103,7,0)</f>
        <v>781772.31</v>
      </c>
      <c r="X47" s="52">
        <f t="shared" si="51"/>
        <v>781772.31</v>
      </c>
      <c r="Y47" s="101">
        <f t="shared" si="55"/>
        <v>1</v>
      </c>
      <c r="Z47" s="52"/>
      <c r="AA47" s="206"/>
    </row>
    <row r="48" spans="1:27" ht="15.75">
      <c r="A48" s="21">
        <v>9</v>
      </c>
      <c r="B48" s="50">
        <v>1313200921</v>
      </c>
      <c r="C48" s="50" t="str">
        <f t="shared" si="52"/>
        <v>921</v>
      </c>
      <c r="D48" s="50" t="str">
        <f t="shared" si="53"/>
        <v>313200</v>
      </c>
      <c r="E48" s="50" t="str">
        <f t="shared" si="54"/>
        <v>31</v>
      </c>
      <c r="F48" s="51" t="s">
        <v>459</v>
      </c>
      <c r="G48" s="110">
        <v>-2130000</v>
      </c>
      <c r="H48" s="110">
        <f t="shared" si="45"/>
        <v>2130000</v>
      </c>
      <c r="I48" s="110">
        <v>-2241448.38</v>
      </c>
      <c r="J48" s="110">
        <f t="shared" si="46"/>
        <v>2241448.38</v>
      </c>
      <c r="K48" s="110">
        <v>111448.38</v>
      </c>
      <c r="L48" s="110">
        <v>2345000</v>
      </c>
      <c r="M48" s="110">
        <v>2250000</v>
      </c>
      <c r="N48" s="52">
        <v>2250000</v>
      </c>
      <c r="O48" s="52"/>
      <c r="P48" s="52">
        <f t="shared" si="47"/>
        <v>2250000</v>
      </c>
      <c r="Q48" s="52">
        <f>-VLOOKUP(B:B,'דוח כספי 1-10.17'!A:D,4,0)</f>
        <v>1939886.07</v>
      </c>
      <c r="R48" s="52">
        <f t="shared" si="48"/>
        <v>2327863.284</v>
      </c>
      <c r="S48" s="52">
        <v>2330000</v>
      </c>
      <c r="T48" s="52">
        <f>-VLOOKUP(B48,'2174'!$A$1:$G$177,6,0)</f>
        <v>3418529.61</v>
      </c>
      <c r="U48" s="63">
        <f t="shared" si="49"/>
        <v>3729305.0290909093</v>
      </c>
      <c r="V48" s="52">
        <v>3750000</v>
      </c>
      <c r="W48" s="52">
        <f>-VLOOKUP(B48,'ביצוע 2019'!$A$3:$H$1103,7,0)</f>
        <v>2574087.04</v>
      </c>
      <c r="X48" s="52">
        <f>W48+50000</f>
        <v>2624087.04</v>
      </c>
      <c r="Y48" s="101">
        <f t="shared" si="55"/>
        <v>1</v>
      </c>
      <c r="Z48" s="52"/>
      <c r="AA48" s="206"/>
    </row>
    <row r="49" spans="1:27" ht="15.75">
      <c r="A49" s="21">
        <v>9</v>
      </c>
      <c r="B49" s="50">
        <v>1313200922</v>
      </c>
      <c r="C49" s="50" t="str">
        <f t="shared" si="52"/>
        <v>922</v>
      </c>
      <c r="D49" s="50" t="str">
        <f t="shared" si="53"/>
        <v>313200</v>
      </c>
      <c r="E49" s="50" t="str">
        <f t="shared" si="54"/>
        <v>31</v>
      </c>
      <c r="F49" s="51" t="s">
        <v>455</v>
      </c>
      <c r="G49" s="110">
        <v>-200000</v>
      </c>
      <c r="H49" s="110">
        <f t="shared" si="45"/>
        <v>200000</v>
      </c>
      <c r="I49" s="110">
        <v>29518.19</v>
      </c>
      <c r="J49" s="110">
        <f t="shared" si="46"/>
        <v>-29518.19</v>
      </c>
      <c r="K49" s="110">
        <v>-229518.19</v>
      </c>
      <c r="L49" s="110">
        <v>0</v>
      </c>
      <c r="M49" s="110">
        <v>192000</v>
      </c>
      <c r="N49" s="52">
        <v>192000</v>
      </c>
      <c r="O49" s="52"/>
      <c r="P49" s="52">
        <f t="shared" si="47"/>
        <v>192000</v>
      </c>
      <c r="Q49" s="52">
        <f>-VLOOKUP(B:B,'דוח כספי 1-10.17'!A:D,4,0)</f>
        <v>225602.41</v>
      </c>
      <c r="R49" s="52">
        <f t="shared" si="48"/>
        <v>270722.89199999999</v>
      </c>
      <c r="S49" s="52">
        <v>271000</v>
      </c>
      <c r="T49" s="52">
        <f>-VLOOKUP(B49,'2174'!$A$1:$G$177,6,0)</f>
        <v>23030.66</v>
      </c>
      <c r="U49" s="63">
        <f t="shared" si="49"/>
        <v>25124.356363636361</v>
      </c>
      <c r="V49" s="52">
        <v>50000</v>
      </c>
      <c r="W49" s="52">
        <f>-VLOOKUP(B49,'ביצוע 2019'!$A$3:$H$1103,7,0)</f>
        <v>218596.76</v>
      </c>
      <c r="X49" s="52">
        <f t="shared" si="51"/>
        <v>218596.76</v>
      </c>
      <c r="Y49" s="101">
        <f t="shared" si="55"/>
        <v>1</v>
      </c>
      <c r="Z49" s="52"/>
      <c r="AA49" s="206"/>
    </row>
    <row r="50" spans="1:27" ht="15.75">
      <c r="A50" s="21">
        <v>9</v>
      </c>
      <c r="B50" s="50">
        <v>1313200923</v>
      </c>
      <c r="C50" s="50" t="str">
        <f t="shared" si="52"/>
        <v>923</v>
      </c>
      <c r="D50" s="50" t="str">
        <f t="shared" si="53"/>
        <v>313200</v>
      </c>
      <c r="E50" s="50" t="str">
        <f t="shared" si="54"/>
        <v>31</v>
      </c>
      <c r="F50" s="51" t="s">
        <v>2100</v>
      </c>
      <c r="G50" s="110"/>
      <c r="H50" s="110"/>
      <c r="I50" s="110"/>
      <c r="J50" s="110"/>
      <c r="K50" s="110"/>
      <c r="L50" s="110"/>
      <c r="M50" s="110"/>
      <c r="N50" s="52"/>
      <c r="O50" s="52"/>
      <c r="P50" s="52"/>
      <c r="Q50" s="52"/>
      <c r="R50" s="52"/>
      <c r="S50" s="52"/>
      <c r="T50" s="52"/>
      <c r="U50" s="63"/>
      <c r="V50" s="52">
        <v>0</v>
      </c>
      <c r="W50" s="52">
        <f>-VLOOKUP(B50,'ביצוע 2019'!$A$3:$H$1103,7,0)</f>
        <v>36925.68</v>
      </c>
      <c r="X50" s="52">
        <f t="shared" si="51"/>
        <v>36925.68</v>
      </c>
      <c r="Y50" s="101">
        <f t="shared" si="55"/>
        <v>1</v>
      </c>
      <c r="Z50" s="52"/>
      <c r="AA50" s="206"/>
    </row>
    <row r="51" spans="1:27" ht="15.75">
      <c r="A51" s="21">
        <v>9</v>
      </c>
      <c r="B51" s="50">
        <v>1313200925</v>
      </c>
      <c r="C51" s="50" t="str">
        <f t="shared" si="52"/>
        <v>925</v>
      </c>
      <c r="D51" s="50" t="str">
        <f t="shared" si="53"/>
        <v>313200</v>
      </c>
      <c r="E51" s="50" t="str">
        <f t="shared" si="54"/>
        <v>31</v>
      </c>
      <c r="F51" s="51" t="s">
        <v>460</v>
      </c>
      <c r="G51" s="110">
        <v>-140000</v>
      </c>
      <c r="H51" s="110">
        <f t="shared" si="45"/>
        <v>140000</v>
      </c>
      <c r="I51" s="110">
        <v>0</v>
      </c>
      <c r="J51" s="110">
        <f t="shared" si="46"/>
        <v>0</v>
      </c>
      <c r="K51" s="110">
        <v>-140000</v>
      </c>
      <c r="L51" s="110">
        <v>0</v>
      </c>
      <c r="M51" s="110">
        <f>+L51</f>
        <v>0</v>
      </c>
      <c r="N51" s="52">
        <v>0</v>
      </c>
      <c r="O51" s="52"/>
      <c r="P51" s="52">
        <f t="shared" si="47"/>
        <v>0</v>
      </c>
      <c r="Q51" s="52">
        <f>-VLOOKUP(B:B,'דוח כספי 1-10.17'!A:D,4,0)</f>
        <v>74174.710000000006</v>
      </c>
      <c r="R51" s="52">
        <f t="shared" si="48"/>
        <v>89009.652000000002</v>
      </c>
      <c r="S51" s="52">
        <v>90000</v>
      </c>
      <c r="T51" s="52">
        <f>-VLOOKUP(B51,'2174'!$A$1:$G$177,6,0)</f>
        <v>118359.69</v>
      </c>
      <c r="U51" s="63">
        <f t="shared" si="49"/>
        <v>129119.66181818182</v>
      </c>
      <c r="V51" s="52">
        <v>126000</v>
      </c>
      <c r="W51" s="52">
        <f>-VLOOKUP(B51,'ביצוע 2019'!$A$3:$H$1103,7,0)</f>
        <v>110997.26</v>
      </c>
      <c r="X51" s="52">
        <f t="shared" si="51"/>
        <v>110997.26</v>
      </c>
      <c r="Y51" s="101">
        <f t="shared" si="55"/>
        <v>1</v>
      </c>
      <c r="Z51" s="52"/>
      <c r="AA51" s="51"/>
    </row>
    <row r="52" spans="1:27" ht="15.75" hidden="1">
      <c r="A52" s="21">
        <v>8</v>
      </c>
      <c r="B52" s="50">
        <v>1313200990</v>
      </c>
      <c r="C52" s="50" t="str">
        <f t="shared" si="52"/>
        <v>990</v>
      </c>
      <c r="D52" s="50" t="str">
        <f t="shared" si="53"/>
        <v>313200</v>
      </c>
      <c r="E52" s="50" t="str">
        <f t="shared" si="54"/>
        <v>31</v>
      </c>
      <c r="F52" s="51" t="s">
        <v>1650</v>
      </c>
      <c r="G52" s="110"/>
      <c r="H52" s="110"/>
      <c r="I52" s="110"/>
      <c r="J52" s="110"/>
      <c r="K52" s="110"/>
      <c r="L52" s="110"/>
      <c r="M52" s="110"/>
      <c r="N52" s="52">
        <v>300000</v>
      </c>
      <c r="O52" s="52"/>
      <c r="P52" s="52">
        <f t="shared" si="47"/>
        <v>300000</v>
      </c>
      <c r="Q52" s="52">
        <f>-VLOOKUP(B:B,'דוח כספי 1-10.17'!A:D,4,0)</f>
        <v>96995</v>
      </c>
      <c r="R52" s="52">
        <f t="shared" si="48"/>
        <v>116394</v>
      </c>
      <c r="S52" s="52"/>
      <c r="T52" s="52">
        <f>-VLOOKUP(B52,'2174'!$A$1:$G$177,6,0)</f>
        <v>220920</v>
      </c>
      <c r="U52" s="63">
        <f t="shared" ref="U52:U57" si="56">T52*12/11</f>
        <v>241003.63636363635</v>
      </c>
      <c r="V52" s="52">
        <v>0</v>
      </c>
      <c r="W52" s="52">
        <f>-VLOOKUP(B52,'ביצוע 2019'!$A$3:$H$1103,7,0)</f>
        <v>0</v>
      </c>
      <c r="X52" s="52">
        <f t="shared" si="51"/>
        <v>0</v>
      </c>
      <c r="Y52" s="101">
        <f t="shared" si="55"/>
        <v>0</v>
      </c>
      <c r="Z52" s="52"/>
      <c r="AA52" s="51"/>
    </row>
    <row r="53" spans="1:27" ht="15.75">
      <c r="A53" s="21">
        <v>9</v>
      </c>
      <c r="B53" s="50">
        <v>1313201920</v>
      </c>
      <c r="C53" s="50" t="str">
        <f t="shared" si="52"/>
        <v>920</v>
      </c>
      <c r="D53" s="50" t="str">
        <f t="shared" si="53"/>
        <v>313201</v>
      </c>
      <c r="E53" s="50" t="str">
        <f t="shared" si="54"/>
        <v>31</v>
      </c>
      <c r="F53" s="51" t="s">
        <v>1649</v>
      </c>
      <c r="G53" s="110"/>
      <c r="H53" s="110"/>
      <c r="I53" s="110"/>
      <c r="J53" s="110"/>
      <c r="K53" s="110"/>
      <c r="L53" s="110"/>
      <c r="M53" s="110">
        <v>76000</v>
      </c>
      <c r="N53" s="52">
        <v>76000</v>
      </c>
      <c r="O53" s="52"/>
      <c r="P53" s="52">
        <f t="shared" si="47"/>
        <v>76000</v>
      </c>
      <c r="Q53" s="52">
        <f>-VLOOKUP(B:B,'דוח כספי 1-10.17'!A:D,4,0)</f>
        <v>0</v>
      </c>
      <c r="R53" s="52">
        <f t="shared" si="48"/>
        <v>0</v>
      </c>
      <c r="S53" s="52"/>
      <c r="T53" s="52">
        <f>-VLOOKUP(B53,'2174'!$A$1:$G$177,6,0)</f>
        <v>0</v>
      </c>
      <c r="U53" s="63">
        <f t="shared" si="56"/>
        <v>0</v>
      </c>
      <c r="V53" s="52">
        <f t="shared" ref="V53:V57" si="57">U53</f>
        <v>0</v>
      </c>
      <c r="W53" s="52">
        <f>-VLOOKUP(B53,'ביצוע 2019'!$A$3:$H$1103,7,0)</f>
        <v>344184.27</v>
      </c>
      <c r="X53" s="52">
        <f t="shared" si="51"/>
        <v>344184.27</v>
      </c>
      <c r="Y53" s="101">
        <f t="shared" si="55"/>
        <v>1</v>
      </c>
      <c r="Z53" s="52"/>
      <c r="AA53" s="51"/>
    </row>
    <row r="54" spans="1:27" ht="15.75">
      <c r="A54" s="21">
        <v>9</v>
      </c>
      <c r="B54" s="50">
        <v>1313202920</v>
      </c>
      <c r="C54" s="50" t="str">
        <f t="shared" si="52"/>
        <v>920</v>
      </c>
      <c r="D54" s="50" t="str">
        <f t="shared" si="53"/>
        <v>313202</v>
      </c>
      <c r="E54" s="50" t="str">
        <f t="shared" si="54"/>
        <v>31</v>
      </c>
      <c r="F54" s="51" t="s">
        <v>2007</v>
      </c>
      <c r="G54" s="110"/>
      <c r="H54" s="110"/>
      <c r="I54" s="110"/>
      <c r="J54" s="110"/>
      <c r="K54" s="110"/>
      <c r="L54" s="110"/>
      <c r="M54" s="110"/>
      <c r="N54" s="52"/>
      <c r="O54" s="52"/>
      <c r="P54" s="52"/>
      <c r="Q54" s="52"/>
      <c r="R54" s="52"/>
      <c r="S54" s="52"/>
      <c r="T54" s="52">
        <f>-VLOOKUP(B54,'2174'!$A$1:$G$177,6,0)</f>
        <v>107229.43</v>
      </c>
      <c r="U54" s="63">
        <f t="shared" si="56"/>
        <v>116977.56</v>
      </c>
      <c r="V54" s="52">
        <v>120000</v>
      </c>
      <c r="W54" s="52">
        <f>-VLOOKUP(B54,'ביצוע 2019'!$A$3:$H$1103,7,0)</f>
        <v>110942.76</v>
      </c>
      <c r="X54" s="52">
        <f t="shared" si="51"/>
        <v>110942.76</v>
      </c>
      <c r="Y54" s="101">
        <f t="shared" si="55"/>
        <v>1</v>
      </c>
      <c r="Z54" s="52"/>
      <c r="AA54" s="51"/>
    </row>
    <row r="55" spans="1:27" ht="15.75">
      <c r="A55" s="21">
        <v>9</v>
      </c>
      <c r="B55" s="50">
        <v>1313204920</v>
      </c>
      <c r="C55" s="50" t="str">
        <f t="shared" ref="C55" si="58">RIGHT(B55,3)</f>
        <v>920</v>
      </c>
      <c r="D55" s="50" t="str">
        <f t="shared" ref="D55" si="59">MID(B55,2,6)</f>
        <v>313204</v>
      </c>
      <c r="E55" s="50" t="str">
        <f t="shared" ref="E55" si="60">LEFT(D55,2)</f>
        <v>31</v>
      </c>
      <c r="F55" s="51" t="s">
        <v>2009</v>
      </c>
      <c r="G55" s="110"/>
      <c r="H55" s="110"/>
      <c r="I55" s="110"/>
      <c r="J55" s="110"/>
      <c r="K55" s="110"/>
      <c r="L55" s="110"/>
      <c r="M55" s="110"/>
      <c r="N55" s="52"/>
      <c r="O55" s="52"/>
      <c r="P55" s="52"/>
      <c r="Q55" s="52"/>
      <c r="R55" s="52"/>
      <c r="S55" s="52"/>
      <c r="T55" s="52"/>
      <c r="U55" s="63"/>
      <c r="V55" s="52">
        <v>0</v>
      </c>
      <c r="W55" s="52">
        <f>-VLOOKUP(B55,'ביצוע 2019'!$A$3:$H$1103,7,0)</f>
        <v>295020</v>
      </c>
      <c r="X55" s="52">
        <f t="shared" si="51"/>
        <v>295020</v>
      </c>
      <c r="Y55" s="101">
        <f t="shared" si="55"/>
        <v>1</v>
      </c>
      <c r="Z55" s="52"/>
      <c r="AA55" s="51"/>
    </row>
    <row r="56" spans="1:27" ht="15.75">
      <c r="A56" s="21">
        <v>9</v>
      </c>
      <c r="B56" s="50">
        <v>1313210921</v>
      </c>
      <c r="C56" s="50" t="str">
        <f t="shared" si="52"/>
        <v>921</v>
      </c>
      <c r="D56" s="50" t="str">
        <f t="shared" si="53"/>
        <v>313210</v>
      </c>
      <c r="E56" s="50" t="str">
        <f t="shared" si="54"/>
        <v>31</v>
      </c>
      <c r="F56" s="51" t="s">
        <v>464</v>
      </c>
      <c r="G56" s="110">
        <v>-110000</v>
      </c>
      <c r="H56" s="110">
        <f>G56*-1</f>
        <v>110000</v>
      </c>
      <c r="I56" s="110">
        <v>-79836.75</v>
      </c>
      <c r="J56" s="110">
        <f>I56*-1</f>
        <v>79836.75</v>
      </c>
      <c r="K56" s="110">
        <v>-30163.25</v>
      </c>
      <c r="L56" s="110">
        <v>80000</v>
      </c>
      <c r="M56" s="110">
        <v>80000</v>
      </c>
      <c r="N56" s="52">
        <v>80000</v>
      </c>
      <c r="O56" s="52"/>
      <c r="P56" s="52">
        <f t="shared" si="47"/>
        <v>80000</v>
      </c>
      <c r="Q56" s="52">
        <f>-VLOOKUP(B:B,'דוח כספי 1-10.17'!A:D,4,0)</f>
        <v>0</v>
      </c>
      <c r="R56" s="52">
        <f t="shared" si="48"/>
        <v>0</v>
      </c>
      <c r="S56" s="52"/>
      <c r="T56" s="52">
        <f>-VLOOKUP(B56,'2174'!$A$1:$G$177,6,0)</f>
        <v>0</v>
      </c>
      <c r="U56" s="63">
        <f t="shared" si="56"/>
        <v>0</v>
      </c>
      <c r="V56" s="52">
        <f t="shared" si="57"/>
        <v>0</v>
      </c>
      <c r="W56" s="52">
        <f>-VLOOKUP(B56,'ביצוע 2019'!$A$3:$H$1103,7,0)</f>
        <v>300514.40000000002</v>
      </c>
      <c r="X56" s="52">
        <f t="shared" si="51"/>
        <v>300514.40000000002</v>
      </c>
      <c r="Y56" s="101">
        <f t="shared" si="55"/>
        <v>1</v>
      </c>
      <c r="Z56" s="52"/>
      <c r="AA56" s="206"/>
    </row>
    <row r="57" spans="1:27" ht="15.75" hidden="1">
      <c r="A57" s="21">
        <v>9</v>
      </c>
      <c r="B57" s="50">
        <v>1313210922</v>
      </c>
      <c r="C57" s="50" t="str">
        <f t="shared" si="52"/>
        <v>922</v>
      </c>
      <c r="D57" s="50" t="str">
        <f t="shared" si="53"/>
        <v>313210</v>
      </c>
      <c r="E57" s="50" t="str">
        <f t="shared" si="54"/>
        <v>31</v>
      </c>
      <c r="F57" s="51" t="s">
        <v>465</v>
      </c>
      <c r="G57" s="110">
        <v>-25006</v>
      </c>
      <c r="H57" s="110">
        <f>G57*-1</f>
        <v>25006</v>
      </c>
      <c r="I57" s="110">
        <v>-16651.189999999999</v>
      </c>
      <c r="J57" s="110">
        <f>I57*-1</f>
        <v>16651.189999999999</v>
      </c>
      <c r="K57" s="110">
        <v>-8354.81</v>
      </c>
      <c r="L57" s="110">
        <v>17000</v>
      </c>
      <c r="M57" s="110">
        <f>+L57</f>
        <v>17000</v>
      </c>
      <c r="N57" s="52">
        <v>17000</v>
      </c>
      <c r="O57" s="52"/>
      <c r="P57" s="52">
        <f t="shared" si="47"/>
        <v>17000</v>
      </c>
      <c r="Q57" s="52">
        <f>-VLOOKUP(B:B,'דוח כספי 1-10.17'!A:D,4,0)</f>
        <v>0</v>
      </c>
      <c r="R57" s="52">
        <f t="shared" si="48"/>
        <v>0</v>
      </c>
      <c r="S57" s="52"/>
      <c r="T57" s="52">
        <f>-VLOOKUP(B57,'2174'!$A$1:$G$177,6,0)</f>
        <v>0</v>
      </c>
      <c r="U57" s="63">
        <f t="shared" si="56"/>
        <v>0</v>
      </c>
      <c r="V57" s="52">
        <f t="shared" si="57"/>
        <v>0</v>
      </c>
      <c r="W57" s="52">
        <f>-VLOOKUP(B57,'ביצוע 2019'!$A$3:$H$1103,7,0)</f>
        <v>0</v>
      </c>
      <c r="X57" s="52">
        <f t="shared" si="51"/>
        <v>0</v>
      </c>
      <c r="Y57" s="101">
        <f t="shared" si="16"/>
        <v>0</v>
      </c>
      <c r="Z57" s="52"/>
      <c r="AA57" s="206"/>
    </row>
    <row r="58" spans="1:27" ht="15.75">
      <c r="A58" s="21">
        <v>9</v>
      </c>
      <c r="B58" s="50">
        <v>1313210924</v>
      </c>
      <c r="C58" s="50" t="str">
        <f t="shared" si="52"/>
        <v>924</v>
      </c>
      <c r="D58" s="50" t="str">
        <f t="shared" si="53"/>
        <v>313210</v>
      </c>
      <c r="E58" s="50" t="str">
        <f t="shared" si="54"/>
        <v>31</v>
      </c>
      <c r="F58" s="51" t="s">
        <v>467</v>
      </c>
      <c r="G58" s="110">
        <v>-27996</v>
      </c>
      <c r="H58" s="110">
        <f>G58*-1</f>
        <v>27996</v>
      </c>
      <c r="I58" s="110">
        <v>-18189.919999999998</v>
      </c>
      <c r="J58" s="110">
        <f>I58*-1</f>
        <v>18189.919999999998</v>
      </c>
      <c r="K58" s="110">
        <v>-9806.08</v>
      </c>
      <c r="L58" s="110">
        <v>18000</v>
      </c>
      <c r="M58" s="110">
        <f>+L58</f>
        <v>18000</v>
      </c>
      <c r="N58" s="52">
        <v>18000</v>
      </c>
      <c r="O58" s="52"/>
      <c r="P58" s="52">
        <f t="shared" si="47"/>
        <v>18000</v>
      </c>
      <c r="Q58" s="52">
        <f>-VLOOKUP(B:B,'דוח כספי 1-10.17'!A:D,4,0)</f>
        <v>0</v>
      </c>
      <c r="R58" s="52">
        <f t="shared" si="48"/>
        <v>0</v>
      </c>
      <c r="S58" s="52"/>
      <c r="T58" s="52">
        <f>-VLOOKUP(B58,'2174'!$A$1:$G$177,6,0)</f>
        <v>1462.05</v>
      </c>
      <c r="U58" s="63">
        <f t="shared" ref="U58:U59" si="61">T58*12/11</f>
        <v>1594.9636363636362</v>
      </c>
      <c r="V58" s="52">
        <v>2000</v>
      </c>
      <c r="W58" s="52">
        <f>-VLOOKUP(B58,'ביצוע 2019'!$A$3:$H$1103,7,0)</f>
        <v>12307.95</v>
      </c>
      <c r="X58" s="52">
        <f t="shared" si="51"/>
        <v>12307.95</v>
      </c>
      <c r="Y58" s="101">
        <f>IF((X58+W58+V58)&lt;&gt;0,1,0)</f>
        <v>1</v>
      </c>
      <c r="Z58" s="52"/>
      <c r="AA58" s="206"/>
    </row>
    <row r="59" spans="1:27" ht="15.75" hidden="1">
      <c r="A59" s="21">
        <v>9</v>
      </c>
      <c r="B59" s="50">
        <v>1313210925</v>
      </c>
      <c r="C59" s="50" t="str">
        <f t="shared" si="52"/>
        <v>925</v>
      </c>
      <c r="D59" s="50" t="str">
        <f t="shared" si="53"/>
        <v>313210</v>
      </c>
      <c r="E59" s="50" t="str">
        <f t="shared" si="54"/>
        <v>31</v>
      </c>
      <c r="F59" s="51" t="s">
        <v>468</v>
      </c>
      <c r="G59" s="110">
        <v>0</v>
      </c>
      <c r="H59" s="110">
        <f>G59*-1</f>
        <v>0</v>
      </c>
      <c r="I59" s="110">
        <v>-314251.58</v>
      </c>
      <c r="J59" s="110">
        <f>I59*-1</f>
        <v>314251.58</v>
      </c>
      <c r="K59" s="110">
        <v>314251.58</v>
      </c>
      <c r="L59" s="110">
        <v>315000</v>
      </c>
      <c r="M59" s="110">
        <v>309000</v>
      </c>
      <c r="N59" s="52">
        <v>309000</v>
      </c>
      <c r="O59" s="52"/>
      <c r="P59" s="52">
        <f t="shared" si="47"/>
        <v>309000</v>
      </c>
      <c r="Q59" s="52">
        <f>-VLOOKUP(B:B,'דוח כספי 1-10.17'!A:D,4,0)</f>
        <v>0</v>
      </c>
      <c r="R59" s="52">
        <f t="shared" si="48"/>
        <v>0</v>
      </c>
      <c r="S59" s="52"/>
      <c r="T59" s="52">
        <f>-VLOOKUP(B59,'2174'!$A$1:$G$177,6,0)</f>
        <v>0</v>
      </c>
      <c r="U59" s="63">
        <f t="shared" si="61"/>
        <v>0</v>
      </c>
      <c r="V59" s="52">
        <f t="shared" ref="V59" si="62">U59</f>
        <v>0</v>
      </c>
      <c r="W59" s="52">
        <f>-VLOOKUP(B59,'ביצוע 2019'!$A$3:$H$1103,7,0)</f>
        <v>0</v>
      </c>
      <c r="X59" s="52">
        <f t="shared" si="51"/>
        <v>0</v>
      </c>
      <c r="Y59" s="101">
        <f t="shared" si="16"/>
        <v>0</v>
      </c>
      <c r="Z59" s="52"/>
      <c r="AA59" s="206"/>
    </row>
    <row r="60" spans="1:27" ht="15.75">
      <c r="A60" s="21">
        <v>9</v>
      </c>
      <c r="B60" s="50">
        <v>1313210926</v>
      </c>
      <c r="C60" s="50" t="str">
        <f t="shared" si="52"/>
        <v>926</v>
      </c>
      <c r="D60" s="50" t="str">
        <f t="shared" si="53"/>
        <v>313210</v>
      </c>
      <c r="E60" s="50" t="str">
        <f t="shared" si="54"/>
        <v>31</v>
      </c>
      <c r="F60" s="51" t="s">
        <v>469</v>
      </c>
      <c r="G60" s="110"/>
      <c r="H60" s="110"/>
      <c r="I60" s="110"/>
      <c r="J60" s="110"/>
      <c r="K60" s="110"/>
      <c r="L60" s="110"/>
      <c r="M60" s="110"/>
      <c r="N60" s="52"/>
      <c r="O60" s="52"/>
      <c r="P60" s="52"/>
      <c r="Q60" s="52"/>
      <c r="R60" s="52"/>
      <c r="S60" s="52"/>
      <c r="T60" s="52">
        <f>-VLOOKUP(B60,'2174'!$A$1:$G$177,6,0)</f>
        <v>17136</v>
      </c>
      <c r="U60" s="63">
        <v>17136</v>
      </c>
      <c r="V60" s="52">
        <v>17000</v>
      </c>
      <c r="W60" s="52">
        <f>-VLOOKUP(B60,'ביצוע 2019'!$A$3:$H$1103,7,0)</f>
        <v>17892</v>
      </c>
      <c r="X60" s="52">
        <f t="shared" si="51"/>
        <v>17892</v>
      </c>
      <c r="Y60" s="101">
        <f t="shared" ref="Y60:Y61" si="63">IF((X60+W60+V60)&lt;&gt;0,1,0)</f>
        <v>1</v>
      </c>
      <c r="Z60" s="52"/>
      <c r="AA60" s="206"/>
    </row>
    <row r="61" spans="1:27" ht="15.75">
      <c r="A61" s="21">
        <v>9</v>
      </c>
      <c r="B61" s="50">
        <v>1313210929</v>
      </c>
      <c r="C61" s="50" t="str">
        <f t="shared" si="52"/>
        <v>929</v>
      </c>
      <c r="D61" s="50" t="str">
        <f t="shared" si="53"/>
        <v>313210</v>
      </c>
      <c r="E61" s="50" t="str">
        <f t="shared" si="54"/>
        <v>31</v>
      </c>
      <c r="F61" s="51" t="s">
        <v>470</v>
      </c>
      <c r="G61" s="110">
        <v>0</v>
      </c>
      <c r="H61" s="110">
        <f t="shared" ref="H61:H82" si="64">G61*-1</f>
        <v>0</v>
      </c>
      <c r="I61" s="110">
        <v>-76403.91</v>
      </c>
      <c r="J61" s="110">
        <f t="shared" ref="J61:J82" si="65">I61*-1</f>
        <v>76403.91</v>
      </c>
      <c r="K61" s="110">
        <v>76403.91</v>
      </c>
      <c r="L61" s="110">
        <v>80000</v>
      </c>
      <c r="M61" s="110">
        <v>160000</v>
      </c>
      <c r="N61" s="52">
        <v>160000</v>
      </c>
      <c r="O61" s="52"/>
      <c r="P61" s="52">
        <f t="shared" ref="P61:P82" si="66">N61+O61</f>
        <v>160000</v>
      </c>
      <c r="Q61" s="52">
        <f>-VLOOKUP(B:B,'דוח כספי 1-10.17'!A:D,4,0)</f>
        <v>96376.14</v>
      </c>
      <c r="R61" s="52">
        <f t="shared" si="48"/>
        <v>115651.36799999999</v>
      </c>
      <c r="S61" s="52">
        <v>116000</v>
      </c>
      <c r="T61" s="52">
        <f>-VLOOKUP(B61,'2174'!$A$1:$G$177,6,0)</f>
        <v>156407.03</v>
      </c>
      <c r="U61" s="63">
        <f t="shared" ref="U61:U65" si="67">T61*12/11</f>
        <v>170625.85090909089</v>
      </c>
      <c r="V61" s="52">
        <v>170000</v>
      </c>
      <c r="W61" s="52">
        <f>-VLOOKUP(B61,'ביצוע 2019'!$A$3:$H$1103,7,0)</f>
        <v>175071.75</v>
      </c>
      <c r="X61" s="52">
        <f t="shared" si="51"/>
        <v>175071.75</v>
      </c>
      <c r="Y61" s="101">
        <f t="shared" si="63"/>
        <v>1</v>
      </c>
      <c r="Z61" s="52"/>
      <c r="AA61" s="206"/>
    </row>
    <row r="62" spans="1:27" ht="15.75" hidden="1">
      <c r="A62" s="21">
        <v>10</v>
      </c>
      <c r="B62" s="50">
        <v>1313220420</v>
      </c>
      <c r="C62" s="50" t="str">
        <f t="shared" si="52"/>
        <v>420</v>
      </c>
      <c r="D62" s="50" t="str">
        <f t="shared" si="53"/>
        <v>313220</v>
      </c>
      <c r="E62" s="50" t="str">
        <f t="shared" si="54"/>
        <v>31</v>
      </c>
      <c r="F62" s="51" t="s">
        <v>471</v>
      </c>
      <c r="G62" s="110">
        <v>0</v>
      </c>
      <c r="H62" s="110">
        <f t="shared" si="64"/>
        <v>0</v>
      </c>
      <c r="I62" s="110">
        <v>-540</v>
      </c>
      <c r="J62" s="110">
        <f t="shared" si="65"/>
        <v>540</v>
      </c>
      <c r="K62" s="110">
        <v>540</v>
      </c>
      <c r="L62" s="110">
        <v>0</v>
      </c>
      <c r="M62" s="110">
        <f>+L62</f>
        <v>0</v>
      </c>
      <c r="N62" s="52">
        <v>0</v>
      </c>
      <c r="O62" s="52"/>
      <c r="P62" s="52">
        <f t="shared" si="66"/>
        <v>0</v>
      </c>
      <c r="Q62" s="52">
        <f>-VLOOKUP(B:B,'דוח כספי 1-10.17'!A:D,4,0)</f>
        <v>540</v>
      </c>
      <c r="R62" s="52">
        <f t="shared" si="48"/>
        <v>648</v>
      </c>
      <c r="S62" s="52">
        <v>600</v>
      </c>
      <c r="T62" s="52"/>
      <c r="U62" s="63">
        <f t="shared" si="67"/>
        <v>0</v>
      </c>
      <c r="V62" s="52">
        <f t="shared" ref="V62:V65" si="68">U62</f>
        <v>0</v>
      </c>
      <c r="W62" s="52">
        <f>-VLOOKUP(B62,'ביצוע 2019'!$A$3:$H$1103,7,0)</f>
        <v>0</v>
      </c>
      <c r="X62" s="52">
        <f t="shared" si="51"/>
        <v>0</v>
      </c>
      <c r="Y62" s="101">
        <f t="shared" si="16"/>
        <v>0</v>
      </c>
      <c r="Z62" s="52"/>
      <c r="AA62" s="51"/>
    </row>
    <row r="63" spans="1:27" ht="15.75">
      <c r="A63" s="21">
        <v>9</v>
      </c>
      <c r="B63" s="50">
        <v>1313220921</v>
      </c>
      <c r="C63" s="50" t="str">
        <f t="shared" si="52"/>
        <v>921</v>
      </c>
      <c r="D63" s="50" t="str">
        <f t="shared" si="53"/>
        <v>313220</v>
      </c>
      <c r="E63" s="50" t="str">
        <f t="shared" si="54"/>
        <v>31</v>
      </c>
      <c r="F63" s="51" t="s">
        <v>474</v>
      </c>
      <c r="G63" s="110">
        <v>-110000</v>
      </c>
      <c r="H63" s="110">
        <f t="shared" si="64"/>
        <v>110000</v>
      </c>
      <c r="I63" s="110">
        <v>-79836.75</v>
      </c>
      <c r="J63" s="110">
        <f t="shared" si="65"/>
        <v>79836.75</v>
      </c>
      <c r="K63" s="110">
        <v>-30163.25</v>
      </c>
      <c r="L63" s="110">
        <v>80000</v>
      </c>
      <c r="M63" s="110">
        <f>+L63</f>
        <v>80000</v>
      </c>
      <c r="N63" s="52">
        <v>80000</v>
      </c>
      <c r="O63" s="52"/>
      <c r="P63" s="52">
        <f t="shared" si="66"/>
        <v>80000</v>
      </c>
      <c r="Q63" s="52">
        <f>-VLOOKUP(B:B,'דוח כספי 1-10.17'!A:D,4,0)</f>
        <v>283915.14</v>
      </c>
      <c r="R63" s="52">
        <f t="shared" si="48"/>
        <v>340698.16800000006</v>
      </c>
      <c r="S63" s="52">
        <v>341000</v>
      </c>
      <c r="T63" s="52">
        <f>-VLOOKUP(B63,'2174'!$A$1:$G$177,6,0)</f>
        <v>314146.78999999998</v>
      </c>
      <c r="U63" s="63">
        <f t="shared" si="67"/>
        <v>342705.58909090905</v>
      </c>
      <c r="V63" s="52">
        <v>342000</v>
      </c>
      <c r="W63" s="52">
        <f>-VLOOKUP(B63,'ביצוע 2019'!$A$3:$H$1103,7,0)</f>
        <v>52599.68</v>
      </c>
      <c r="X63" s="52">
        <f t="shared" si="51"/>
        <v>52599.68</v>
      </c>
      <c r="Y63" s="101">
        <f>IF((X63+W63+V63)&lt;&gt;0,1,0)</f>
        <v>1</v>
      </c>
      <c r="Z63" s="52"/>
      <c r="AA63" s="206"/>
    </row>
    <row r="64" spans="1:27" ht="15.75" hidden="1">
      <c r="A64" s="21">
        <v>9</v>
      </c>
      <c r="B64" s="50">
        <v>1313220922</v>
      </c>
      <c r="C64" s="50" t="str">
        <f t="shared" si="52"/>
        <v>922</v>
      </c>
      <c r="D64" s="50" t="str">
        <f t="shared" si="53"/>
        <v>313220</v>
      </c>
      <c r="E64" s="50" t="str">
        <f t="shared" si="54"/>
        <v>31</v>
      </c>
      <c r="F64" s="51" t="s">
        <v>475</v>
      </c>
      <c r="G64" s="110">
        <v>-25006</v>
      </c>
      <c r="H64" s="110">
        <f t="shared" si="64"/>
        <v>25006</v>
      </c>
      <c r="I64" s="110">
        <v>-16651.189999999999</v>
      </c>
      <c r="J64" s="110">
        <f t="shared" si="65"/>
        <v>16651.189999999999</v>
      </c>
      <c r="K64" s="110">
        <v>-8354.81</v>
      </c>
      <c r="L64" s="110">
        <v>17000</v>
      </c>
      <c r="M64" s="110">
        <f>+L64</f>
        <v>17000</v>
      </c>
      <c r="N64" s="220">
        <v>17000</v>
      </c>
      <c r="O64" s="52"/>
      <c r="P64" s="52">
        <f t="shared" si="66"/>
        <v>17000</v>
      </c>
      <c r="Q64" s="52">
        <f>-VLOOKUP(B:B,'דוח כספי 1-10.17'!A:D,4,0)</f>
        <v>0</v>
      </c>
      <c r="R64" s="52">
        <f t="shared" si="48"/>
        <v>0</v>
      </c>
      <c r="S64" s="52">
        <v>68000</v>
      </c>
      <c r="T64" s="52">
        <f>-VLOOKUP(B64,'2174'!$A$1:$G$177,6,0)</f>
        <v>0</v>
      </c>
      <c r="U64" s="63">
        <f t="shared" si="67"/>
        <v>0</v>
      </c>
      <c r="V64" s="52">
        <f t="shared" si="68"/>
        <v>0</v>
      </c>
      <c r="W64" s="52">
        <f>-VLOOKUP(B64,'ביצוע 2019'!$A$3:$H$1103,7,0)</f>
        <v>0</v>
      </c>
      <c r="X64" s="52">
        <f t="shared" si="51"/>
        <v>0</v>
      </c>
      <c r="Y64" s="101">
        <f t="shared" si="16"/>
        <v>0</v>
      </c>
      <c r="Z64" s="52"/>
      <c r="AA64" s="206"/>
    </row>
    <row r="65" spans="1:30" ht="15.75" hidden="1">
      <c r="A65" s="21">
        <v>9</v>
      </c>
      <c r="B65" s="50">
        <v>1313220925</v>
      </c>
      <c r="C65" s="50" t="str">
        <f t="shared" si="52"/>
        <v>925</v>
      </c>
      <c r="D65" s="50" t="str">
        <f t="shared" si="53"/>
        <v>313220</v>
      </c>
      <c r="E65" s="50" t="str">
        <f t="shared" si="54"/>
        <v>31</v>
      </c>
      <c r="F65" s="51" t="s">
        <v>478</v>
      </c>
      <c r="G65" s="110">
        <v>0</v>
      </c>
      <c r="H65" s="110">
        <f t="shared" si="64"/>
        <v>0</v>
      </c>
      <c r="I65" s="110">
        <v>-294568.48</v>
      </c>
      <c r="J65" s="110">
        <f t="shared" si="65"/>
        <v>294568.48</v>
      </c>
      <c r="K65" s="110">
        <v>294568.48</v>
      </c>
      <c r="L65" s="110">
        <v>300000</v>
      </c>
      <c r="M65" s="110">
        <v>285000</v>
      </c>
      <c r="N65" s="220">
        <v>285000</v>
      </c>
      <c r="O65" s="52"/>
      <c r="P65" s="52">
        <f t="shared" si="66"/>
        <v>285000</v>
      </c>
      <c r="Q65" s="52">
        <f>-VLOOKUP(B:B,'דוח כספי 1-10.17'!A:D,4,0)</f>
        <v>0</v>
      </c>
      <c r="R65" s="52">
        <f t="shared" si="48"/>
        <v>0</v>
      </c>
      <c r="S65" s="52"/>
      <c r="T65" s="52">
        <f>-VLOOKUP(B65,'2174'!$A$1:$G$177,6,0)</f>
        <v>0</v>
      </c>
      <c r="U65" s="63">
        <f t="shared" si="67"/>
        <v>0</v>
      </c>
      <c r="V65" s="52">
        <f t="shared" si="68"/>
        <v>0</v>
      </c>
      <c r="W65" s="52">
        <f>-VLOOKUP(B65,'ביצוע 2019'!$A$3:$H$1103,7,0)</f>
        <v>0</v>
      </c>
      <c r="X65" s="52">
        <f t="shared" si="51"/>
        <v>0</v>
      </c>
      <c r="Y65" s="101">
        <f t="shared" si="16"/>
        <v>0</v>
      </c>
      <c r="Z65" s="52"/>
      <c r="AA65" s="206"/>
    </row>
    <row r="66" spans="1:30" ht="15.75">
      <c r="A66" s="21">
        <v>9</v>
      </c>
      <c r="B66" s="50">
        <v>1313220929</v>
      </c>
      <c r="C66" s="50" t="str">
        <f t="shared" si="52"/>
        <v>929</v>
      </c>
      <c r="D66" s="50" t="str">
        <f t="shared" si="53"/>
        <v>313220</v>
      </c>
      <c r="E66" s="50" t="str">
        <f t="shared" si="54"/>
        <v>31</v>
      </c>
      <c r="F66" s="51" t="s">
        <v>479</v>
      </c>
      <c r="G66" s="110">
        <v>0</v>
      </c>
      <c r="H66" s="110">
        <f t="shared" si="64"/>
        <v>0</v>
      </c>
      <c r="I66" s="110">
        <v>-65964.83</v>
      </c>
      <c r="J66" s="110">
        <f t="shared" si="65"/>
        <v>65964.83</v>
      </c>
      <c r="K66" s="110">
        <v>65964.83</v>
      </c>
      <c r="L66" s="110">
        <v>70000</v>
      </c>
      <c r="M66" s="110">
        <v>55000</v>
      </c>
      <c r="N66" s="220">
        <v>55000</v>
      </c>
      <c r="O66" s="52"/>
      <c r="P66" s="52">
        <f t="shared" si="66"/>
        <v>55000</v>
      </c>
      <c r="Q66" s="52">
        <f>-VLOOKUP(B:B,'דוח כספי 1-10.17'!A:D,4,0)</f>
        <v>219371.92</v>
      </c>
      <c r="R66" s="52">
        <f t="shared" si="48"/>
        <v>263246.304</v>
      </c>
      <c r="S66" s="52">
        <v>196000</v>
      </c>
      <c r="T66" s="52">
        <f>-VLOOKUP(B66,'2174'!$A$1:$G$177,6,0)</f>
        <v>136447.28</v>
      </c>
      <c r="U66" s="63">
        <f t="shared" ref="U66:U70" si="69">T66*12/11</f>
        <v>148851.57818181816</v>
      </c>
      <c r="V66" s="52">
        <v>150000</v>
      </c>
      <c r="W66" s="52">
        <f>-VLOOKUP(B66,'ביצוע 2019'!$A$3:$H$1103,7,0)</f>
        <v>159118.59</v>
      </c>
      <c r="X66" s="52">
        <f t="shared" si="51"/>
        <v>159118.59</v>
      </c>
      <c r="Y66" s="101">
        <f>IF((X66+W66+V66)&lt;&gt;0,1,0)</f>
        <v>1</v>
      </c>
      <c r="Z66" s="52"/>
      <c r="AA66" s="206"/>
    </row>
    <row r="67" spans="1:30" ht="15.75" hidden="1">
      <c r="A67" s="21">
        <v>10</v>
      </c>
      <c r="B67" s="50">
        <v>1313230420</v>
      </c>
      <c r="C67" s="50" t="str">
        <f t="shared" si="52"/>
        <v>420</v>
      </c>
      <c r="D67" s="50" t="str">
        <f t="shared" si="53"/>
        <v>313230</v>
      </c>
      <c r="E67" s="50" t="str">
        <f t="shared" si="54"/>
        <v>31</v>
      </c>
      <c r="F67" s="51" t="s">
        <v>480</v>
      </c>
      <c r="G67" s="110">
        <v>0</v>
      </c>
      <c r="H67" s="110">
        <f t="shared" si="64"/>
        <v>0</v>
      </c>
      <c r="I67" s="110">
        <v>-2650</v>
      </c>
      <c r="J67" s="110">
        <f t="shared" si="65"/>
        <v>2650</v>
      </c>
      <c r="K67" s="110">
        <v>2650</v>
      </c>
      <c r="L67" s="110">
        <v>0</v>
      </c>
      <c r="M67" s="110">
        <f>+L67</f>
        <v>0</v>
      </c>
      <c r="N67" s="220">
        <v>0</v>
      </c>
      <c r="O67" s="52"/>
      <c r="P67" s="52">
        <f t="shared" si="66"/>
        <v>0</v>
      </c>
      <c r="Q67" s="52">
        <f>-VLOOKUP(B:B,'דוח כספי 1-10.17'!A:D,4,0)</f>
        <v>1620</v>
      </c>
      <c r="R67" s="52">
        <f t="shared" si="48"/>
        <v>1944</v>
      </c>
      <c r="S67" s="52">
        <v>2000</v>
      </c>
      <c r="T67" s="52"/>
      <c r="U67" s="63">
        <f t="shared" si="69"/>
        <v>0</v>
      </c>
      <c r="V67" s="52">
        <f t="shared" ref="V67:V69" si="70">U67</f>
        <v>0</v>
      </c>
      <c r="W67" s="52">
        <f>-VLOOKUP(B67,'ביצוע 2019'!$A$3:$H$1103,7,0)</f>
        <v>0</v>
      </c>
      <c r="X67" s="52">
        <f t="shared" si="51"/>
        <v>0</v>
      </c>
      <c r="Y67" s="101">
        <f t="shared" si="16"/>
        <v>0</v>
      </c>
      <c r="Z67" s="52"/>
      <c r="AA67" s="206"/>
    </row>
    <row r="68" spans="1:30" ht="15.75" hidden="1">
      <c r="A68" s="21">
        <v>9</v>
      </c>
      <c r="B68" s="50">
        <v>1313230921</v>
      </c>
      <c r="C68" s="50" t="str">
        <f t="shared" si="52"/>
        <v>921</v>
      </c>
      <c r="D68" s="50" t="str">
        <f t="shared" si="53"/>
        <v>313230</v>
      </c>
      <c r="E68" s="50" t="str">
        <f t="shared" si="54"/>
        <v>31</v>
      </c>
      <c r="F68" s="51" t="s">
        <v>482</v>
      </c>
      <c r="G68" s="110">
        <v>-110000</v>
      </c>
      <c r="H68" s="110">
        <f t="shared" si="64"/>
        <v>110000</v>
      </c>
      <c r="I68" s="110">
        <v>-79836.75</v>
      </c>
      <c r="J68" s="110">
        <f t="shared" si="65"/>
        <v>79836.75</v>
      </c>
      <c r="K68" s="110">
        <v>-30163.25</v>
      </c>
      <c r="L68" s="110">
        <v>80000</v>
      </c>
      <c r="M68" s="110">
        <f>+L68</f>
        <v>80000</v>
      </c>
      <c r="N68" s="220">
        <v>80000</v>
      </c>
      <c r="O68" s="52"/>
      <c r="P68" s="52">
        <f t="shared" si="66"/>
        <v>80000</v>
      </c>
      <c r="Q68" s="52">
        <f>-VLOOKUP(B:B,'דוח כספי 1-10.17'!A:D,4,0)</f>
        <v>0</v>
      </c>
      <c r="R68" s="52">
        <f t="shared" si="48"/>
        <v>0</v>
      </c>
      <c r="S68" s="52"/>
      <c r="T68" s="52">
        <f>-VLOOKUP(B68,'2174'!$A$1:$G$177,6,0)</f>
        <v>0</v>
      </c>
      <c r="U68" s="63">
        <f t="shared" si="69"/>
        <v>0</v>
      </c>
      <c r="V68" s="52">
        <f t="shared" si="70"/>
        <v>0</v>
      </c>
      <c r="W68" s="52">
        <f>-VLOOKUP(B68,'ביצוע 2019'!$A$3:$H$1103,7,0)</f>
        <v>0</v>
      </c>
      <c r="X68" s="52">
        <f t="shared" si="51"/>
        <v>0</v>
      </c>
      <c r="Y68" s="101">
        <f t="shared" si="16"/>
        <v>0</v>
      </c>
      <c r="Z68" s="52"/>
      <c r="AA68" s="206"/>
    </row>
    <row r="69" spans="1:30" ht="15.75" hidden="1">
      <c r="A69" s="21">
        <v>9</v>
      </c>
      <c r="B69" s="50">
        <v>1313230922</v>
      </c>
      <c r="C69" s="50" t="str">
        <f t="shared" si="52"/>
        <v>922</v>
      </c>
      <c r="D69" s="50" t="str">
        <f t="shared" si="53"/>
        <v>313230</v>
      </c>
      <c r="E69" s="50" t="str">
        <f t="shared" si="54"/>
        <v>31</v>
      </c>
      <c r="F69" s="51" t="s">
        <v>483</v>
      </c>
      <c r="G69" s="110">
        <v>-25006</v>
      </c>
      <c r="H69" s="110">
        <f t="shared" si="64"/>
        <v>25006</v>
      </c>
      <c r="I69" s="110">
        <v>-16651.189999999999</v>
      </c>
      <c r="J69" s="110">
        <f t="shared" si="65"/>
        <v>16651.189999999999</v>
      </c>
      <c r="K69" s="110">
        <v>-8354.81</v>
      </c>
      <c r="L69" s="110">
        <v>17000</v>
      </c>
      <c r="M69" s="110">
        <f>+L69</f>
        <v>17000</v>
      </c>
      <c r="N69" s="220">
        <v>17000</v>
      </c>
      <c r="O69" s="52"/>
      <c r="P69" s="52">
        <f t="shared" si="66"/>
        <v>17000</v>
      </c>
      <c r="Q69" s="52">
        <f>-VLOOKUP(B:B,'דוח כספי 1-10.17'!A:D,4,0)</f>
        <v>0</v>
      </c>
      <c r="R69" s="52">
        <f t="shared" si="48"/>
        <v>0</v>
      </c>
      <c r="S69" s="52"/>
      <c r="T69" s="52">
        <f>-VLOOKUP(B69,'2174'!$A$1:$G$177,6,0)</f>
        <v>0</v>
      </c>
      <c r="U69" s="63">
        <f t="shared" si="69"/>
        <v>0</v>
      </c>
      <c r="V69" s="52">
        <f t="shared" si="70"/>
        <v>0</v>
      </c>
      <c r="W69" s="52">
        <f>-VLOOKUP(B69,'ביצוע 2019'!$A$3:$H$1103,7,0)</f>
        <v>0</v>
      </c>
      <c r="X69" s="52">
        <f t="shared" si="51"/>
        <v>0</v>
      </c>
      <c r="Y69" s="101">
        <f t="shared" ref="Y69:Y116" si="71">IF((X69+W69+U69+V69)&lt;&gt;0,1,0)</f>
        <v>0</v>
      </c>
      <c r="Z69" s="52"/>
      <c r="AA69" s="206"/>
    </row>
    <row r="70" spans="1:30" ht="15.75">
      <c r="A70" s="21">
        <v>9</v>
      </c>
      <c r="B70" s="50">
        <v>1313230925</v>
      </c>
      <c r="C70" s="50" t="str">
        <f t="shared" si="52"/>
        <v>925</v>
      </c>
      <c r="D70" s="50" t="str">
        <f t="shared" si="53"/>
        <v>313230</v>
      </c>
      <c r="E70" s="50" t="str">
        <f t="shared" si="54"/>
        <v>31</v>
      </c>
      <c r="F70" s="51" t="s">
        <v>486</v>
      </c>
      <c r="G70" s="110">
        <v>0</v>
      </c>
      <c r="H70" s="110">
        <f t="shared" si="64"/>
        <v>0</v>
      </c>
      <c r="I70" s="110">
        <v>-305805.15999999997</v>
      </c>
      <c r="J70" s="110">
        <f t="shared" si="65"/>
        <v>305805.15999999997</v>
      </c>
      <c r="K70" s="110">
        <v>305805.15999999997</v>
      </c>
      <c r="L70" s="110">
        <v>310000</v>
      </c>
      <c r="M70" s="110">
        <v>520000</v>
      </c>
      <c r="N70" s="220">
        <v>520000</v>
      </c>
      <c r="O70" s="52"/>
      <c r="P70" s="52">
        <f t="shared" si="66"/>
        <v>520000</v>
      </c>
      <c r="Q70" s="52">
        <f>-VLOOKUP(B:B,'דוח כספי 1-10.17'!A:D,4,0)</f>
        <v>1100155.93</v>
      </c>
      <c r="R70" s="52">
        <f t="shared" ref="R70:R82" si="72">Q70/10*12</f>
        <v>1320187.1159999999</v>
      </c>
      <c r="S70" s="52">
        <v>1321000</v>
      </c>
      <c r="T70" s="52">
        <f>-VLOOKUP(B70,'2174'!$A$1:$G$177,6,0)</f>
        <v>1282704.8700000001</v>
      </c>
      <c r="U70" s="63">
        <f t="shared" si="69"/>
        <v>1399314.4036363638</v>
      </c>
      <c r="V70" s="52">
        <v>1400000</v>
      </c>
      <c r="W70" s="52">
        <f>-VLOOKUP(B70,'ביצוע 2019'!$A$3:$H$1103,7,0)</f>
        <v>1445405.69</v>
      </c>
      <c r="X70" s="52">
        <f t="shared" si="51"/>
        <v>1445405.69</v>
      </c>
      <c r="Y70" s="101">
        <f>IF((X70+W70+V70)&lt;&gt;0,1,0)</f>
        <v>1</v>
      </c>
      <c r="Z70" s="52"/>
      <c r="AA70" s="206"/>
    </row>
    <row r="71" spans="1:30" ht="15.75" hidden="1">
      <c r="A71" s="21">
        <v>9</v>
      </c>
      <c r="B71" s="50">
        <v>1313230926</v>
      </c>
      <c r="C71" s="50" t="str">
        <f t="shared" si="52"/>
        <v>926</v>
      </c>
      <c r="D71" s="50" t="str">
        <f t="shared" si="53"/>
        <v>313230</v>
      </c>
      <c r="E71" s="50" t="str">
        <f t="shared" si="54"/>
        <v>31</v>
      </c>
      <c r="F71" s="51" t="s">
        <v>469</v>
      </c>
      <c r="G71" s="110">
        <v>0</v>
      </c>
      <c r="H71" s="110">
        <f t="shared" si="64"/>
        <v>0</v>
      </c>
      <c r="I71" s="110">
        <v>0</v>
      </c>
      <c r="J71" s="110">
        <f t="shared" si="65"/>
        <v>0</v>
      </c>
      <c r="K71" s="110">
        <v>0</v>
      </c>
      <c r="L71" s="110">
        <v>0</v>
      </c>
      <c r="M71" s="110">
        <f>+L71</f>
        <v>0</v>
      </c>
      <c r="N71" s="52">
        <v>0</v>
      </c>
      <c r="O71" s="52"/>
      <c r="P71" s="52">
        <f t="shared" si="66"/>
        <v>0</v>
      </c>
      <c r="Q71" s="52">
        <f>-VLOOKUP(B:B,'דוח כספי 1-10.17'!A:D,4,0)</f>
        <v>0</v>
      </c>
      <c r="R71" s="52">
        <f t="shared" si="72"/>
        <v>0</v>
      </c>
      <c r="S71" s="52"/>
      <c r="T71" s="52"/>
      <c r="U71" s="52"/>
      <c r="V71" s="52"/>
      <c r="W71" s="52">
        <f>-VLOOKUP(B71,'ביצוע 2019'!$A$3:$H$1103,7,0)</f>
        <v>0</v>
      </c>
      <c r="X71" s="52">
        <f t="shared" si="51"/>
        <v>0</v>
      </c>
      <c r="Y71" s="101">
        <f t="shared" si="71"/>
        <v>0</v>
      </c>
      <c r="Z71" s="52"/>
      <c r="AA71" s="51"/>
    </row>
    <row r="72" spans="1:30" ht="15.75" hidden="1">
      <c r="A72" s="21">
        <v>9</v>
      </c>
      <c r="B72" s="50">
        <v>1313230929</v>
      </c>
      <c r="C72" s="50" t="str">
        <f t="shared" si="52"/>
        <v>929</v>
      </c>
      <c r="D72" s="50" t="str">
        <f t="shared" si="53"/>
        <v>313230</v>
      </c>
      <c r="E72" s="50" t="str">
        <f t="shared" si="54"/>
        <v>31</v>
      </c>
      <c r="F72" s="51" t="s">
        <v>487</v>
      </c>
      <c r="G72" s="110">
        <v>0</v>
      </c>
      <c r="H72" s="110">
        <f t="shared" si="64"/>
        <v>0</v>
      </c>
      <c r="I72" s="110">
        <v>-65966.36</v>
      </c>
      <c r="J72" s="110">
        <f t="shared" si="65"/>
        <v>65966.36</v>
      </c>
      <c r="K72" s="110">
        <v>65966.36</v>
      </c>
      <c r="L72" s="110">
        <v>70000</v>
      </c>
      <c r="M72" s="110">
        <v>40000</v>
      </c>
      <c r="N72" s="52">
        <v>40000</v>
      </c>
      <c r="O72" s="52"/>
      <c r="P72" s="52">
        <f t="shared" si="66"/>
        <v>40000</v>
      </c>
      <c r="Q72" s="52">
        <f>-VLOOKUP(B:B,'דוח כספי 1-10.17'!A:D,4,0)</f>
        <v>0</v>
      </c>
      <c r="R72" s="52">
        <f t="shared" si="72"/>
        <v>0</v>
      </c>
      <c r="S72" s="52"/>
      <c r="T72" s="52">
        <f>-VLOOKUP(B72,'2174'!$A$1:$G$177,6,0)</f>
        <v>0</v>
      </c>
      <c r="U72" s="63">
        <f t="shared" ref="U72:U75" si="73">T72*12/11</f>
        <v>0</v>
      </c>
      <c r="V72" s="52">
        <f t="shared" ref="V72:V74" si="74">U72</f>
        <v>0</v>
      </c>
      <c r="W72" s="52">
        <f>-VLOOKUP(B72,'ביצוע 2019'!$A$3:$H$1103,7,0)</f>
        <v>0</v>
      </c>
      <c r="X72" s="52">
        <f t="shared" si="51"/>
        <v>0</v>
      </c>
      <c r="Y72" s="101">
        <f t="shared" si="71"/>
        <v>0</v>
      </c>
      <c r="Z72" s="52"/>
      <c r="AA72" s="206"/>
    </row>
    <row r="73" spans="1:30" ht="15.75" hidden="1">
      <c r="A73" s="21">
        <v>9</v>
      </c>
      <c r="B73" s="50">
        <v>1313240921</v>
      </c>
      <c r="C73" s="50" t="str">
        <f t="shared" si="52"/>
        <v>921</v>
      </c>
      <c r="D73" s="50" t="str">
        <f t="shared" si="53"/>
        <v>313240</v>
      </c>
      <c r="E73" s="50" t="str">
        <f t="shared" si="54"/>
        <v>31</v>
      </c>
      <c r="F73" s="51" t="s">
        <v>489</v>
      </c>
      <c r="G73" s="110">
        <v>-110000</v>
      </c>
      <c r="H73" s="110">
        <f t="shared" si="64"/>
        <v>110000</v>
      </c>
      <c r="I73" s="110">
        <v>0</v>
      </c>
      <c r="J73" s="110">
        <f t="shared" si="65"/>
        <v>0</v>
      </c>
      <c r="K73" s="110">
        <v>-110000</v>
      </c>
      <c r="L73" s="110">
        <v>40000</v>
      </c>
      <c r="M73" s="110">
        <f>+L73</f>
        <v>40000</v>
      </c>
      <c r="N73" s="52">
        <v>40000</v>
      </c>
      <c r="O73" s="52"/>
      <c r="P73" s="52">
        <f t="shared" si="66"/>
        <v>40000</v>
      </c>
      <c r="Q73" s="52">
        <f>-VLOOKUP(B:B,'דוח כספי 1-10.17'!A:D,4,0)</f>
        <v>0</v>
      </c>
      <c r="R73" s="52">
        <f t="shared" si="72"/>
        <v>0</v>
      </c>
      <c r="S73" s="52"/>
      <c r="T73" s="52">
        <f>-VLOOKUP(B73,'2174'!$A$1:$G$177,6,0)</f>
        <v>0</v>
      </c>
      <c r="U73" s="63">
        <f t="shared" si="73"/>
        <v>0</v>
      </c>
      <c r="V73" s="52">
        <f t="shared" si="74"/>
        <v>0</v>
      </c>
      <c r="W73" s="52">
        <f>-VLOOKUP(B73,'ביצוע 2019'!$A$3:$H$1103,7,0)</f>
        <v>0</v>
      </c>
      <c r="X73" s="52">
        <f t="shared" si="51"/>
        <v>0</v>
      </c>
      <c r="Y73" s="101">
        <f t="shared" si="71"/>
        <v>0</v>
      </c>
      <c r="Z73" s="52"/>
      <c r="AA73" s="51"/>
    </row>
    <row r="74" spans="1:30" ht="15.75" hidden="1">
      <c r="A74" s="21">
        <v>9</v>
      </c>
      <c r="B74" s="50">
        <v>1313240922</v>
      </c>
      <c r="C74" s="50" t="str">
        <f t="shared" si="52"/>
        <v>922</v>
      </c>
      <c r="D74" s="50" t="str">
        <f t="shared" si="53"/>
        <v>313240</v>
      </c>
      <c r="E74" s="50" t="str">
        <f t="shared" si="54"/>
        <v>31</v>
      </c>
      <c r="F74" s="51" t="s">
        <v>490</v>
      </c>
      <c r="G74" s="110">
        <v>-25006</v>
      </c>
      <c r="H74" s="110">
        <f t="shared" si="64"/>
        <v>25006</v>
      </c>
      <c r="I74" s="110">
        <v>0</v>
      </c>
      <c r="J74" s="110">
        <f t="shared" si="65"/>
        <v>0</v>
      </c>
      <c r="K74" s="110">
        <v>-25006</v>
      </c>
      <c r="L74" s="110">
        <v>13000</v>
      </c>
      <c r="M74" s="110">
        <f>+L74</f>
        <v>13000</v>
      </c>
      <c r="N74" s="52">
        <v>13000</v>
      </c>
      <c r="O74" s="52"/>
      <c r="P74" s="52">
        <f t="shared" si="66"/>
        <v>13000</v>
      </c>
      <c r="Q74" s="52">
        <f>-VLOOKUP(B:B,'דוח כספי 1-10.17'!A:D,4,0)</f>
        <v>0</v>
      </c>
      <c r="R74" s="52">
        <f t="shared" si="72"/>
        <v>0</v>
      </c>
      <c r="S74" s="52"/>
      <c r="T74" s="52">
        <f>-VLOOKUP(B74,'2174'!$A$1:$G$177,6,0)</f>
        <v>0</v>
      </c>
      <c r="U74" s="63">
        <f t="shared" si="73"/>
        <v>0</v>
      </c>
      <c r="V74" s="52">
        <f t="shared" si="74"/>
        <v>0</v>
      </c>
      <c r="W74" s="52">
        <f>-VLOOKUP(B74,'ביצוע 2019'!$A$3:$H$1103,7,0)</f>
        <v>0</v>
      </c>
      <c r="X74" s="52">
        <f t="shared" si="51"/>
        <v>0</v>
      </c>
      <c r="Y74" s="101">
        <f t="shared" si="71"/>
        <v>0</v>
      </c>
      <c r="Z74" s="52"/>
      <c r="AA74" s="51"/>
    </row>
    <row r="75" spans="1:30" ht="15.75">
      <c r="A75" s="21">
        <v>10</v>
      </c>
      <c r="B75" s="50">
        <v>1313300210</v>
      </c>
      <c r="C75" s="50" t="str">
        <f t="shared" si="52"/>
        <v>210</v>
      </c>
      <c r="D75" s="50" t="str">
        <f t="shared" si="53"/>
        <v>313300</v>
      </c>
      <c r="E75" s="50" t="str">
        <f t="shared" si="54"/>
        <v>31</v>
      </c>
      <c r="F75" s="51" t="s">
        <v>491</v>
      </c>
      <c r="G75" s="110">
        <v>0</v>
      </c>
      <c r="H75" s="110">
        <f t="shared" si="64"/>
        <v>0</v>
      </c>
      <c r="I75" s="110">
        <v>0</v>
      </c>
      <c r="J75" s="110">
        <f t="shared" si="65"/>
        <v>0</v>
      </c>
      <c r="K75" s="110">
        <v>0</v>
      </c>
      <c r="L75" s="110">
        <v>0</v>
      </c>
      <c r="M75" s="110">
        <f>+L75</f>
        <v>0</v>
      </c>
      <c r="N75" s="52">
        <v>0</v>
      </c>
      <c r="O75" s="52"/>
      <c r="P75" s="52">
        <f t="shared" si="66"/>
        <v>0</v>
      </c>
      <c r="Q75" s="52">
        <f>-VLOOKUP(B:B,'דוח כספי 1-10.17'!A:D,4,0)</f>
        <v>20890.75</v>
      </c>
      <c r="R75" s="52">
        <f t="shared" si="72"/>
        <v>25068.899999999998</v>
      </c>
      <c r="S75" s="52"/>
      <c r="T75" s="52">
        <v>0</v>
      </c>
      <c r="U75" s="63">
        <f t="shared" si="73"/>
        <v>0</v>
      </c>
      <c r="V75" s="52">
        <v>0</v>
      </c>
      <c r="W75" s="52">
        <f>-VLOOKUP(B75,'ביצוע 2019'!$A$3:$H$1103,7,0)</f>
        <v>3801.4</v>
      </c>
      <c r="X75" s="52">
        <v>4000</v>
      </c>
      <c r="Y75" s="101">
        <f>IF((X75+W75+V75)&lt;&gt;0,1,0)</f>
        <v>1</v>
      </c>
      <c r="Z75" s="52"/>
      <c r="AA75" s="51"/>
    </row>
    <row r="76" spans="1:30" ht="15.75" hidden="1">
      <c r="A76" s="21">
        <v>9</v>
      </c>
      <c r="B76" s="50">
        <v>1313300920</v>
      </c>
      <c r="C76" s="50" t="str">
        <f t="shared" si="52"/>
        <v>920</v>
      </c>
      <c r="D76" s="50" t="str">
        <f t="shared" si="53"/>
        <v>313300</v>
      </c>
      <c r="E76" s="50" t="str">
        <f t="shared" si="54"/>
        <v>31</v>
      </c>
      <c r="F76" s="51" t="s">
        <v>494</v>
      </c>
      <c r="G76" s="110">
        <v>-83001</v>
      </c>
      <c r="H76" s="110">
        <f t="shared" si="64"/>
        <v>83001</v>
      </c>
      <c r="I76" s="110">
        <v>-177426.47</v>
      </c>
      <c r="J76" s="110">
        <f t="shared" si="65"/>
        <v>177426.47</v>
      </c>
      <c r="K76" s="110">
        <v>94425.47</v>
      </c>
      <c r="L76" s="110">
        <v>180000</v>
      </c>
      <c r="M76" s="110">
        <v>75000</v>
      </c>
      <c r="N76" s="52">
        <v>75000</v>
      </c>
      <c r="O76" s="52"/>
      <c r="P76" s="52">
        <f t="shared" si="66"/>
        <v>75000</v>
      </c>
      <c r="Q76" s="52">
        <f>-VLOOKUP(B:B,'דוח כספי 1-10.17'!A:D,4,0)</f>
        <v>187846.25</v>
      </c>
      <c r="R76" s="52">
        <f t="shared" si="72"/>
        <v>225415.5</v>
      </c>
      <c r="S76" s="52">
        <v>254000</v>
      </c>
      <c r="T76" s="52">
        <f>-VLOOKUP(B76,'2174'!$A$1:$G$177,6,0)</f>
        <v>0</v>
      </c>
      <c r="U76" s="63">
        <f t="shared" ref="U76:U80" si="75">T76*12/11</f>
        <v>0</v>
      </c>
      <c r="V76" s="52">
        <f t="shared" ref="V76:V80" si="76">U76</f>
        <v>0</v>
      </c>
      <c r="W76" s="52">
        <f>-VLOOKUP(B76,'ביצוע 2019'!$A$3:$H$1103,7,0)</f>
        <v>0</v>
      </c>
      <c r="X76" s="52">
        <f t="shared" si="51"/>
        <v>0</v>
      </c>
      <c r="Y76" s="101">
        <f t="shared" si="71"/>
        <v>0</v>
      </c>
      <c r="Z76" s="52"/>
      <c r="AA76" s="206" t="s">
        <v>1888</v>
      </c>
    </row>
    <row r="77" spans="1:30" ht="15.75" hidden="1">
      <c r="A77" s="21">
        <v>9</v>
      </c>
      <c r="B77" s="50">
        <v>1313300921</v>
      </c>
      <c r="C77" s="50" t="str">
        <f t="shared" si="52"/>
        <v>921</v>
      </c>
      <c r="D77" s="50" t="str">
        <f t="shared" si="53"/>
        <v>313300</v>
      </c>
      <c r="E77" s="50" t="str">
        <f t="shared" si="54"/>
        <v>31</v>
      </c>
      <c r="F77" s="51" t="s">
        <v>495</v>
      </c>
      <c r="G77" s="110">
        <v>-110000</v>
      </c>
      <c r="H77" s="110">
        <f t="shared" si="64"/>
        <v>110000</v>
      </c>
      <c r="I77" s="110">
        <v>-144767.63</v>
      </c>
      <c r="J77" s="110">
        <f t="shared" si="65"/>
        <v>144767.63</v>
      </c>
      <c r="K77" s="110">
        <v>34767.629999999997</v>
      </c>
      <c r="L77" s="110">
        <v>150000</v>
      </c>
      <c r="M77" s="110">
        <v>65000</v>
      </c>
      <c r="N77" s="52">
        <v>65000</v>
      </c>
      <c r="O77" s="52"/>
      <c r="P77" s="52">
        <f t="shared" si="66"/>
        <v>65000</v>
      </c>
      <c r="Q77" s="52">
        <f>-VLOOKUP(B:B,'דוח כספי 1-10.17'!A:D,4,0)</f>
        <v>0</v>
      </c>
      <c r="R77" s="52">
        <f t="shared" si="72"/>
        <v>0</v>
      </c>
      <c r="S77" s="52">
        <v>65000</v>
      </c>
      <c r="T77" s="52">
        <f>-VLOOKUP(B77,'2174'!$A$1:$G$177,6,0)</f>
        <v>0</v>
      </c>
      <c r="U77" s="63">
        <f t="shared" si="75"/>
        <v>0</v>
      </c>
      <c r="V77" s="52">
        <f t="shared" si="76"/>
        <v>0</v>
      </c>
      <c r="W77" s="52">
        <f>-VLOOKUP(B77,'ביצוע 2019'!$A$3:$H$1103,7,0)</f>
        <v>0</v>
      </c>
      <c r="X77" s="52">
        <f t="shared" si="51"/>
        <v>0</v>
      </c>
      <c r="Y77" s="101">
        <f t="shared" si="71"/>
        <v>0</v>
      </c>
      <c r="Z77" s="52"/>
      <c r="AA77" s="208" t="s">
        <v>1889</v>
      </c>
    </row>
    <row r="78" spans="1:30" ht="15.75" hidden="1">
      <c r="A78" s="21">
        <v>9</v>
      </c>
      <c r="B78" s="50">
        <v>1313300922</v>
      </c>
      <c r="C78" s="50" t="str">
        <f t="shared" si="52"/>
        <v>922</v>
      </c>
      <c r="D78" s="50" t="str">
        <f t="shared" si="53"/>
        <v>313300</v>
      </c>
      <c r="E78" s="50" t="str">
        <f t="shared" si="54"/>
        <v>31</v>
      </c>
      <c r="F78" s="51" t="s">
        <v>496</v>
      </c>
      <c r="G78" s="110">
        <v>-25006</v>
      </c>
      <c r="H78" s="110">
        <f t="shared" si="64"/>
        <v>25006</v>
      </c>
      <c r="I78" s="110">
        <v>-16650.22</v>
      </c>
      <c r="J78" s="110">
        <f t="shared" si="65"/>
        <v>16650.22</v>
      </c>
      <c r="K78" s="110">
        <v>-8355.7800000000007</v>
      </c>
      <c r="L78" s="110">
        <v>17000</v>
      </c>
      <c r="M78" s="110">
        <f>+L78</f>
        <v>17000</v>
      </c>
      <c r="N78" s="52">
        <v>17000</v>
      </c>
      <c r="O78" s="52"/>
      <c r="P78" s="52">
        <f t="shared" si="66"/>
        <v>17000</v>
      </c>
      <c r="Q78" s="52">
        <f>-VLOOKUP(B:B,'דוח כספי 1-10.17'!A:D,4,0)</f>
        <v>0</v>
      </c>
      <c r="R78" s="52">
        <f t="shared" si="72"/>
        <v>0</v>
      </c>
      <c r="S78" s="52">
        <v>9000</v>
      </c>
      <c r="T78" s="52">
        <f>-VLOOKUP(B78,'2174'!$A$1:$G$177,6,0)</f>
        <v>0</v>
      </c>
      <c r="U78" s="63">
        <f t="shared" si="75"/>
        <v>0</v>
      </c>
      <c r="V78" s="52">
        <f t="shared" si="76"/>
        <v>0</v>
      </c>
      <c r="W78" s="52">
        <f>-VLOOKUP(B78,'ביצוע 2019'!$A$3:$H$1103,7,0)</f>
        <v>0</v>
      </c>
      <c r="X78" s="52">
        <f t="shared" si="51"/>
        <v>0</v>
      </c>
      <c r="Y78" s="101">
        <f t="shared" si="71"/>
        <v>0</v>
      </c>
      <c r="Z78" s="52"/>
      <c r="AA78" s="209" t="s">
        <v>1890</v>
      </c>
      <c r="AD78" s="210"/>
    </row>
    <row r="79" spans="1:30" ht="15.75" hidden="1">
      <c r="A79" s="21">
        <v>9</v>
      </c>
      <c r="B79" s="50">
        <v>1313300923</v>
      </c>
      <c r="C79" s="50" t="str">
        <f t="shared" si="52"/>
        <v>923</v>
      </c>
      <c r="D79" s="50" t="str">
        <f t="shared" si="53"/>
        <v>313300</v>
      </c>
      <c r="E79" s="50" t="str">
        <f t="shared" si="54"/>
        <v>31</v>
      </c>
      <c r="F79" s="51" t="s">
        <v>497</v>
      </c>
      <c r="G79" s="110">
        <v>0</v>
      </c>
      <c r="H79" s="110">
        <f t="shared" si="64"/>
        <v>0</v>
      </c>
      <c r="I79" s="110">
        <v>0</v>
      </c>
      <c r="J79" s="110">
        <f t="shared" si="65"/>
        <v>0</v>
      </c>
      <c r="K79" s="110">
        <v>0</v>
      </c>
      <c r="L79" s="110">
        <v>0</v>
      </c>
      <c r="M79" s="110">
        <f>+L79</f>
        <v>0</v>
      </c>
      <c r="N79" s="52">
        <v>0</v>
      </c>
      <c r="O79" s="52"/>
      <c r="P79" s="52">
        <f t="shared" si="66"/>
        <v>0</v>
      </c>
      <c r="Q79" s="52">
        <f>-VLOOKUP(B:B,'דוח כספי 1-10.17'!A:D,4,0)</f>
        <v>0</v>
      </c>
      <c r="R79" s="52">
        <f t="shared" si="72"/>
        <v>0</v>
      </c>
      <c r="S79" s="52">
        <v>9000</v>
      </c>
      <c r="T79" s="52"/>
      <c r="U79" s="63">
        <f t="shared" si="75"/>
        <v>0</v>
      </c>
      <c r="V79" s="52">
        <f t="shared" si="76"/>
        <v>0</v>
      </c>
      <c r="W79" s="52">
        <f>-VLOOKUP(B79,'ביצוע 2019'!$A$3:$H$1103,7,0)</f>
        <v>0</v>
      </c>
      <c r="X79" s="52">
        <f t="shared" si="51"/>
        <v>0</v>
      </c>
      <c r="Y79" s="101">
        <f t="shared" si="71"/>
        <v>0</v>
      </c>
      <c r="Z79" s="52"/>
      <c r="AA79" s="208" t="s">
        <v>1891</v>
      </c>
      <c r="AD79" s="210"/>
    </row>
    <row r="80" spans="1:30" ht="15.75" hidden="1">
      <c r="A80" s="21">
        <v>9</v>
      </c>
      <c r="B80" s="50">
        <v>1313300924</v>
      </c>
      <c r="C80" s="50" t="str">
        <f t="shared" si="52"/>
        <v>924</v>
      </c>
      <c r="D80" s="50" t="str">
        <f t="shared" si="53"/>
        <v>313300</v>
      </c>
      <c r="E80" s="50" t="str">
        <f t="shared" si="54"/>
        <v>31</v>
      </c>
      <c r="F80" s="51" t="s">
        <v>498</v>
      </c>
      <c r="G80" s="110">
        <v>0</v>
      </c>
      <c r="H80" s="110">
        <f t="shared" si="64"/>
        <v>0</v>
      </c>
      <c r="I80" s="110">
        <v>0</v>
      </c>
      <c r="J80" s="110">
        <f t="shared" si="65"/>
        <v>0</v>
      </c>
      <c r="K80" s="110">
        <v>0</v>
      </c>
      <c r="L80" s="110">
        <v>0</v>
      </c>
      <c r="M80" s="110">
        <f>+L80</f>
        <v>0</v>
      </c>
      <c r="N80" s="52">
        <v>0</v>
      </c>
      <c r="O80" s="52"/>
      <c r="P80" s="52">
        <f t="shared" si="66"/>
        <v>0</v>
      </c>
      <c r="Q80" s="52">
        <f>-VLOOKUP(B:B,'דוח כספי 1-10.17'!A:D,4,0)</f>
        <v>0</v>
      </c>
      <c r="R80" s="52">
        <f t="shared" si="72"/>
        <v>0</v>
      </c>
      <c r="S80" s="52">
        <v>46000</v>
      </c>
      <c r="T80" s="52"/>
      <c r="U80" s="63">
        <f t="shared" si="75"/>
        <v>0</v>
      </c>
      <c r="V80" s="52">
        <f t="shared" si="76"/>
        <v>0</v>
      </c>
      <c r="W80" s="52">
        <f>-VLOOKUP(B80,'ביצוע 2019'!$A$3:$H$1103,7,0)</f>
        <v>0</v>
      </c>
      <c r="X80" s="52">
        <f t="shared" si="51"/>
        <v>0</v>
      </c>
      <c r="Y80" s="101">
        <f t="shared" si="71"/>
        <v>0</v>
      </c>
      <c r="Z80" s="52"/>
      <c r="AA80" s="208" t="s">
        <v>1892</v>
      </c>
    </row>
    <row r="81" spans="1:27" ht="15.75">
      <c r="A81" s="21">
        <v>9</v>
      </c>
      <c r="B81" s="50">
        <v>1313300925</v>
      </c>
      <c r="C81" s="50" t="str">
        <f t="shared" si="52"/>
        <v>925</v>
      </c>
      <c r="D81" s="50" t="str">
        <f t="shared" si="53"/>
        <v>313300</v>
      </c>
      <c r="E81" s="50" t="str">
        <f t="shared" si="54"/>
        <v>31</v>
      </c>
      <c r="F81" s="51" t="s">
        <v>499</v>
      </c>
      <c r="G81" s="110">
        <v>-190000</v>
      </c>
      <c r="H81" s="110">
        <f t="shared" si="64"/>
        <v>190000</v>
      </c>
      <c r="I81" s="110">
        <v>-594276.36</v>
      </c>
      <c r="J81" s="110">
        <f t="shared" si="65"/>
        <v>594276.36</v>
      </c>
      <c r="K81" s="110">
        <v>404276.36</v>
      </c>
      <c r="L81" s="110">
        <v>600000</v>
      </c>
      <c r="M81" s="110">
        <v>380000</v>
      </c>
      <c r="N81" s="52">
        <v>380000</v>
      </c>
      <c r="O81" s="52"/>
      <c r="P81" s="52">
        <f t="shared" si="66"/>
        <v>380000</v>
      </c>
      <c r="Q81" s="52">
        <f>-VLOOKUP(B:B,'דוח כספי 1-10.17'!A:D,4,0)</f>
        <v>134076.5</v>
      </c>
      <c r="R81" s="52">
        <f t="shared" si="72"/>
        <v>160891.79999999999</v>
      </c>
      <c r="S81" s="52">
        <v>194000</v>
      </c>
      <c r="T81" s="52">
        <f>-VLOOKUP(B81,'2174'!$A$1:$G$177,6,0)</f>
        <v>266723.28000000003</v>
      </c>
      <c r="U81" s="63">
        <v>302000</v>
      </c>
      <c r="V81" s="52">
        <v>302000</v>
      </c>
      <c r="W81" s="52">
        <f>-VLOOKUP(B81,'ביצוע 2019'!$A$3:$H$1103,7,0)</f>
        <v>566397.12</v>
      </c>
      <c r="X81" s="52">
        <f t="shared" si="51"/>
        <v>566397.12</v>
      </c>
      <c r="Y81" s="101">
        <f t="shared" ref="Y81:Y85" si="77">IF((X81+W81+V81)&lt;&gt;0,1,0)</f>
        <v>1</v>
      </c>
      <c r="Z81" s="52"/>
      <c r="AA81" s="206" t="s">
        <v>1893</v>
      </c>
    </row>
    <row r="82" spans="1:27" ht="15.75">
      <c r="A82" s="21">
        <v>9</v>
      </c>
      <c r="B82" s="50">
        <v>1313300929</v>
      </c>
      <c r="C82" s="50" t="str">
        <f t="shared" si="52"/>
        <v>929</v>
      </c>
      <c r="D82" s="50" t="str">
        <f t="shared" si="53"/>
        <v>313300</v>
      </c>
      <c r="E82" s="50" t="str">
        <f t="shared" si="54"/>
        <v>31</v>
      </c>
      <c r="F82" s="51" t="s">
        <v>501</v>
      </c>
      <c r="G82" s="110">
        <v>0</v>
      </c>
      <c r="H82" s="110">
        <f t="shared" si="64"/>
        <v>0</v>
      </c>
      <c r="I82" s="110">
        <v>0</v>
      </c>
      <c r="J82" s="110">
        <f t="shared" si="65"/>
        <v>0</v>
      </c>
      <c r="K82" s="110">
        <v>0</v>
      </c>
      <c r="L82" s="110">
        <v>0</v>
      </c>
      <c r="M82" s="110">
        <v>160000</v>
      </c>
      <c r="N82" s="52">
        <v>160000</v>
      </c>
      <c r="O82" s="52"/>
      <c r="P82" s="52">
        <f t="shared" si="66"/>
        <v>160000</v>
      </c>
      <c r="Q82" s="52">
        <f>-VLOOKUP(B:B,'דוח כספי 1-10.17'!A:D,4,0)</f>
        <v>33953.4</v>
      </c>
      <c r="R82" s="52">
        <f t="shared" si="72"/>
        <v>40744.080000000002</v>
      </c>
      <c r="S82" s="52"/>
      <c r="T82" s="52">
        <f>-VLOOKUP(B82,'2174'!$A$1:$G$177,6,0)</f>
        <v>146284.54999999999</v>
      </c>
      <c r="U82" s="63">
        <f t="shared" ref="U82" si="78">T82*12/11</f>
        <v>159583.14545454545</v>
      </c>
      <c r="V82" s="52">
        <v>164000</v>
      </c>
      <c r="W82" s="52">
        <f>-VLOOKUP(B82,'ביצוע 2019'!$A$3:$H$1103,7,0)</f>
        <v>132362.70000000001</v>
      </c>
      <c r="X82" s="52">
        <f t="shared" si="51"/>
        <v>132362.70000000001</v>
      </c>
      <c r="Y82" s="101">
        <f t="shared" si="77"/>
        <v>1</v>
      </c>
      <c r="Z82" s="52"/>
      <c r="AA82" s="51" t="s">
        <v>1894</v>
      </c>
    </row>
    <row r="83" spans="1:27" ht="15.75">
      <c r="A83" s="21">
        <v>9</v>
      </c>
      <c r="B83" s="50">
        <v>1313800920</v>
      </c>
      <c r="C83" s="50" t="str">
        <f t="shared" si="52"/>
        <v>920</v>
      </c>
      <c r="D83" s="50" t="str">
        <f t="shared" si="53"/>
        <v>313800</v>
      </c>
      <c r="E83" s="50" t="str">
        <f t="shared" si="54"/>
        <v>31</v>
      </c>
      <c r="F83" s="51" t="s">
        <v>1620</v>
      </c>
      <c r="G83" s="110"/>
      <c r="H83" s="110"/>
      <c r="I83" s="110"/>
      <c r="J83" s="110"/>
      <c r="K83" s="110"/>
      <c r="L83" s="110">
        <v>500000</v>
      </c>
      <c r="M83" s="110">
        <v>600000</v>
      </c>
      <c r="N83" s="52">
        <v>600000</v>
      </c>
      <c r="O83" s="52"/>
      <c r="P83" s="52">
        <f>N83+O83</f>
        <v>600000</v>
      </c>
      <c r="Q83" s="52">
        <f>-VLOOKUP(B:B,'דוח כספי 1-10.17'!A:D,4,0)</f>
        <v>625416</v>
      </c>
      <c r="R83" s="52">
        <f>Q83/10*12</f>
        <v>750499.2</v>
      </c>
      <c r="S83" s="52">
        <v>751000</v>
      </c>
      <c r="T83" s="52">
        <f>-VLOOKUP(B83,'2174'!$A$1:$G$177,6,0)</f>
        <v>1307933.1299999999</v>
      </c>
      <c r="U83" s="63">
        <v>644000</v>
      </c>
      <c r="V83" s="52">
        <v>700000</v>
      </c>
      <c r="W83" s="52">
        <f>-VLOOKUP(B83,'ביצוע 2019'!$A$3:$H$1103,7,0)</f>
        <v>1346202.4</v>
      </c>
      <c r="X83" s="52">
        <f t="shared" si="51"/>
        <v>1346202.4</v>
      </c>
      <c r="Y83" s="101">
        <f t="shared" si="77"/>
        <v>1</v>
      </c>
      <c r="Z83" s="52"/>
      <c r="AA83" s="207"/>
    </row>
    <row r="84" spans="1:27" ht="15.75">
      <c r="A84" s="21">
        <v>10</v>
      </c>
      <c r="B84" s="50">
        <v>1313600420</v>
      </c>
      <c r="C84" s="50" t="str">
        <f t="shared" si="52"/>
        <v>420</v>
      </c>
      <c r="D84" s="50" t="str">
        <f t="shared" si="53"/>
        <v>313600</v>
      </c>
      <c r="E84" s="50" t="str">
        <f t="shared" si="54"/>
        <v>31</v>
      </c>
      <c r="F84" s="51" t="s">
        <v>1992</v>
      </c>
      <c r="G84" s="110"/>
      <c r="H84" s="110"/>
      <c r="I84" s="110"/>
      <c r="J84" s="110"/>
      <c r="K84" s="110"/>
      <c r="L84" s="110">
        <v>500000</v>
      </c>
      <c r="M84" s="110">
        <v>600000</v>
      </c>
      <c r="N84" s="52">
        <v>9000</v>
      </c>
      <c r="O84" s="52"/>
      <c r="P84" s="52">
        <f>N84+O84</f>
        <v>9000</v>
      </c>
      <c r="Q84" s="52">
        <f>-VLOOKUP(B:B,'דוח כספי 1-10.17'!A:D,4,0)</f>
        <v>8859.92</v>
      </c>
      <c r="R84" s="52">
        <v>9000</v>
      </c>
      <c r="S84" s="52">
        <v>10000</v>
      </c>
      <c r="T84" s="52">
        <f>-VLOOKUP(B84,'2174'!$A$1:$G$177,6,0)</f>
        <v>3330</v>
      </c>
      <c r="U84" s="63">
        <v>7000</v>
      </c>
      <c r="V84" s="52">
        <v>15000</v>
      </c>
      <c r="W84" s="52">
        <f>-VLOOKUP(B84,'ביצוע 2019'!$A$3:$H$1103,7,0)</f>
        <v>13150</v>
      </c>
      <c r="X84" s="52">
        <v>29500</v>
      </c>
      <c r="Y84" s="101">
        <f t="shared" si="77"/>
        <v>1</v>
      </c>
      <c r="Z84" s="52"/>
      <c r="AA84" s="51" t="s">
        <v>1895</v>
      </c>
    </row>
    <row r="85" spans="1:27" ht="15.75">
      <c r="A85" s="21"/>
      <c r="B85" s="222"/>
      <c r="C85" s="222"/>
      <c r="D85" s="222"/>
      <c r="E85" s="222"/>
      <c r="F85" s="223" t="s">
        <v>1942</v>
      </c>
      <c r="G85" s="224"/>
      <c r="H85" s="224"/>
      <c r="I85" s="224"/>
      <c r="J85" s="224"/>
      <c r="K85" s="224"/>
      <c r="L85" s="224"/>
      <c r="M85" s="224"/>
      <c r="N85" s="225">
        <f t="shared" ref="N85:X85" si="79">SUM(N45:N84)</f>
        <v>5965000</v>
      </c>
      <c r="O85" s="225">
        <f t="shared" si="79"/>
        <v>0</v>
      </c>
      <c r="P85" s="225">
        <f t="shared" si="79"/>
        <v>5965000</v>
      </c>
      <c r="Q85" s="225">
        <f t="shared" si="79"/>
        <v>5164590.45</v>
      </c>
      <c r="R85" s="225">
        <f t="shared" si="79"/>
        <v>6195876.6359999999</v>
      </c>
      <c r="S85" s="225">
        <f t="shared" si="79"/>
        <v>6223600</v>
      </c>
      <c r="T85" s="225">
        <f t="shared" si="79"/>
        <v>7524683.6499999994</v>
      </c>
      <c r="U85" s="225">
        <f t="shared" si="79"/>
        <v>7438748.2618181808</v>
      </c>
      <c r="V85" s="225">
        <f t="shared" si="79"/>
        <v>8265000</v>
      </c>
      <c r="W85" s="225">
        <f t="shared" si="79"/>
        <v>10093976.759999998</v>
      </c>
      <c r="X85" s="225">
        <f t="shared" si="79"/>
        <v>9713898.3599999994</v>
      </c>
      <c r="Y85" s="101">
        <f t="shared" si="77"/>
        <v>1</v>
      </c>
      <c r="Z85" s="52"/>
      <c r="AA85" s="51"/>
    </row>
    <row r="86" spans="1:27" ht="15.75" hidden="1">
      <c r="A86" s="21">
        <v>10</v>
      </c>
      <c r="B86" s="50">
        <v>1314000420</v>
      </c>
      <c r="C86" s="50" t="str">
        <f t="shared" ref="C86:C89" si="80">RIGHT(B86,3)</f>
        <v>420</v>
      </c>
      <c r="D86" s="50" t="str">
        <f t="shared" ref="D86:D89" si="81">MID(B86,2,6)</f>
        <v>314000</v>
      </c>
      <c r="E86" s="50" t="str">
        <f t="shared" ref="E86:E89" si="82">LEFT(D86,2)</f>
        <v>31</v>
      </c>
      <c r="F86" s="51" t="s">
        <v>480</v>
      </c>
      <c r="G86" s="110">
        <v>0</v>
      </c>
      <c r="H86" s="110">
        <f t="shared" ref="H86:H89" si="83">G86*-1</f>
        <v>0</v>
      </c>
      <c r="I86" s="110">
        <v>-6770</v>
      </c>
      <c r="J86" s="110">
        <f t="shared" ref="J86:J89" si="84">I86*-1</f>
        <v>6770</v>
      </c>
      <c r="K86" s="110">
        <v>6770</v>
      </c>
      <c r="L86" s="110">
        <v>0</v>
      </c>
      <c r="M86" s="110">
        <f>+L86</f>
        <v>0</v>
      </c>
      <c r="N86" s="52">
        <v>0</v>
      </c>
      <c r="O86" s="52"/>
      <c r="P86" s="52">
        <f t="shared" ref="P86:P89" si="85">N86+O86</f>
        <v>0</v>
      </c>
      <c r="Q86" s="52">
        <f>-VLOOKUP(B:B,'דוח כספי 1-10.17'!A:D,4,0)</f>
        <v>0</v>
      </c>
      <c r="R86" s="52">
        <f t="shared" ref="R86:R89" si="86">Q86/10*12</f>
        <v>0</v>
      </c>
      <c r="S86" s="52"/>
      <c r="T86" s="52"/>
      <c r="U86" s="52"/>
      <c r="V86" s="52"/>
      <c r="W86" s="52">
        <f>-VLOOKUP(B86,'ביצוע 2019'!$A$3:$H$1103,7,0)</f>
        <v>0</v>
      </c>
      <c r="X86" s="52">
        <f t="shared" ref="X86:X89" si="87">W86</f>
        <v>0</v>
      </c>
      <c r="Y86" s="101">
        <f t="shared" si="71"/>
        <v>0</v>
      </c>
      <c r="Z86" s="52"/>
      <c r="AA86" s="206"/>
    </row>
    <row r="87" spans="1:27" ht="15.75">
      <c r="A87" s="21">
        <v>9</v>
      </c>
      <c r="B87" s="50">
        <v>1314000920</v>
      </c>
      <c r="C87" s="50" t="str">
        <f t="shared" si="80"/>
        <v>920</v>
      </c>
      <c r="D87" s="50" t="str">
        <f t="shared" si="81"/>
        <v>314000</v>
      </c>
      <c r="E87" s="50" t="str">
        <f t="shared" si="82"/>
        <v>31</v>
      </c>
      <c r="F87" s="51" t="s">
        <v>502</v>
      </c>
      <c r="G87" s="110">
        <v>-2053001</v>
      </c>
      <c r="H87" s="110">
        <f t="shared" si="83"/>
        <v>2053001</v>
      </c>
      <c r="I87" s="110">
        <v>-2100000</v>
      </c>
      <c r="J87" s="110">
        <f t="shared" si="84"/>
        <v>2100000</v>
      </c>
      <c r="K87" s="110">
        <v>15083.3</v>
      </c>
      <c r="L87" s="110">
        <v>2269000</v>
      </c>
      <c r="M87" s="110">
        <v>2100000</v>
      </c>
      <c r="N87" s="52">
        <v>2100000</v>
      </c>
      <c r="O87" s="52"/>
      <c r="P87" s="52">
        <f t="shared" si="85"/>
        <v>2100000</v>
      </c>
      <c r="Q87" s="52">
        <f>-VLOOKUP(B:B,'דוח כספי 1-10.17'!A:D,4,0)</f>
        <v>1780215.18</v>
      </c>
      <c r="R87" s="52">
        <f t="shared" si="86"/>
        <v>2136258.216</v>
      </c>
      <c r="S87" s="52">
        <v>2564000</v>
      </c>
      <c r="T87" s="52">
        <f>-VLOOKUP(B87,'2174'!$A$1:$G$177,6,0)</f>
        <v>1869194.56</v>
      </c>
      <c r="U87" s="63">
        <f>T87*12/11</f>
        <v>2039121.3381818181</v>
      </c>
      <c r="V87" s="52">
        <v>2100000</v>
      </c>
      <c r="W87" s="52">
        <f>-VLOOKUP(B87,'ביצוע 2019'!$A$3:$H$1103,7,0)</f>
        <v>2024307.51</v>
      </c>
      <c r="X87" s="52">
        <f t="shared" si="87"/>
        <v>2024307.51</v>
      </c>
      <c r="Y87" s="101">
        <f t="shared" ref="Y87:Y90" si="88">IF((X87+W87+V87)&lt;&gt;0,1,0)</f>
        <v>1</v>
      </c>
      <c r="Z87" s="52"/>
      <c r="AA87" s="206"/>
    </row>
    <row r="88" spans="1:27" ht="15.75">
      <c r="A88" s="21">
        <v>9</v>
      </c>
      <c r="B88" s="50">
        <v>1314000922</v>
      </c>
      <c r="C88" s="50" t="str">
        <f t="shared" si="80"/>
        <v>922</v>
      </c>
      <c r="D88" s="50" t="str">
        <f t="shared" si="81"/>
        <v>314000</v>
      </c>
      <c r="E88" s="50" t="str">
        <f t="shared" si="82"/>
        <v>31</v>
      </c>
      <c r="F88" s="51" t="s">
        <v>504</v>
      </c>
      <c r="G88" s="110"/>
      <c r="H88" s="110"/>
      <c r="I88" s="110"/>
      <c r="J88" s="110"/>
      <c r="K88" s="110"/>
      <c r="L88" s="110"/>
      <c r="M88" s="110"/>
      <c r="N88" s="52"/>
      <c r="O88" s="52"/>
      <c r="P88" s="52"/>
      <c r="Q88" s="52"/>
      <c r="R88" s="52"/>
      <c r="S88" s="52"/>
      <c r="T88" s="52"/>
      <c r="U88" s="63"/>
      <c r="V88" s="52">
        <v>0</v>
      </c>
      <c r="W88" s="52">
        <f>-VLOOKUP(B88,'ביצוע 2019'!$A$3:$H$1103,7,0)</f>
        <v>149517.72</v>
      </c>
      <c r="X88" s="52">
        <f t="shared" si="87"/>
        <v>149517.72</v>
      </c>
      <c r="Y88" s="101">
        <f t="shared" si="88"/>
        <v>1</v>
      </c>
      <c r="Z88" s="52"/>
      <c r="AA88" s="206"/>
    </row>
    <row r="89" spans="1:27" ht="15.75">
      <c r="A89" s="21">
        <v>9</v>
      </c>
      <c r="B89" s="50">
        <v>1314000924</v>
      </c>
      <c r="C89" s="50" t="str">
        <f t="shared" si="80"/>
        <v>924</v>
      </c>
      <c r="D89" s="50" t="str">
        <f t="shared" si="81"/>
        <v>314000</v>
      </c>
      <c r="E89" s="50" t="str">
        <f t="shared" si="82"/>
        <v>31</v>
      </c>
      <c r="F89" s="51" t="s">
        <v>506</v>
      </c>
      <c r="G89" s="110">
        <v>0</v>
      </c>
      <c r="H89" s="110">
        <f t="shared" si="83"/>
        <v>0</v>
      </c>
      <c r="I89" s="110">
        <v>-28828.83</v>
      </c>
      <c r="J89" s="110">
        <f t="shared" si="84"/>
        <v>28828.83</v>
      </c>
      <c r="K89" s="110">
        <v>28828.83</v>
      </c>
      <c r="L89" s="110">
        <v>30000</v>
      </c>
      <c r="M89" s="110">
        <f>+L89</f>
        <v>30000</v>
      </c>
      <c r="N89" s="52">
        <v>30000</v>
      </c>
      <c r="O89" s="52"/>
      <c r="P89" s="52">
        <f t="shared" si="85"/>
        <v>30000</v>
      </c>
      <c r="Q89" s="52">
        <f>-VLOOKUP(B:B,'דוח כספי 1-10.17'!A:D,4,0)</f>
        <v>59113.93</v>
      </c>
      <c r="R89" s="52">
        <f t="shared" si="86"/>
        <v>70936.716</v>
      </c>
      <c r="S89" s="52">
        <v>3000</v>
      </c>
      <c r="T89" s="52">
        <f>-VLOOKUP(B89,'2174'!$A$1:$G$177,6,0)</f>
        <v>0</v>
      </c>
      <c r="U89" s="63">
        <f>T89*12/11</f>
        <v>0</v>
      </c>
      <c r="V89" s="52">
        <f>U89</f>
        <v>0</v>
      </c>
      <c r="W89" s="52">
        <f>-VLOOKUP(B89,'ביצוע 2019'!$A$3:$H$1103,7,0)</f>
        <v>11217.67</v>
      </c>
      <c r="X89" s="52">
        <f t="shared" si="87"/>
        <v>11217.67</v>
      </c>
      <c r="Y89" s="101">
        <f t="shared" si="88"/>
        <v>1</v>
      </c>
      <c r="Z89" s="52"/>
      <c r="AA89" s="206" t="s">
        <v>1896</v>
      </c>
    </row>
    <row r="90" spans="1:27" ht="15.75">
      <c r="A90" s="21"/>
      <c r="B90" s="222"/>
      <c r="C90" s="222"/>
      <c r="D90" s="222"/>
      <c r="E90" s="222"/>
      <c r="F90" s="223" t="s">
        <v>1943</v>
      </c>
      <c r="G90" s="224"/>
      <c r="H90" s="224"/>
      <c r="I90" s="224"/>
      <c r="J90" s="224"/>
      <c r="K90" s="224"/>
      <c r="L90" s="224"/>
      <c r="M90" s="224"/>
      <c r="N90" s="225">
        <f>SUM(N86:N89)</f>
        <v>2130000</v>
      </c>
      <c r="O90" s="225"/>
      <c r="P90" s="225">
        <f t="shared" ref="P90:X90" si="89">SUM(P86:P89)</f>
        <v>2130000</v>
      </c>
      <c r="Q90" s="225">
        <f t="shared" si="89"/>
        <v>1839329.1099999999</v>
      </c>
      <c r="R90" s="225">
        <f t="shared" si="89"/>
        <v>2207194.932</v>
      </c>
      <c r="S90" s="225">
        <f t="shared" si="89"/>
        <v>2567000</v>
      </c>
      <c r="T90" s="225">
        <f t="shared" si="89"/>
        <v>1869194.56</v>
      </c>
      <c r="U90" s="225">
        <f t="shared" si="89"/>
        <v>2039121.3381818181</v>
      </c>
      <c r="V90" s="225">
        <f t="shared" si="89"/>
        <v>2100000</v>
      </c>
      <c r="W90" s="225">
        <f t="shared" si="89"/>
        <v>2185042.9</v>
      </c>
      <c r="X90" s="225">
        <f t="shared" si="89"/>
        <v>2185042.9</v>
      </c>
      <c r="Y90" s="101">
        <f t="shared" si="88"/>
        <v>1</v>
      </c>
      <c r="Z90" s="52"/>
      <c r="AA90" s="51"/>
    </row>
    <row r="91" spans="1:27" ht="15.75" hidden="1">
      <c r="A91" s="21">
        <v>10</v>
      </c>
      <c r="B91" s="50">
        <v>1315200490</v>
      </c>
      <c r="C91" s="50" t="str">
        <f t="shared" ref="C91:C101" si="90">RIGHT(B91,3)</f>
        <v>490</v>
      </c>
      <c r="D91" s="50" t="str">
        <f t="shared" ref="D91:D101" si="91">MID(B91,2,6)</f>
        <v>315200</v>
      </c>
      <c r="E91" s="50" t="str">
        <f t="shared" ref="E91:E101" si="92">LEFT(D91,2)</f>
        <v>31</v>
      </c>
      <c r="F91" s="51" t="s">
        <v>508</v>
      </c>
      <c r="G91" s="110">
        <v>0</v>
      </c>
      <c r="H91" s="110">
        <f t="shared" ref="H91:H101" si="93">G91*-1</f>
        <v>0</v>
      </c>
      <c r="I91" s="110">
        <v>0</v>
      </c>
      <c r="J91" s="110">
        <f t="shared" ref="J91:J101" si="94">I91*-1</f>
        <v>0</v>
      </c>
      <c r="K91" s="110">
        <v>0</v>
      </c>
      <c r="L91" s="110">
        <v>0</v>
      </c>
      <c r="M91" s="110">
        <f>+L91</f>
        <v>0</v>
      </c>
      <c r="N91" s="52">
        <v>0</v>
      </c>
      <c r="O91" s="52"/>
      <c r="P91" s="52">
        <f t="shared" ref="P91:P101" si="95">N91+O91</f>
        <v>0</v>
      </c>
      <c r="Q91" s="52">
        <f>-VLOOKUP(B:B,'דוח כספי 1-10.17'!A:D,4,0)</f>
        <v>0</v>
      </c>
      <c r="R91" s="52">
        <f>Q91/10*12</f>
        <v>0</v>
      </c>
      <c r="S91" s="52"/>
      <c r="T91" s="52"/>
      <c r="U91" s="52"/>
      <c r="V91" s="52"/>
      <c r="W91" s="52">
        <f>-VLOOKUP(B91,'ביצוע 2019'!$A$3:$H$1103,7,0)</f>
        <v>0</v>
      </c>
      <c r="X91" s="52">
        <f t="shared" ref="X91:X140" si="96">W91</f>
        <v>0</v>
      </c>
      <c r="Y91" s="101">
        <f t="shared" si="71"/>
        <v>0</v>
      </c>
      <c r="Z91" s="52"/>
      <c r="AA91" s="51"/>
    </row>
    <row r="92" spans="1:27" ht="15.75">
      <c r="A92" s="21">
        <v>9</v>
      </c>
      <c r="B92" s="50">
        <v>1315200920</v>
      </c>
      <c r="C92" s="50" t="str">
        <f t="shared" si="90"/>
        <v>920</v>
      </c>
      <c r="D92" s="50" t="str">
        <f t="shared" si="91"/>
        <v>315200</v>
      </c>
      <c r="E92" s="50" t="str">
        <f t="shared" si="92"/>
        <v>31</v>
      </c>
      <c r="F92" s="51" t="s">
        <v>1927</v>
      </c>
      <c r="G92" s="110">
        <v>-602004</v>
      </c>
      <c r="H92" s="110">
        <f t="shared" si="93"/>
        <v>602004</v>
      </c>
      <c r="I92" s="110">
        <v>-800000</v>
      </c>
      <c r="J92" s="110">
        <f t="shared" si="94"/>
        <v>800000</v>
      </c>
      <c r="K92" s="110">
        <v>191635.08</v>
      </c>
      <c r="L92" s="110">
        <v>1941000</v>
      </c>
      <c r="M92" s="110">
        <v>3230000</v>
      </c>
      <c r="N92" s="52">
        <v>3230000</v>
      </c>
      <c r="O92" s="52"/>
      <c r="P92" s="52">
        <f t="shared" si="95"/>
        <v>3230000</v>
      </c>
      <c r="Q92" s="52"/>
      <c r="R92" s="52">
        <v>500000</v>
      </c>
      <c r="S92" s="52">
        <v>500000</v>
      </c>
      <c r="T92" s="52">
        <f>-VLOOKUP(B92,'2174'!$A$1:$G$177,6,0)</f>
        <v>232456.86</v>
      </c>
      <c r="U92" s="63">
        <f t="shared" ref="U92:U115" si="97">T92*12/11</f>
        <v>253589.30181818179</v>
      </c>
      <c r="V92" s="52">
        <v>260000</v>
      </c>
      <c r="W92" s="52">
        <f>-VLOOKUP(B92,'ביצוע 2019'!$A$3:$H$1103,7,0)</f>
        <v>96.24</v>
      </c>
      <c r="X92" s="52"/>
      <c r="Y92" s="101">
        <f>IF((X92+W92+V92)&lt;&gt;0,1,0)</f>
        <v>1</v>
      </c>
      <c r="Z92" s="52"/>
      <c r="AA92" s="206" t="s">
        <v>1921</v>
      </c>
    </row>
    <row r="93" spans="1:27" ht="15.75" hidden="1">
      <c r="A93" s="21">
        <v>9</v>
      </c>
      <c r="B93" s="50">
        <v>1315200921</v>
      </c>
      <c r="C93" s="50" t="str">
        <f t="shared" si="90"/>
        <v>921</v>
      </c>
      <c r="D93" s="50" t="str">
        <f t="shared" si="91"/>
        <v>315200</v>
      </c>
      <c r="E93" s="50" t="str">
        <f t="shared" si="92"/>
        <v>31</v>
      </c>
      <c r="F93" s="51" t="s">
        <v>510</v>
      </c>
      <c r="G93" s="110">
        <v>-3001</v>
      </c>
      <c r="H93" s="110">
        <f t="shared" si="93"/>
        <v>3001</v>
      </c>
      <c r="I93" s="110">
        <v>-3521.96</v>
      </c>
      <c r="J93" s="110">
        <f t="shared" si="94"/>
        <v>3521.96</v>
      </c>
      <c r="K93" s="110">
        <v>520.96</v>
      </c>
      <c r="L93" s="110">
        <v>4000</v>
      </c>
      <c r="M93" s="110">
        <f>+L93</f>
        <v>4000</v>
      </c>
      <c r="N93" s="52">
        <v>4000</v>
      </c>
      <c r="O93" s="52"/>
      <c r="P93" s="52">
        <f t="shared" si="95"/>
        <v>4000</v>
      </c>
      <c r="Q93" s="52">
        <f>-VLOOKUP(B:B,'דוח כספי 1-10.17'!A:D,4,0)</f>
        <v>2698.78</v>
      </c>
      <c r="R93" s="52">
        <f>Q93/10*12</f>
        <v>3238.5360000000005</v>
      </c>
      <c r="S93" s="52">
        <v>4000</v>
      </c>
      <c r="T93" s="52"/>
      <c r="U93" s="63">
        <f t="shared" si="97"/>
        <v>0</v>
      </c>
      <c r="V93" s="52">
        <f t="shared" ref="V93:V115" si="98">U93</f>
        <v>0</v>
      </c>
      <c r="W93" s="52">
        <f>-VLOOKUP(B93,'ביצוע 2019'!$A$3:$H$1103,7,0)</f>
        <v>0</v>
      </c>
      <c r="X93" s="52">
        <f t="shared" si="96"/>
        <v>0</v>
      </c>
      <c r="Y93" s="101">
        <f t="shared" si="71"/>
        <v>0</v>
      </c>
      <c r="Z93" s="52"/>
      <c r="AA93" s="206" t="s">
        <v>1897</v>
      </c>
    </row>
    <row r="94" spans="1:27" ht="15.75" hidden="1">
      <c r="A94" s="21">
        <v>9</v>
      </c>
      <c r="B94" s="50">
        <v>1315200922</v>
      </c>
      <c r="C94" s="50" t="str">
        <f t="shared" si="90"/>
        <v>922</v>
      </c>
      <c r="D94" s="50" t="str">
        <f t="shared" si="91"/>
        <v>315200</v>
      </c>
      <c r="E94" s="50" t="str">
        <f t="shared" si="92"/>
        <v>31</v>
      </c>
      <c r="F94" s="51" t="s">
        <v>511</v>
      </c>
      <c r="G94" s="110">
        <v>-13001</v>
      </c>
      <c r="H94" s="110">
        <f t="shared" si="93"/>
        <v>13001</v>
      </c>
      <c r="I94" s="110">
        <v>-37219.42</v>
      </c>
      <c r="J94" s="110">
        <f t="shared" si="94"/>
        <v>37219.42</v>
      </c>
      <c r="K94" s="110">
        <v>24218.42</v>
      </c>
      <c r="L94" s="110">
        <v>38000</v>
      </c>
      <c r="M94" s="110">
        <v>15000</v>
      </c>
      <c r="N94" s="52">
        <v>15000</v>
      </c>
      <c r="O94" s="52"/>
      <c r="P94" s="52">
        <f t="shared" si="95"/>
        <v>15000</v>
      </c>
      <c r="Q94" s="52">
        <f>-VLOOKUP(B:B,'דוח כספי 1-10.17'!A:D,4,0)</f>
        <v>11064.8</v>
      </c>
      <c r="R94" s="52">
        <f>Q94/10*12</f>
        <v>13277.76</v>
      </c>
      <c r="S94" s="52">
        <f>R94/10*12</f>
        <v>15933.312000000002</v>
      </c>
      <c r="T94" s="52"/>
      <c r="U94" s="63">
        <f t="shared" si="97"/>
        <v>0</v>
      </c>
      <c r="V94" s="52">
        <f t="shared" si="98"/>
        <v>0</v>
      </c>
      <c r="W94" s="52">
        <f>-VLOOKUP(B94,'ביצוע 2019'!$A$3:$H$1103,7,0)</f>
        <v>0</v>
      </c>
      <c r="X94" s="52">
        <f t="shared" si="96"/>
        <v>0</v>
      </c>
      <c r="Y94" s="101">
        <f t="shared" si="71"/>
        <v>0</v>
      </c>
      <c r="Z94" s="52"/>
      <c r="AA94" s="206" t="s">
        <v>1898</v>
      </c>
    </row>
    <row r="95" spans="1:27" ht="15.75" hidden="1">
      <c r="A95" s="21">
        <v>9</v>
      </c>
      <c r="B95" s="50">
        <v>1315200923</v>
      </c>
      <c r="C95" s="50" t="str">
        <f t="shared" si="90"/>
        <v>923</v>
      </c>
      <c r="D95" s="50" t="str">
        <f t="shared" si="91"/>
        <v>315200</v>
      </c>
      <c r="E95" s="50" t="str">
        <f t="shared" si="92"/>
        <v>31</v>
      </c>
      <c r="F95" s="51" t="s">
        <v>512</v>
      </c>
      <c r="G95" s="110">
        <v>-85006</v>
      </c>
      <c r="H95" s="110">
        <f t="shared" si="93"/>
        <v>85006</v>
      </c>
      <c r="I95" s="110">
        <v>-56718.03</v>
      </c>
      <c r="J95" s="110">
        <f t="shared" si="94"/>
        <v>56718.03</v>
      </c>
      <c r="K95" s="110">
        <v>-28287.97</v>
      </c>
      <c r="L95" s="110">
        <v>60000</v>
      </c>
      <c r="M95" s="110">
        <v>60000</v>
      </c>
      <c r="N95" s="52">
        <v>60000</v>
      </c>
      <c r="O95" s="52"/>
      <c r="P95" s="52">
        <f t="shared" si="95"/>
        <v>60000</v>
      </c>
      <c r="Q95" s="52">
        <f>-VLOOKUP(B:B,'דוח כספי 1-10.17'!A:D,4,0)</f>
        <v>0</v>
      </c>
      <c r="R95" s="52">
        <f>Q95/10*12</f>
        <v>0</v>
      </c>
      <c r="S95" s="52">
        <v>124000</v>
      </c>
      <c r="T95" s="52"/>
      <c r="U95" s="63">
        <f t="shared" si="97"/>
        <v>0</v>
      </c>
      <c r="V95" s="52">
        <f t="shared" si="98"/>
        <v>0</v>
      </c>
      <c r="W95" s="52">
        <v>0</v>
      </c>
      <c r="X95" s="52">
        <f t="shared" si="96"/>
        <v>0</v>
      </c>
      <c r="Y95" s="101">
        <f t="shared" si="71"/>
        <v>0</v>
      </c>
      <c r="Z95" s="52"/>
      <c r="AA95" s="51" t="s">
        <v>1887</v>
      </c>
    </row>
    <row r="96" spans="1:27" ht="15.75" hidden="1">
      <c r="A96" s="21">
        <v>9</v>
      </c>
      <c r="B96" s="50">
        <v>1315200924</v>
      </c>
      <c r="C96" s="50" t="str">
        <f t="shared" si="90"/>
        <v>924</v>
      </c>
      <c r="D96" s="50" t="str">
        <f t="shared" si="91"/>
        <v>315200</v>
      </c>
      <c r="E96" s="50" t="str">
        <f t="shared" si="92"/>
        <v>31</v>
      </c>
      <c r="F96" s="51" t="s">
        <v>506</v>
      </c>
      <c r="G96" s="110">
        <v>-6002</v>
      </c>
      <c r="H96" s="110">
        <f t="shared" si="93"/>
        <v>6002</v>
      </c>
      <c r="I96" s="110">
        <v>-4187.7299999999996</v>
      </c>
      <c r="J96" s="110">
        <f t="shared" si="94"/>
        <v>4187.7299999999996</v>
      </c>
      <c r="K96" s="110">
        <v>-1814.27</v>
      </c>
      <c r="L96" s="110">
        <v>5000</v>
      </c>
      <c r="M96" s="110">
        <f>+L96</f>
        <v>5000</v>
      </c>
      <c r="N96" s="52">
        <v>5000</v>
      </c>
      <c r="O96" s="52"/>
      <c r="P96" s="52">
        <f t="shared" si="95"/>
        <v>5000</v>
      </c>
      <c r="Q96" s="52">
        <f>-VLOOKUP(B:B,'דוח כספי 1-10.17'!A:D,4,0)</f>
        <v>-207.9</v>
      </c>
      <c r="R96" s="52"/>
      <c r="S96" s="52">
        <v>54000</v>
      </c>
      <c r="T96" s="52"/>
      <c r="U96" s="63">
        <f t="shared" si="97"/>
        <v>0</v>
      </c>
      <c r="V96" s="52">
        <f t="shared" si="98"/>
        <v>0</v>
      </c>
      <c r="W96" s="52">
        <v>0</v>
      </c>
      <c r="X96" s="52">
        <f t="shared" si="96"/>
        <v>0</v>
      </c>
      <c r="Y96" s="101">
        <f t="shared" si="71"/>
        <v>0</v>
      </c>
      <c r="Z96" s="52"/>
      <c r="AA96" s="206" t="s">
        <v>1899</v>
      </c>
    </row>
    <row r="97" spans="1:30" ht="15.75">
      <c r="A97" s="21">
        <v>9</v>
      </c>
      <c r="B97" s="50">
        <v>1315200925</v>
      </c>
      <c r="C97" s="50" t="str">
        <f t="shared" si="90"/>
        <v>925</v>
      </c>
      <c r="D97" s="50" t="str">
        <f t="shared" si="91"/>
        <v>315200</v>
      </c>
      <c r="E97" s="50" t="str">
        <f t="shared" si="92"/>
        <v>31</v>
      </c>
      <c r="F97" s="51" t="s">
        <v>513</v>
      </c>
      <c r="G97" s="110">
        <v>-130997</v>
      </c>
      <c r="H97" s="110">
        <f t="shared" si="93"/>
        <v>130997</v>
      </c>
      <c r="I97" s="110">
        <v>-290180.75</v>
      </c>
      <c r="J97" s="110">
        <f t="shared" si="94"/>
        <v>290180.75</v>
      </c>
      <c r="K97" s="110">
        <v>159183.75</v>
      </c>
      <c r="L97" s="110">
        <v>295000</v>
      </c>
      <c r="M97" s="110">
        <v>425000</v>
      </c>
      <c r="N97" s="52">
        <v>425000</v>
      </c>
      <c r="O97" s="52"/>
      <c r="P97" s="52">
        <f t="shared" si="95"/>
        <v>425000</v>
      </c>
      <c r="Q97" s="52">
        <f>-VLOOKUP(B:B,'דוח כספי 1-10.17'!A:D,4,0)</f>
        <v>349736.93</v>
      </c>
      <c r="R97" s="52">
        <f t="shared" ref="R97:R133" si="99">Q97/10*12</f>
        <v>419684.31599999999</v>
      </c>
      <c r="S97" s="52">
        <v>185000</v>
      </c>
      <c r="T97" s="52"/>
      <c r="U97" s="63">
        <f t="shared" si="97"/>
        <v>0</v>
      </c>
      <c r="V97" s="52">
        <f t="shared" si="98"/>
        <v>0</v>
      </c>
      <c r="W97" s="52">
        <f>-VLOOKUP(B97,'ביצוע 2019'!$A$3:$H$1103,7,0)</f>
        <v>9081.75</v>
      </c>
      <c r="X97" s="52">
        <f t="shared" si="96"/>
        <v>9081.75</v>
      </c>
      <c r="Y97" s="101">
        <f>IF((X97+W97+V97)&lt;&gt;0,1,0)</f>
        <v>1</v>
      </c>
      <c r="Z97" s="52"/>
      <c r="AA97" s="206"/>
    </row>
    <row r="98" spans="1:30" ht="15.75" hidden="1">
      <c r="A98" s="21">
        <v>9</v>
      </c>
      <c r="B98" s="50">
        <v>1315200926</v>
      </c>
      <c r="C98" s="50" t="str">
        <f t="shared" si="90"/>
        <v>926</v>
      </c>
      <c r="D98" s="50" t="str">
        <f t="shared" si="91"/>
        <v>315200</v>
      </c>
      <c r="E98" s="50" t="str">
        <f t="shared" si="92"/>
        <v>31</v>
      </c>
      <c r="F98" s="51" t="s">
        <v>514</v>
      </c>
      <c r="G98" s="110">
        <v>0</v>
      </c>
      <c r="H98" s="110">
        <f t="shared" si="93"/>
        <v>0</v>
      </c>
      <c r="I98" s="110">
        <v>4187.7</v>
      </c>
      <c r="J98" s="110">
        <f t="shared" si="94"/>
        <v>-4187.7</v>
      </c>
      <c r="K98" s="110">
        <v>-4187.7</v>
      </c>
      <c r="L98" s="110">
        <v>5000</v>
      </c>
      <c r="M98" s="110">
        <v>12000</v>
      </c>
      <c r="N98" s="52">
        <v>12000</v>
      </c>
      <c r="O98" s="52"/>
      <c r="P98" s="52">
        <f t="shared" si="95"/>
        <v>12000</v>
      </c>
      <c r="Q98" s="52">
        <f>-VLOOKUP(B:B,'דוח כספי 1-10.17'!A:D,4,0)</f>
        <v>2694.6</v>
      </c>
      <c r="R98" s="52">
        <f t="shared" si="99"/>
        <v>3233.5199999999995</v>
      </c>
      <c r="S98" s="52">
        <v>10000</v>
      </c>
      <c r="T98" s="52"/>
      <c r="U98" s="63">
        <f t="shared" si="97"/>
        <v>0</v>
      </c>
      <c r="V98" s="52">
        <f t="shared" si="98"/>
        <v>0</v>
      </c>
      <c r="W98" s="52">
        <v>0</v>
      </c>
      <c r="X98" s="52">
        <f t="shared" si="96"/>
        <v>0</v>
      </c>
      <c r="Y98" s="101">
        <f t="shared" si="71"/>
        <v>0</v>
      </c>
      <c r="Z98" s="52"/>
      <c r="AA98" s="206"/>
    </row>
    <row r="99" spans="1:30" ht="15.75" hidden="1">
      <c r="A99" s="21">
        <v>9</v>
      </c>
      <c r="B99" s="50">
        <v>1315200927</v>
      </c>
      <c r="C99" s="50" t="str">
        <f t="shared" si="90"/>
        <v>927</v>
      </c>
      <c r="D99" s="50" t="str">
        <f t="shared" si="91"/>
        <v>315200</v>
      </c>
      <c r="E99" s="50" t="str">
        <f t="shared" si="92"/>
        <v>31</v>
      </c>
      <c r="F99" s="51" t="s">
        <v>455</v>
      </c>
      <c r="G99" s="110">
        <v>0</v>
      </c>
      <c r="H99" s="110">
        <f t="shared" si="93"/>
        <v>0</v>
      </c>
      <c r="I99" s="110">
        <v>0</v>
      </c>
      <c r="J99" s="110">
        <f t="shared" si="94"/>
        <v>0</v>
      </c>
      <c r="K99" s="110">
        <v>0</v>
      </c>
      <c r="L99" s="110">
        <v>0</v>
      </c>
      <c r="M99" s="110">
        <f>+L99</f>
        <v>0</v>
      </c>
      <c r="N99" s="52">
        <v>0</v>
      </c>
      <c r="O99" s="52"/>
      <c r="P99" s="52">
        <f t="shared" si="95"/>
        <v>0</v>
      </c>
      <c r="Q99" s="52">
        <f>-VLOOKUP(B:B,'דוח כספי 1-10.17'!A:D,4,0)</f>
        <v>0</v>
      </c>
      <c r="R99" s="52">
        <f t="shared" si="99"/>
        <v>0</v>
      </c>
      <c r="S99" s="52">
        <f>114006/10*12</f>
        <v>136807.20000000001</v>
      </c>
      <c r="T99" s="52"/>
      <c r="U99" s="63">
        <f t="shared" si="97"/>
        <v>0</v>
      </c>
      <c r="V99" s="52">
        <f t="shared" si="98"/>
        <v>0</v>
      </c>
      <c r="W99" s="52">
        <v>0</v>
      </c>
      <c r="X99" s="52">
        <f t="shared" si="96"/>
        <v>0</v>
      </c>
      <c r="Y99" s="101">
        <f t="shared" si="71"/>
        <v>0</v>
      </c>
      <c r="Z99" s="52"/>
      <c r="AA99" s="51" t="s">
        <v>1901</v>
      </c>
    </row>
    <row r="100" spans="1:30" ht="15.75" hidden="1">
      <c r="A100" s="21">
        <v>9</v>
      </c>
      <c r="B100" s="50">
        <v>1315200928</v>
      </c>
      <c r="C100" s="50" t="str">
        <f t="shared" si="90"/>
        <v>928</v>
      </c>
      <c r="D100" s="50" t="str">
        <f t="shared" si="91"/>
        <v>315200</v>
      </c>
      <c r="E100" s="50" t="str">
        <f t="shared" si="92"/>
        <v>31</v>
      </c>
      <c r="F100" s="51" t="s">
        <v>515</v>
      </c>
      <c r="G100" s="110">
        <v>0</v>
      </c>
      <c r="H100" s="110">
        <f t="shared" si="93"/>
        <v>0</v>
      </c>
      <c r="I100" s="110">
        <v>1860</v>
      </c>
      <c r="J100" s="110">
        <f t="shared" si="94"/>
        <v>-1860</v>
      </c>
      <c r="K100" s="110">
        <v>-1860</v>
      </c>
      <c r="L100" s="110">
        <v>2000</v>
      </c>
      <c r="M100" s="110">
        <f>+L100</f>
        <v>2000</v>
      </c>
      <c r="N100" s="52">
        <v>2000</v>
      </c>
      <c r="O100" s="52"/>
      <c r="P100" s="52">
        <f t="shared" si="95"/>
        <v>2000</v>
      </c>
      <c r="Q100" s="52">
        <f>-VLOOKUP(B:B,'דוח כספי 1-10.17'!A:D,4,0)</f>
        <v>-60</v>
      </c>
      <c r="R100" s="52">
        <f t="shared" si="99"/>
        <v>-72</v>
      </c>
      <c r="S100" s="52">
        <v>1000</v>
      </c>
      <c r="T100" s="52"/>
      <c r="U100" s="63">
        <f t="shared" si="97"/>
        <v>0</v>
      </c>
      <c r="V100" s="52">
        <f t="shared" si="98"/>
        <v>0</v>
      </c>
      <c r="W100" s="52">
        <v>0</v>
      </c>
      <c r="X100" s="52">
        <f t="shared" si="96"/>
        <v>0</v>
      </c>
      <c r="Y100" s="101">
        <f t="shared" si="71"/>
        <v>0</v>
      </c>
      <c r="Z100" s="52"/>
      <c r="AA100" s="206"/>
    </row>
    <row r="101" spans="1:30" ht="15.75" hidden="1">
      <c r="A101" s="21">
        <v>9</v>
      </c>
      <c r="B101" s="50">
        <v>1315200929</v>
      </c>
      <c r="C101" s="50" t="str">
        <f t="shared" si="90"/>
        <v>929</v>
      </c>
      <c r="D101" s="50" t="str">
        <f t="shared" si="91"/>
        <v>315200</v>
      </c>
      <c r="E101" s="50" t="str">
        <f t="shared" si="92"/>
        <v>31</v>
      </c>
      <c r="F101" s="51" t="s">
        <v>516</v>
      </c>
      <c r="G101" s="110">
        <v>0</v>
      </c>
      <c r="H101" s="110">
        <f t="shared" si="93"/>
        <v>0</v>
      </c>
      <c r="I101" s="110">
        <v>0</v>
      </c>
      <c r="J101" s="110">
        <f t="shared" si="94"/>
        <v>0</v>
      </c>
      <c r="K101" s="110">
        <v>0</v>
      </c>
      <c r="L101" s="110">
        <v>0</v>
      </c>
      <c r="M101" s="110">
        <f>+L101</f>
        <v>0</v>
      </c>
      <c r="N101" s="52">
        <v>0</v>
      </c>
      <c r="O101" s="52"/>
      <c r="P101" s="52">
        <f t="shared" si="95"/>
        <v>0</v>
      </c>
      <c r="Q101" s="52">
        <f>-VLOOKUP(B:B,'דוח כספי 1-10.17'!A:D,4,0)</f>
        <v>0</v>
      </c>
      <c r="R101" s="52">
        <f t="shared" si="99"/>
        <v>0</v>
      </c>
      <c r="S101" s="52">
        <f>7056/10*12</f>
        <v>8467.2000000000007</v>
      </c>
      <c r="T101" s="52"/>
      <c r="U101" s="63">
        <f t="shared" si="97"/>
        <v>0</v>
      </c>
      <c r="V101" s="52">
        <f t="shared" si="98"/>
        <v>0</v>
      </c>
      <c r="W101" s="52">
        <v>0</v>
      </c>
      <c r="X101" s="52">
        <f t="shared" si="96"/>
        <v>0</v>
      </c>
      <c r="Y101" s="101">
        <f t="shared" si="71"/>
        <v>0</v>
      </c>
      <c r="Z101" s="52"/>
      <c r="AA101" s="51" t="s">
        <v>1900</v>
      </c>
      <c r="AD101" s="211"/>
    </row>
    <row r="102" spans="1:30" ht="15.75" hidden="1">
      <c r="A102" s="21">
        <v>9</v>
      </c>
      <c r="B102" s="50">
        <v>1315200930</v>
      </c>
      <c r="C102" s="50">
        <v>920</v>
      </c>
      <c r="D102" s="50">
        <v>315210</v>
      </c>
      <c r="E102" s="50">
        <v>31</v>
      </c>
      <c r="F102" s="51" t="s">
        <v>1902</v>
      </c>
      <c r="G102" s="110"/>
      <c r="H102" s="110"/>
      <c r="I102" s="110"/>
      <c r="J102" s="110"/>
      <c r="K102" s="110"/>
      <c r="L102" s="110"/>
      <c r="M102" s="110"/>
      <c r="N102" s="52"/>
      <c r="O102" s="52"/>
      <c r="P102" s="52"/>
      <c r="Q102" s="52">
        <v>56232.57</v>
      </c>
      <c r="R102" s="52">
        <f t="shared" si="99"/>
        <v>67479.084000000003</v>
      </c>
      <c r="S102" s="52">
        <v>70000</v>
      </c>
      <c r="T102" s="52"/>
      <c r="U102" s="63">
        <f t="shared" si="97"/>
        <v>0</v>
      </c>
      <c r="V102" s="52">
        <f t="shared" si="98"/>
        <v>0</v>
      </c>
      <c r="W102" s="52">
        <v>0</v>
      </c>
      <c r="X102" s="52">
        <f t="shared" si="96"/>
        <v>0</v>
      </c>
      <c r="Y102" s="101">
        <f t="shared" si="71"/>
        <v>0</v>
      </c>
      <c r="Z102" s="52"/>
      <c r="AA102" s="51"/>
      <c r="AD102" s="211"/>
    </row>
    <row r="103" spans="1:30" ht="15.75" hidden="1">
      <c r="A103" s="21">
        <v>9</v>
      </c>
      <c r="B103" s="50">
        <v>1315200931</v>
      </c>
      <c r="C103" s="50">
        <v>920</v>
      </c>
      <c r="D103" s="50">
        <v>315211</v>
      </c>
      <c r="E103" s="50">
        <v>31</v>
      </c>
      <c r="F103" s="51" t="s">
        <v>1903</v>
      </c>
      <c r="G103" s="110"/>
      <c r="H103" s="110"/>
      <c r="I103" s="110"/>
      <c r="J103" s="110"/>
      <c r="K103" s="110"/>
      <c r="L103" s="110"/>
      <c r="M103" s="110"/>
      <c r="N103" s="52"/>
      <c r="O103" s="52"/>
      <c r="P103" s="52"/>
      <c r="Q103" s="52">
        <v>808479</v>
      </c>
      <c r="R103" s="52">
        <f t="shared" si="99"/>
        <v>970174.79999999993</v>
      </c>
      <c r="S103" s="52">
        <v>971000</v>
      </c>
      <c r="T103" s="52"/>
      <c r="U103" s="63">
        <f t="shared" si="97"/>
        <v>0</v>
      </c>
      <c r="V103" s="52">
        <f t="shared" si="98"/>
        <v>0</v>
      </c>
      <c r="W103" s="52">
        <v>0</v>
      </c>
      <c r="X103" s="52">
        <f t="shared" si="96"/>
        <v>0</v>
      </c>
      <c r="Y103" s="101">
        <f t="shared" si="71"/>
        <v>0</v>
      </c>
      <c r="Z103" s="52"/>
      <c r="AA103" s="51"/>
      <c r="AD103" s="211"/>
    </row>
    <row r="104" spans="1:30" ht="15.75" hidden="1">
      <c r="A104" s="21">
        <v>9</v>
      </c>
      <c r="B104" s="50">
        <v>1315200932</v>
      </c>
      <c r="C104" s="50">
        <v>920</v>
      </c>
      <c r="D104" s="50">
        <v>315212</v>
      </c>
      <c r="E104" s="50">
        <v>31</v>
      </c>
      <c r="F104" s="51" t="s">
        <v>1904</v>
      </c>
      <c r="G104" s="110"/>
      <c r="H104" s="110"/>
      <c r="I104" s="110"/>
      <c r="J104" s="110"/>
      <c r="K104" s="110"/>
      <c r="L104" s="110"/>
      <c r="M104" s="110"/>
      <c r="N104" s="52"/>
      <c r="O104" s="52"/>
      <c r="P104" s="52"/>
      <c r="Q104" s="52">
        <v>1291217.1100000001</v>
      </c>
      <c r="R104" s="52">
        <f t="shared" si="99"/>
        <v>1549460.5320000001</v>
      </c>
      <c r="S104" s="52">
        <v>1550000</v>
      </c>
      <c r="T104" s="52"/>
      <c r="U104" s="63">
        <f t="shared" si="97"/>
        <v>0</v>
      </c>
      <c r="V104" s="52">
        <f t="shared" si="98"/>
        <v>0</v>
      </c>
      <c r="W104" s="52">
        <v>0</v>
      </c>
      <c r="X104" s="52">
        <f t="shared" si="96"/>
        <v>0</v>
      </c>
      <c r="Y104" s="101">
        <f t="shared" si="71"/>
        <v>0</v>
      </c>
      <c r="Z104" s="52"/>
      <c r="AA104" s="51"/>
      <c r="AD104" s="211"/>
    </row>
    <row r="105" spans="1:30" ht="15.75" hidden="1">
      <c r="A105" s="21">
        <v>9</v>
      </c>
      <c r="B105" s="50">
        <v>1315200933</v>
      </c>
      <c r="C105" s="50">
        <v>920</v>
      </c>
      <c r="D105" s="50">
        <v>315213</v>
      </c>
      <c r="E105" s="50">
        <v>31</v>
      </c>
      <c r="F105" s="51" t="s">
        <v>1906</v>
      </c>
      <c r="G105" s="110"/>
      <c r="H105" s="110"/>
      <c r="I105" s="110"/>
      <c r="J105" s="110"/>
      <c r="K105" s="110"/>
      <c r="L105" s="110"/>
      <c r="M105" s="110"/>
      <c r="N105" s="52"/>
      <c r="O105" s="52"/>
      <c r="P105" s="52"/>
      <c r="Q105" s="52">
        <v>63603.08</v>
      </c>
      <c r="R105" s="52">
        <f t="shared" si="99"/>
        <v>76323.695999999996</v>
      </c>
      <c r="S105" s="52">
        <v>77000</v>
      </c>
      <c r="T105" s="52"/>
      <c r="U105" s="63">
        <f t="shared" si="97"/>
        <v>0</v>
      </c>
      <c r="V105" s="52">
        <f t="shared" si="98"/>
        <v>0</v>
      </c>
      <c r="W105" s="52">
        <v>0</v>
      </c>
      <c r="X105" s="52">
        <f t="shared" si="96"/>
        <v>0</v>
      </c>
      <c r="Y105" s="101">
        <f t="shared" si="71"/>
        <v>0</v>
      </c>
      <c r="Z105" s="52"/>
      <c r="AA105" s="51"/>
      <c r="AD105" s="211"/>
    </row>
    <row r="106" spans="1:30" ht="15.75" hidden="1">
      <c r="A106" s="21">
        <v>9</v>
      </c>
      <c r="B106" s="50">
        <v>1315200934</v>
      </c>
      <c r="C106" s="50">
        <v>920</v>
      </c>
      <c r="D106" s="50">
        <v>315214</v>
      </c>
      <c r="E106" s="50">
        <v>31</v>
      </c>
      <c r="F106" s="51" t="s">
        <v>1907</v>
      </c>
      <c r="G106" s="110"/>
      <c r="H106" s="110"/>
      <c r="I106" s="110"/>
      <c r="J106" s="110"/>
      <c r="K106" s="110"/>
      <c r="L106" s="110"/>
      <c r="M106" s="110"/>
      <c r="N106" s="52"/>
      <c r="O106" s="52"/>
      <c r="P106" s="52"/>
      <c r="Q106" s="52">
        <v>200790.33</v>
      </c>
      <c r="R106" s="52">
        <f t="shared" si="99"/>
        <v>240948.39600000001</v>
      </c>
      <c r="S106" s="52">
        <v>241000</v>
      </c>
      <c r="T106" s="52"/>
      <c r="U106" s="63">
        <f t="shared" si="97"/>
        <v>0</v>
      </c>
      <c r="V106" s="52">
        <f t="shared" si="98"/>
        <v>0</v>
      </c>
      <c r="W106" s="52">
        <v>0</v>
      </c>
      <c r="X106" s="52">
        <f t="shared" si="96"/>
        <v>0</v>
      </c>
      <c r="Y106" s="101">
        <f t="shared" si="71"/>
        <v>0</v>
      </c>
      <c r="Z106" s="52"/>
      <c r="AA106" s="51"/>
      <c r="AD106" s="211"/>
    </row>
    <row r="107" spans="1:30" ht="15.75" hidden="1">
      <c r="A107" s="21">
        <v>9</v>
      </c>
      <c r="B107" s="50">
        <v>1315200935</v>
      </c>
      <c r="C107" s="50">
        <v>920</v>
      </c>
      <c r="D107" s="50">
        <v>315215</v>
      </c>
      <c r="E107" s="50">
        <v>31</v>
      </c>
      <c r="F107" s="51" t="s">
        <v>1908</v>
      </c>
      <c r="G107" s="110"/>
      <c r="H107" s="110"/>
      <c r="I107" s="110"/>
      <c r="J107" s="110"/>
      <c r="K107" s="110"/>
      <c r="L107" s="110"/>
      <c r="M107" s="110"/>
      <c r="N107" s="52"/>
      <c r="O107" s="52"/>
      <c r="P107" s="52"/>
      <c r="Q107" s="52">
        <v>215688.06</v>
      </c>
      <c r="R107" s="52">
        <f t="shared" si="99"/>
        <v>258825.67200000002</v>
      </c>
      <c r="S107" s="52">
        <v>260000</v>
      </c>
      <c r="T107" s="52"/>
      <c r="U107" s="63">
        <f t="shared" si="97"/>
        <v>0</v>
      </c>
      <c r="V107" s="52">
        <f t="shared" si="98"/>
        <v>0</v>
      </c>
      <c r="W107" s="52">
        <v>0</v>
      </c>
      <c r="X107" s="52">
        <f t="shared" si="96"/>
        <v>0</v>
      </c>
      <c r="Y107" s="101">
        <f t="shared" si="71"/>
        <v>0</v>
      </c>
      <c r="Z107" s="52"/>
      <c r="AA107" s="51"/>
      <c r="AD107" s="211"/>
    </row>
    <row r="108" spans="1:30" ht="15.75" hidden="1">
      <c r="A108" s="21">
        <v>9</v>
      </c>
      <c r="B108" s="50">
        <v>1315200936</v>
      </c>
      <c r="C108" s="50">
        <v>920</v>
      </c>
      <c r="D108" s="50">
        <v>315216</v>
      </c>
      <c r="E108" s="50">
        <v>31</v>
      </c>
      <c r="F108" s="51" t="s">
        <v>1909</v>
      </c>
      <c r="G108" s="110"/>
      <c r="H108" s="110"/>
      <c r="I108" s="110"/>
      <c r="J108" s="110"/>
      <c r="K108" s="110"/>
      <c r="L108" s="110"/>
      <c r="M108" s="110"/>
      <c r="N108" s="52"/>
      <c r="O108" s="52"/>
      <c r="P108" s="52"/>
      <c r="Q108" s="52">
        <v>33602.04</v>
      </c>
      <c r="R108" s="52">
        <f t="shared" si="99"/>
        <v>40322.448000000004</v>
      </c>
      <c r="S108" s="52">
        <v>41000</v>
      </c>
      <c r="T108" s="52"/>
      <c r="U108" s="63">
        <f t="shared" si="97"/>
        <v>0</v>
      </c>
      <c r="V108" s="52">
        <f t="shared" si="98"/>
        <v>0</v>
      </c>
      <c r="W108" s="52">
        <v>0</v>
      </c>
      <c r="X108" s="52">
        <f t="shared" si="96"/>
        <v>0</v>
      </c>
      <c r="Y108" s="101">
        <f t="shared" si="71"/>
        <v>0</v>
      </c>
      <c r="Z108" s="52"/>
      <c r="AA108" s="51"/>
      <c r="AD108" s="211"/>
    </row>
    <row r="109" spans="1:30" ht="15.75" hidden="1">
      <c r="A109" s="21">
        <v>9</v>
      </c>
      <c r="B109" s="50">
        <v>1315200937</v>
      </c>
      <c r="C109" s="50">
        <v>920</v>
      </c>
      <c r="D109" s="50">
        <v>315217</v>
      </c>
      <c r="E109" s="50">
        <v>31</v>
      </c>
      <c r="F109" s="51" t="s">
        <v>1910</v>
      </c>
      <c r="G109" s="110"/>
      <c r="H109" s="110"/>
      <c r="I109" s="110"/>
      <c r="J109" s="110"/>
      <c r="K109" s="110"/>
      <c r="L109" s="110"/>
      <c r="M109" s="110"/>
      <c r="N109" s="52"/>
      <c r="O109" s="52"/>
      <c r="P109" s="52"/>
      <c r="Q109" s="52">
        <v>16547</v>
      </c>
      <c r="R109" s="52">
        <f t="shared" si="99"/>
        <v>19856.400000000001</v>
      </c>
      <c r="S109" s="52">
        <v>20000</v>
      </c>
      <c r="T109" s="52"/>
      <c r="U109" s="63">
        <f t="shared" si="97"/>
        <v>0</v>
      </c>
      <c r="V109" s="52">
        <f t="shared" si="98"/>
        <v>0</v>
      </c>
      <c r="W109" s="52">
        <v>0</v>
      </c>
      <c r="X109" s="52">
        <f t="shared" si="96"/>
        <v>0</v>
      </c>
      <c r="Y109" s="101">
        <f t="shared" si="71"/>
        <v>0</v>
      </c>
      <c r="Z109" s="52"/>
      <c r="AA109" s="51"/>
      <c r="AD109" s="211"/>
    </row>
    <row r="110" spans="1:30" ht="15.75" hidden="1">
      <c r="A110" s="21">
        <v>9</v>
      </c>
      <c r="B110" s="50">
        <v>1315200938</v>
      </c>
      <c r="C110" s="50">
        <v>920</v>
      </c>
      <c r="D110" s="50">
        <v>315218</v>
      </c>
      <c r="E110" s="50">
        <v>31</v>
      </c>
      <c r="F110" s="51" t="s">
        <v>1911</v>
      </c>
      <c r="G110" s="110"/>
      <c r="H110" s="110"/>
      <c r="I110" s="110"/>
      <c r="J110" s="110"/>
      <c r="K110" s="110"/>
      <c r="L110" s="110"/>
      <c r="M110" s="110"/>
      <c r="N110" s="52"/>
      <c r="O110" s="52"/>
      <c r="P110" s="52"/>
      <c r="Q110" s="52">
        <v>33094.94</v>
      </c>
      <c r="R110" s="52">
        <f t="shared" si="99"/>
        <v>39713.928</v>
      </c>
      <c r="S110" s="52">
        <v>40000</v>
      </c>
      <c r="T110" s="52"/>
      <c r="U110" s="63">
        <f t="shared" si="97"/>
        <v>0</v>
      </c>
      <c r="V110" s="52">
        <f t="shared" si="98"/>
        <v>0</v>
      </c>
      <c r="W110" s="52">
        <v>0</v>
      </c>
      <c r="X110" s="52">
        <f t="shared" si="96"/>
        <v>0</v>
      </c>
      <c r="Y110" s="101">
        <f t="shared" si="71"/>
        <v>0</v>
      </c>
      <c r="Z110" s="52"/>
      <c r="AA110" s="51"/>
      <c r="AD110" s="211"/>
    </row>
    <row r="111" spans="1:30" ht="15.75">
      <c r="A111" s="21">
        <v>9</v>
      </c>
      <c r="B111" s="50">
        <v>1315201920</v>
      </c>
      <c r="C111" s="50" t="str">
        <f t="shared" ref="C111:C116" si="100">RIGHT(B111,3)</f>
        <v>920</v>
      </c>
      <c r="D111" s="50" t="str">
        <f t="shared" ref="D111:D116" si="101">MID(B111,2,6)</f>
        <v>315201</v>
      </c>
      <c r="E111" s="50" t="str">
        <f t="shared" ref="E111:E116" si="102">LEFT(D111,2)</f>
        <v>31</v>
      </c>
      <c r="F111" s="51" t="s">
        <v>517</v>
      </c>
      <c r="G111" s="110">
        <v>-5683998</v>
      </c>
      <c r="H111" s="110">
        <f t="shared" ref="H111:H116" si="103">G111*-1</f>
        <v>5683998</v>
      </c>
      <c r="I111" s="110">
        <v>-5497459.6299999999</v>
      </c>
      <c r="J111" s="110">
        <f t="shared" ref="J111:J116" si="104">I111*-1</f>
        <v>5497459.6299999999</v>
      </c>
      <c r="K111" s="110">
        <v>-186538.37</v>
      </c>
      <c r="L111" s="110">
        <v>5500000</v>
      </c>
      <c r="M111" s="110">
        <v>5670000</v>
      </c>
      <c r="N111" s="52">
        <v>5670000</v>
      </c>
      <c r="O111" s="52"/>
      <c r="P111" s="52">
        <f t="shared" ref="P111:P116" si="105">N111+O111</f>
        <v>5670000</v>
      </c>
      <c r="Q111" s="52">
        <f>-VLOOKUP(B:B,'דוח כספי 1-10.17'!A:D,4,0)</f>
        <v>4527490.8600000003</v>
      </c>
      <c r="R111" s="52">
        <f t="shared" si="99"/>
        <v>5432989.0319999997</v>
      </c>
      <c r="S111" s="52">
        <v>6600000</v>
      </c>
      <c r="T111" s="52">
        <f>-VLOOKUP(B111,'2174'!$A$1:$G$177,6,0)</f>
        <v>5404323.7400000002</v>
      </c>
      <c r="U111" s="63">
        <v>5793000</v>
      </c>
      <c r="V111" s="52">
        <v>5900000</v>
      </c>
      <c r="W111" s="52">
        <f>-VLOOKUP(B111,'ביצוע 2019'!$A$3:$H$1103,7,0)</f>
        <v>6546539.0700000003</v>
      </c>
      <c r="X111" s="52">
        <f t="shared" si="96"/>
        <v>6546539.0700000003</v>
      </c>
      <c r="Y111" s="101">
        <f>IF((X111+W111+V111)&lt;&gt;0,1,0)</f>
        <v>1</v>
      </c>
      <c r="Z111" s="52"/>
      <c r="AA111" s="206"/>
    </row>
    <row r="112" spans="1:30" ht="15.75" hidden="1">
      <c r="A112" s="21">
        <v>9</v>
      </c>
      <c r="B112" s="50">
        <v>1315201921</v>
      </c>
      <c r="C112" s="50" t="str">
        <f t="shared" si="100"/>
        <v>921</v>
      </c>
      <c r="D112" s="50" t="str">
        <f t="shared" si="101"/>
        <v>315201</v>
      </c>
      <c r="E112" s="50" t="str">
        <f t="shared" si="102"/>
        <v>31</v>
      </c>
      <c r="F112" s="51" t="s">
        <v>461</v>
      </c>
      <c r="G112" s="110">
        <v>0</v>
      </c>
      <c r="H112" s="110">
        <f t="shared" si="103"/>
        <v>0</v>
      </c>
      <c r="I112" s="110">
        <v>0</v>
      </c>
      <c r="J112" s="110">
        <f t="shared" si="104"/>
        <v>0</v>
      </c>
      <c r="K112" s="110">
        <v>0</v>
      </c>
      <c r="L112" s="110">
        <v>0</v>
      </c>
      <c r="M112" s="110">
        <f>+L112</f>
        <v>0</v>
      </c>
      <c r="N112" s="52">
        <v>0</v>
      </c>
      <c r="O112" s="52"/>
      <c r="P112" s="52">
        <f t="shared" si="105"/>
        <v>0</v>
      </c>
      <c r="Q112" s="52">
        <f>-VLOOKUP(B:B,'דוח כספי 1-10.17'!A:D,4,0)</f>
        <v>0</v>
      </c>
      <c r="R112" s="52">
        <f t="shared" si="99"/>
        <v>0</v>
      </c>
      <c r="S112" s="52">
        <v>31000</v>
      </c>
      <c r="T112" s="52"/>
      <c r="U112" s="63">
        <f t="shared" si="97"/>
        <v>0</v>
      </c>
      <c r="V112" s="52">
        <f t="shared" si="98"/>
        <v>0</v>
      </c>
      <c r="W112" s="52">
        <f>-VLOOKUP(B112,'ביצוע 2019'!$A$3:$H$1103,7,0)</f>
        <v>0</v>
      </c>
      <c r="X112" s="52">
        <f t="shared" si="96"/>
        <v>0</v>
      </c>
      <c r="Y112" s="101">
        <f t="shared" si="71"/>
        <v>0</v>
      </c>
      <c r="Z112" s="52"/>
      <c r="AA112" s="51"/>
    </row>
    <row r="113" spans="1:30" ht="15.75">
      <c r="A113" s="21">
        <v>9</v>
      </c>
      <c r="B113" s="50">
        <v>1315202920</v>
      </c>
      <c r="C113" s="50" t="str">
        <f t="shared" si="100"/>
        <v>920</v>
      </c>
      <c r="D113" s="50" t="str">
        <f t="shared" si="101"/>
        <v>315202</v>
      </c>
      <c r="E113" s="50" t="str">
        <f t="shared" si="102"/>
        <v>31</v>
      </c>
      <c r="F113" s="51" t="s">
        <v>518</v>
      </c>
      <c r="G113" s="110">
        <v>-300000</v>
      </c>
      <c r="H113" s="110">
        <f t="shared" si="103"/>
        <v>300000</v>
      </c>
      <c r="I113" s="110">
        <v>-290728.88</v>
      </c>
      <c r="J113" s="110">
        <f t="shared" si="104"/>
        <v>290728.88</v>
      </c>
      <c r="K113" s="110">
        <v>-9271.1200000000008</v>
      </c>
      <c r="L113" s="110">
        <v>295000</v>
      </c>
      <c r="M113" s="110">
        <v>327000</v>
      </c>
      <c r="N113" s="52">
        <v>327000</v>
      </c>
      <c r="O113" s="52"/>
      <c r="P113" s="52">
        <f t="shared" si="105"/>
        <v>327000</v>
      </c>
      <c r="Q113" s="52">
        <f>-VLOOKUP(B:B,'דוח כספי 1-10.17'!A:D,4,0)</f>
        <v>306387.21000000002</v>
      </c>
      <c r="R113" s="52">
        <f t="shared" si="99"/>
        <v>367664.652</v>
      </c>
      <c r="S113" s="52">
        <v>370000</v>
      </c>
      <c r="T113" s="52">
        <f>-VLOOKUP(B113,'2174'!$A$1:$G$177,6,0)</f>
        <v>329013.69</v>
      </c>
      <c r="U113" s="63">
        <v>329014</v>
      </c>
      <c r="V113" s="52">
        <v>340000</v>
      </c>
      <c r="W113" s="52">
        <f>-VLOOKUP(B113,'ביצוע 2019'!$A$3:$H$1103,7,0)</f>
        <v>367671.66</v>
      </c>
      <c r="X113" s="52">
        <f t="shared" si="96"/>
        <v>367671.66</v>
      </c>
      <c r="Y113" s="101">
        <f t="shared" ref="Y113:Y114" si="106">IF((X113+W113+V113)&lt;&gt;0,1,0)</f>
        <v>1</v>
      </c>
      <c r="Z113" s="52"/>
      <c r="AA113" s="206"/>
    </row>
    <row r="114" spans="1:30" ht="15.75">
      <c r="A114" s="21">
        <v>9</v>
      </c>
      <c r="B114" s="50">
        <v>1315203920</v>
      </c>
      <c r="C114" s="50" t="str">
        <f t="shared" si="100"/>
        <v>920</v>
      </c>
      <c r="D114" s="50" t="str">
        <f t="shared" si="101"/>
        <v>315203</v>
      </c>
      <c r="E114" s="50" t="str">
        <f t="shared" si="102"/>
        <v>31</v>
      </c>
      <c r="F114" s="51" t="s">
        <v>519</v>
      </c>
      <c r="G114" s="110">
        <v>-16999</v>
      </c>
      <c r="H114" s="110">
        <f t="shared" si="103"/>
        <v>16999</v>
      </c>
      <c r="I114" s="110">
        <v>-7085.21</v>
      </c>
      <c r="J114" s="110">
        <f t="shared" si="104"/>
        <v>7085.21</v>
      </c>
      <c r="K114" s="110">
        <v>-9913.7900000000009</v>
      </c>
      <c r="L114" s="110">
        <v>7000</v>
      </c>
      <c r="M114" s="110">
        <f>+L114</f>
        <v>7000</v>
      </c>
      <c r="N114" s="52">
        <v>7000</v>
      </c>
      <c r="O114" s="52"/>
      <c r="P114" s="52">
        <f t="shared" si="105"/>
        <v>7000</v>
      </c>
      <c r="Q114" s="52">
        <f>-VLOOKUP(B:B,'דוח כספי 1-10.17'!A:D,4,0)</f>
        <v>48382.8</v>
      </c>
      <c r="R114" s="52">
        <f t="shared" si="99"/>
        <v>58059.360000000008</v>
      </c>
      <c r="S114" s="52">
        <v>0</v>
      </c>
      <c r="T114" s="52">
        <f>-VLOOKUP(B114,'2174'!$A$1:$G$177,6,0)</f>
        <v>56317.8</v>
      </c>
      <c r="U114" s="63">
        <f t="shared" si="97"/>
        <v>61437.600000000006</v>
      </c>
      <c r="V114" s="52">
        <v>65000</v>
      </c>
      <c r="W114" s="52">
        <f>-VLOOKUP(B114,'ביצוע 2019'!$A$3:$H$1103,7,0)</f>
        <v>59592</v>
      </c>
      <c r="X114" s="52">
        <f t="shared" si="96"/>
        <v>59592</v>
      </c>
      <c r="Y114" s="101">
        <f t="shared" si="106"/>
        <v>1</v>
      </c>
      <c r="Z114" s="52"/>
      <c r="AA114" s="206"/>
    </row>
    <row r="115" spans="1:30" ht="15.75" hidden="1">
      <c r="A115" s="21">
        <v>9</v>
      </c>
      <c r="B115" s="50">
        <v>1315204920</v>
      </c>
      <c r="C115" s="50" t="str">
        <f t="shared" si="100"/>
        <v>920</v>
      </c>
      <c r="D115" s="50" t="str">
        <f t="shared" si="101"/>
        <v>315204</v>
      </c>
      <c r="E115" s="50" t="str">
        <f t="shared" si="102"/>
        <v>31</v>
      </c>
      <c r="F115" s="243" t="s">
        <v>520</v>
      </c>
      <c r="G115" s="110">
        <v>0</v>
      </c>
      <c r="H115" s="110">
        <f t="shared" si="103"/>
        <v>0</v>
      </c>
      <c r="I115" s="110">
        <v>0</v>
      </c>
      <c r="J115" s="110">
        <f t="shared" si="104"/>
        <v>0</v>
      </c>
      <c r="K115" s="110">
        <v>0</v>
      </c>
      <c r="L115" s="110">
        <v>0</v>
      </c>
      <c r="M115" s="110">
        <f>+L115</f>
        <v>0</v>
      </c>
      <c r="N115" s="52">
        <v>0</v>
      </c>
      <c r="O115" s="52"/>
      <c r="P115" s="52">
        <f t="shared" si="105"/>
        <v>0</v>
      </c>
      <c r="Q115" s="52">
        <f>-VLOOKUP(B:B,'דוח כספי 1-10.17'!A:D,4,0)</f>
        <v>0</v>
      </c>
      <c r="R115" s="52">
        <f t="shared" si="99"/>
        <v>0</v>
      </c>
      <c r="S115" s="52">
        <v>75000</v>
      </c>
      <c r="T115" s="52"/>
      <c r="U115" s="63">
        <f t="shared" si="97"/>
        <v>0</v>
      </c>
      <c r="V115" s="52">
        <f t="shared" si="98"/>
        <v>0</v>
      </c>
      <c r="W115" s="52">
        <f>-VLOOKUP(B115,'ביצוע 2019'!$A$3:$H$1103,7,0)</f>
        <v>0</v>
      </c>
      <c r="X115" s="52">
        <f t="shared" si="96"/>
        <v>0</v>
      </c>
      <c r="Y115" s="101">
        <f t="shared" si="71"/>
        <v>0</v>
      </c>
      <c r="Z115" s="52"/>
      <c r="AA115" s="51"/>
    </row>
    <row r="116" spans="1:30" ht="15.75" hidden="1">
      <c r="A116" s="21">
        <v>9</v>
      </c>
      <c r="B116" s="50">
        <v>1315206920</v>
      </c>
      <c r="C116" s="50" t="str">
        <f t="shared" si="100"/>
        <v>920</v>
      </c>
      <c r="D116" s="50" t="str">
        <f t="shared" si="101"/>
        <v>315206</v>
      </c>
      <c r="E116" s="50" t="str">
        <f t="shared" si="102"/>
        <v>31</v>
      </c>
      <c r="F116" s="51" t="s">
        <v>522</v>
      </c>
      <c r="G116" s="110">
        <v>-23001</v>
      </c>
      <c r="H116" s="110">
        <f t="shared" si="103"/>
        <v>23001</v>
      </c>
      <c r="I116" s="110">
        <v>-35488.71</v>
      </c>
      <c r="J116" s="110">
        <f t="shared" si="104"/>
        <v>35488.71</v>
      </c>
      <c r="K116" s="110">
        <v>12487.71</v>
      </c>
      <c r="L116" s="110">
        <v>35000</v>
      </c>
      <c r="M116" s="110">
        <v>42000</v>
      </c>
      <c r="N116" s="52">
        <v>42000</v>
      </c>
      <c r="O116" s="52"/>
      <c r="P116" s="52">
        <f t="shared" si="105"/>
        <v>42000</v>
      </c>
      <c r="Q116" s="52">
        <f>-VLOOKUP(B:B,'דוח כספי 1-10.17'!A:D,4,0)</f>
        <v>0</v>
      </c>
      <c r="R116" s="52">
        <f t="shared" si="99"/>
        <v>0</v>
      </c>
      <c r="S116" s="52">
        <v>0</v>
      </c>
      <c r="T116" s="52">
        <f>-VLOOKUP(B116,'2174'!$A$1:$G$177,6,0)</f>
        <v>0</v>
      </c>
      <c r="U116" s="63">
        <f>T116*12/11</f>
        <v>0</v>
      </c>
      <c r="V116" s="52">
        <f>U116</f>
        <v>0</v>
      </c>
      <c r="W116" s="52">
        <f>-VLOOKUP(B116,'ביצוע 2019'!$A$3:$H$1103,7,0)</f>
        <v>0</v>
      </c>
      <c r="X116" s="52">
        <f t="shared" si="96"/>
        <v>0</v>
      </c>
      <c r="Y116" s="101">
        <f t="shared" si="71"/>
        <v>0</v>
      </c>
      <c r="Z116" s="52"/>
      <c r="AA116" s="206"/>
    </row>
    <row r="117" spans="1:30" ht="15.75">
      <c r="A117" s="21">
        <v>9</v>
      </c>
      <c r="B117" s="50">
        <v>1315209920</v>
      </c>
      <c r="C117" s="50">
        <v>920</v>
      </c>
      <c r="D117" s="50">
        <v>315209</v>
      </c>
      <c r="E117" s="50">
        <v>31</v>
      </c>
      <c r="F117" s="51" t="s">
        <v>1905</v>
      </c>
      <c r="G117" s="110"/>
      <c r="H117" s="110"/>
      <c r="I117" s="110"/>
      <c r="J117" s="110"/>
      <c r="K117" s="110"/>
      <c r="L117" s="110"/>
      <c r="M117" s="110"/>
      <c r="N117" s="52"/>
      <c r="O117" s="52"/>
      <c r="P117" s="52"/>
      <c r="Q117" s="52">
        <v>371492.89</v>
      </c>
      <c r="R117" s="52">
        <f t="shared" si="99"/>
        <v>445791.46800000005</v>
      </c>
      <c r="S117" s="52">
        <v>446000</v>
      </c>
      <c r="T117" s="52">
        <f>-VLOOKUP(B117,'2174'!$A$1:$G$177,6,0)</f>
        <v>415437.82</v>
      </c>
      <c r="U117" s="63">
        <f t="shared" ref="U117" si="107">T117*12/11</f>
        <v>453204.89454545453</v>
      </c>
      <c r="V117" s="52">
        <v>460000</v>
      </c>
      <c r="W117" s="52">
        <f>-VLOOKUP(B117,'ביצוע 2019'!$A$3:$H$1103,7,0)</f>
        <v>522535.48</v>
      </c>
      <c r="X117" s="52">
        <f t="shared" si="96"/>
        <v>522535.48</v>
      </c>
      <c r="Y117" s="101">
        <f t="shared" ref="Y117:Y145" si="108">IF((X117+W117+V117)&lt;&gt;0,1,0)</f>
        <v>1</v>
      </c>
      <c r="Z117" s="52"/>
      <c r="AA117" s="51"/>
    </row>
    <row r="118" spans="1:30" ht="15.75">
      <c r="A118" s="21">
        <v>9</v>
      </c>
      <c r="B118" s="50">
        <v>1315210920</v>
      </c>
      <c r="C118" s="50">
        <v>920</v>
      </c>
      <c r="D118" s="50">
        <v>315209</v>
      </c>
      <c r="E118" s="50">
        <v>31</v>
      </c>
      <c r="F118" s="51" t="s">
        <v>510</v>
      </c>
      <c r="G118" s="110"/>
      <c r="H118" s="110"/>
      <c r="I118" s="110"/>
      <c r="J118" s="110"/>
      <c r="K118" s="110"/>
      <c r="L118" s="110"/>
      <c r="M118" s="110"/>
      <c r="N118" s="52"/>
      <c r="O118" s="52"/>
      <c r="P118" s="52"/>
      <c r="Q118" s="52"/>
      <c r="R118" s="52"/>
      <c r="S118" s="52"/>
      <c r="T118" s="52">
        <f>-VLOOKUP(B118,'2174'!$A$1:$G$177,6,0)</f>
        <v>4032.54</v>
      </c>
      <c r="U118" s="63">
        <v>5000</v>
      </c>
      <c r="V118" s="52">
        <v>5000</v>
      </c>
      <c r="W118" s="52">
        <f>-VLOOKUP(B118,'ביצוע 2019'!$A$3:$H$1103,7,0)</f>
        <v>6001.92</v>
      </c>
      <c r="X118" s="52">
        <f t="shared" si="96"/>
        <v>6001.92</v>
      </c>
      <c r="Y118" s="101">
        <f t="shared" si="108"/>
        <v>1</v>
      </c>
      <c r="Z118" s="52"/>
      <c r="AA118" s="51"/>
    </row>
    <row r="119" spans="1:30" ht="15.75">
      <c r="A119" s="21">
        <v>9</v>
      </c>
      <c r="B119" s="50">
        <v>1315211920</v>
      </c>
      <c r="C119" s="50">
        <v>920</v>
      </c>
      <c r="D119" s="50">
        <v>315209</v>
      </c>
      <c r="E119" s="50">
        <v>31</v>
      </c>
      <c r="F119" s="51" t="s">
        <v>2011</v>
      </c>
      <c r="G119" s="110"/>
      <c r="H119" s="110"/>
      <c r="I119" s="110"/>
      <c r="J119" s="110"/>
      <c r="K119" s="110"/>
      <c r="L119" s="110"/>
      <c r="M119" s="110"/>
      <c r="N119" s="52"/>
      <c r="O119" s="52"/>
      <c r="P119" s="52"/>
      <c r="Q119" s="52"/>
      <c r="R119" s="52"/>
      <c r="S119" s="52"/>
      <c r="T119" s="52">
        <f>-VLOOKUP(B119,'2174'!$A$1:$G$177,6,0)</f>
        <v>11072</v>
      </c>
      <c r="U119" s="63">
        <v>11000</v>
      </c>
      <c r="V119" s="52">
        <v>11000</v>
      </c>
      <c r="W119" s="52">
        <f>-VLOOKUP(B119,'ביצוע 2019'!$A$3:$H$1103,7,0)</f>
        <v>13297.56</v>
      </c>
      <c r="X119" s="52">
        <f t="shared" si="96"/>
        <v>13297.56</v>
      </c>
      <c r="Y119" s="101">
        <f t="shared" si="108"/>
        <v>1</v>
      </c>
      <c r="Z119" s="52"/>
      <c r="AA119" s="51"/>
    </row>
    <row r="120" spans="1:30" ht="15.75">
      <c r="A120" s="21">
        <v>9</v>
      </c>
      <c r="B120" s="50">
        <v>1315212920</v>
      </c>
      <c r="C120" s="50">
        <v>920</v>
      </c>
      <c r="D120" s="50">
        <v>315209</v>
      </c>
      <c r="E120" s="50">
        <v>31</v>
      </c>
      <c r="F120" s="51" t="s">
        <v>506</v>
      </c>
      <c r="G120" s="110"/>
      <c r="H120" s="110"/>
      <c r="I120" s="110"/>
      <c r="J120" s="110"/>
      <c r="K120" s="110"/>
      <c r="L120" s="110"/>
      <c r="M120" s="110"/>
      <c r="N120" s="52"/>
      <c r="O120" s="52"/>
      <c r="P120" s="52"/>
      <c r="Q120" s="52"/>
      <c r="R120" s="52"/>
      <c r="S120" s="52"/>
      <c r="T120" s="52">
        <f>-VLOOKUP(B120,'2174'!$A$1:$G$177,6,0)</f>
        <v>8688.6</v>
      </c>
      <c r="U120" s="63">
        <v>9000</v>
      </c>
      <c r="V120" s="52">
        <v>9000</v>
      </c>
      <c r="W120" s="52">
        <f>-VLOOKUP(B120,'ביצוע 2019'!$A$3:$H$1103,7,0)</f>
        <v>72540.899999999994</v>
      </c>
      <c r="X120" s="52">
        <f t="shared" si="96"/>
        <v>72540.899999999994</v>
      </c>
      <c r="Y120" s="101">
        <f t="shared" si="108"/>
        <v>1</v>
      </c>
      <c r="Z120" s="52"/>
      <c r="AA120" s="51"/>
    </row>
    <row r="121" spans="1:30" ht="15.75">
      <c r="A121" s="21">
        <v>9</v>
      </c>
      <c r="B121" s="50">
        <v>1315213920</v>
      </c>
      <c r="C121" s="50">
        <v>920</v>
      </c>
      <c r="D121" s="50">
        <v>315209</v>
      </c>
      <c r="E121" s="50">
        <v>31</v>
      </c>
      <c r="F121" s="51" t="s">
        <v>512</v>
      </c>
      <c r="G121" s="110"/>
      <c r="H121" s="110"/>
      <c r="I121" s="110"/>
      <c r="J121" s="110"/>
      <c r="K121" s="110"/>
      <c r="L121" s="110"/>
      <c r="M121" s="110"/>
      <c r="N121" s="52"/>
      <c r="O121" s="52"/>
      <c r="P121" s="52"/>
      <c r="Q121" s="52"/>
      <c r="R121" s="52"/>
      <c r="S121" s="52"/>
      <c r="T121" s="52">
        <f>-VLOOKUP(B121,'2174'!$A$1:$G$177,6,0)</f>
        <v>114075.52</v>
      </c>
      <c r="U121" s="63">
        <f>T121*12/11</f>
        <v>124446.02181818182</v>
      </c>
      <c r="V121" s="52">
        <v>120000</v>
      </c>
      <c r="W121" s="52">
        <f>-VLOOKUP(B121,'ביצוע 2019'!$A$3:$H$1103,7,0)</f>
        <v>144394.84</v>
      </c>
      <c r="X121" s="52">
        <f t="shared" si="96"/>
        <v>144394.84</v>
      </c>
      <c r="Y121" s="101">
        <f t="shared" si="108"/>
        <v>1</v>
      </c>
      <c r="Z121" s="52"/>
      <c r="AA121" s="51"/>
    </row>
    <row r="122" spans="1:30" ht="15.75">
      <c r="A122" s="21">
        <v>9</v>
      </c>
      <c r="B122" s="50">
        <v>1315214920</v>
      </c>
      <c r="C122" s="50">
        <v>920</v>
      </c>
      <c r="D122" s="50">
        <v>315209</v>
      </c>
      <c r="E122" s="50">
        <v>31</v>
      </c>
      <c r="F122" s="51" t="s">
        <v>513</v>
      </c>
      <c r="G122" s="110"/>
      <c r="H122" s="110"/>
      <c r="I122" s="110"/>
      <c r="J122" s="110"/>
      <c r="K122" s="110"/>
      <c r="L122" s="110"/>
      <c r="M122" s="110"/>
      <c r="N122" s="52"/>
      <c r="O122" s="52"/>
      <c r="P122" s="52"/>
      <c r="Q122" s="52"/>
      <c r="R122" s="52"/>
      <c r="S122" s="52"/>
      <c r="T122" s="52">
        <f>-VLOOKUP(B122,'2174'!$A$1:$G$177,6,0)</f>
        <v>182030.89</v>
      </c>
      <c r="U122" s="63">
        <f t="shared" ref="U122:U135" si="109">T122*12/11</f>
        <v>198579.15272727274</v>
      </c>
      <c r="V122" s="52">
        <v>200000</v>
      </c>
      <c r="W122" s="52">
        <f>-VLOOKUP(B122,'ביצוע 2019'!$A$3:$H$1103,7,0)</f>
        <v>222546.94</v>
      </c>
      <c r="X122" s="52">
        <f t="shared" si="96"/>
        <v>222546.94</v>
      </c>
      <c r="Y122" s="101">
        <f t="shared" si="108"/>
        <v>1</v>
      </c>
      <c r="Z122" s="52"/>
      <c r="AA122" s="51"/>
    </row>
    <row r="123" spans="1:30" ht="15.75">
      <c r="A123" s="21">
        <v>9</v>
      </c>
      <c r="B123" s="50">
        <v>1315215920</v>
      </c>
      <c r="C123" s="50">
        <v>920</v>
      </c>
      <c r="D123" s="50">
        <v>315209</v>
      </c>
      <c r="E123" s="50">
        <v>31</v>
      </c>
      <c r="F123" s="51" t="s">
        <v>514</v>
      </c>
      <c r="G123" s="110"/>
      <c r="H123" s="110"/>
      <c r="I123" s="110"/>
      <c r="J123" s="110"/>
      <c r="K123" s="110"/>
      <c r="L123" s="110"/>
      <c r="M123" s="110"/>
      <c r="N123" s="52"/>
      <c r="O123" s="52"/>
      <c r="P123" s="52"/>
      <c r="Q123" s="52"/>
      <c r="R123" s="52"/>
      <c r="S123" s="52"/>
      <c r="T123" s="52">
        <f>-VLOOKUP(B123,'2174'!$A$1:$G$177,6,0)</f>
        <v>59.4</v>
      </c>
      <c r="U123" s="63">
        <v>0</v>
      </c>
      <c r="V123" s="52">
        <v>0</v>
      </c>
      <c r="W123" s="52">
        <f>-VLOOKUP(B123,'ביצוע 2019'!$A$3:$H$1103,7,0)</f>
        <v>16123.68</v>
      </c>
      <c r="X123" s="52">
        <f t="shared" si="96"/>
        <v>16123.68</v>
      </c>
      <c r="Y123" s="101">
        <f t="shared" si="108"/>
        <v>1</v>
      </c>
      <c r="Z123" s="52"/>
      <c r="AA123" s="51"/>
    </row>
    <row r="124" spans="1:30" ht="15.75">
      <c r="A124" s="21">
        <v>9</v>
      </c>
      <c r="B124" s="50">
        <v>1315218920</v>
      </c>
      <c r="C124" s="50">
        <v>920</v>
      </c>
      <c r="D124" s="50">
        <v>315209</v>
      </c>
      <c r="E124" s="50">
        <v>31</v>
      </c>
      <c r="F124" s="51" t="s">
        <v>2012</v>
      </c>
      <c r="G124" s="110"/>
      <c r="H124" s="110"/>
      <c r="I124" s="110"/>
      <c r="J124" s="110"/>
      <c r="K124" s="110"/>
      <c r="L124" s="110"/>
      <c r="M124" s="110"/>
      <c r="N124" s="52"/>
      <c r="O124" s="52"/>
      <c r="P124" s="52"/>
      <c r="Q124" s="52"/>
      <c r="R124" s="52"/>
      <c r="S124" s="52"/>
      <c r="T124" s="52">
        <f>-VLOOKUP(B124,'2174'!$A$1:$G$177,6,0)</f>
        <v>192863.16</v>
      </c>
      <c r="U124" s="63">
        <f t="shared" si="109"/>
        <v>210396.17454545453</v>
      </c>
      <c r="V124" s="52">
        <v>209000</v>
      </c>
      <c r="W124" s="52">
        <f>-VLOOKUP(B124,'ביצוע 2019'!$A$3:$H$1103,7,0)</f>
        <v>1704119.78</v>
      </c>
      <c r="X124" s="52">
        <f t="shared" si="96"/>
        <v>1704119.78</v>
      </c>
      <c r="Y124" s="101">
        <f t="shared" si="108"/>
        <v>1</v>
      </c>
      <c r="Z124" s="52"/>
      <c r="AA124" s="51"/>
    </row>
    <row r="125" spans="1:30" ht="15.75">
      <c r="A125" s="21">
        <v>9</v>
      </c>
      <c r="B125" s="50">
        <v>1315219920</v>
      </c>
      <c r="C125" s="50">
        <v>920</v>
      </c>
      <c r="D125" s="50">
        <v>315209</v>
      </c>
      <c r="E125" s="50">
        <v>31</v>
      </c>
      <c r="F125" s="51" t="s">
        <v>1913</v>
      </c>
      <c r="G125" s="110"/>
      <c r="H125" s="110"/>
      <c r="I125" s="110"/>
      <c r="J125" s="110"/>
      <c r="K125" s="110"/>
      <c r="L125" s="110"/>
      <c r="M125" s="110"/>
      <c r="N125" s="52"/>
      <c r="O125" s="52"/>
      <c r="P125" s="52"/>
      <c r="Q125" s="52">
        <v>9582.94</v>
      </c>
      <c r="R125" s="52">
        <f t="shared" si="99"/>
        <v>11499.528000000002</v>
      </c>
      <c r="S125" s="52">
        <v>11500</v>
      </c>
      <c r="T125" s="52">
        <f>-VLOOKUP(B125,'2174'!$A$1:$G$177,6,0)</f>
        <v>12371.01</v>
      </c>
      <c r="U125" s="63">
        <f t="shared" si="109"/>
        <v>13495.647272727272</v>
      </c>
      <c r="V125" s="52">
        <v>14000</v>
      </c>
      <c r="W125" s="52">
        <f>-VLOOKUP(B125,'ביצוע 2019'!$A$3:$H$1103,7,0)</f>
        <v>8558.5499999999993</v>
      </c>
      <c r="X125" s="52">
        <f t="shared" si="96"/>
        <v>8558.5499999999993</v>
      </c>
      <c r="Y125" s="101">
        <f t="shared" si="108"/>
        <v>1</v>
      </c>
      <c r="Z125" s="52"/>
      <c r="AA125" s="51"/>
      <c r="AD125" s="211"/>
    </row>
    <row r="126" spans="1:30" ht="15.75">
      <c r="A126" s="21">
        <v>9</v>
      </c>
      <c r="B126" s="50">
        <v>1315220920</v>
      </c>
      <c r="C126" s="50">
        <v>920</v>
      </c>
      <c r="D126" s="50">
        <v>315220</v>
      </c>
      <c r="E126" s="50">
        <v>31</v>
      </c>
      <c r="F126" s="51" t="s">
        <v>2073</v>
      </c>
      <c r="G126" s="110"/>
      <c r="H126" s="110"/>
      <c r="I126" s="110"/>
      <c r="J126" s="110"/>
      <c r="K126" s="110"/>
      <c r="L126" s="110"/>
      <c r="M126" s="110"/>
      <c r="N126" s="52"/>
      <c r="O126" s="52"/>
      <c r="P126" s="52"/>
      <c r="Q126" s="52">
        <v>13333.28</v>
      </c>
      <c r="R126" s="52">
        <f t="shared" si="99"/>
        <v>15999.936</v>
      </c>
      <c r="S126" s="52">
        <v>16000</v>
      </c>
      <c r="T126" s="52">
        <f>-VLOOKUP(B126,'2174'!$A$1:$G$177,6,0)</f>
        <v>986946.41</v>
      </c>
      <c r="U126" s="63">
        <f t="shared" si="109"/>
        <v>1076668.8109090908</v>
      </c>
      <c r="V126" s="52">
        <v>1000000</v>
      </c>
      <c r="W126" s="52">
        <f>-VLOOKUP(B126,'ביצוע 2019'!$A$3:$H$1103,7,0)</f>
        <v>1149292.3400000001</v>
      </c>
      <c r="X126" s="52">
        <f t="shared" si="96"/>
        <v>1149292.3400000001</v>
      </c>
      <c r="Y126" s="101">
        <f t="shared" si="108"/>
        <v>1</v>
      </c>
      <c r="Z126" s="52"/>
      <c r="AA126" s="51"/>
      <c r="AD126" s="211"/>
    </row>
    <row r="127" spans="1:30" ht="15.75">
      <c r="A127" s="21">
        <v>9</v>
      </c>
      <c r="B127" s="50">
        <v>1315221920</v>
      </c>
      <c r="C127" s="50">
        <v>920</v>
      </c>
      <c r="D127" s="50">
        <v>315221</v>
      </c>
      <c r="E127" s="50">
        <v>31</v>
      </c>
      <c r="F127" s="51" t="s">
        <v>1914</v>
      </c>
      <c r="G127" s="110"/>
      <c r="H127" s="110"/>
      <c r="I127" s="110"/>
      <c r="J127" s="110"/>
      <c r="K127" s="110"/>
      <c r="L127" s="110"/>
      <c r="M127" s="110"/>
      <c r="N127" s="52"/>
      <c r="O127" s="52"/>
      <c r="P127" s="52"/>
      <c r="Q127" s="52">
        <v>6328.44</v>
      </c>
      <c r="R127" s="52">
        <f t="shared" si="99"/>
        <v>7594.1279999999988</v>
      </c>
      <c r="S127" s="52">
        <v>7600</v>
      </c>
      <c r="T127" s="52">
        <f>-VLOOKUP(B127,'2174'!$A$1:$G$177,6,0)</f>
        <v>6541.16</v>
      </c>
      <c r="U127" s="63">
        <f t="shared" si="109"/>
        <v>7135.8109090909093</v>
      </c>
      <c r="V127" s="52">
        <v>7500</v>
      </c>
      <c r="W127" s="52">
        <f>-VLOOKUP(B127,'ביצוע 2019'!$A$3:$H$1103,7,0)</f>
        <v>7371.79</v>
      </c>
      <c r="X127" s="52">
        <f t="shared" si="96"/>
        <v>7371.79</v>
      </c>
      <c r="Y127" s="101">
        <f t="shared" si="108"/>
        <v>1</v>
      </c>
      <c r="Z127" s="52"/>
      <c r="AA127" s="51"/>
      <c r="AD127" s="211"/>
    </row>
    <row r="128" spans="1:30" ht="15.75">
      <c r="A128" s="21">
        <v>9</v>
      </c>
      <c r="B128" s="50">
        <v>1315222920</v>
      </c>
      <c r="C128" s="50">
        <v>920</v>
      </c>
      <c r="D128" s="50">
        <v>315222</v>
      </c>
      <c r="E128" s="50">
        <v>31</v>
      </c>
      <c r="F128" s="51" t="s">
        <v>1915</v>
      </c>
      <c r="G128" s="110"/>
      <c r="H128" s="110"/>
      <c r="I128" s="110"/>
      <c r="J128" s="110"/>
      <c r="K128" s="110"/>
      <c r="L128" s="110"/>
      <c r="M128" s="110"/>
      <c r="N128" s="52"/>
      <c r="O128" s="52"/>
      <c r="P128" s="52"/>
      <c r="Q128" s="52">
        <v>11617.56</v>
      </c>
      <c r="R128" s="52">
        <f t="shared" si="99"/>
        <v>13941.071999999998</v>
      </c>
      <c r="S128" s="52">
        <v>14000</v>
      </c>
      <c r="T128" s="52">
        <f>-VLOOKUP(B128,'2174'!$A$1:$G$177,6,0)</f>
        <v>51986.62</v>
      </c>
      <c r="U128" s="63">
        <f t="shared" si="109"/>
        <v>56712.676363636368</v>
      </c>
      <c r="V128" s="52">
        <f t="shared" ref="V128:V139" si="110">U128</f>
        <v>56712.676363636368</v>
      </c>
      <c r="W128" s="52">
        <f>-VLOOKUP(B128,'ביצוע 2019'!$A$3:$H$1103,7,0)</f>
        <v>56856.71</v>
      </c>
      <c r="X128" s="52">
        <f t="shared" si="96"/>
        <v>56856.71</v>
      </c>
      <c r="Y128" s="101">
        <f t="shared" si="108"/>
        <v>1</v>
      </c>
      <c r="Z128" s="52"/>
      <c r="AA128" s="51"/>
      <c r="AD128" s="211"/>
    </row>
    <row r="129" spans="1:30" ht="15.75">
      <c r="A129" s="21">
        <v>9</v>
      </c>
      <c r="B129" s="50">
        <v>1315223920</v>
      </c>
      <c r="C129" s="50">
        <v>920</v>
      </c>
      <c r="D129" s="50">
        <v>315223</v>
      </c>
      <c r="E129" s="50">
        <v>31</v>
      </c>
      <c r="F129" s="51" t="s">
        <v>1916</v>
      </c>
      <c r="G129" s="110"/>
      <c r="H129" s="110"/>
      <c r="I129" s="110"/>
      <c r="J129" s="110"/>
      <c r="K129" s="110"/>
      <c r="L129" s="110"/>
      <c r="M129" s="110"/>
      <c r="N129" s="52"/>
      <c r="O129" s="52"/>
      <c r="P129" s="52"/>
      <c r="Q129" s="52">
        <v>419921.9</v>
      </c>
      <c r="R129" s="52">
        <f t="shared" si="99"/>
        <v>503906.28</v>
      </c>
      <c r="S129" s="52">
        <v>504000</v>
      </c>
      <c r="T129" s="52">
        <f>-VLOOKUP(B129,'2174'!$A$1:$G$177,6,0)</f>
        <v>478632.29</v>
      </c>
      <c r="U129" s="63">
        <f t="shared" si="109"/>
        <v>522144.31636363635</v>
      </c>
      <c r="V129" s="52">
        <f t="shared" si="110"/>
        <v>522144.31636363635</v>
      </c>
      <c r="W129" s="52">
        <f>-VLOOKUP(B129,'ביצוע 2019'!$A$3:$H$1103,7,0)</f>
        <v>551337.07999999996</v>
      </c>
      <c r="X129" s="52">
        <f t="shared" si="96"/>
        <v>551337.07999999996</v>
      </c>
      <c r="Y129" s="101">
        <f t="shared" si="108"/>
        <v>1</v>
      </c>
      <c r="Z129" s="52"/>
      <c r="AA129" s="51"/>
      <c r="AD129" s="211"/>
    </row>
    <row r="130" spans="1:30" ht="15.75">
      <c r="A130" s="21">
        <v>9</v>
      </c>
      <c r="B130" s="50">
        <v>1315224920</v>
      </c>
      <c r="C130" s="50">
        <v>920</v>
      </c>
      <c r="D130" s="50">
        <v>315224</v>
      </c>
      <c r="E130" s="50">
        <v>31</v>
      </c>
      <c r="F130" s="51" t="s">
        <v>1917</v>
      </c>
      <c r="G130" s="110"/>
      <c r="H130" s="110"/>
      <c r="I130" s="110"/>
      <c r="J130" s="110"/>
      <c r="K130" s="110"/>
      <c r="L130" s="110"/>
      <c r="M130" s="110"/>
      <c r="N130" s="52"/>
      <c r="O130" s="52"/>
      <c r="P130" s="52"/>
      <c r="Q130" s="52">
        <v>111144</v>
      </c>
      <c r="R130" s="52">
        <f t="shared" si="99"/>
        <v>133372.79999999999</v>
      </c>
      <c r="S130" s="52">
        <v>134000</v>
      </c>
      <c r="T130" s="52">
        <f>-VLOOKUP(B130,'2174'!$A$1:$G$177,6,0)</f>
        <v>71194.41</v>
      </c>
      <c r="U130" s="63">
        <f t="shared" si="109"/>
        <v>77666.629090909089</v>
      </c>
      <c r="V130" s="52">
        <f t="shared" si="110"/>
        <v>77666.629090909089</v>
      </c>
      <c r="W130" s="52">
        <f>-VLOOKUP(B130,'ביצוע 2019'!$A$3:$H$1103,7,0)</f>
        <v>85339.14</v>
      </c>
      <c r="X130" s="52">
        <f t="shared" si="96"/>
        <v>85339.14</v>
      </c>
      <c r="Y130" s="101">
        <f t="shared" si="108"/>
        <v>1</v>
      </c>
      <c r="Z130" s="52"/>
      <c r="AA130" s="51"/>
      <c r="AD130" s="211"/>
    </row>
    <row r="131" spans="1:30" ht="15.75">
      <c r="A131" s="21">
        <v>9</v>
      </c>
      <c r="B131" s="50">
        <v>1315225920</v>
      </c>
      <c r="C131" s="50">
        <v>920</v>
      </c>
      <c r="D131" s="50">
        <v>315225</v>
      </c>
      <c r="E131" s="50">
        <v>31</v>
      </c>
      <c r="F131" s="51" t="s">
        <v>1918</v>
      </c>
      <c r="G131" s="110"/>
      <c r="H131" s="110"/>
      <c r="I131" s="110"/>
      <c r="J131" s="110"/>
      <c r="K131" s="110"/>
      <c r="L131" s="110"/>
      <c r="M131" s="110"/>
      <c r="N131" s="52"/>
      <c r="O131" s="52"/>
      <c r="P131" s="52"/>
      <c r="Q131" s="52">
        <v>18773.84</v>
      </c>
      <c r="R131" s="52">
        <f t="shared" si="99"/>
        <v>22528.608</v>
      </c>
      <c r="S131" s="52">
        <v>23000</v>
      </c>
      <c r="T131" s="52">
        <f>-VLOOKUP(B131,'2174'!$A$1:$G$177,6,0)</f>
        <v>29408.59</v>
      </c>
      <c r="U131" s="63">
        <f t="shared" si="109"/>
        <v>32082.098181818183</v>
      </c>
      <c r="V131" s="52">
        <f t="shared" si="110"/>
        <v>32082.098181818183</v>
      </c>
      <c r="W131" s="52">
        <f>-VLOOKUP(B131,'ביצוע 2019'!$A$3:$H$1103,7,0)</f>
        <v>35550.97</v>
      </c>
      <c r="X131" s="52">
        <f t="shared" si="96"/>
        <v>35550.97</v>
      </c>
      <c r="Y131" s="101">
        <f t="shared" si="108"/>
        <v>1</v>
      </c>
      <c r="Z131" s="52"/>
      <c r="AA131" s="51"/>
      <c r="AD131" s="211"/>
    </row>
    <row r="132" spans="1:30" ht="15.75">
      <c r="A132" s="21">
        <v>9</v>
      </c>
      <c r="B132" s="50">
        <v>1315226920</v>
      </c>
      <c r="C132" s="50">
        <v>920</v>
      </c>
      <c r="D132" s="50">
        <v>315226</v>
      </c>
      <c r="E132" s="50">
        <v>31</v>
      </c>
      <c r="F132" s="51" t="s">
        <v>1919</v>
      </c>
      <c r="G132" s="110"/>
      <c r="H132" s="110"/>
      <c r="I132" s="110"/>
      <c r="J132" s="110"/>
      <c r="K132" s="110"/>
      <c r="L132" s="110"/>
      <c r="M132" s="110"/>
      <c r="N132" s="52"/>
      <c r="O132" s="52"/>
      <c r="P132" s="52"/>
      <c r="Q132" s="52">
        <v>9166.6299999999992</v>
      </c>
      <c r="R132" s="52">
        <f t="shared" si="99"/>
        <v>10999.955999999998</v>
      </c>
      <c r="S132" s="52">
        <v>11000</v>
      </c>
      <c r="T132" s="52">
        <f>-VLOOKUP(B132,'2174'!$A$1:$G$177,6,0)</f>
        <v>9166.6299999999992</v>
      </c>
      <c r="U132" s="63">
        <f t="shared" si="109"/>
        <v>9999.9599999999991</v>
      </c>
      <c r="V132" s="52">
        <f t="shared" si="110"/>
        <v>9999.9599999999991</v>
      </c>
      <c r="W132" s="52">
        <f>-VLOOKUP(B132,'ביצוע 2019'!$A$3:$H$1103,7,0)</f>
        <v>0</v>
      </c>
      <c r="X132" s="52">
        <f t="shared" si="96"/>
        <v>0</v>
      </c>
      <c r="Y132" s="101">
        <f t="shared" si="108"/>
        <v>1</v>
      </c>
      <c r="Z132" s="52"/>
      <c r="AA132" s="51"/>
      <c r="AD132" s="211"/>
    </row>
    <row r="133" spans="1:30" ht="15.75">
      <c r="A133" s="21">
        <v>9</v>
      </c>
      <c r="B133" s="50">
        <v>1315227920</v>
      </c>
      <c r="C133" s="50">
        <v>920</v>
      </c>
      <c r="D133" s="50">
        <v>315227</v>
      </c>
      <c r="E133" s="50">
        <v>31</v>
      </c>
      <c r="F133" s="51" t="s">
        <v>1920</v>
      </c>
      <c r="G133" s="110"/>
      <c r="H133" s="110"/>
      <c r="I133" s="110"/>
      <c r="J133" s="110"/>
      <c r="K133" s="110"/>
      <c r="L133" s="110"/>
      <c r="M133" s="110"/>
      <c r="N133" s="52"/>
      <c r="O133" s="52"/>
      <c r="P133" s="52"/>
      <c r="Q133" s="52">
        <v>19246.96</v>
      </c>
      <c r="R133" s="52">
        <f t="shared" si="99"/>
        <v>23096.351999999999</v>
      </c>
      <c r="S133" s="52">
        <v>23100</v>
      </c>
      <c r="T133" s="52">
        <f>-VLOOKUP(B133,'2174'!$A$1:$G$177,6,0)</f>
        <v>28228.91</v>
      </c>
      <c r="U133" s="63">
        <f t="shared" si="109"/>
        <v>30795.174545454545</v>
      </c>
      <c r="V133" s="52">
        <f t="shared" si="110"/>
        <v>30795.174545454545</v>
      </c>
      <c r="W133" s="52">
        <f>-VLOOKUP(B133,'ביצוע 2019'!$A$3:$H$1103,7,0)</f>
        <v>35971.14</v>
      </c>
      <c r="X133" s="52">
        <f t="shared" si="96"/>
        <v>35971.14</v>
      </c>
      <c r="Y133" s="101">
        <f t="shared" si="108"/>
        <v>1</v>
      </c>
      <c r="Z133" s="52"/>
      <c r="AA133" s="51"/>
      <c r="AD133" s="211"/>
    </row>
    <row r="134" spans="1:30" ht="15.75">
      <c r="A134" s="21">
        <v>9</v>
      </c>
      <c r="B134" s="50">
        <v>1315228920</v>
      </c>
      <c r="C134" s="50">
        <v>920</v>
      </c>
      <c r="D134" s="50">
        <v>315227</v>
      </c>
      <c r="E134" s="50">
        <v>31</v>
      </c>
      <c r="F134" s="51" t="s">
        <v>1907</v>
      </c>
      <c r="G134" s="110"/>
      <c r="H134" s="110"/>
      <c r="I134" s="110"/>
      <c r="J134" s="110"/>
      <c r="K134" s="110"/>
      <c r="L134" s="110"/>
      <c r="M134" s="110"/>
      <c r="N134" s="52"/>
      <c r="O134" s="52"/>
      <c r="P134" s="52"/>
      <c r="Q134" s="52"/>
      <c r="R134" s="52"/>
      <c r="S134" s="52"/>
      <c r="T134" s="52">
        <f>-VLOOKUP(B134,'2174'!$A$1:$G$177,6,0)</f>
        <v>208170.74</v>
      </c>
      <c r="U134" s="63">
        <f t="shared" si="109"/>
        <v>227095.35272727272</v>
      </c>
      <c r="V134" s="52">
        <f t="shared" si="110"/>
        <v>227095.35272727272</v>
      </c>
      <c r="W134" s="52">
        <f>-VLOOKUP(B134,'ביצוע 2019'!$A$3:$H$1103,7,0)</f>
        <v>296272.51</v>
      </c>
      <c r="X134" s="52">
        <f t="shared" si="96"/>
        <v>296272.51</v>
      </c>
      <c r="Y134" s="101">
        <f t="shared" si="108"/>
        <v>1</v>
      </c>
      <c r="Z134" s="52"/>
      <c r="AA134" s="51"/>
      <c r="AD134" s="211"/>
    </row>
    <row r="135" spans="1:30" ht="15.75">
      <c r="A135" s="21">
        <v>9</v>
      </c>
      <c r="B135" s="50">
        <v>1315229920</v>
      </c>
      <c r="C135" s="50">
        <v>920</v>
      </c>
      <c r="D135" s="50">
        <v>315227</v>
      </c>
      <c r="E135" s="50">
        <v>31</v>
      </c>
      <c r="F135" s="51" t="s">
        <v>2019</v>
      </c>
      <c r="G135" s="110"/>
      <c r="H135" s="110"/>
      <c r="I135" s="110"/>
      <c r="J135" s="110"/>
      <c r="K135" s="110"/>
      <c r="L135" s="110"/>
      <c r="M135" s="110"/>
      <c r="N135" s="52"/>
      <c r="O135" s="52"/>
      <c r="P135" s="52"/>
      <c r="Q135" s="52"/>
      <c r="R135" s="52"/>
      <c r="S135" s="52"/>
      <c r="T135" s="52">
        <f>-VLOOKUP(B135,'2174'!$A$1:$G$177,6,0)</f>
        <v>233601.97</v>
      </c>
      <c r="U135" s="63">
        <f t="shared" si="109"/>
        <v>254838.51272727273</v>
      </c>
      <c r="V135" s="52">
        <f t="shared" si="110"/>
        <v>254838.51272727273</v>
      </c>
      <c r="W135" s="52">
        <f>-VLOOKUP(B135,'ביצוע 2019'!$A$3:$H$1103,7,0)</f>
        <v>271026.09999999998</v>
      </c>
      <c r="X135" s="52">
        <f t="shared" si="96"/>
        <v>271026.09999999998</v>
      </c>
      <c r="Y135" s="101">
        <f t="shared" si="108"/>
        <v>1</v>
      </c>
      <c r="Z135" s="52"/>
      <c r="AA135" s="51"/>
      <c r="AD135" s="211"/>
    </row>
    <row r="136" spans="1:30" ht="15.75">
      <c r="A136" s="21">
        <v>9</v>
      </c>
      <c r="B136" s="50">
        <v>1315230920</v>
      </c>
      <c r="C136" s="50">
        <v>920</v>
      </c>
      <c r="D136" s="50">
        <v>315227</v>
      </c>
      <c r="E136" s="50">
        <v>31</v>
      </c>
      <c r="F136" s="51" t="s">
        <v>2020</v>
      </c>
      <c r="G136" s="110"/>
      <c r="H136" s="110"/>
      <c r="I136" s="110"/>
      <c r="J136" s="110"/>
      <c r="K136" s="110"/>
      <c r="L136" s="110"/>
      <c r="M136" s="110"/>
      <c r="N136" s="52"/>
      <c r="O136" s="52"/>
      <c r="P136" s="52"/>
      <c r="Q136" s="52"/>
      <c r="R136" s="52"/>
      <c r="S136" s="52"/>
      <c r="T136" s="52">
        <f>-VLOOKUP(B136,'2174'!$A$1:$G$177,6,0)</f>
        <v>37021.31</v>
      </c>
      <c r="U136" s="63">
        <f>T136*12/11</f>
        <v>40386.883636363636</v>
      </c>
      <c r="V136" s="52">
        <f t="shared" si="110"/>
        <v>40386.883636363636</v>
      </c>
      <c r="W136" s="52">
        <f>-VLOOKUP(B136,'ביצוע 2019'!$A$3:$H$1103,7,0)</f>
        <v>43335.96</v>
      </c>
      <c r="X136" s="52">
        <f t="shared" si="96"/>
        <v>43335.96</v>
      </c>
      <c r="Y136" s="101">
        <f t="shared" si="108"/>
        <v>1</v>
      </c>
      <c r="Z136" s="52"/>
      <c r="AA136" s="51"/>
      <c r="AD136" s="211"/>
    </row>
    <row r="137" spans="1:30" ht="15.75">
      <c r="A137" s="21">
        <v>9</v>
      </c>
      <c r="B137" s="50">
        <v>1315231920</v>
      </c>
      <c r="C137" s="50">
        <v>920</v>
      </c>
      <c r="D137" s="50">
        <v>315227</v>
      </c>
      <c r="E137" s="50">
        <v>31</v>
      </c>
      <c r="F137" s="51" t="s">
        <v>1910</v>
      </c>
      <c r="G137" s="110"/>
      <c r="H137" s="110"/>
      <c r="I137" s="110"/>
      <c r="J137" s="110"/>
      <c r="K137" s="110"/>
      <c r="L137" s="110"/>
      <c r="M137" s="110"/>
      <c r="N137" s="52"/>
      <c r="O137" s="52"/>
      <c r="P137" s="52"/>
      <c r="Q137" s="52"/>
      <c r="R137" s="52"/>
      <c r="S137" s="52"/>
      <c r="T137" s="52"/>
      <c r="U137" s="63"/>
      <c r="V137" s="52"/>
      <c r="W137" s="52">
        <f>-VLOOKUP(B137,'ביצוע 2019'!$A$3:$H$1103,7,0)</f>
        <v>13465.64</v>
      </c>
      <c r="X137" s="52">
        <f t="shared" si="96"/>
        <v>13465.64</v>
      </c>
      <c r="Y137" s="101">
        <f t="shared" si="108"/>
        <v>1</v>
      </c>
      <c r="Z137" s="52"/>
      <c r="AA137" s="51"/>
      <c r="AD137" s="211"/>
    </row>
    <row r="138" spans="1:30" ht="15.75">
      <c r="A138" s="21">
        <v>9</v>
      </c>
      <c r="B138" s="50">
        <v>1315232920</v>
      </c>
      <c r="C138" s="50">
        <v>920</v>
      </c>
      <c r="D138" s="50">
        <v>315227</v>
      </c>
      <c r="E138" s="50">
        <v>31</v>
      </c>
      <c r="F138" s="51" t="s">
        <v>2021</v>
      </c>
      <c r="G138" s="110"/>
      <c r="H138" s="110"/>
      <c r="I138" s="110"/>
      <c r="J138" s="110"/>
      <c r="K138" s="110"/>
      <c r="L138" s="110"/>
      <c r="M138" s="110"/>
      <c r="N138" s="52"/>
      <c r="O138" s="52"/>
      <c r="P138" s="52"/>
      <c r="Q138" s="52"/>
      <c r="R138" s="52"/>
      <c r="S138" s="52"/>
      <c r="T138" s="52">
        <f>-VLOOKUP(B138,'2174'!$A$1:$G$177,6,0)</f>
        <v>30476.720000000001</v>
      </c>
      <c r="U138" s="63">
        <f t="shared" ref="U138:U139" si="111">T138*12/11</f>
        <v>33247.33090909091</v>
      </c>
      <c r="V138" s="52">
        <f t="shared" si="110"/>
        <v>33247.33090909091</v>
      </c>
      <c r="W138" s="52">
        <f>-VLOOKUP(B138,'ביצוע 2019'!$A$3:$H$1103,7,0)</f>
        <v>4697.3999999999996</v>
      </c>
      <c r="X138" s="52">
        <f t="shared" si="96"/>
        <v>4697.3999999999996</v>
      </c>
      <c r="Y138" s="101">
        <f t="shared" si="108"/>
        <v>1</v>
      </c>
      <c r="Z138" s="52"/>
      <c r="AA138" s="51"/>
      <c r="AD138" s="211"/>
    </row>
    <row r="139" spans="1:30" ht="16.5" customHeight="1">
      <c r="A139" s="21">
        <v>9</v>
      </c>
      <c r="B139" s="50">
        <v>1315233920</v>
      </c>
      <c r="C139" s="50">
        <v>920</v>
      </c>
      <c r="D139" s="50">
        <v>315227</v>
      </c>
      <c r="E139" s="50">
        <v>31</v>
      </c>
      <c r="F139" s="51" t="s">
        <v>2022</v>
      </c>
      <c r="G139" s="110"/>
      <c r="H139" s="110"/>
      <c r="I139" s="110"/>
      <c r="J139" s="110"/>
      <c r="K139" s="110"/>
      <c r="L139" s="110"/>
      <c r="M139" s="110"/>
      <c r="N139" s="52"/>
      <c r="O139" s="52"/>
      <c r="P139" s="52"/>
      <c r="Q139" s="52"/>
      <c r="R139" s="52"/>
      <c r="S139" s="52"/>
      <c r="T139" s="52">
        <f>-VLOOKUP(B139,'2174'!$A$1:$G$177,6,0)</f>
        <v>1229286.44</v>
      </c>
      <c r="U139" s="63">
        <f t="shared" si="111"/>
        <v>1341039.7527272727</v>
      </c>
      <c r="V139" s="52">
        <f t="shared" si="110"/>
        <v>1341039.7527272727</v>
      </c>
      <c r="W139" s="52">
        <f>-VLOOKUP(B139,'ביצוע 2019'!$A$3:$H$1103,7,0)</f>
        <v>306141.74</v>
      </c>
      <c r="X139" s="52">
        <f t="shared" si="96"/>
        <v>306141.74</v>
      </c>
      <c r="Y139" s="101">
        <f t="shared" si="108"/>
        <v>1</v>
      </c>
      <c r="Z139" s="52"/>
      <c r="AA139" s="51"/>
      <c r="AD139" s="211"/>
    </row>
    <row r="140" spans="1:30" ht="16.5" customHeight="1">
      <c r="A140" s="21">
        <v>9</v>
      </c>
      <c r="B140" s="50">
        <v>1315234920</v>
      </c>
      <c r="C140" s="50">
        <v>920</v>
      </c>
      <c r="D140" s="50">
        <v>315227</v>
      </c>
      <c r="E140" s="50">
        <v>31</v>
      </c>
      <c r="F140" s="51" t="s">
        <v>2104</v>
      </c>
      <c r="G140" s="110"/>
      <c r="H140" s="110"/>
      <c r="I140" s="110"/>
      <c r="J140" s="110"/>
      <c r="K140" s="110"/>
      <c r="L140" s="110"/>
      <c r="M140" s="110"/>
      <c r="N140" s="52"/>
      <c r="O140" s="52"/>
      <c r="P140" s="52"/>
      <c r="Q140" s="52"/>
      <c r="R140" s="52"/>
      <c r="S140" s="52"/>
      <c r="T140" s="52"/>
      <c r="U140" s="63"/>
      <c r="V140" s="52"/>
      <c r="W140" s="52">
        <f>-VLOOKUP(B140,'ביצוע 2019'!$A$3:$H$1103,7,0)</f>
        <v>19728.84</v>
      </c>
      <c r="X140" s="52">
        <f t="shared" si="96"/>
        <v>19728.84</v>
      </c>
      <c r="Y140" s="101">
        <f t="shared" si="108"/>
        <v>1</v>
      </c>
      <c r="Z140" s="52"/>
      <c r="AA140" s="51"/>
      <c r="AD140" s="211"/>
    </row>
    <row r="141" spans="1:30" ht="15.75">
      <c r="A141" s="21"/>
      <c r="B141" s="222"/>
      <c r="C141" s="222"/>
      <c r="D141" s="222"/>
      <c r="E141" s="222"/>
      <c r="F141" s="223" t="s">
        <v>1944</v>
      </c>
      <c r="G141" s="224"/>
      <c r="H141" s="224"/>
      <c r="I141" s="224"/>
      <c r="J141" s="224"/>
      <c r="K141" s="224"/>
      <c r="L141" s="224"/>
      <c r="M141" s="224"/>
      <c r="N141" s="225">
        <f t="shared" ref="N141:U141" si="112">SUM(N91:N139)</f>
        <v>9799000</v>
      </c>
      <c r="O141" s="225">
        <f t="shared" si="112"/>
        <v>0</v>
      </c>
      <c r="P141" s="225">
        <f t="shared" si="112"/>
        <v>9799000</v>
      </c>
      <c r="Q141" s="225">
        <f t="shared" si="112"/>
        <v>8958050.6500000022</v>
      </c>
      <c r="R141" s="225">
        <f t="shared" si="112"/>
        <v>11249910.260000002</v>
      </c>
      <c r="S141" s="225">
        <f t="shared" si="112"/>
        <v>12575407.711999999</v>
      </c>
      <c r="T141" s="225">
        <f t="shared" si="112"/>
        <v>10363405.230000002</v>
      </c>
      <c r="U141" s="225">
        <f t="shared" si="112"/>
        <v>11171976.10181818</v>
      </c>
      <c r="V141" s="225">
        <f>SUM(V91:V140)</f>
        <v>11226508.687272726</v>
      </c>
      <c r="W141" s="225">
        <f t="shared" ref="W141:X141" si="113">SUM(W91:W140)</f>
        <v>12569487.730000004</v>
      </c>
      <c r="X141" s="225">
        <f t="shared" si="113"/>
        <v>12569391.490000004</v>
      </c>
      <c r="Y141" s="101">
        <f t="shared" si="108"/>
        <v>1</v>
      </c>
      <c r="Z141" s="52"/>
      <c r="AA141" s="51"/>
      <c r="AD141" s="211"/>
    </row>
    <row r="142" spans="1:30" ht="15.75">
      <c r="A142" s="21">
        <v>9</v>
      </c>
      <c r="B142" s="50">
        <v>1317100990</v>
      </c>
      <c r="C142" s="50" t="str">
        <f t="shared" ref="C142:C145" si="114">RIGHT(B142,3)</f>
        <v>990</v>
      </c>
      <c r="D142" s="50" t="str">
        <f t="shared" ref="D142:D145" si="115">MID(B142,2,6)</f>
        <v>317100</v>
      </c>
      <c r="E142" s="50" t="str">
        <f t="shared" ref="E142:E145" si="116">LEFT(D142,2)</f>
        <v>31</v>
      </c>
      <c r="F142" s="51" t="s">
        <v>524</v>
      </c>
      <c r="G142" s="110"/>
      <c r="H142" s="110"/>
      <c r="I142" s="110"/>
      <c r="J142" s="110"/>
      <c r="K142" s="110"/>
      <c r="L142" s="110"/>
      <c r="M142" s="110"/>
      <c r="N142" s="52">
        <v>340000</v>
      </c>
      <c r="O142" s="52"/>
      <c r="P142" s="52"/>
      <c r="Q142" s="52"/>
      <c r="R142" s="52">
        <v>0</v>
      </c>
      <c r="S142" s="52">
        <v>0</v>
      </c>
      <c r="T142" s="52">
        <f>-VLOOKUP(B142,'2174'!$A$1:$G$177,6,0)</f>
        <v>334200.93</v>
      </c>
      <c r="U142" s="63">
        <f t="shared" ref="U142:U149" si="117">T142*12/11</f>
        <v>364582.83272727276</v>
      </c>
      <c r="V142" s="52">
        <f t="shared" ref="V142:V149" si="118">U142</f>
        <v>364582.83272727276</v>
      </c>
      <c r="W142" s="52">
        <f>-VLOOKUP(B142,'ביצוע 2019'!$A$3:$H$1103,7,0)</f>
        <v>682441.47</v>
      </c>
      <c r="X142" s="52">
        <f t="shared" ref="X142:X157" si="119">W142</f>
        <v>682441.47</v>
      </c>
      <c r="Y142" s="101">
        <f t="shared" si="108"/>
        <v>1</v>
      </c>
      <c r="Z142" s="52"/>
      <c r="AA142" s="206"/>
    </row>
    <row r="143" spans="1:30" ht="15.75">
      <c r="A143" s="21">
        <v>9</v>
      </c>
      <c r="B143" s="50">
        <v>1317301920</v>
      </c>
      <c r="C143" s="50" t="str">
        <f t="shared" si="114"/>
        <v>920</v>
      </c>
      <c r="D143" s="50" t="str">
        <f t="shared" si="115"/>
        <v>317301</v>
      </c>
      <c r="E143" s="50" t="str">
        <f t="shared" si="116"/>
        <v>31</v>
      </c>
      <c r="F143" s="51" t="s">
        <v>525</v>
      </c>
      <c r="G143" s="110"/>
      <c r="H143" s="110"/>
      <c r="I143" s="110"/>
      <c r="J143" s="110"/>
      <c r="K143" s="110"/>
      <c r="L143" s="110"/>
      <c r="M143" s="110"/>
      <c r="N143" s="52">
        <v>702000</v>
      </c>
      <c r="O143" s="52"/>
      <c r="P143" s="52"/>
      <c r="Q143" s="52"/>
      <c r="R143" s="52">
        <v>0</v>
      </c>
      <c r="S143" s="52">
        <v>0</v>
      </c>
      <c r="T143" s="52">
        <f>-VLOOKUP(B143,'2174'!$A$1:$G$177,6,0)</f>
        <v>675880.88</v>
      </c>
      <c r="U143" s="63">
        <f t="shared" si="117"/>
        <v>737324.59636363643</v>
      </c>
      <c r="V143" s="52">
        <f t="shared" si="118"/>
        <v>737324.59636363643</v>
      </c>
      <c r="W143" s="52">
        <f>-VLOOKUP(B143,'ביצוע 2019'!$A$3:$H$1103,7,0)</f>
        <v>742443.22</v>
      </c>
      <c r="X143" s="52">
        <f t="shared" si="119"/>
        <v>742443.22</v>
      </c>
      <c r="Y143" s="101">
        <f t="shared" si="108"/>
        <v>1</v>
      </c>
      <c r="Z143" s="52"/>
      <c r="AA143" s="206"/>
    </row>
    <row r="144" spans="1:30" ht="15.75">
      <c r="A144" s="21">
        <v>9</v>
      </c>
      <c r="B144" s="50">
        <v>1317302920</v>
      </c>
      <c r="C144" s="50" t="str">
        <f t="shared" si="114"/>
        <v>920</v>
      </c>
      <c r="D144" s="50" t="str">
        <f t="shared" si="115"/>
        <v>317302</v>
      </c>
      <c r="E144" s="50" t="str">
        <f t="shared" si="116"/>
        <v>31</v>
      </c>
      <c r="F144" s="51" t="s">
        <v>526</v>
      </c>
      <c r="G144" s="110"/>
      <c r="H144" s="110"/>
      <c r="I144" s="110"/>
      <c r="J144" s="110"/>
      <c r="K144" s="110"/>
      <c r="L144" s="110"/>
      <c r="M144" s="110"/>
      <c r="N144" s="52">
        <v>55000</v>
      </c>
      <c r="O144" s="52"/>
      <c r="P144" s="52"/>
      <c r="Q144" s="52"/>
      <c r="R144" s="52">
        <v>0</v>
      </c>
      <c r="S144" s="52">
        <v>0</v>
      </c>
      <c r="T144" s="52">
        <f>-VLOOKUP(B144,'2174'!$A$1:$G$177,6,0)</f>
        <v>41357.4</v>
      </c>
      <c r="U144" s="63">
        <f t="shared" si="117"/>
        <v>45117.163636363643</v>
      </c>
      <c r="V144" s="52">
        <f t="shared" si="118"/>
        <v>45117.163636363643</v>
      </c>
      <c r="W144" s="52">
        <f>-VLOOKUP(B144,'ביצוע 2019'!$A$3:$H$1103,7,0)</f>
        <v>42570</v>
      </c>
      <c r="X144" s="52">
        <f t="shared" si="119"/>
        <v>42570</v>
      </c>
      <c r="Y144" s="101">
        <f t="shared" si="108"/>
        <v>1</v>
      </c>
      <c r="Z144" s="52"/>
      <c r="AA144" s="206"/>
    </row>
    <row r="145" spans="1:42" ht="15.75">
      <c r="A145" s="21">
        <v>9</v>
      </c>
      <c r="B145" s="50">
        <v>1317610920</v>
      </c>
      <c r="C145" s="50" t="str">
        <f t="shared" si="114"/>
        <v>920</v>
      </c>
      <c r="D145" s="50" t="str">
        <f t="shared" si="115"/>
        <v>317610</v>
      </c>
      <c r="E145" s="50" t="str">
        <f t="shared" si="116"/>
        <v>31</v>
      </c>
      <c r="F145" s="51" t="s">
        <v>527</v>
      </c>
      <c r="G145" s="110"/>
      <c r="H145" s="110"/>
      <c r="I145" s="110"/>
      <c r="J145" s="110"/>
      <c r="K145" s="110"/>
      <c r="L145" s="110"/>
      <c r="M145" s="110"/>
      <c r="N145" s="52">
        <v>200000</v>
      </c>
      <c r="O145" s="52"/>
      <c r="P145" s="52"/>
      <c r="Q145" s="52"/>
      <c r="R145" s="52">
        <v>0</v>
      </c>
      <c r="S145" s="52">
        <v>0</v>
      </c>
      <c r="T145" s="52">
        <f>-VLOOKUP(B145,'2174'!$A$1:$G$177,6,0)</f>
        <v>40620</v>
      </c>
      <c r="U145" s="63">
        <f t="shared" si="117"/>
        <v>44312.727272727272</v>
      </c>
      <c r="V145" s="52">
        <v>90000</v>
      </c>
      <c r="W145" s="52">
        <f>-VLOOKUP(B145,'ביצוע 2019'!$A$3:$H$1103,7,0)</f>
        <v>0</v>
      </c>
      <c r="X145" s="52">
        <f t="shared" si="119"/>
        <v>0</v>
      </c>
      <c r="Y145" s="101">
        <f t="shared" si="108"/>
        <v>1</v>
      </c>
      <c r="Z145" s="52"/>
      <c r="AA145" s="206"/>
    </row>
    <row r="146" spans="1:42" ht="15.75" hidden="1">
      <c r="A146" s="21">
        <v>9</v>
      </c>
      <c r="B146" s="50">
        <v>1317620920</v>
      </c>
      <c r="C146" s="50" t="str">
        <f>RIGHT(B146,3)</f>
        <v>920</v>
      </c>
      <c r="D146" s="50" t="str">
        <f>MID(B146,2,6)</f>
        <v>317620</v>
      </c>
      <c r="E146" s="50" t="str">
        <f>LEFT(D146,2)</f>
        <v>31</v>
      </c>
      <c r="F146" s="51" t="s">
        <v>1988</v>
      </c>
      <c r="G146" s="110">
        <v>-230000</v>
      </c>
      <c r="H146" s="110">
        <f>G146*-1</f>
        <v>230000</v>
      </c>
      <c r="I146" s="110">
        <f>-214021-150000</f>
        <v>-364021</v>
      </c>
      <c r="J146" s="110">
        <f>I146*-1</f>
        <v>364021</v>
      </c>
      <c r="K146" s="110">
        <v>-15979</v>
      </c>
      <c r="L146" s="110">
        <v>215000</v>
      </c>
      <c r="M146" s="110"/>
      <c r="N146" s="52">
        <v>0</v>
      </c>
      <c r="O146" s="52"/>
      <c r="P146" s="52">
        <f>N146+O146</f>
        <v>0</v>
      </c>
      <c r="Q146" s="52">
        <f>-VLOOKUP(B:B,'דוח כספי 1-10.17'!A:D,4,0)</f>
        <v>7644</v>
      </c>
      <c r="R146" s="52">
        <f>Q146/10*12</f>
        <v>9172.7999999999993</v>
      </c>
      <c r="S146" s="52">
        <v>150000</v>
      </c>
      <c r="T146" s="52"/>
      <c r="U146" s="63">
        <f t="shared" si="117"/>
        <v>0</v>
      </c>
      <c r="V146" s="52">
        <f t="shared" si="118"/>
        <v>0</v>
      </c>
      <c r="W146" s="52">
        <f>-VLOOKUP(B146,'ביצוע 2019'!$A$3:$H$1103,7,0)</f>
        <v>0</v>
      </c>
      <c r="X146" s="52">
        <f t="shared" si="119"/>
        <v>0</v>
      </c>
      <c r="Y146" s="101">
        <f t="shared" ref="Y146:Y195" si="120">IF((X146+W146+U146+V146)&lt;&gt;0,1,0)</f>
        <v>0</v>
      </c>
      <c r="Z146" s="52"/>
      <c r="AA146" s="206"/>
    </row>
    <row r="147" spans="1:42" ht="15.75">
      <c r="A147" s="21">
        <v>9</v>
      </c>
      <c r="B147" s="50">
        <v>1317710920</v>
      </c>
      <c r="C147" s="50" t="str">
        <f>RIGHT(B147,3)</f>
        <v>920</v>
      </c>
      <c r="D147" s="50" t="str">
        <f>MID(B147,2,6)</f>
        <v>317710</v>
      </c>
      <c r="E147" s="50" t="str">
        <f>LEFT(D147,2)</f>
        <v>31</v>
      </c>
      <c r="F147" s="51" t="s">
        <v>535</v>
      </c>
      <c r="G147" s="110">
        <v>-136999</v>
      </c>
      <c r="H147" s="110">
        <f>G147*-1</f>
        <v>136999</v>
      </c>
      <c r="I147" s="110">
        <v>-118898.81</v>
      </c>
      <c r="J147" s="110">
        <f>I147*-1</f>
        <v>118898.81</v>
      </c>
      <c r="K147" s="110">
        <v>-18100.189999999999</v>
      </c>
      <c r="L147" s="110">
        <v>120000</v>
      </c>
      <c r="M147" s="110">
        <v>158000</v>
      </c>
      <c r="N147" s="52">
        <v>158000</v>
      </c>
      <c r="O147" s="52"/>
      <c r="P147" s="52">
        <f>N147+O147</f>
        <v>158000</v>
      </c>
      <c r="Q147" s="52">
        <f>-VLOOKUP(B:B,'דוח כספי 1-10.17'!A:D,4,0)</f>
        <v>145825.43</v>
      </c>
      <c r="R147" s="52">
        <f>Q147/10*12</f>
        <v>174990.516</v>
      </c>
      <c r="S147" s="52">
        <v>175000</v>
      </c>
      <c r="T147" s="52">
        <f>-VLOOKUP(B147,'2174'!$A$1:$G$177,6,0)</f>
        <v>231860.14</v>
      </c>
      <c r="U147" s="63">
        <f t="shared" si="117"/>
        <v>252938.33454545456</v>
      </c>
      <c r="V147" s="52">
        <f t="shared" si="118"/>
        <v>252938.33454545456</v>
      </c>
      <c r="W147" s="52">
        <f>-VLOOKUP(B147,'ביצוע 2019'!$A$3:$H$1103,7,0)</f>
        <v>244449.38</v>
      </c>
      <c r="X147" s="52">
        <f t="shared" si="119"/>
        <v>244449.38</v>
      </c>
      <c r="Y147" s="101">
        <f t="shared" ref="Y147:Y159" si="121">IF((X147+W147+V147)&lt;&gt;0,1,0)</f>
        <v>1</v>
      </c>
      <c r="Z147" s="52"/>
      <c r="AA147" s="206"/>
    </row>
    <row r="148" spans="1:42" ht="15.75">
      <c r="A148" s="21">
        <v>9</v>
      </c>
      <c r="B148" s="50">
        <v>1317720920</v>
      </c>
      <c r="C148" s="50">
        <v>920</v>
      </c>
      <c r="D148" s="50">
        <v>317720</v>
      </c>
      <c r="E148" s="50">
        <v>31</v>
      </c>
      <c r="F148" s="51" t="s">
        <v>1662</v>
      </c>
      <c r="G148" s="110"/>
      <c r="H148" s="110"/>
      <c r="I148" s="110"/>
      <c r="J148" s="110"/>
      <c r="K148" s="110"/>
      <c r="L148" s="110">
        <v>0</v>
      </c>
      <c r="M148" s="110">
        <v>0</v>
      </c>
      <c r="N148" s="52">
        <v>41728</v>
      </c>
      <c r="O148" s="52">
        <v>41728</v>
      </c>
      <c r="P148" s="52">
        <f>N148+O148</f>
        <v>83456</v>
      </c>
      <c r="Q148" s="52">
        <f>-VLOOKUP(B:B,'דוח כספי 1-10.17'!A:D,4,0)</f>
        <v>41728</v>
      </c>
      <c r="R148" s="52">
        <f>Q148/10*12</f>
        <v>50073.600000000006</v>
      </c>
      <c r="S148" s="52">
        <v>50000</v>
      </c>
      <c r="T148" s="52"/>
      <c r="U148" s="63">
        <v>60000</v>
      </c>
      <c r="V148" s="52">
        <v>68000</v>
      </c>
      <c r="W148" s="52">
        <f>-VLOOKUP(B148,'ביצוע 2019'!$A$3:$H$1103,7,0)</f>
        <v>0</v>
      </c>
      <c r="X148" s="52">
        <f t="shared" si="119"/>
        <v>0</v>
      </c>
      <c r="Y148" s="101">
        <f t="shared" si="121"/>
        <v>1</v>
      </c>
      <c r="Z148" s="52"/>
      <c r="AA148" s="206"/>
      <c r="AP148" t="s">
        <v>1933</v>
      </c>
    </row>
    <row r="149" spans="1:42" ht="15.75">
      <c r="A149" s="21">
        <v>9</v>
      </c>
      <c r="B149" s="50">
        <v>1317721920</v>
      </c>
      <c r="C149" s="50">
        <v>920</v>
      </c>
      <c r="D149" s="50">
        <v>317721</v>
      </c>
      <c r="E149" s="50">
        <v>31</v>
      </c>
      <c r="F149" s="51" t="s">
        <v>1912</v>
      </c>
      <c r="G149" s="110"/>
      <c r="H149" s="110"/>
      <c r="I149" s="110"/>
      <c r="J149" s="110"/>
      <c r="K149" s="110"/>
      <c r="L149" s="110"/>
      <c r="M149" s="110"/>
      <c r="N149" s="52"/>
      <c r="O149" s="52"/>
      <c r="P149" s="52">
        <v>42579.06</v>
      </c>
      <c r="Q149" s="52">
        <f>P149/10*12</f>
        <v>51094.872000000003</v>
      </c>
      <c r="R149" s="52">
        <v>52000</v>
      </c>
      <c r="S149" s="52">
        <v>52000</v>
      </c>
      <c r="T149" s="52">
        <f>-VLOOKUP(B149,'2174'!$A$1:$G$177,6,0)</f>
        <v>43091.21</v>
      </c>
      <c r="U149" s="63">
        <f t="shared" si="117"/>
        <v>47008.592727272728</v>
      </c>
      <c r="V149" s="52">
        <f t="shared" si="118"/>
        <v>47008.592727272728</v>
      </c>
      <c r="W149" s="52">
        <f>-VLOOKUP(B149,'ביצוע 2019'!$A$3:$H$1103,7,0)</f>
        <v>47476.3</v>
      </c>
      <c r="X149" s="52">
        <f t="shared" si="119"/>
        <v>47476.3</v>
      </c>
      <c r="Y149" s="101">
        <f t="shared" si="121"/>
        <v>1</v>
      </c>
      <c r="Z149" s="52"/>
      <c r="AA149" s="206"/>
    </row>
    <row r="150" spans="1:42" ht="15.75">
      <c r="A150" s="21">
        <v>9</v>
      </c>
      <c r="B150" s="50">
        <v>1317800920</v>
      </c>
      <c r="C150" s="50" t="str">
        <f t="shared" ref="C150:C157" si="122">RIGHT(B150,3)</f>
        <v>920</v>
      </c>
      <c r="D150" s="50" t="str">
        <f t="shared" ref="D150:D157" si="123">MID(B150,2,6)</f>
        <v>317800</v>
      </c>
      <c r="E150" s="50" t="str">
        <f t="shared" ref="E150:E153" si="124">LEFT(D150,2)</f>
        <v>31</v>
      </c>
      <c r="F150" s="51" t="s">
        <v>269</v>
      </c>
      <c r="G150" s="110">
        <v>0</v>
      </c>
      <c r="H150" s="110">
        <f t="shared" ref="H150:H153" si="125">G150*-1</f>
        <v>0</v>
      </c>
      <c r="I150" s="110">
        <v>0</v>
      </c>
      <c r="J150" s="110">
        <f t="shared" ref="J150:J153" si="126">I150*-1</f>
        <v>0</v>
      </c>
      <c r="K150" s="110">
        <v>0</v>
      </c>
      <c r="L150" s="110">
        <v>0</v>
      </c>
      <c r="M150" s="110">
        <f>+L150</f>
        <v>0</v>
      </c>
      <c r="N150" s="52">
        <v>0</v>
      </c>
      <c r="O150" s="52"/>
      <c r="P150" s="52">
        <f t="shared" ref="P150:P154" si="127">N150+O150</f>
        <v>0</v>
      </c>
      <c r="Q150" s="52">
        <f>-VLOOKUP(B:B,'דוח כספי 1-10.17'!A:D,4,0)</f>
        <v>12819.47</v>
      </c>
      <c r="R150" s="52">
        <f>Q150/10*12</f>
        <v>15383.363999999998</v>
      </c>
      <c r="S150" s="52">
        <v>16000</v>
      </c>
      <c r="T150" s="52">
        <f>-VLOOKUP(B150,'2174'!$A$1:$G$177,6,0)</f>
        <v>61204.76</v>
      </c>
      <c r="U150" s="63">
        <f t="shared" ref="U150:U153" si="128">T150*12/11</f>
        <v>66768.829090909087</v>
      </c>
      <c r="V150" s="52">
        <f t="shared" ref="V150:V153" si="129">U150</f>
        <v>66768.829090909087</v>
      </c>
      <c r="W150" s="52">
        <f>-VLOOKUP(B150,'ביצוע 2019'!$A$3:$H$1103,7,0)</f>
        <v>-81517.759999999995</v>
      </c>
      <c r="X150" s="52"/>
      <c r="Y150" s="101">
        <f t="shared" si="121"/>
        <v>1</v>
      </c>
      <c r="Z150" s="52"/>
      <c r="AA150" s="51"/>
    </row>
    <row r="151" spans="1:42" ht="15.75">
      <c r="A151" s="21">
        <v>9</v>
      </c>
      <c r="B151" s="50">
        <v>1317810920</v>
      </c>
      <c r="C151" s="50" t="str">
        <f t="shared" si="122"/>
        <v>920</v>
      </c>
      <c r="D151" s="50" t="str">
        <f t="shared" si="123"/>
        <v>317810</v>
      </c>
      <c r="E151" s="50" t="str">
        <f t="shared" si="124"/>
        <v>31</v>
      </c>
      <c r="F151" s="51" t="s">
        <v>537</v>
      </c>
      <c r="G151" s="110">
        <v>-916999</v>
      </c>
      <c r="H151" s="110">
        <f t="shared" si="125"/>
        <v>916999</v>
      </c>
      <c r="I151" s="110">
        <v>-1338445.74</v>
      </c>
      <c r="J151" s="110">
        <f t="shared" si="126"/>
        <v>1338445.74</v>
      </c>
      <c r="K151" s="110">
        <v>421446.74</v>
      </c>
      <c r="L151" s="110">
        <v>1400000</v>
      </c>
      <c r="M151" s="110">
        <v>1400000</v>
      </c>
      <c r="N151" s="52">
        <v>1400000</v>
      </c>
      <c r="O151" s="52"/>
      <c r="P151" s="52">
        <f t="shared" si="127"/>
        <v>1400000</v>
      </c>
      <c r="Q151" s="52">
        <f>-VLOOKUP(B:B,'דוח כספי 1-10.17'!A:D,4,0)</f>
        <v>693570.87</v>
      </c>
      <c r="R151" s="52">
        <f>Q151/10*12</f>
        <v>832285.04399999999</v>
      </c>
      <c r="S151" s="52">
        <v>1000000</v>
      </c>
      <c r="T151" s="52">
        <f>-VLOOKUP(B151,'2174'!$A$1:$G$177,6,0)</f>
        <v>856196.79</v>
      </c>
      <c r="U151" s="63">
        <f t="shared" si="128"/>
        <v>934032.86181818182</v>
      </c>
      <c r="V151" s="52">
        <f t="shared" si="129"/>
        <v>934032.86181818182</v>
      </c>
      <c r="W151" s="52">
        <f>-VLOOKUP(B151,'ביצוע 2019'!$A$3:$H$1103,7,0)</f>
        <v>2030244.9450000003</v>
      </c>
      <c r="X151" s="52">
        <f t="shared" si="119"/>
        <v>2030244.9450000003</v>
      </c>
      <c r="Y151" s="101">
        <f t="shared" si="121"/>
        <v>1</v>
      </c>
      <c r="Z151" s="52"/>
      <c r="AA151" s="206"/>
    </row>
    <row r="152" spans="1:42" ht="15.75">
      <c r="A152" s="21">
        <v>7</v>
      </c>
      <c r="B152" s="50">
        <v>1317820690</v>
      </c>
      <c r="C152" s="50" t="str">
        <f t="shared" si="122"/>
        <v>690</v>
      </c>
      <c r="D152" s="50" t="str">
        <f t="shared" si="123"/>
        <v>317820</v>
      </c>
      <c r="E152" s="50" t="str">
        <f t="shared" si="124"/>
        <v>31</v>
      </c>
      <c r="F152" s="51" t="s">
        <v>538</v>
      </c>
      <c r="G152" s="110">
        <v>-800000</v>
      </c>
      <c r="H152" s="110">
        <f t="shared" si="125"/>
        <v>800000</v>
      </c>
      <c r="I152" s="110">
        <f>-1122274-450000</f>
        <v>-1572274</v>
      </c>
      <c r="J152" s="110">
        <f t="shared" si="126"/>
        <v>1572274</v>
      </c>
      <c r="K152" s="110">
        <v>322274</v>
      </c>
      <c r="L152" s="110">
        <v>1330000</v>
      </c>
      <c r="M152" s="110">
        <v>1330000</v>
      </c>
      <c r="N152" s="52">
        <v>1330000</v>
      </c>
      <c r="O152" s="52"/>
      <c r="P152" s="52">
        <f t="shared" si="127"/>
        <v>1330000</v>
      </c>
      <c r="Q152" s="52">
        <f>-VLOOKUP(B:B,'דוח כספי 1-10.17'!A:D,4,0)</f>
        <v>700000</v>
      </c>
      <c r="R152" s="52">
        <v>1330000</v>
      </c>
      <c r="S152" s="52">
        <v>1330000</v>
      </c>
      <c r="T152" s="52">
        <f>-VLOOKUP(B152,'2174'!$A$1:$G$177,6,0)</f>
        <v>854564</v>
      </c>
      <c r="U152" s="63">
        <v>1200000</v>
      </c>
      <c r="V152" s="52">
        <v>3000000</v>
      </c>
      <c r="W152" s="52">
        <v>2500000</v>
      </c>
      <c r="X152" s="52">
        <f t="shared" si="119"/>
        <v>2500000</v>
      </c>
      <c r="Y152" s="101">
        <f t="shared" si="121"/>
        <v>1</v>
      </c>
      <c r="Z152" s="52"/>
      <c r="AA152" s="206"/>
    </row>
    <row r="153" spans="1:42" ht="15.75">
      <c r="A153" s="21">
        <v>9</v>
      </c>
      <c r="B153" s="50">
        <v>1317820920</v>
      </c>
      <c r="C153" s="50" t="str">
        <f t="shared" si="122"/>
        <v>920</v>
      </c>
      <c r="D153" s="50" t="str">
        <f t="shared" si="123"/>
        <v>317820</v>
      </c>
      <c r="E153" s="50" t="str">
        <f t="shared" si="124"/>
        <v>31</v>
      </c>
      <c r="F153" s="51" t="s">
        <v>539</v>
      </c>
      <c r="G153" s="110">
        <v>-660000</v>
      </c>
      <c r="H153" s="110">
        <f t="shared" si="125"/>
        <v>660000</v>
      </c>
      <c r="I153" s="110">
        <v>-612357</v>
      </c>
      <c r="J153" s="110">
        <f t="shared" si="126"/>
        <v>612357</v>
      </c>
      <c r="K153" s="110">
        <v>-47643</v>
      </c>
      <c r="L153" s="110">
        <v>615000</v>
      </c>
      <c r="M153" s="110">
        <f>+L153</f>
        <v>615000</v>
      </c>
      <c r="N153" s="52">
        <f>615000</f>
        <v>615000</v>
      </c>
      <c r="O153" s="52"/>
      <c r="P153" s="52">
        <f t="shared" si="127"/>
        <v>615000</v>
      </c>
      <c r="Q153" s="52">
        <f>-VLOOKUP(B:B,'דוח כספי 1-10.17'!A:D,4,0)</f>
        <v>0</v>
      </c>
      <c r="R153" s="52">
        <f>Q153/10*12</f>
        <v>0</v>
      </c>
      <c r="S153" s="52"/>
      <c r="T153" s="52">
        <f>-VLOOKUP(B153,'2174'!$A$1:$G$177,6,0)</f>
        <v>1314128.3999999999</v>
      </c>
      <c r="U153" s="63">
        <f t="shared" si="128"/>
        <v>1433594.6181818182</v>
      </c>
      <c r="V153" s="52">
        <f t="shared" si="129"/>
        <v>1433594.6181818182</v>
      </c>
      <c r="W153" s="52">
        <f>-VLOOKUP(B153,'ביצוע 2019'!$A$3:$H$1103,7,0)</f>
        <v>73877.440000000002</v>
      </c>
      <c r="X153" s="52">
        <f t="shared" si="119"/>
        <v>73877.440000000002</v>
      </c>
      <c r="Y153" s="101">
        <f t="shared" si="121"/>
        <v>1</v>
      </c>
      <c r="Z153" s="52"/>
      <c r="AA153" s="207"/>
    </row>
    <row r="154" spans="1:42" ht="15.75">
      <c r="A154" s="21">
        <v>9</v>
      </c>
      <c r="B154" s="50">
        <v>1319100920</v>
      </c>
      <c r="C154" s="50" t="str">
        <f t="shared" si="122"/>
        <v>920</v>
      </c>
      <c r="D154" s="50" t="str">
        <f t="shared" si="123"/>
        <v>319100</v>
      </c>
      <c r="E154" s="50">
        <v>31</v>
      </c>
      <c r="F154" s="160" t="s">
        <v>1922</v>
      </c>
      <c r="G154" s="110"/>
      <c r="H154" s="110"/>
      <c r="I154" s="110"/>
      <c r="J154" s="110"/>
      <c r="K154" s="110"/>
      <c r="L154" s="110"/>
      <c r="M154" s="110"/>
      <c r="N154" s="52">
        <f>(853538-173000-80000)*0.9-0.2+479</f>
        <v>540963.00000000012</v>
      </c>
      <c r="O154" s="52"/>
      <c r="P154" s="52">
        <f t="shared" si="127"/>
        <v>540963.00000000012</v>
      </c>
      <c r="Q154" s="52">
        <f>-VLOOKUP(B:B,'דוח כספי 1-10.17'!A:D,4,0)</f>
        <v>173471</v>
      </c>
      <c r="R154" s="52">
        <v>260000</v>
      </c>
      <c r="S154" s="52">
        <v>234000</v>
      </c>
      <c r="T154" s="52">
        <f>-VLOOKUP(B154,'2174'!$A$1:$G$177,6,0)</f>
        <v>241777.65</v>
      </c>
      <c r="U154" s="63">
        <f t="shared" ref="U154" si="130">T154*12/11</f>
        <v>263757.43636363634</v>
      </c>
      <c r="V154" s="52">
        <v>234000</v>
      </c>
      <c r="W154" s="52">
        <f>-VLOOKUP(B154,'ביצוע 2019'!$A$3:$H$1103,7,0)</f>
        <v>166910.66</v>
      </c>
      <c r="X154" s="52">
        <f t="shared" si="119"/>
        <v>166910.66</v>
      </c>
      <c r="Y154" s="101">
        <f t="shared" si="121"/>
        <v>1</v>
      </c>
      <c r="Z154" s="52"/>
      <c r="AA154" s="51"/>
    </row>
    <row r="155" spans="1:42" ht="15.75">
      <c r="A155" s="21">
        <v>9</v>
      </c>
      <c r="B155" s="50">
        <v>1319101920</v>
      </c>
      <c r="C155" s="50" t="str">
        <f t="shared" si="122"/>
        <v>920</v>
      </c>
      <c r="D155" s="50" t="str">
        <f t="shared" si="123"/>
        <v>319101</v>
      </c>
      <c r="E155" s="50">
        <v>31</v>
      </c>
      <c r="F155" s="160" t="s">
        <v>1923</v>
      </c>
      <c r="G155" s="110"/>
      <c r="H155" s="110"/>
      <c r="I155" s="110"/>
      <c r="J155" s="110"/>
      <c r="K155" s="110"/>
      <c r="L155" s="110"/>
      <c r="M155" s="110"/>
      <c r="N155" s="52"/>
      <c r="O155" s="52"/>
      <c r="P155" s="52"/>
      <c r="Q155" s="52"/>
      <c r="R155" s="52">
        <v>113000</v>
      </c>
      <c r="S155" s="52">
        <v>101700</v>
      </c>
      <c r="T155" s="52"/>
      <c r="U155" s="63">
        <v>100000</v>
      </c>
      <c r="V155" s="52">
        <v>101700</v>
      </c>
      <c r="W155" s="52">
        <f>-VLOOKUP(B155,'ביצוע 2019'!$A$3:$H$1103,7,0)</f>
        <v>213760</v>
      </c>
      <c r="X155" s="52">
        <f t="shared" si="119"/>
        <v>213760</v>
      </c>
      <c r="Y155" s="101">
        <f t="shared" si="121"/>
        <v>1</v>
      </c>
      <c r="Z155" s="52"/>
      <c r="AA155" s="51"/>
    </row>
    <row r="156" spans="1:42" ht="15.75">
      <c r="A156" s="21">
        <v>9</v>
      </c>
      <c r="B156" s="50">
        <v>1319102920</v>
      </c>
      <c r="C156" s="50" t="str">
        <f t="shared" si="122"/>
        <v>920</v>
      </c>
      <c r="D156" s="50" t="str">
        <f t="shared" si="123"/>
        <v>319102</v>
      </c>
      <c r="E156" s="50">
        <v>31</v>
      </c>
      <c r="F156" s="160" t="s">
        <v>1924</v>
      </c>
      <c r="G156" s="110"/>
      <c r="H156" s="110"/>
      <c r="I156" s="110"/>
      <c r="J156" s="110"/>
      <c r="K156" s="110"/>
      <c r="L156" s="110"/>
      <c r="M156" s="110"/>
      <c r="N156" s="52"/>
      <c r="O156" s="52"/>
      <c r="P156" s="52"/>
      <c r="Q156" s="52"/>
      <c r="R156" s="52">
        <v>192850</v>
      </c>
      <c r="S156" s="52">
        <v>173560</v>
      </c>
      <c r="T156" s="52"/>
      <c r="U156" s="63">
        <v>150000</v>
      </c>
      <c r="V156" s="52">
        <v>164619</v>
      </c>
      <c r="W156" s="52">
        <v>0</v>
      </c>
      <c r="X156" s="52">
        <f t="shared" si="119"/>
        <v>0</v>
      </c>
      <c r="Y156" s="101">
        <f t="shared" si="121"/>
        <v>1</v>
      </c>
      <c r="Z156" s="52"/>
      <c r="AA156" s="51"/>
    </row>
    <row r="157" spans="1:42" ht="15.75">
      <c r="A157" s="21">
        <v>9</v>
      </c>
      <c r="B157" s="50">
        <v>1319103920</v>
      </c>
      <c r="C157" s="50" t="str">
        <f t="shared" si="122"/>
        <v>920</v>
      </c>
      <c r="D157" s="50" t="str">
        <f t="shared" si="123"/>
        <v>319103</v>
      </c>
      <c r="E157" s="50">
        <v>31</v>
      </c>
      <c r="F157" s="160" t="s">
        <v>1925</v>
      </c>
      <c r="G157" s="110"/>
      <c r="H157" s="110"/>
      <c r="I157" s="110"/>
      <c r="J157" s="110"/>
      <c r="K157" s="110"/>
      <c r="L157" s="110"/>
      <c r="M157" s="110"/>
      <c r="N157" s="52"/>
      <c r="O157" s="52"/>
      <c r="P157" s="52"/>
      <c r="Q157" s="52"/>
      <c r="R157" s="52">
        <v>74676</v>
      </c>
      <c r="S157" s="52">
        <v>67290</v>
      </c>
      <c r="T157" s="52"/>
      <c r="U157" s="63">
        <v>190000</v>
      </c>
      <c r="V157" s="52">
        <v>230220</v>
      </c>
      <c r="W157" s="52">
        <f>-VLOOKUP(B157,'ביצוע 2019'!$A$3:$H$1103,7,0)</f>
        <v>364393.58150000003</v>
      </c>
      <c r="X157" s="52">
        <f t="shared" si="119"/>
        <v>364393.58150000003</v>
      </c>
      <c r="Y157" s="101">
        <f t="shared" si="121"/>
        <v>1</v>
      </c>
      <c r="Z157" s="52"/>
      <c r="AA157" s="51"/>
    </row>
    <row r="158" spans="1:42" ht="15.75">
      <c r="A158" s="21"/>
      <c r="B158" s="222"/>
      <c r="C158" s="222"/>
      <c r="D158" s="222"/>
      <c r="E158" s="222"/>
      <c r="F158" s="223" t="s">
        <v>1939</v>
      </c>
      <c r="G158" s="224"/>
      <c r="H158" s="224"/>
      <c r="I158" s="224"/>
      <c r="J158" s="224"/>
      <c r="K158" s="224"/>
      <c r="L158" s="224"/>
      <c r="M158" s="224"/>
      <c r="N158" s="225">
        <f t="shared" ref="N158:V158" si="131">SUM(N142:N157)</f>
        <v>5382691</v>
      </c>
      <c r="O158" s="225">
        <f t="shared" si="131"/>
        <v>41728</v>
      </c>
      <c r="P158" s="225">
        <f t="shared" si="131"/>
        <v>4169998.06</v>
      </c>
      <c r="Q158" s="225">
        <f t="shared" si="131"/>
        <v>1826153.642</v>
      </c>
      <c r="R158" s="225">
        <f t="shared" si="131"/>
        <v>3104431.324</v>
      </c>
      <c r="S158" s="225">
        <f t="shared" si="131"/>
        <v>3349550</v>
      </c>
      <c r="T158" s="225">
        <f t="shared" si="131"/>
        <v>4694882.16</v>
      </c>
      <c r="U158" s="225">
        <f t="shared" si="131"/>
        <v>5889437.9927272731</v>
      </c>
      <c r="V158" s="225">
        <f t="shared" si="131"/>
        <v>7769906.8290909091</v>
      </c>
      <c r="W158" s="225">
        <f t="shared" ref="W158:X158" si="132">SUM(W142:W157)</f>
        <v>7027049.2365000006</v>
      </c>
      <c r="X158" s="225">
        <f t="shared" si="132"/>
        <v>7108566.9965000013</v>
      </c>
      <c r="Y158" s="101">
        <f t="shared" si="121"/>
        <v>1</v>
      </c>
      <c r="Z158" s="52"/>
      <c r="AA158" s="51"/>
    </row>
    <row r="159" spans="1:42" ht="15.75">
      <c r="A159" s="21"/>
      <c r="B159" s="229"/>
      <c r="C159" s="230"/>
      <c r="D159" s="230"/>
      <c r="E159" s="230"/>
      <c r="F159" s="229" t="s">
        <v>705</v>
      </c>
      <c r="G159" s="227"/>
      <c r="H159" s="227">
        <f t="shared" ref="H159:M159" si="133">SUM(H29:H153)</f>
        <v>21780036</v>
      </c>
      <c r="I159" s="227">
        <f t="shared" si="133"/>
        <v>-24533122.460000001</v>
      </c>
      <c r="J159" s="227">
        <f t="shared" si="133"/>
        <v>24533122.460000001</v>
      </c>
      <c r="K159" s="227">
        <f t="shared" si="133"/>
        <v>2114809.84</v>
      </c>
      <c r="L159" s="227">
        <f t="shared" si="133"/>
        <v>27410000</v>
      </c>
      <c r="M159" s="227">
        <f t="shared" si="133"/>
        <v>27105000</v>
      </c>
      <c r="N159" s="228">
        <f t="shared" ref="N159:V159" si="134">N31+N44+N85+N90+N141+N158</f>
        <v>31066894</v>
      </c>
      <c r="O159" s="228">
        <f t="shared" si="134"/>
        <v>41728</v>
      </c>
      <c r="P159" s="228">
        <f t="shared" si="134"/>
        <v>29403173.059999999</v>
      </c>
      <c r="Q159" s="228">
        <f t="shared" si="134"/>
        <v>25013922.642000001</v>
      </c>
      <c r="R159" s="228">
        <f t="shared" si="134"/>
        <v>32917138.100000005</v>
      </c>
      <c r="S159" s="228">
        <f t="shared" si="134"/>
        <v>37557557.711999997</v>
      </c>
      <c r="T159" s="228">
        <f t="shared" si="134"/>
        <v>34212042.5</v>
      </c>
      <c r="U159" s="228">
        <f t="shared" si="134"/>
        <v>37653376.881818183</v>
      </c>
      <c r="V159" s="228">
        <f t="shared" si="134"/>
        <v>40797446.516363636</v>
      </c>
      <c r="W159" s="228">
        <f t="shared" ref="W159:X159" si="135">W31+W44+W85+W90+W141+W158</f>
        <v>43384413.366500005</v>
      </c>
      <c r="X159" s="228">
        <f t="shared" si="135"/>
        <v>43102000.486500002</v>
      </c>
      <c r="Y159" s="101">
        <f t="shared" si="121"/>
        <v>1</v>
      </c>
      <c r="Z159" s="52"/>
      <c r="AA159" s="206"/>
    </row>
    <row r="160" spans="1:42" ht="15.75" hidden="1">
      <c r="A160" s="21"/>
      <c r="B160" s="50"/>
      <c r="C160" s="100" t="s">
        <v>707</v>
      </c>
      <c r="D160" s="50"/>
      <c r="E160" s="50"/>
      <c r="F160" s="51"/>
      <c r="G160" s="110"/>
      <c r="H160" s="110"/>
      <c r="I160" s="110"/>
      <c r="J160" s="110"/>
      <c r="K160" s="110"/>
      <c r="L160" s="110"/>
      <c r="M160" s="110"/>
      <c r="N160" s="52"/>
      <c r="O160" s="52"/>
      <c r="P160" s="52">
        <f t="shared" ref="P160:P168" si="136">N160+O160</f>
        <v>0</v>
      </c>
      <c r="Q160" s="52"/>
      <c r="R160" s="52"/>
      <c r="S160" s="52"/>
      <c r="T160" s="52"/>
      <c r="U160" s="52"/>
      <c r="V160" s="52"/>
      <c r="W160" s="52"/>
      <c r="X160" s="52"/>
      <c r="Y160" s="101">
        <f t="shared" si="120"/>
        <v>0</v>
      </c>
      <c r="Z160" s="52"/>
      <c r="AA160" s="51"/>
    </row>
    <row r="161" spans="1:48" ht="15.75">
      <c r="A161" s="21">
        <v>7</v>
      </c>
      <c r="B161" s="50">
        <v>1328200750</v>
      </c>
      <c r="C161" s="50">
        <v>920</v>
      </c>
      <c r="D161" s="50">
        <v>328500</v>
      </c>
      <c r="E161" s="50">
        <v>32</v>
      </c>
      <c r="F161" s="51" t="s">
        <v>2001</v>
      </c>
      <c r="G161" s="110"/>
      <c r="H161" s="110"/>
      <c r="I161" s="110"/>
      <c r="J161" s="110"/>
      <c r="K161" s="110"/>
      <c r="L161" s="110"/>
      <c r="M161" s="110"/>
      <c r="N161" s="52">
        <v>0</v>
      </c>
      <c r="O161" s="52"/>
      <c r="P161" s="52"/>
      <c r="Q161" s="52"/>
      <c r="R161" s="52">
        <v>0</v>
      </c>
      <c r="S161" s="52">
        <v>700000</v>
      </c>
      <c r="T161" s="52">
        <f>-VLOOKUP(B161,'2174'!$A$1:$G$177,6,0)</f>
        <v>697550.93</v>
      </c>
      <c r="U161" s="63">
        <f>T161*12/11</f>
        <v>760964.65090909088</v>
      </c>
      <c r="V161" s="52">
        <v>750000</v>
      </c>
      <c r="W161" s="52">
        <v>700000</v>
      </c>
      <c r="X161" s="52">
        <v>500000</v>
      </c>
      <c r="Y161" s="101">
        <f>IF((X161+W161+V161)&lt;&gt;0,1,0)</f>
        <v>1</v>
      </c>
      <c r="Z161" s="52"/>
      <c r="AA161" s="51"/>
    </row>
    <row r="162" spans="1:48" ht="15.75" hidden="1">
      <c r="A162" s="21">
        <v>8</v>
      </c>
      <c r="B162" s="50">
        <v>1328300920</v>
      </c>
      <c r="C162" s="50">
        <v>920</v>
      </c>
      <c r="D162" s="50">
        <v>328500</v>
      </c>
      <c r="E162" s="50">
        <v>32</v>
      </c>
      <c r="F162" s="51" t="s">
        <v>1698</v>
      </c>
      <c r="G162" s="110"/>
      <c r="H162" s="110"/>
      <c r="I162" s="110"/>
      <c r="J162" s="110"/>
      <c r="K162" s="110"/>
      <c r="L162" s="110"/>
      <c r="M162" s="110"/>
      <c r="N162" s="52"/>
      <c r="O162" s="52"/>
      <c r="P162" s="52"/>
      <c r="Q162" s="52"/>
      <c r="R162" s="52"/>
      <c r="S162" s="52"/>
      <c r="T162" s="52">
        <f>-VLOOKUP(B162,'2174'!$A$1:$G$177,6,0)</f>
        <v>323.02999999999997</v>
      </c>
      <c r="U162" s="63">
        <v>0</v>
      </c>
      <c r="V162" s="52">
        <v>0</v>
      </c>
      <c r="W162" s="52">
        <f>-VLOOKUP(B162,'ביצוע 2019'!$A$3:$H$1103,7,0)</f>
        <v>0</v>
      </c>
      <c r="X162" s="52">
        <f t="shared" ref="X162:X168" si="137">W162</f>
        <v>0</v>
      </c>
      <c r="Y162" s="101">
        <f t="shared" si="120"/>
        <v>0</v>
      </c>
      <c r="Z162" s="52"/>
      <c r="AA162" s="51"/>
    </row>
    <row r="163" spans="1:48" ht="15.75" hidden="1">
      <c r="A163" s="21">
        <v>9</v>
      </c>
      <c r="B163" s="50">
        <v>1328500920</v>
      </c>
      <c r="C163" s="50">
        <v>920</v>
      </c>
      <c r="D163" s="50">
        <v>328500</v>
      </c>
      <c r="E163" s="50">
        <v>32</v>
      </c>
      <c r="F163" s="51" t="s">
        <v>1658</v>
      </c>
      <c r="G163" s="110"/>
      <c r="H163" s="110"/>
      <c r="I163" s="110"/>
      <c r="J163" s="110"/>
      <c r="K163" s="110"/>
      <c r="L163" s="110"/>
      <c r="M163" s="110"/>
      <c r="N163" s="52">
        <v>886166</v>
      </c>
      <c r="O163" s="52"/>
      <c r="P163" s="52">
        <f>N163+O163</f>
        <v>886166</v>
      </c>
      <c r="Q163" s="52">
        <f>-VLOOKUP(B:B,'דוח כספי 1-10.17'!A:D,4,0)</f>
        <v>577233.19999999995</v>
      </c>
      <c r="R163" s="52">
        <f>Q163/10*12</f>
        <v>692679.83999999985</v>
      </c>
      <c r="S163" s="52">
        <v>950000</v>
      </c>
      <c r="T163" s="52">
        <f>-VLOOKUP(B163,'2174'!$A$1:$G$177,6,0)</f>
        <v>318854.53999999998</v>
      </c>
      <c r="U163" s="63">
        <v>950000</v>
      </c>
      <c r="V163" s="52">
        <v>0</v>
      </c>
      <c r="W163" s="52">
        <f>-VLOOKUP(B163,'ביצוע 2019'!$A$3:$H$1103,7,0)</f>
        <v>0</v>
      </c>
      <c r="X163" s="52">
        <f t="shared" si="137"/>
        <v>0</v>
      </c>
      <c r="Y163" s="101">
        <f t="shared" ref="Y163:Y164" si="138">IF((X163+W163+V163)&lt;&gt;0,1,0)</f>
        <v>0</v>
      </c>
      <c r="Z163" s="52"/>
      <c r="AA163" s="51"/>
      <c r="AP163" t="s">
        <v>1930</v>
      </c>
    </row>
    <row r="164" spans="1:48" ht="15.75">
      <c r="A164" s="21">
        <v>8</v>
      </c>
      <c r="B164" s="50">
        <v>1324000920</v>
      </c>
      <c r="C164" s="50">
        <v>920</v>
      </c>
      <c r="D164" s="50">
        <v>324000</v>
      </c>
      <c r="E164" s="50">
        <v>32</v>
      </c>
      <c r="F164" s="51" t="s">
        <v>1625</v>
      </c>
      <c r="G164" s="110"/>
      <c r="H164" s="110"/>
      <c r="I164" s="110"/>
      <c r="J164" s="110"/>
      <c r="K164" s="110"/>
      <c r="L164" s="110"/>
      <c r="M164" s="110">
        <v>50000</v>
      </c>
      <c r="N164" s="52">
        <v>50000</v>
      </c>
      <c r="O164" s="52"/>
      <c r="P164" s="52">
        <f t="shared" si="136"/>
        <v>50000</v>
      </c>
      <c r="Q164" s="52">
        <f>-VLOOKUP(B:B,'דוח כספי 1-10.17'!A:D,4,0)</f>
        <v>0</v>
      </c>
      <c r="R164" s="52">
        <f t="shared" ref="R164:R169" si="139">Q164/10*12</f>
        <v>0</v>
      </c>
      <c r="S164" s="52"/>
      <c r="T164" s="52">
        <f>-VLOOKUP(B164,'2174'!$A$1:$G$177,6,0)</f>
        <v>-1740</v>
      </c>
      <c r="U164" s="63">
        <v>0</v>
      </c>
      <c r="V164" s="52">
        <v>0</v>
      </c>
      <c r="W164" s="52">
        <f>-VLOOKUP(B164,'ביצוע 2019'!$A$3:$H$1103,7,0)</f>
        <v>-5240</v>
      </c>
      <c r="X164" s="52"/>
      <c r="Y164" s="101">
        <f t="shared" si="138"/>
        <v>1</v>
      </c>
      <c r="Z164" s="52"/>
      <c r="AA164" s="51"/>
    </row>
    <row r="165" spans="1:48" ht="15.75" hidden="1">
      <c r="A165" s="21">
        <v>3</v>
      </c>
      <c r="B165" s="50">
        <v>1329000420</v>
      </c>
      <c r="C165" s="50" t="str">
        <f>RIGHT(B165,3)</f>
        <v>420</v>
      </c>
      <c r="D165" s="50" t="str">
        <f>MID(B165,2,6)</f>
        <v>329000</v>
      </c>
      <c r="E165" s="50" t="str">
        <f>LEFT(D165,2)</f>
        <v>32</v>
      </c>
      <c r="F165" s="51" t="s">
        <v>587</v>
      </c>
      <c r="G165" s="110">
        <v>0</v>
      </c>
      <c r="H165" s="110">
        <f>G165*-1</f>
        <v>0</v>
      </c>
      <c r="I165" s="110">
        <v>-710</v>
      </c>
      <c r="J165" s="110">
        <f>I165*-1</f>
        <v>710</v>
      </c>
      <c r="K165" s="110">
        <v>710</v>
      </c>
      <c r="L165" s="212">
        <v>30000</v>
      </c>
      <c r="M165" s="212">
        <v>5000</v>
      </c>
      <c r="N165" s="153">
        <v>5000</v>
      </c>
      <c r="O165" s="153"/>
      <c r="P165" s="52">
        <f t="shared" si="136"/>
        <v>5000</v>
      </c>
      <c r="Q165" s="52">
        <f>-VLOOKUP(B:B,'דוח כספי 1-10.17'!A:D,4,0)</f>
        <v>0</v>
      </c>
      <c r="R165" s="52">
        <f t="shared" si="139"/>
        <v>0</v>
      </c>
      <c r="S165" s="52"/>
      <c r="T165" s="52">
        <f>-VLOOKUP(B165,'2174'!$A$1:$G$177,6,0)</f>
        <v>0</v>
      </c>
      <c r="U165" s="63">
        <f t="shared" ref="U165:U169" si="140">T165*12/11</f>
        <v>0</v>
      </c>
      <c r="V165" s="52">
        <f t="shared" ref="V165:V168" si="141">U165</f>
        <v>0</v>
      </c>
      <c r="W165" s="52">
        <f>-VLOOKUP(B165,'ביצוע 2019'!$A$3:$H$1103,7,0)</f>
        <v>0</v>
      </c>
      <c r="X165" s="52">
        <f t="shared" si="137"/>
        <v>0</v>
      </c>
      <c r="Y165" s="101">
        <f t="shared" si="120"/>
        <v>0</v>
      </c>
      <c r="Z165" s="52"/>
      <c r="AA165" s="51"/>
    </row>
    <row r="166" spans="1:48" ht="15.75" hidden="1">
      <c r="A166" s="21">
        <v>3</v>
      </c>
      <c r="B166" s="50">
        <v>1329200420</v>
      </c>
      <c r="C166" s="50" t="str">
        <f>RIGHT(B166,3)</f>
        <v>420</v>
      </c>
      <c r="D166" s="50" t="str">
        <f>MID(B166,2,6)</f>
        <v>329200</v>
      </c>
      <c r="E166" s="50" t="str">
        <f>LEFT(D166,2)</f>
        <v>32</v>
      </c>
      <c r="F166" s="51" t="s">
        <v>543</v>
      </c>
      <c r="G166" s="110">
        <v>-6999</v>
      </c>
      <c r="H166" s="110">
        <f>G166*-1</f>
        <v>6999</v>
      </c>
      <c r="I166" s="110">
        <v>-26550</v>
      </c>
      <c r="J166" s="110">
        <f>I166*-1</f>
        <v>26550</v>
      </c>
      <c r="K166" s="110">
        <v>19551</v>
      </c>
      <c r="L166" s="212">
        <v>30000</v>
      </c>
      <c r="M166" s="212">
        <v>2000</v>
      </c>
      <c r="N166" s="153">
        <v>2000</v>
      </c>
      <c r="O166" s="153"/>
      <c r="P166" s="52">
        <f t="shared" si="136"/>
        <v>2000</v>
      </c>
      <c r="Q166" s="52">
        <f>-VLOOKUP(B:B,'דוח כספי 1-10.17'!A:D,4,0)</f>
        <v>0</v>
      </c>
      <c r="R166" s="52">
        <f t="shared" si="139"/>
        <v>0</v>
      </c>
      <c r="S166" s="52"/>
      <c r="T166" s="52">
        <f>-VLOOKUP(B166,'2174'!$A$1:$G$177,6,0)</f>
        <v>0</v>
      </c>
      <c r="U166" s="63">
        <f t="shared" si="140"/>
        <v>0</v>
      </c>
      <c r="V166" s="52">
        <f t="shared" si="141"/>
        <v>0</v>
      </c>
      <c r="W166" s="52">
        <f>-VLOOKUP(B166,'ביצוע 2019'!$A$3:$H$1103,7,0)</f>
        <v>0</v>
      </c>
      <c r="X166" s="52">
        <f t="shared" si="137"/>
        <v>0</v>
      </c>
      <c r="Y166" s="101">
        <f t="shared" si="120"/>
        <v>0</v>
      </c>
      <c r="Z166" s="52"/>
      <c r="AA166" s="206"/>
    </row>
    <row r="167" spans="1:48" ht="15.75">
      <c r="A167" s="21">
        <v>8</v>
      </c>
      <c r="B167" s="50">
        <v>1329200990</v>
      </c>
      <c r="C167" s="50" t="str">
        <f>RIGHT(B167,3)</f>
        <v>990</v>
      </c>
      <c r="D167" s="50" t="str">
        <f>MID(B167,2,6)</f>
        <v>329200</v>
      </c>
      <c r="E167" s="50" t="str">
        <f>LEFT(D167,2)</f>
        <v>32</v>
      </c>
      <c r="F167" s="51" t="s">
        <v>544</v>
      </c>
      <c r="G167" s="110"/>
      <c r="H167" s="110"/>
      <c r="I167" s="110"/>
      <c r="J167" s="110"/>
      <c r="K167" s="110"/>
      <c r="L167" s="212"/>
      <c r="M167" s="212"/>
      <c r="N167" s="153"/>
      <c r="O167" s="153"/>
      <c r="P167" s="52"/>
      <c r="Q167" s="52"/>
      <c r="R167" s="52"/>
      <c r="S167" s="52"/>
      <c r="T167" s="52">
        <f>-VLOOKUP(B167,'2174'!$A$1:$G$177,6,0)</f>
        <v>75515</v>
      </c>
      <c r="U167" s="63">
        <v>75515</v>
      </c>
      <c r="V167" s="52">
        <v>50000</v>
      </c>
      <c r="W167" s="52">
        <f>-VLOOKUP(B167,'ביצוע 2019'!$A$3:$H$1103,7,0)</f>
        <v>205000</v>
      </c>
      <c r="X167" s="52">
        <f>869000-X25</f>
        <v>349791.95</v>
      </c>
      <c r="Y167" s="101">
        <f>IF((X167+W167+V167)&lt;&gt;0,1,0)</f>
        <v>1</v>
      </c>
      <c r="Z167" s="52"/>
      <c r="AA167" s="206"/>
    </row>
    <row r="168" spans="1:48" ht="15.75" hidden="1">
      <c r="A168" s="21">
        <v>8</v>
      </c>
      <c r="B168" s="50">
        <v>1332300940</v>
      </c>
      <c r="C168" s="50" t="str">
        <f>RIGHT(B168,3)</f>
        <v>940</v>
      </c>
      <c r="D168" s="50" t="str">
        <f>MID(B168,2,6)</f>
        <v>332300</v>
      </c>
      <c r="E168" s="50" t="str">
        <f>LEFT(D168,2)</f>
        <v>33</v>
      </c>
      <c r="F168" s="51" t="s">
        <v>545</v>
      </c>
      <c r="G168" s="110">
        <v>-75006</v>
      </c>
      <c r="H168" s="110">
        <f>G168*-1</f>
        <v>75006</v>
      </c>
      <c r="I168" s="110">
        <v>-48860</v>
      </c>
      <c r="J168" s="110">
        <f>I168*-1</f>
        <v>48860</v>
      </c>
      <c r="K168" s="110">
        <v>-26146</v>
      </c>
      <c r="L168" s="110">
        <v>50000</v>
      </c>
      <c r="M168" s="110"/>
      <c r="N168" s="52">
        <v>0</v>
      </c>
      <c r="O168" s="52"/>
      <c r="P168" s="52">
        <f t="shared" si="136"/>
        <v>0</v>
      </c>
      <c r="Q168" s="52">
        <f>-VLOOKUP(B:B,'דוח כספי 1-10.17'!A:D,4,0)</f>
        <v>18735</v>
      </c>
      <c r="R168" s="52">
        <f t="shared" si="139"/>
        <v>22482</v>
      </c>
      <c r="S168" s="52">
        <f>R168</f>
        <v>22482</v>
      </c>
      <c r="T168" s="52"/>
      <c r="U168" s="63">
        <f t="shared" si="140"/>
        <v>0</v>
      </c>
      <c r="V168" s="52">
        <f t="shared" si="141"/>
        <v>0</v>
      </c>
      <c r="W168" s="52">
        <f>-VLOOKUP(B168,'ביצוע 2019'!$A$3:$H$1103,7,0)</f>
        <v>0</v>
      </c>
      <c r="X168" s="52">
        <f t="shared" si="137"/>
        <v>0</v>
      </c>
      <c r="Y168" s="101">
        <f t="shared" si="120"/>
        <v>0</v>
      </c>
      <c r="Z168" s="52"/>
      <c r="AA168" s="206"/>
    </row>
    <row r="169" spans="1:48" ht="15.75">
      <c r="A169" s="21">
        <v>3</v>
      </c>
      <c r="B169" s="50">
        <v>1329200650</v>
      </c>
      <c r="C169" s="50" t="str">
        <f>RIGHT(B169,3)</f>
        <v>650</v>
      </c>
      <c r="D169" s="50" t="str">
        <f>MID(B169,2,6)</f>
        <v>329200</v>
      </c>
      <c r="E169" s="50" t="str">
        <f>LEFT(D169,2)</f>
        <v>32</v>
      </c>
      <c r="F169" s="51" t="s">
        <v>1700</v>
      </c>
      <c r="G169" s="110"/>
      <c r="H169" s="110"/>
      <c r="I169" s="110"/>
      <c r="J169" s="110"/>
      <c r="K169" s="110"/>
      <c r="L169" s="110"/>
      <c r="M169" s="110"/>
      <c r="N169" s="52">
        <v>55000</v>
      </c>
      <c r="O169" s="52"/>
      <c r="P169" s="52">
        <v>0</v>
      </c>
      <c r="Q169" s="52">
        <f>-VLOOKUP(B:B,'דוח כספי 1-10.17'!A:D,4,0)</f>
        <v>54800</v>
      </c>
      <c r="R169" s="52">
        <f t="shared" si="139"/>
        <v>65760</v>
      </c>
      <c r="S169" s="52">
        <f>R169</f>
        <v>65760</v>
      </c>
      <c r="T169" s="52">
        <f>-VLOOKUP(B169,'2174'!$A$1:$G$177,6,0)</f>
        <v>38800</v>
      </c>
      <c r="U169" s="63">
        <f t="shared" si="140"/>
        <v>42327.272727272728</v>
      </c>
      <c r="V169" s="52">
        <v>45000</v>
      </c>
      <c r="W169" s="52">
        <f>-VLOOKUP(B169,'ביצוע 2019'!$A$3:$H$1103,7,0)</f>
        <v>35900</v>
      </c>
      <c r="X169" s="52">
        <v>30000</v>
      </c>
      <c r="Y169" s="101">
        <f t="shared" ref="Y169:Y170" si="142">IF((X169+W169+V169)&lt;&gt;0,1,0)</f>
        <v>1</v>
      </c>
      <c r="Z169" s="52"/>
      <c r="AA169" s="206"/>
    </row>
    <row r="170" spans="1:48" ht="15.75">
      <c r="A170" s="21"/>
      <c r="B170" s="229"/>
      <c r="C170" s="230"/>
      <c r="D170" s="230"/>
      <c r="E170" s="230"/>
      <c r="F170" s="229" t="s">
        <v>708</v>
      </c>
      <c r="G170" s="227"/>
      <c r="H170" s="227">
        <f t="shared" ref="H170:M170" si="143">SUM(H163:H169)</f>
        <v>82005</v>
      </c>
      <c r="I170" s="227">
        <f t="shared" si="143"/>
        <v>-76120</v>
      </c>
      <c r="J170" s="227">
        <f t="shared" si="143"/>
        <v>76120</v>
      </c>
      <c r="K170" s="227">
        <f t="shared" si="143"/>
        <v>-5885</v>
      </c>
      <c r="L170" s="227">
        <f t="shared" si="143"/>
        <v>110000</v>
      </c>
      <c r="M170" s="227">
        <f t="shared" si="143"/>
        <v>57000</v>
      </c>
      <c r="N170" s="228">
        <f t="shared" ref="N170:V170" si="144">SUM(N161:N169)</f>
        <v>998166</v>
      </c>
      <c r="O170" s="228">
        <f t="shared" si="144"/>
        <v>0</v>
      </c>
      <c r="P170" s="228">
        <f t="shared" si="144"/>
        <v>943166</v>
      </c>
      <c r="Q170" s="228">
        <f t="shared" si="144"/>
        <v>650768.19999999995</v>
      </c>
      <c r="R170" s="228">
        <f t="shared" si="144"/>
        <v>780921.83999999985</v>
      </c>
      <c r="S170" s="228">
        <f t="shared" si="144"/>
        <v>1738242</v>
      </c>
      <c r="T170" s="228">
        <f t="shared" si="144"/>
        <v>1129303.5</v>
      </c>
      <c r="U170" s="228">
        <f t="shared" si="144"/>
        <v>1828806.9236363636</v>
      </c>
      <c r="V170" s="228">
        <f t="shared" si="144"/>
        <v>845000</v>
      </c>
      <c r="W170" s="228">
        <f t="shared" ref="W170:X170" si="145">SUM(W161:W169)</f>
        <v>935660</v>
      </c>
      <c r="X170" s="228">
        <f t="shared" si="145"/>
        <v>879791.95</v>
      </c>
      <c r="Y170" s="101">
        <f t="shared" si="142"/>
        <v>1</v>
      </c>
      <c r="Z170" s="52"/>
      <c r="AA170" s="206"/>
    </row>
    <row r="171" spans="1:48" ht="15.75" hidden="1">
      <c r="A171" s="21"/>
      <c r="B171" s="50"/>
      <c r="C171" s="100" t="s">
        <v>709</v>
      </c>
      <c r="D171" s="50"/>
      <c r="E171" s="50"/>
      <c r="F171" s="51"/>
      <c r="G171" s="110"/>
      <c r="H171" s="110"/>
      <c r="I171" s="110"/>
      <c r="J171" s="110"/>
      <c r="K171" s="110"/>
      <c r="L171" s="110"/>
      <c r="M171" s="110"/>
      <c r="N171" s="52"/>
      <c r="O171" s="52"/>
      <c r="P171" s="52">
        <f>N171+O171</f>
        <v>0</v>
      </c>
      <c r="Q171" s="52"/>
      <c r="R171" s="52"/>
      <c r="S171" s="52"/>
      <c r="T171" s="52"/>
      <c r="U171" s="52"/>
      <c r="V171" s="52"/>
      <c r="W171" s="52"/>
      <c r="X171" s="52"/>
      <c r="Y171" s="101">
        <f t="shared" si="120"/>
        <v>0</v>
      </c>
      <c r="Z171" s="52"/>
      <c r="AA171" s="206"/>
    </row>
    <row r="172" spans="1:48" ht="15.75">
      <c r="A172" s="21">
        <v>11</v>
      </c>
      <c r="B172" s="50">
        <v>1341000420</v>
      </c>
      <c r="C172" s="50" t="str">
        <f>RIGHT(B172,3)</f>
        <v>420</v>
      </c>
      <c r="D172" s="50" t="str">
        <f>MID(B172,2,6)</f>
        <v>341000</v>
      </c>
      <c r="E172" s="50" t="str">
        <f>LEFT(D172,2)</f>
        <v>34</v>
      </c>
      <c r="F172" s="51" t="s">
        <v>547</v>
      </c>
      <c r="G172" s="110">
        <v>-2004</v>
      </c>
      <c r="H172" s="110">
        <f>G172*-1</f>
        <v>2004</v>
      </c>
      <c r="I172" s="110">
        <v>-10390</v>
      </c>
      <c r="J172" s="110">
        <f>I172*-1</f>
        <v>10390</v>
      </c>
      <c r="K172" s="110">
        <v>8386</v>
      </c>
      <c r="L172" s="110">
        <v>4000</v>
      </c>
      <c r="M172" s="110">
        <v>7000</v>
      </c>
      <c r="N172" s="52">
        <v>7000</v>
      </c>
      <c r="O172" s="52"/>
      <c r="P172" s="52">
        <f>N172+O172</f>
        <v>7000</v>
      </c>
      <c r="Q172" s="52">
        <f>-VLOOKUP(B:B,'דוח כספי 1-10.17'!A:D,4,0)</f>
        <v>220</v>
      </c>
      <c r="R172" s="52">
        <f>Q172/10*12</f>
        <v>264</v>
      </c>
      <c r="S172" s="52">
        <v>1000</v>
      </c>
      <c r="T172" s="52">
        <f>-VLOOKUP(B172,'2174'!$A$1:$G$177,6,0)</f>
        <v>9322</v>
      </c>
      <c r="U172" s="63">
        <f t="shared" ref="U172:U174" si="146">T172*12/11</f>
        <v>10169.454545454546</v>
      </c>
      <c r="V172" s="52">
        <v>10000</v>
      </c>
      <c r="W172" s="52">
        <f>-VLOOKUP(B172,'ביצוע 2019'!$A$3:$H$1103,7,0)</f>
        <v>23655</v>
      </c>
      <c r="X172" s="52">
        <v>50000</v>
      </c>
      <c r="Y172" s="101">
        <f t="shared" ref="Y172:Y178" si="147">IF((X172+W172+V172)&lt;&gt;0,1,0)</f>
        <v>1</v>
      </c>
      <c r="Z172" s="52"/>
      <c r="AA172" s="206"/>
      <c r="AV172" s="180"/>
    </row>
    <row r="173" spans="1:48" ht="15.75">
      <c r="A173" s="21">
        <v>12</v>
      </c>
      <c r="B173" s="50">
        <v>1341001930</v>
      </c>
      <c r="C173" s="50" t="str">
        <f>RIGHT(B173,3)</f>
        <v>930</v>
      </c>
      <c r="D173" s="50" t="str">
        <f>MID(B173,2,6)</f>
        <v>341001</v>
      </c>
      <c r="E173" s="50" t="str">
        <f>LEFT(D173,2)</f>
        <v>34</v>
      </c>
      <c r="F173" s="51" t="s">
        <v>548</v>
      </c>
      <c r="G173" s="110">
        <v>-962004</v>
      </c>
      <c r="H173" s="110">
        <f>G173*-1</f>
        <v>962004</v>
      </c>
      <c r="I173" s="110">
        <v>-1049414</v>
      </c>
      <c r="J173" s="110">
        <f>I173*-1</f>
        <v>1049414</v>
      </c>
      <c r="K173" s="110">
        <v>87410</v>
      </c>
      <c r="L173" s="110">
        <v>1100000</v>
      </c>
      <c r="M173" s="110">
        <v>1136000</v>
      </c>
      <c r="N173" s="52">
        <v>1136000</v>
      </c>
      <c r="O173" s="52"/>
      <c r="P173" s="52">
        <f>N173+O173</f>
        <v>1136000</v>
      </c>
      <c r="Q173" s="52">
        <f>-VLOOKUP(B:B,'דוח כספי 1-10.17'!A:D,4,0)</f>
        <v>1012668</v>
      </c>
      <c r="R173" s="52">
        <f>Q173/10*12</f>
        <v>1215201.6000000001</v>
      </c>
      <c r="S173" s="52">
        <v>1320000</v>
      </c>
      <c r="T173" s="52">
        <f>-VLOOKUP(B173,'2174'!$A$1:$G$177,6,0)</f>
        <v>1299404</v>
      </c>
      <c r="U173" s="63">
        <f t="shared" si="146"/>
        <v>1417531.6363636365</v>
      </c>
      <c r="V173" s="52">
        <v>1500000</v>
      </c>
      <c r="W173" s="52">
        <f>-VLOOKUP(B173,'ביצוע 2019'!$A$3:$H$1103,7,0)</f>
        <v>1643621</v>
      </c>
      <c r="X173" s="52">
        <f>2111250-66412</f>
        <v>2044838</v>
      </c>
      <c r="Y173" s="101">
        <f t="shared" si="147"/>
        <v>1</v>
      </c>
      <c r="Z173" s="52"/>
      <c r="AA173" s="206"/>
      <c r="AV173" s="180"/>
    </row>
    <row r="174" spans="1:48" ht="15.75">
      <c r="A174" s="21">
        <v>12</v>
      </c>
      <c r="B174" s="50">
        <v>1341002930</v>
      </c>
      <c r="C174" s="50" t="str">
        <f>RIGHT(B174,3)</f>
        <v>930</v>
      </c>
      <c r="D174" s="50" t="str">
        <f>MID(B174,2,6)</f>
        <v>341002</v>
      </c>
      <c r="E174" s="50" t="str">
        <f>LEFT(D174,2)</f>
        <v>34</v>
      </c>
      <c r="F174" s="51" t="s">
        <v>549</v>
      </c>
      <c r="G174" s="110">
        <v>-35006</v>
      </c>
      <c r="H174" s="110">
        <f>G174*-1</f>
        <v>35006</v>
      </c>
      <c r="I174" s="110">
        <v>-11382</v>
      </c>
      <c r="J174" s="110">
        <f>I174*-1</f>
        <v>11382</v>
      </c>
      <c r="K174" s="110">
        <v>-23624</v>
      </c>
      <c r="L174" s="110">
        <v>12000</v>
      </c>
      <c r="M174" s="110">
        <v>47000</v>
      </c>
      <c r="N174" s="52">
        <v>47000</v>
      </c>
      <c r="O174" s="52"/>
      <c r="P174" s="52">
        <f>N174+O174</f>
        <v>47000</v>
      </c>
      <c r="Q174" s="52">
        <f>-VLOOKUP(B:B,'דוח כספי 1-10.17'!A:D,4,0)</f>
        <v>26154</v>
      </c>
      <c r="R174" s="52">
        <f>Q174/10*12</f>
        <v>31384.800000000003</v>
      </c>
      <c r="S174" s="52">
        <v>32000</v>
      </c>
      <c r="T174" s="52">
        <f>-VLOOKUP(B174,'2174'!$A$1:$G$177,6,0)</f>
        <v>35326</v>
      </c>
      <c r="U174" s="63">
        <f t="shared" si="146"/>
        <v>38537.454545454544</v>
      </c>
      <c r="V174" s="52">
        <f t="shared" ref="V174" si="148">U174</f>
        <v>38537.454545454544</v>
      </c>
      <c r="W174" s="52">
        <f>-VLOOKUP(B174,'ביצוע 2019'!$A$3:$H$1103,7,0)</f>
        <v>30914</v>
      </c>
      <c r="X174" s="52">
        <f t="shared" ref="X174" si="149">W174</f>
        <v>30914</v>
      </c>
      <c r="Y174" s="101">
        <f t="shared" si="147"/>
        <v>1</v>
      </c>
      <c r="Z174" s="52"/>
      <c r="AA174" s="206"/>
      <c r="AV174" s="180"/>
    </row>
    <row r="175" spans="1:48" ht="15.75">
      <c r="A175" s="21"/>
      <c r="B175" s="222"/>
      <c r="C175" s="222"/>
      <c r="D175" s="222"/>
      <c r="E175" s="222"/>
      <c r="F175" s="223" t="s">
        <v>1945</v>
      </c>
      <c r="G175" s="224"/>
      <c r="H175" s="224"/>
      <c r="I175" s="224"/>
      <c r="J175" s="224"/>
      <c r="K175" s="224"/>
      <c r="L175" s="224"/>
      <c r="M175" s="224"/>
      <c r="N175" s="225">
        <f>SUM(N172:N174)</f>
        <v>1190000</v>
      </c>
      <c r="O175" s="225"/>
      <c r="P175" s="225">
        <f>SUM(P172:P174)</f>
        <v>1190000</v>
      </c>
      <c r="Q175" s="225">
        <f>SUM(Q172:Q174)</f>
        <v>1039042</v>
      </c>
      <c r="R175" s="225">
        <f>SUM(R172:R174)</f>
        <v>1246850.4000000001</v>
      </c>
      <c r="S175" s="225">
        <f>SUM(S172:S174)</f>
        <v>1353000</v>
      </c>
      <c r="T175" s="225">
        <f t="shared" ref="T175:X175" si="150">SUM(T172:T174)</f>
        <v>1344052</v>
      </c>
      <c r="U175" s="225">
        <f t="shared" si="150"/>
        <v>1466238.5454545456</v>
      </c>
      <c r="V175" s="225">
        <f t="shared" si="150"/>
        <v>1548537.4545454546</v>
      </c>
      <c r="W175" s="225">
        <f t="shared" si="150"/>
        <v>1698190</v>
      </c>
      <c r="X175" s="225">
        <f t="shared" si="150"/>
        <v>2125752</v>
      </c>
      <c r="Y175" s="101">
        <f t="shared" si="147"/>
        <v>1</v>
      </c>
      <c r="Z175" s="52"/>
      <c r="AA175" s="206"/>
      <c r="AV175" s="180"/>
    </row>
    <row r="176" spans="1:48" ht="15.75">
      <c r="A176" s="21">
        <v>12</v>
      </c>
      <c r="B176" s="50">
        <v>1342202930</v>
      </c>
      <c r="C176" s="50" t="str">
        <f>RIGHT(B176,3)</f>
        <v>930</v>
      </c>
      <c r="D176" s="50" t="str">
        <f>MID(B176,2,6)</f>
        <v>342202</v>
      </c>
      <c r="E176" s="50" t="str">
        <f>LEFT(D176,2)</f>
        <v>34</v>
      </c>
      <c r="F176" s="51" t="s">
        <v>550</v>
      </c>
      <c r="G176" s="110">
        <v>-57996</v>
      </c>
      <c r="H176" s="110">
        <f>G176*-1</f>
        <v>57996</v>
      </c>
      <c r="I176" s="110">
        <v>-166494</v>
      </c>
      <c r="J176" s="110">
        <f>I176*-1</f>
        <v>166494</v>
      </c>
      <c r="K176" s="110">
        <v>108498</v>
      </c>
      <c r="L176" s="110">
        <v>170000</v>
      </c>
      <c r="M176" s="110">
        <v>142500</v>
      </c>
      <c r="N176" s="52">
        <v>142500</v>
      </c>
      <c r="O176" s="52"/>
      <c r="P176" s="52">
        <f>N176+O176</f>
        <v>142500</v>
      </c>
      <c r="Q176" s="52">
        <f>-VLOOKUP(B:B,'דוח כספי 1-10.17'!A:D,4,0)</f>
        <v>68392</v>
      </c>
      <c r="R176" s="52">
        <f>Q176/10*12</f>
        <v>82070.399999999994</v>
      </c>
      <c r="S176" s="52">
        <v>82000</v>
      </c>
      <c r="T176" s="52">
        <f>-VLOOKUP(B176,'2174'!$A$1:$G$177,6,0)</f>
        <v>60487</v>
      </c>
      <c r="U176" s="63">
        <f t="shared" ref="U176:U180" si="151">T176*12/11</f>
        <v>65985.818181818177</v>
      </c>
      <c r="V176" s="52">
        <v>120000</v>
      </c>
      <c r="W176" s="52">
        <f>-VLOOKUP(B176,'ביצוע 2019'!$A$3:$H$1103,7,0)</f>
        <v>2374</v>
      </c>
      <c r="X176" s="52">
        <f t="shared" ref="X176:X181" si="152">W176</f>
        <v>2374</v>
      </c>
      <c r="Y176" s="101">
        <f t="shared" si="147"/>
        <v>1</v>
      </c>
      <c r="Z176" s="52"/>
      <c r="AA176" s="206"/>
      <c r="AV176" s="180" t="e">
        <f>#REF!/הוצאות!Q381</f>
        <v>#REF!</v>
      </c>
    </row>
    <row r="177" spans="1:48" ht="15.75">
      <c r="A177" s="21">
        <v>12</v>
      </c>
      <c r="B177" s="50">
        <v>1342206930</v>
      </c>
      <c r="C177" s="50" t="str">
        <f>RIGHT(B177,3)</f>
        <v>930</v>
      </c>
      <c r="D177" s="50" t="str">
        <f>MID(B177,2,6)</f>
        <v>342206</v>
      </c>
      <c r="E177" s="50" t="str">
        <f>LEFT(D177,2)</f>
        <v>34</v>
      </c>
      <c r="F177" s="51" t="s">
        <v>323</v>
      </c>
      <c r="G177" s="110">
        <v>-59003</v>
      </c>
      <c r="H177" s="110">
        <f>G177*-1</f>
        <v>59003</v>
      </c>
      <c r="I177" s="110">
        <v>-50000</v>
      </c>
      <c r="J177" s="110">
        <v>50000</v>
      </c>
      <c r="K177" s="110">
        <v>-41790</v>
      </c>
      <c r="L177" s="110">
        <v>20000</v>
      </c>
      <c r="M177" s="110">
        <v>92000</v>
      </c>
      <c r="N177" s="52">
        <v>92000</v>
      </c>
      <c r="O177" s="52"/>
      <c r="P177" s="52">
        <f>N177+O177</f>
        <v>92000</v>
      </c>
      <c r="Q177" s="52">
        <f>-VLOOKUP(B:B,'דוח כספי 1-10.17'!A:D,4,0)</f>
        <v>34552</v>
      </c>
      <c r="R177" s="52">
        <f>Q177/10*12</f>
        <v>41462.399999999994</v>
      </c>
      <c r="S177" s="52">
        <v>41500</v>
      </c>
      <c r="T177" s="52">
        <f>-VLOOKUP(B177,'2174'!$A$1:$G$177,6,0)</f>
        <v>46785</v>
      </c>
      <c r="U177" s="63">
        <f t="shared" si="151"/>
        <v>51038.181818181816</v>
      </c>
      <c r="V177" s="52">
        <v>52500</v>
      </c>
      <c r="W177" s="52">
        <f>-VLOOKUP(B177,'ביצוע 2019'!$A$3:$H$1103,7,0)</f>
        <v>44531</v>
      </c>
      <c r="X177" s="52">
        <f t="shared" si="152"/>
        <v>44531</v>
      </c>
      <c r="Y177" s="101">
        <f t="shared" si="147"/>
        <v>1</v>
      </c>
      <c r="Z177" s="52"/>
      <c r="AA177" s="206"/>
      <c r="AV177" s="180"/>
    </row>
    <row r="178" spans="1:48" ht="15.75">
      <c r="A178" s="21">
        <v>12</v>
      </c>
      <c r="B178" s="50">
        <v>1342208930</v>
      </c>
      <c r="C178" s="50" t="str">
        <f t="shared" ref="C178:C180" si="153">RIGHT(B178,3)</f>
        <v>930</v>
      </c>
      <c r="D178" s="50" t="str">
        <f t="shared" ref="D178:D180" si="154">MID(B178,2,6)</f>
        <v>342208</v>
      </c>
      <c r="E178" s="50" t="str">
        <f t="shared" ref="E178:E180" si="155">LEFT(D178,2)</f>
        <v>34</v>
      </c>
      <c r="F178" s="51" t="s">
        <v>2025</v>
      </c>
      <c r="G178" s="110"/>
      <c r="H178" s="110"/>
      <c r="I178" s="110"/>
      <c r="J178" s="110"/>
      <c r="K178" s="110"/>
      <c r="L178" s="110"/>
      <c r="M178" s="110"/>
      <c r="N178" s="52"/>
      <c r="O178" s="52"/>
      <c r="P178" s="52"/>
      <c r="Q178" s="52"/>
      <c r="R178" s="52"/>
      <c r="S178" s="52"/>
      <c r="T178" s="52">
        <f>-VLOOKUP(B178,'2174'!$A$1:$G$177,6,0)</f>
        <v>5336</v>
      </c>
      <c r="U178" s="63">
        <v>6000</v>
      </c>
      <c r="V178" s="52">
        <v>6000</v>
      </c>
      <c r="W178" s="52">
        <f>-VLOOKUP(B178,'ביצוע 2019'!$A$3:$H$1103,7,0)</f>
        <v>23946</v>
      </c>
      <c r="X178" s="52">
        <f t="shared" si="152"/>
        <v>23946</v>
      </c>
      <c r="Y178" s="101">
        <f t="shared" si="147"/>
        <v>1</v>
      </c>
      <c r="Z178" s="52"/>
      <c r="AA178" s="206"/>
      <c r="AV178" s="180"/>
    </row>
    <row r="179" spans="1:48" ht="15.75" hidden="1">
      <c r="A179" s="21">
        <v>12</v>
      </c>
      <c r="B179" s="50">
        <v>1342201930</v>
      </c>
      <c r="C179" s="50" t="str">
        <f t="shared" si="153"/>
        <v>930</v>
      </c>
      <c r="D179" s="50" t="str">
        <f t="shared" ref="D179" si="156">MID(B179,2,6)</f>
        <v>342201</v>
      </c>
      <c r="E179" s="50" t="str">
        <f t="shared" si="155"/>
        <v>34</v>
      </c>
      <c r="F179" s="51" t="s">
        <v>315</v>
      </c>
      <c r="G179" s="110"/>
      <c r="H179" s="110"/>
      <c r="I179" s="110"/>
      <c r="J179" s="110"/>
      <c r="K179" s="110"/>
      <c r="L179" s="110"/>
      <c r="M179" s="110"/>
      <c r="N179" s="52"/>
      <c r="O179" s="52"/>
      <c r="P179" s="52"/>
      <c r="Q179" s="52"/>
      <c r="R179" s="52"/>
      <c r="S179" s="52"/>
      <c r="T179" s="52"/>
      <c r="U179" s="63"/>
      <c r="V179" s="52"/>
      <c r="W179" s="52">
        <f>-VLOOKUP(B179,'ביצוע 2019'!$A$3:$H$1103,7,0)</f>
        <v>0</v>
      </c>
      <c r="X179" s="52">
        <f t="shared" si="152"/>
        <v>0</v>
      </c>
      <c r="Y179" s="101">
        <f t="shared" si="120"/>
        <v>0</v>
      </c>
      <c r="Z179" s="52"/>
      <c r="AA179" s="206"/>
      <c r="AV179" s="180"/>
    </row>
    <row r="180" spans="1:48" ht="15.75">
      <c r="A180" s="21">
        <v>12</v>
      </c>
      <c r="B180" s="50">
        <v>1342401930</v>
      </c>
      <c r="C180" s="50" t="str">
        <f t="shared" si="153"/>
        <v>930</v>
      </c>
      <c r="D180" s="50" t="str">
        <f t="shared" si="154"/>
        <v>342401</v>
      </c>
      <c r="E180" s="50" t="str">
        <f t="shared" si="155"/>
        <v>34</v>
      </c>
      <c r="F180" s="51" t="s">
        <v>324</v>
      </c>
      <c r="G180" s="110">
        <v>0</v>
      </c>
      <c r="H180" s="110">
        <f>G180*-1</f>
        <v>0</v>
      </c>
      <c r="I180" s="110">
        <v>0</v>
      </c>
      <c r="J180" s="110">
        <f>I180*-1</f>
        <v>0</v>
      </c>
      <c r="K180" s="110">
        <v>0</v>
      </c>
      <c r="L180" s="110">
        <v>0</v>
      </c>
      <c r="M180" s="110">
        <v>14000</v>
      </c>
      <c r="N180" s="52">
        <v>14000</v>
      </c>
      <c r="O180" s="52"/>
      <c r="P180" s="52">
        <f>N180+O180</f>
        <v>14000</v>
      </c>
      <c r="Q180" s="52">
        <f>-VLOOKUP(B:B,'דוח כספי 1-10.17'!A:D,4,0)</f>
        <v>0</v>
      </c>
      <c r="R180" s="52">
        <f>Q180/10*12</f>
        <v>0</v>
      </c>
      <c r="S180" s="52">
        <f>R180</f>
        <v>0</v>
      </c>
      <c r="T180" s="52">
        <f>-VLOOKUP(B180,'2174'!$A$1:$G$177,6,0)</f>
        <v>11101</v>
      </c>
      <c r="U180" s="63">
        <f t="shared" si="151"/>
        <v>12110.181818181818</v>
      </c>
      <c r="V180" s="52">
        <v>13000</v>
      </c>
      <c r="W180" s="52">
        <f>-VLOOKUP(B180,'ביצוע 2019'!$A$3:$H$1103,7,0)</f>
        <v>4464</v>
      </c>
      <c r="X180" s="52">
        <f t="shared" si="152"/>
        <v>4464</v>
      </c>
      <c r="Y180" s="101">
        <f t="shared" ref="Y180:Y184" si="157">IF((X180+W180+V180)&lt;&gt;0,1,0)</f>
        <v>1</v>
      </c>
      <c r="Z180" s="52"/>
      <c r="AA180" s="51"/>
      <c r="AV180" s="180"/>
    </row>
    <row r="181" spans="1:48" ht="15.75">
      <c r="A181" s="21">
        <v>12</v>
      </c>
      <c r="B181" s="50">
        <v>1342402930</v>
      </c>
      <c r="C181" s="50" t="str">
        <f>RIGHT(B181,3)</f>
        <v>930</v>
      </c>
      <c r="D181" s="50" t="str">
        <f>MID(B181,2,6)</f>
        <v>342402</v>
      </c>
      <c r="E181" s="50" t="str">
        <f>LEFT(D181,2)</f>
        <v>34</v>
      </c>
      <c r="F181" s="51" t="s">
        <v>325</v>
      </c>
      <c r="G181" s="110">
        <v>0</v>
      </c>
      <c r="H181" s="110">
        <f>G181*-1</f>
        <v>0</v>
      </c>
      <c r="I181" s="110">
        <v>0</v>
      </c>
      <c r="J181" s="110">
        <f>I181*-1</f>
        <v>0</v>
      </c>
      <c r="K181" s="110">
        <v>0</v>
      </c>
      <c r="L181" s="110">
        <v>0</v>
      </c>
      <c r="M181" s="110">
        <f>+L181</f>
        <v>0</v>
      </c>
      <c r="N181" s="52">
        <f>+M181</f>
        <v>0</v>
      </c>
      <c r="O181" s="52"/>
      <c r="P181" s="52">
        <f>N181+O181</f>
        <v>0</v>
      </c>
      <c r="Q181" s="52">
        <f>-VLOOKUP(B:B,'דוח כספי 1-10.17'!A:D,4,0)</f>
        <v>0</v>
      </c>
      <c r="R181" s="52">
        <f>Q181/10*12</f>
        <v>0</v>
      </c>
      <c r="S181" s="52">
        <f>R181</f>
        <v>0</v>
      </c>
      <c r="T181" s="52"/>
      <c r="U181" s="52"/>
      <c r="V181" s="52">
        <v>15700</v>
      </c>
      <c r="W181" s="52">
        <f>-VLOOKUP(B181,'ביצוע 2019'!$A$3:$H$1103,7,0)</f>
        <v>5749</v>
      </c>
      <c r="X181" s="52">
        <f t="shared" si="152"/>
        <v>5749</v>
      </c>
      <c r="Y181" s="101">
        <f t="shared" si="157"/>
        <v>1</v>
      </c>
      <c r="Z181" s="52"/>
      <c r="AA181" s="51"/>
    </row>
    <row r="182" spans="1:48" ht="15.75">
      <c r="A182" s="21"/>
      <c r="B182" s="222"/>
      <c r="C182" s="222"/>
      <c r="D182" s="222"/>
      <c r="E182" s="222"/>
      <c r="F182" s="223" t="s">
        <v>1946</v>
      </c>
      <c r="G182" s="224"/>
      <c r="H182" s="224"/>
      <c r="I182" s="224"/>
      <c r="J182" s="224"/>
      <c r="K182" s="224"/>
      <c r="L182" s="224"/>
      <c r="M182" s="224"/>
      <c r="N182" s="225">
        <f>SUM(N176:N181)</f>
        <v>248500</v>
      </c>
      <c r="O182" s="225"/>
      <c r="P182" s="225">
        <f>SUM(P176:P181)</f>
        <v>248500</v>
      </c>
      <c r="Q182" s="225">
        <f>SUM(Q176:Q181)</f>
        <v>102944</v>
      </c>
      <c r="R182" s="225">
        <f>SUM(R176:R181)</f>
        <v>123532.79999999999</v>
      </c>
      <c r="S182" s="225">
        <f>SUM(S176:S181)</f>
        <v>123500</v>
      </c>
      <c r="T182" s="225">
        <f t="shared" ref="T182:X182" si="158">SUM(T176:T181)</f>
        <v>123709</v>
      </c>
      <c r="U182" s="225">
        <f t="shared" si="158"/>
        <v>135134.18181818182</v>
      </c>
      <c r="V182" s="225">
        <f t="shared" si="158"/>
        <v>207200</v>
      </c>
      <c r="W182" s="225">
        <f t="shared" si="158"/>
        <v>81064</v>
      </c>
      <c r="X182" s="225">
        <f t="shared" si="158"/>
        <v>81064</v>
      </c>
      <c r="Y182" s="101">
        <f t="shared" si="157"/>
        <v>1</v>
      </c>
      <c r="Z182" s="52"/>
      <c r="AA182" s="51"/>
    </row>
    <row r="183" spans="1:48" ht="15.75">
      <c r="A183" s="21">
        <v>12</v>
      </c>
      <c r="B183" s="50">
        <v>1343502930</v>
      </c>
      <c r="C183" s="50" t="str">
        <f t="shared" ref="C183:C187" si="159">RIGHT(B183,3)</f>
        <v>930</v>
      </c>
      <c r="D183" s="50" t="str">
        <f t="shared" ref="D183:D187" si="160">MID(B183,2,6)</f>
        <v>343502</v>
      </c>
      <c r="E183" s="50" t="str">
        <f t="shared" ref="E183:E187" si="161">LEFT(D183,2)</f>
        <v>34</v>
      </c>
      <c r="F183" s="51" t="s">
        <v>553</v>
      </c>
      <c r="G183" s="110">
        <v>0</v>
      </c>
      <c r="H183" s="110">
        <f t="shared" ref="H183:H187" si="162">G183*-1</f>
        <v>0</v>
      </c>
      <c r="I183" s="110">
        <v>-139533</v>
      </c>
      <c r="J183" s="110">
        <f t="shared" ref="J183:J186" si="163">I183*-1</f>
        <v>139533</v>
      </c>
      <c r="K183" s="110">
        <v>139533</v>
      </c>
      <c r="L183" s="110">
        <v>188000</v>
      </c>
      <c r="M183" s="110">
        <v>96000</v>
      </c>
      <c r="N183" s="52">
        <v>96000</v>
      </c>
      <c r="O183" s="52"/>
      <c r="P183" s="52">
        <f t="shared" ref="P183:P190" si="164">N183+O183</f>
        <v>96000</v>
      </c>
      <c r="Q183" s="52">
        <f>-VLOOKUP(B:B,'דוח כספי 1-10.17'!A:D,4,0)</f>
        <v>80435</v>
      </c>
      <c r="R183" s="52">
        <f t="shared" ref="R183:R190" si="165">Q183/10*12</f>
        <v>96522</v>
      </c>
      <c r="S183" s="52">
        <v>113000</v>
      </c>
      <c r="T183" s="52">
        <f>-VLOOKUP(B183,'2174'!$A$1:$G$177,6,0)</f>
        <v>593052</v>
      </c>
      <c r="U183" s="63">
        <v>180000</v>
      </c>
      <c r="V183" s="52">
        <v>180000</v>
      </c>
      <c r="W183" s="52">
        <f>-VLOOKUP(B183,'ביצוע 2019'!$A$3:$H$1103,7,0)</f>
        <v>159066</v>
      </c>
      <c r="X183" s="52">
        <f t="shared" ref="X183:X193" si="166">W183</f>
        <v>159066</v>
      </c>
      <c r="Y183" s="101">
        <f t="shared" si="157"/>
        <v>1</v>
      </c>
      <c r="Z183" s="52"/>
      <c r="AA183" s="206"/>
    </row>
    <row r="184" spans="1:48" ht="15.75">
      <c r="A184" s="21">
        <v>12</v>
      </c>
      <c r="B184" s="50">
        <v>1343503930</v>
      </c>
      <c r="C184" s="50" t="str">
        <f t="shared" si="159"/>
        <v>930</v>
      </c>
      <c r="D184" s="50" t="str">
        <f t="shared" si="160"/>
        <v>343503</v>
      </c>
      <c r="E184" s="50" t="str">
        <f t="shared" si="161"/>
        <v>34</v>
      </c>
      <c r="F184" s="51" t="s">
        <v>329</v>
      </c>
      <c r="G184" s="110">
        <v>-666999</v>
      </c>
      <c r="H184" s="110">
        <f t="shared" si="162"/>
        <v>666999</v>
      </c>
      <c r="I184" s="110">
        <v>-756254</v>
      </c>
      <c r="J184" s="110">
        <f t="shared" si="163"/>
        <v>756254</v>
      </c>
      <c r="K184" s="110">
        <v>89255</v>
      </c>
      <c r="L184" s="110">
        <f>760000+140000</f>
        <v>900000</v>
      </c>
      <c r="M184" s="110">
        <v>635000</v>
      </c>
      <c r="N184" s="52">
        <v>635000</v>
      </c>
      <c r="O184" s="52"/>
      <c r="P184" s="52">
        <f t="shared" si="164"/>
        <v>635000</v>
      </c>
      <c r="Q184" s="52">
        <f>-VLOOKUP(B:B,'דוח כספי 1-10.17'!A:D,4,0)</f>
        <v>532684</v>
      </c>
      <c r="R184" s="52">
        <f t="shared" si="165"/>
        <v>639220.80000000005</v>
      </c>
      <c r="S184" s="52">
        <v>762000</v>
      </c>
      <c r="T184" s="52">
        <f>-VLOOKUP(B184,'2174'!$A$1:$G$177,6,0)</f>
        <v>722479</v>
      </c>
      <c r="U184" s="63">
        <f>T184*12/11</f>
        <v>788158.90909090906</v>
      </c>
      <c r="V184" s="52">
        <v>850000</v>
      </c>
      <c r="W184" s="52">
        <f>-VLOOKUP(B184,'ביצוע 2019'!$A$3:$H$1103,7,0)</f>
        <v>673736</v>
      </c>
      <c r="X184" s="52">
        <f t="shared" si="166"/>
        <v>673736</v>
      </c>
      <c r="Y184" s="101">
        <f t="shared" si="157"/>
        <v>1</v>
      </c>
      <c r="Z184" s="52"/>
      <c r="AA184" s="206"/>
    </row>
    <row r="185" spans="1:48" ht="15.75" hidden="1">
      <c r="A185" s="21">
        <v>11</v>
      </c>
      <c r="B185" s="50">
        <v>1343504420</v>
      </c>
      <c r="C185" s="50" t="str">
        <f t="shared" si="159"/>
        <v>420</v>
      </c>
      <c r="D185" s="50" t="str">
        <f t="shared" si="160"/>
        <v>343504</v>
      </c>
      <c r="E185" s="50" t="str">
        <f t="shared" si="161"/>
        <v>34</v>
      </c>
      <c r="F185" s="51" t="s">
        <v>334</v>
      </c>
      <c r="G185" s="110">
        <v>0</v>
      </c>
      <c r="H185" s="110">
        <f t="shared" si="162"/>
        <v>0</v>
      </c>
      <c r="I185" s="110">
        <v>0</v>
      </c>
      <c r="J185" s="110">
        <f t="shared" si="163"/>
        <v>0</v>
      </c>
      <c r="K185" s="110">
        <v>0</v>
      </c>
      <c r="L185" s="110">
        <v>0</v>
      </c>
      <c r="M185" s="110">
        <f>+L185</f>
        <v>0</v>
      </c>
      <c r="N185" s="52">
        <f>+M185</f>
        <v>0</v>
      </c>
      <c r="O185" s="52"/>
      <c r="P185" s="52">
        <f t="shared" si="164"/>
        <v>0</v>
      </c>
      <c r="Q185" s="52">
        <f>-VLOOKUP(B:B,'דוח כספי 1-10.17'!A:D,4,0)</f>
        <v>0</v>
      </c>
      <c r="R185" s="52">
        <f t="shared" si="165"/>
        <v>0</v>
      </c>
      <c r="S185" s="52">
        <f>R185</f>
        <v>0</v>
      </c>
      <c r="T185" s="52"/>
      <c r="U185" s="52"/>
      <c r="V185" s="52"/>
      <c r="W185" s="52">
        <f>-VLOOKUP(B185,'ביצוע 2019'!$A$3:$H$1103,7,0)</f>
        <v>0</v>
      </c>
      <c r="X185" s="52">
        <f t="shared" si="166"/>
        <v>0</v>
      </c>
      <c r="Y185" s="101">
        <f t="shared" si="120"/>
        <v>0</v>
      </c>
      <c r="Z185" s="52"/>
      <c r="AA185" s="51"/>
    </row>
    <row r="186" spans="1:48" ht="15.75">
      <c r="A186" s="21">
        <v>12</v>
      </c>
      <c r="B186" s="50">
        <v>1343504930</v>
      </c>
      <c r="C186" s="50" t="str">
        <f t="shared" si="159"/>
        <v>930</v>
      </c>
      <c r="D186" s="50" t="str">
        <f t="shared" si="160"/>
        <v>343504</v>
      </c>
      <c r="E186" s="50" t="str">
        <f t="shared" si="161"/>
        <v>34</v>
      </c>
      <c r="F186" s="51" t="s">
        <v>334</v>
      </c>
      <c r="G186" s="110">
        <v>-157996</v>
      </c>
      <c r="H186" s="110">
        <f t="shared" si="162"/>
        <v>157996</v>
      </c>
      <c r="I186" s="110">
        <v>-153759</v>
      </c>
      <c r="J186" s="110">
        <f t="shared" si="163"/>
        <v>153759</v>
      </c>
      <c r="K186" s="110">
        <v>-4237</v>
      </c>
      <c r="L186" s="110">
        <v>155000</v>
      </c>
      <c r="M186" s="110">
        <v>69000</v>
      </c>
      <c r="N186" s="52">
        <v>69000</v>
      </c>
      <c r="O186" s="52"/>
      <c r="P186" s="52">
        <f t="shared" si="164"/>
        <v>69000</v>
      </c>
      <c r="Q186" s="52">
        <f>-VLOOKUP(B:B,'דוח כספי 1-10.17'!A:D,4,0)</f>
        <v>119093</v>
      </c>
      <c r="R186" s="52">
        <f t="shared" si="165"/>
        <v>142911.59999999998</v>
      </c>
      <c r="S186" s="52">
        <v>143000</v>
      </c>
      <c r="T186" s="52">
        <f>-VLOOKUP(B186,'2174'!$A$1:$G$177,6,0)</f>
        <v>100099</v>
      </c>
      <c r="U186" s="63">
        <f t="shared" ref="U186:U190" si="167">T186*12/11</f>
        <v>109198.90909090909</v>
      </c>
      <c r="V186" s="52">
        <v>115000</v>
      </c>
      <c r="W186" s="52">
        <f>-VLOOKUP(B186,'ביצוע 2019'!$A$3:$H$1103,7,0)</f>
        <v>0</v>
      </c>
      <c r="X186" s="52">
        <f t="shared" si="166"/>
        <v>0</v>
      </c>
      <c r="Y186" s="101">
        <f t="shared" ref="Y186:Y187" si="168">IF((X186+W186+V186)&lt;&gt;0,1,0)</f>
        <v>1</v>
      </c>
      <c r="Z186" s="52"/>
      <c r="AA186" s="206"/>
    </row>
    <row r="187" spans="1:48" ht="15.75">
      <c r="A187" s="21">
        <v>12</v>
      </c>
      <c r="B187" s="50">
        <v>1343801930</v>
      </c>
      <c r="C187" s="50" t="str">
        <f t="shared" si="159"/>
        <v>930</v>
      </c>
      <c r="D187" s="50" t="str">
        <f t="shared" si="160"/>
        <v>343801</v>
      </c>
      <c r="E187" s="50" t="str">
        <f t="shared" si="161"/>
        <v>34</v>
      </c>
      <c r="F187" s="51" t="s">
        <v>335</v>
      </c>
      <c r="G187" s="110">
        <v>-1693001</v>
      </c>
      <c r="H187" s="110">
        <f t="shared" si="162"/>
        <v>1693001</v>
      </c>
      <c r="I187" s="110">
        <v>-1800000</v>
      </c>
      <c r="J187" s="110">
        <v>1800000</v>
      </c>
      <c r="K187" s="110">
        <v>44782</v>
      </c>
      <c r="L187" s="110">
        <f>1750000+600000</f>
        <v>2350000</v>
      </c>
      <c r="M187" s="110">
        <v>2077000</v>
      </c>
      <c r="N187" s="52">
        <v>2077000</v>
      </c>
      <c r="O187" s="52"/>
      <c r="P187" s="52">
        <f t="shared" si="164"/>
        <v>2077000</v>
      </c>
      <c r="Q187" s="52">
        <f>-VLOOKUP(B:B,'דוח כספי 1-10.17'!A:D,4,0)</f>
        <v>1981189</v>
      </c>
      <c r="R187" s="52">
        <f t="shared" si="165"/>
        <v>2377426.7999999998</v>
      </c>
      <c r="S187" s="52">
        <v>2380000</v>
      </c>
      <c r="T187" s="52">
        <f>-VLOOKUP(B187,'2174'!$A$1:$G$177,6,0)</f>
        <v>2131895</v>
      </c>
      <c r="U187" s="63">
        <f t="shared" si="167"/>
        <v>2325703.6363636362</v>
      </c>
      <c r="V187" s="52">
        <v>2350000</v>
      </c>
      <c r="W187" s="52">
        <f>-VLOOKUP(B187,'ביצוע 2019'!$A$3:$H$1103,7,0)</f>
        <v>3331224</v>
      </c>
      <c r="X187" s="52">
        <f>W187-100000</f>
        <v>3231224</v>
      </c>
      <c r="Y187" s="101">
        <f t="shared" si="168"/>
        <v>1</v>
      </c>
      <c r="Z187" s="52"/>
      <c r="AA187" s="206"/>
    </row>
    <row r="188" spans="1:48" ht="15.75" hidden="1">
      <c r="A188" s="21">
        <v>12</v>
      </c>
      <c r="B188" s="50">
        <v>1343900930</v>
      </c>
      <c r="C188" s="50">
        <v>930</v>
      </c>
      <c r="D188" s="50">
        <v>343900</v>
      </c>
      <c r="E188" s="50">
        <v>34</v>
      </c>
      <c r="F188" s="160" t="s">
        <v>1636</v>
      </c>
      <c r="G188" s="110"/>
      <c r="H188" s="110"/>
      <c r="I188" s="110"/>
      <c r="J188" s="110"/>
      <c r="K188" s="110"/>
      <c r="L188" s="110"/>
      <c r="M188" s="110"/>
      <c r="N188" s="52">
        <v>697500</v>
      </c>
      <c r="O188" s="52"/>
      <c r="P188" s="52">
        <f t="shared" si="164"/>
        <v>697500</v>
      </c>
      <c r="Q188" s="52">
        <f>-VLOOKUP(B:B,'דוח כספי 1-10.17'!A:D,4,0)</f>
        <v>0</v>
      </c>
      <c r="R188" s="52">
        <f t="shared" si="165"/>
        <v>0</v>
      </c>
      <c r="S188" s="52">
        <f>R188</f>
        <v>0</v>
      </c>
      <c r="T188" s="52">
        <f>-VLOOKUP(B188,'2174'!$A$1:$G$177,6,0)</f>
        <v>0</v>
      </c>
      <c r="U188" s="63">
        <f t="shared" si="167"/>
        <v>0</v>
      </c>
      <c r="V188" s="52">
        <f t="shared" ref="V188:V190" si="169">U188</f>
        <v>0</v>
      </c>
      <c r="W188" s="52">
        <f>-VLOOKUP(B188,'ביצוע 2019'!$A$3:$H$1103,7,0)</f>
        <v>0</v>
      </c>
      <c r="X188" s="52">
        <f t="shared" si="166"/>
        <v>0</v>
      </c>
      <c r="Y188" s="101">
        <f t="shared" si="120"/>
        <v>0</v>
      </c>
      <c r="Z188" s="52"/>
      <c r="AA188" s="206"/>
    </row>
    <row r="189" spans="1:48" ht="15.75">
      <c r="A189" s="21">
        <v>12</v>
      </c>
      <c r="B189" s="50">
        <v>1343901930</v>
      </c>
      <c r="C189" s="50" t="str">
        <f>RIGHT(B189,3)</f>
        <v>930</v>
      </c>
      <c r="D189" s="50" t="str">
        <f>MID(B189,2,6)</f>
        <v>343901</v>
      </c>
      <c r="E189" s="50" t="str">
        <f>LEFT(D189,2)</f>
        <v>34</v>
      </c>
      <c r="F189" s="51" t="s">
        <v>338</v>
      </c>
      <c r="G189" s="110">
        <v>-830000</v>
      </c>
      <c r="H189" s="110">
        <f>G189*-1</f>
        <v>830000</v>
      </c>
      <c r="I189" s="110">
        <v>-1029716</v>
      </c>
      <c r="J189" s="110">
        <f>I189*-1</f>
        <v>1029716</v>
      </c>
      <c r="K189" s="110">
        <v>199716</v>
      </c>
      <c r="L189" s="110">
        <f>1030000+300000</f>
        <v>1330000</v>
      </c>
      <c r="M189" s="110">
        <v>1052000</v>
      </c>
      <c r="N189" s="52">
        <v>1052000</v>
      </c>
      <c r="O189" s="52"/>
      <c r="P189" s="52">
        <f t="shared" si="164"/>
        <v>1052000</v>
      </c>
      <c r="Q189" s="52">
        <f>-VLOOKUP(B:B,'דוח כספי 1-10.17'!A:D,4,0)</f>
        <v>877141</v>
      </c>
      <c r="R189" s="52">
        <f t="shared" si="165"/>
        <v>1052569.2000000002</v>
      </c>
      <c r="S189" s="52">
        <v>1053000</v>
      </c>
      <c r="T189" s="52">
        <f>-VLOOKUP(B189,'2174'!$A$1:$G$177,6,0)</f>
        <v>603609</v>
      </c>
      <c r="U189" s="63">
        <v>1300000</v>
      </c>
      <c r="V189" s="52">
        <v>1300000</v>
      </c>
      <c r="W189" s="52">
        <f>-VLOOKUP(B189,'ביצוע 2019'!$A$3:$H$1103,7,0)</f>
        <v>2209670</v>
      </c>
      <c r="X189" s="52">
        <f t="shared" si="166"/>
        <v>2209670</v>
      </c>
      <c r="Y189" s="101">
        <f>IF((X189+W189+V189)&lt;&gt;0,1,0)</f>
        <v>1</v>
      </c>
      <c r="Z189" s="52"/>
      <c r="AA189" s="206"/>
    </row>
    <row r="190" spans="1:48" ht="15.75" hidden="1">
      <c r="A190" s="21">
        <v>12</v>
      </c>
      <c r="B190" s="50">
        <v>1343901932</v>
      </c>
      <c r="C190" s="50" t="str">
        <f>RIGHT(B190,3)</f>
        <v>932</v>
      </c>
      <c r="D190" s="50" t="str">
        <f>MID(B190,2,6)</f>
        <v>343901</v>
      </c>
      <c r="E190" s="50" t="str">
        <f>LEFT(D190,2)</f>
        <v>34</v>
      </c>
      <c r="F190" s="51" t="s">
        <v>554</v>
      </c>
      <c r="G190" s="110">
        <v>0</v>
      </c>
      <c r="H190" s="110">
        <f>G190*-1</f>
        <v>0</v>
      </c>
      <c r="I190" s="110">
        <v>0</v>
      </c>
      <c r="J190" s="110">
        <f>I190*-1</f>
        <v>0</v>
      </c>
      <c r="K190" s="110">
        <v>0</v>
      </c>
      <c r="L190" s="110">
        <v>0</v>
      </c>
      <c r="M190" s="110">
        <v>102500</v>
      </c>
      <c r="N190" s="52">
        <v>102500</v>
      </c>
      <c r="O190" s="52"/>
      <c r="P190" s="52">
        <f t="shared" si="164"/>
        <v>102500</v>
      </c>
      <c r="Q190" s="52">
        <f>-VLOOKUP(B:B,'דוח כספי 1-10.17'!A:D,4,0)</f>
        <v>83947</v>
      </c>
      <c r="R190" s="52">
        <f t="shared" si="165"/>
        <v>100736.40000000001</v>
      </c>
      <c r="S190" s="52">
        <v>101000</v>
      </c>
      <c r="T190" s="52">
        <f>-VLOOKUP(B190,'2174'!$A$1:$G$177,6,0)</f>
        <v>0</v>
      </c>
      <c r="U190" s="63">
        <f t="shared" si="167"/>
        <v>0</v>
      </c>
      <c r="V190" s="52">
        <f t="shared" si="169"/>
        <v>0</v>
      </c>
      <c r="W190" s="52">
        <f>-VLOOKUP(B190,'ביצוע 2019'!$A$3:$H$1103,7,0)</f>
        <v>0</v>
      </c>
      <c r="X190" s="52">
        <f t="shared" si="166"/>
        <v>0</v>
      </c>
      <c r="Y190" s="101">
        <f t="shared" si="120"/>
        <v>0</v>
      </c>
      <c r="Z190" s="52"/>
      <c r="AA190" s="51"/>
    </row>
    <row r="191" spans="1:48" ht="15.75">
      <c r="A191" s="21">
        <v>12</v>
      </c>
      <c r="B191" s="50">
        <v>1343902930</v>
      </c>
      <c r="C191" s="50" t="str">
        <f t="shared" ref="C191:C193" si="170">RIGHT(B191,3)</f>
        <v>930</v>
      </c>
      <c r="D191" s="50" t="str">
        <f t="shared" ref="D191:D193" si="171">MID(B191,2,6)</f>
        <v>343902</v>
      </c>
      <c r="E191" s="50" t="str">
        <f t="shared" ref="E191:E193" si="172">LEFT(D191,2)</f>
        <v>34</v>
      </c>
      <c r="F191" s="51" t="s">
        <v>2026</v>
      </c>
      <c r="G191" s="110"/>
      <c r="H191" s="110"/>
      <c r="I191" s="110"/>
      <c r="J191" s="110"/>
      <c r="K191" s="110"/>
      <c r="L191" s="110"/>
      <c r="M191" s="110"/>
      <c r="N191" s="52"/>
      <c r="O191" s="52"/>
      <c r="P191" s="52"/>
      <c r="Q191" s="52"/>
      <c r="R191" s="52"/>
      <c r="S191" s="52"/>
      <c r="T191" s="52">
        <f>-VLOOKUP(B191,'2174'!$A$1:$G$177,6,0)</f>
        <v>19181</v>
      </c>
      <c r="U191" s="63">
        <v>20000</v>
      </c>
      <c r="V191" s="52">
        <v>14000</v>
      </c>
      <c r="W191" s="52">
        <f>-VLOOKUP(B191,'ביצוע 2019'!$A$3:$H$1103,7,0)</f>
        <v>9491</v>
      </c>
      <c r="X191" s="52">
        <f t="shared" si="166"/>
        <v>9491</v>
      </c>
      <c r="Y191" s="101">
        <f t="shared" ref="Y191:Y194" si="173">IF((X191+W191+V191)&lt;&gt;0,1,0)</f>
        <v>1</v>
      </c>
      <c r="Z191" s="52"/>
      <c r="AA191" s="51"/>
    </row>
    <row r="192" spans="1:48" ht="15.75">
      <c r="A192" s="21">
        <v>12</v>
      </c>
      <c r="B192" s="50">
        <v>1343903930</v>
      </c>
      <c r="C192" s="50" t="str">
        <f t="shared" si="170"/>
        <v>930</v>
      </c>
      <c r="D192" s="50" t="str">
        <f t="shared" si="171"/>
        <v>343903</v>
      </c>
      <c r="E192" s="50" t="str">
        <f t="shared" si="172"/>
        <v>34</v>
      </c>
      <c r="F192" s="51" t="s">
        <v>2027</v>
      </c>
      <c r="G192" s="110"/>
      <c r="H192" s="110"/>
      <c r="I192" s="110"/>
      <c r="J192" s="110"/>
      <c r="K192" s="110"/>
      <c r="L192" s="110"/>
      <c r="M192" s="110"/>
      <c r="N192" s="52"/>
      <c r="O192" s="52"/>
      <c r="P192" s="52"/>
      <c r="Q192" s="52"/>
      <c r="R192" s="52"/>
      <c r="S192" s="52"/>
      <c r="T192" s="52">
        <f>-VLOOKUP(B192,'2174'!$A$1:$G$177,6,0)</f>
        <v>2005</v>
      </c>
      <c r="U192" s="63">
        <v>2200</v>
      </c>
      <c r="V192" s="52">
        <v>3000</v>
      </c>
      <c r="W192" s="52">
        <f>-VLOOKUP(B192,'ביצוע 2019'!$A$3:$H$1103,7,0)</f>
        <v>0</v>
      </c>
      <c r="X192" s="52">
        <f t="shared" si="166"/>
        <v>0</v>
      </c>
      <c r="Y192" s="101">
        <f t="shared" si="173"/>
        <v>1</v>
      </c>
      <c r="Z192" s="52"/>
      <c r="AA192" s="51"/>
    </row>
    <row r="193" spans="1:27" ht="15.75">
      <c r="A193" s="21">
        <v>12</v>
      </c>
      <c r="B193" s="50">
        <v>1343904930</v>
      </c>
      <c r="C193" s="50" t="str">
        <f t="shared" si="170"/>
        <v>930</v>
      </c>
      <c r="D193" s="50" t="str">
        <f t="shared" si="171"/>
        <v>343904</v>
      </c>
      <c r="E193" s="50" t="str">
        <f t="shared" si="172"/>
        <v>34</v>
      </c>
      <c r="F193" s="51" t="s">
        <v>2028</v>
      </c>
      <c r="G193" s="110"/>
      <c r="H193" s="110"/>
      <c r="I193" s="110"/>
      <c r="J193" s="110"/>
      <c r="K193" s="110"/>
      <c r="L193" s="110"/>
      <c r="M193" s="110"/>
      <c r="N193" s="52"/>
      <c r="O193" s="52"/>
      <c r="P193" s="52"/>
      <c r="Q193" s="52"/>
      <c r="R193" s="52"/>
      <c r="S193" s="52"/>
      <c r="T193" s="52">
        <f>-VLOOKUP(B193,'2174'!$A$1:$G$177,6,0)</f>
        <v>39744</v>
      </c>
      <c r="U193" s="63">
        <f>+T193*1.09090909090909</f>
        <v>43357.090909090868</v>
      </c>
      <c r="V193" s="52">
        <v>45000</v>
      </c>
      <c r="W193" s="52">
        <f>-VLOOKUP(B193,'ביצוע 2019'!$A$3:$H$1103,7,0)</f>
        <v>0</v>
      </c>
      <c r="X193" s="52">
        <f t="shared" si="166"/>
        <v>0</v>
      </c>
      <c r="Y193" s="101">
        <f t="shared" si="173"/>
        <v>1</v>
      </c>
      <c r="Z193" s="52"/>
      <c r="AA193" s="51"/>
    </row>
    <row r="194" spans="1:27" ht="15.75">
      <c r="A194" s="21"/>
      <c r="B194" s="222"/>
      <c r="C194" s="222"/>
      <c r="D194" s="222"/>
      <c r="E194" s="222"/>
      <c r="F194" s="223" t="s">
        <v>1947</v>
      </c>
      <c r="G194" s="224"/>
      <c r="H194" s="224"/>
      <c r="I194" s="224"/>
      <c r="J194" s="224"/>
      <c r="K194" s="224"/>
      <c r="L194" s="224"/>
      <c r="M194" s="224"/>
      <c r="N194" s="225">
        <f t="shared" ref="N194:S194" si="174">SUM(N183:N192)</f>
        <v>4729000</v>
      </c>
      <c r="O194" s="225">
        <f t="shared" si="174"/>
        <v>0</v>
      </c>
      <c r="P194" s="225">
        <f t="shared" si="174"/>
        <v>4729000</v>
      </c>
      <c r="Q194" s="225">
        <f t="shared" si="174"/>
        <v>3674489</v>
      </c>
      <c r="R194" s="225">
        <f t="shared" si="174"/>
        <v>4409386.8000000007</v>
      </c>
      <c r="S194" s="225">
        <f t="shared" si="174"/>
        <v>4552000</v>
      </c>
      <c r="T194" s="225">
        <f>SUM(T183:T193)</f>
        <v>4212064</v>
      </c>
      <c r="U194" s="225">
        <f>SUM(U183:U193)</f>
        <v>4768618.5454545449</v>
      </c>
      <c r="V194" s="225">
        <f>SUM(V183:V193)</f>
        <v>4857000</v>
      </c>
      <c r="W194" s="225">
        <f t="shared" ref="W194:X194" si="175">SUM(W183:W193)</f>
        <v>6383187</v>
      </c>
      <c r="X194" s="225">
        <f t="shared" si="175"/>
        <v>6283187</v>
      </c>
      <c r="Y194" s="101">
        <f t="shared" si="173"/>
        <v>1</v>
      </c>
      <c r="Z194" s="52"/>
      <c r="AA194" s="51"/>
    </row>
    <row r="195" spans="1:27" ht="15.75" hidden="1">
      <c r="A195" s="21">
        <v>12</v>
      </c>
      <c r="B195" s="50">
        <v>1344300930</v>
      </c>
      <c r="C195" s="50" t="str">
        <f t="shared" ref="C195:C209" si="176">RIGHT(B195,3)</f>
        <v>930</v>
      </c>
      <c r="D195" s="50" t="str">
        <f t="shared" ref="D195:D209" si="177">MID(B195,2,6)</f>
        <v>344300</v>
      </c>
      <c r="E195" s="50" t="str">
        <f t="shared" ref="E195:E209" si="178">LEFT(D195,2)</f>
        <v>34</v>
      </c>
      <c r="F195" s="51" t="s">
        <v>340</v>
      </c>
      <c r="G195" s="110">
        <v>-100000</v>
      </c>
      <c r="H195" s="110">
        <f t="shared" ref="H195:H209" si="179">G195*-1</f>
        <v>100000</v>
      </c>
      <c r="I195" s="110">
        <v>0</v>
      </c>
      <c r="J195" s="110">
        <f>I195*-1</f>
        <v>0</v>
      </c>
      <c r="K195" s="110">
        <v>-100000</v>
      </c>
      <c r="L195" s="110">
        <v>0</v>
      </c>
      <c r="M195" s="110">
        <f>+L195</f>
        <v>0</v>
      </c>
      <c r="N195" s="52">
        <f>+M195</f>
        <v>0</v>
      </c>
      <c r="O195" s="52"/>
      <c r="P195" s="52">
        <f t="shared" ref="P195:P209" si="180">N195+O195</f>
        <v>0</v>
      </c>
      <c r="Q195" s="52">
        <f>-VLOOKUP(B:B,'דוח כספי 1-10.17'!A:D,4,0)</f>
        <v>0</v>
      </c>
      <c r="R195" s="52">
        <f t="shared" ref="R195:R208" si="181">Q195/10*12</f>
        <v>0</v>
      </c>
      <c r="S195" s="52">
        <f>R195</f>
        <v>0</v>
      </c>
      <c r="T195" s="52"/>
      <c r="U195" s="52"/>
      <c r="V195" s="52"/>
      <c r="W195" s="52">
        <f>-VLOOKUP(B195,'ביצוע 2019'!$A$3:$H$1103,7,0)</f>
        <v>0</v>
      </c>
      <c r="X195" s="52">
        <f t="shared" ref="X195:X209" si="182">W195</f>
        <v>0</v>
      </c>
      <c r="Y195" s="101">
        <f t="shared" si="120"/>
        <v>0</v>
      </c>
      <c r="Z195" s="52"/>
      <c r="AA195" s="51"/>
    </row>
    <row r="196" spans="1:27" ht="15.75">
      <c r="A196" s="21">
        <v>11</v>
      </c>
      <c r="B196" s="50">
        <v>1344402420</v>
      </c>
      <c r="C196" s="50" t="str">
        <f t="shared" ref="C196" si="183">RIGHT(B196,3)</f>
        <v>420</v>
      </c>
      <c r="D196" s="50" t="str">
        <f t="shared" ref="D196" si="184">MID(B196,2,6)</f>
        <v>344402</v>
      </c>
      <c r="E196" s="50" t="str">
        <f t="shared" ref="E196" si="185">LEFT(D196,2)</f>
        <v>34</v>
      </c>
      <c r="F196" s="51" t="s">
        <v>345</v>
      </c>
      <c r="G196" s="110"/>
      <c r="H196" s="110"/>
      <c r="I196" s="110"/>
      <c r="J196" s="110"/>
      <c r="K196" s="110"/>
      <c r="L196" s="110"/>
      <c r="M196" s="110"/>
      <c r="N196" s="52"/>
      <c r="O196" s="52"/>
      <c r="P196" s="52"/>
      <c r="Q196" s="52"/>
      <c r="R196" s="52"/>
      <c r="S196" s="52"/>
      <c r="T196" s="52">
        <f>-VLOOKUP(B196,'2174'!$A$1:$G$177,6,0)</f>
        <v>29170</v>
      </c>
      <c r="U196" s="52">
        <f>+T196*1.09090909090909</f>
        <v>31821.818181818155</v>
      </c>
      <c r="V196" s="52">
        <v>30000</v>
      </c>
      <c r="W196" s="52">
        <f>-VLOOKUP(B196,'ביצוע 2019'!$A$3:$H$1103,7,0)</f>
        <v>830</v>
      </c>
      <c r="X196" s="52"/>
      <c r="Y196" s="101">
        <f t="shared" ref="Y196:Y201" si="186">IF((X196+W196+V196)&lt;&gt;0,1,0)</f>
        <v>1</v>
      </c>
      <c r="Z196" s="52"/>
      <c r="AA196" s="51"/>
    </row>
    <row r="197" spans="1:27" ht="15.75">
      <c r="A197" s="21">
        <v>12</v>
      </c>
      <c r="B197" s="50">
        <v>1344402930</v>
      </c>
      <c r="C197" s="50" t="str">
        <f t="shared" si="176"/>
        <v>930</v>
      </c>
      <c r="D197" s="50" t="str">
        <f t="shared" si="177"/>
        <v>344402</v>
      </c>
      <c r="E197" s="50" t="str">
        <f t="shared" si="178"/>
        <v>34</v>
      </c>
      <c r="F197" s="51" t="s">
        <v>345</v>
      </c>
      <c r="G197" s="110">
        <v>-19003</v>
      </c>
      <c r="H197" s="110">
        <f t="shared" si="179"/>
        <v>19003</v>
      </c>
      <c r="I197" s="110">
        <v>-20288</v>
      </c>
      <c r="J197" s="110">
        <f>I197*-1</f>
        <v>20288</v>
      </c>
      <c r="K197" s="110">
        <v>1285</v>
      </c>
      <c r="L197" s="110">
        <v>21000</v>
      </c>
      <c r="M197" s="110">
        <v>10000</v>
      </c>
      <c r="N197" s="52">
        <v>10000</v>
      </c>
      <c r="O197" s="52"/>
      <c r="P197" s="52">
        <f t="shared" si="180"/>
        <v>10000</v>
      </c>
      <c r="Q197" s="52">
        <f>-VLOOKUP(B:B,'דוח כספי 1-10.17'!A:D,4,0)</f>
        <v>557</v>
      </c>
      <c r="R197" s="52">
        <f t="shared" si="181"/>
        <v>668.40000000000009</v>
      </c>
      <c r="S197" s="52">
        <v>1000</v>
      </c>
      <c r="T197" s="52">
        <f>-VLOOKUP(B197,'2174'!$A$1:$G$177,6,0)</f>
        <v>0</v>
      </c>
      <c r="U197" s="63">
        <f>T197*12/11</f>
        <v>0</v>
      </c>
      <c r="V197" s="52">
        <v>71000</v>
      </c>
      <c r="W197" s="52">
        <f>-VLOOKUP(B197,'ביצוע 2019'!$A$3:$H$1103,7,0)</f>
        <v>0</v>
      </c>
      <c r="X197" s="52">
        <f t="shared" si="182"/>
        <v>0</v>
      </c>
      <c r="Y197" s="101">
        <f t="shared" si="186"/>
        <v>1</v>
      </c>
      <c r="Z197" s="52"/>
      <c r="AA197" s="206"/>
    </row>
    <row r="198" spans="1:27" ht="15.75">
      <c r="A198" s="21">
        <v>12</v>
      </c>
      <c r="B198" s="50">
        <v>1344500930</v>
      </c>
      <c r="C198" s="50" t="str">
        <f t="shared" si="176"/>
        <v>930</v>
      </c>
      <c r="D198" s="50" t="str">
        <f t="shared" si="177"/>
        <v>344500</v>
      </c>
      <c r="E198" s="50" t="str">
        <f t="shared" si="178"/>
        <v>34</v>
      </c>
      <c r="F198" s="51" t="s">
        <v>348</v>
      </c>
      <c r="G198" s="110">
        <v>0</v>
      </c>
      <c r="H198" s="110">
        <f t="shared" si="179"/>
        <v>0</v>
      </c>
      <c r="I198" s="110">
        <v>0</v>
      </c>
      <c r="J198" s="110">
        <f>I198*-1</f>
        <v>0</v>
      </c>
      <c r="K198" s="110">
        <v>0</v>
      </c>
      <c r="L198" s="110">
        <v>0</v>
      </c>
      <c r="M198" s="110">
        <v>166000</v>
      </c>
      <c r="N198" s="52">
        <v>166000</v>
      </c>
      <c r="O198" s="52"/>
      <c r="P198" s="52">
        <f t="shared" si="180"/>
        <v>166000</v>
      </c>
      <c r="Q198" s="52">
        <f>-VLOOKUP(B:B,'דוח כספי 1-10.17'!A:D,4,0)</f>
        <v>133860</v>
      </c>
      <c r="R198" s="52">
        <f t="shared" si="181"/>
        <v>160632</v>
      </c>
      <c r="S198" s="52">
        <v>161000</v>
      </c>
      <c r="T198" s="52">
        <f>-VLOOKUP(B198,'2174'!$A$1:$G$177,6,0)</f>
        <v>146109</v>
      </c>
      <c r="U198" s="63">
        <f>T198*12/11</f>
        <v>159391.63636363635</v>
      </c>
      <c r="V198" s="52">
        <v>198000</v>
      </c>
      <c r="W198" s="52">
        <f>-VLOOKUP(B198,'ביצוע 2019'!$A$3:$H$1103,7,0)</f>
        <v>180722</v>
      </c>
      <c r="X198" s="52">
        <f t="shared" si="182"/>
        <v>180722</v>
      </c>
      <c r="Y198" s="101">
        <f t="shared" si="186"/>
        <v>1</v>
      </c>
      <c r="Z198" s="52"/>
      <c r="AA198" s="51"/>
    </row>
    <row r="199" spans="1:27" ht="15.75">
      <c r="A199" s="21">
        <v>12</v>
      </c>
      <c r="B199" s="50">
        <v>1345100930</v>
      </c>
      <c r="C199" s="50" t="str">
        <f t="shared" si="176"/>
        <v>930</v>
      </c>
      <c r="D199" s="50" t="str">
        <f t="shared" si="177"/>
        <v>345100</v>
      </c>
      <c r="E199" s="50" t="str">
        <f t="shared" si="178"/>
        <v>34</v>
      </c>
      <c r="F199" s="51" t="s">
        <v>349</v>
      </c>
      <c r="G199" s="110"/>
      <c r="H199" s="110"/>
      <c r="I199" s="110"/>
      <c r="J199" s="110"/>
      <c r="K199" s="110"/>
      <c r="L199" s="110"/>
      <c r="M199" s="110"/>
      <c r="N199" s="52"/>
      <c r="O199" s="52"/>
      <c r="P199" s="52"/>
      <c r="Q199" s="52"/>
      <c r="R199" s="52"/>
      <c r="S199" s="52"/>
      <c r="T199" s="52">
        <f>-VLOOKUP(B199,'2174'!$A$1:$G$177,6,0)</f>
        <v>22438</v>
      </c>
      <c r="U199" s="63">
        <f>+T199*1.09090909090909</f>
        <v>24477.818181818158</v>
      </c>
      <c r="V199" s="52">
        <v>34000</v>
      </c>
      <c r="W199" s="52">
        <f>-VLOOKUP(B199,'ביצוע 2019'!$A$3:$H$1103,7,0)</f>
        <v>44045</v>
      </c>
      <c r="X199" s="52">
        <f t="shared" si="182"/>
        <v>44045</v>
      </c>
      <c r="Y199" s="101">
        <f t="shared" si="186"/>
        <v>1</v>
      </c>
      <c r="Z199" s="52"/>
      <c r="AA199" s="51"/>
    </row>
    <row r="200" spans="1:27" ht="15.75">
      <c r="A200" s="21">
        <v>12</v>
      </c>
      <c r="B200" s="50">
        <v>1345101930</v>
      </c>
      <c r="C200" s="50" t="str">
        <f t="shared" si="176"/>
        <v>930</v>
      </c>
      <c r="D200" s="50" t="str">
        <f t="shared" si="177"/>
        <v>345101</v>
      </c>
      <c r="E200" s="50" t="str">
        <f t="shared" si="178"/>
        <v>34</v>
      </c>
      <c r="F200" s="51" t="s">
        <v>350</v>
      </c>
      <c r="G200" s="110">
        <v>-2273001</v>
      </c>
      <c r="H200" s="110">
        <f t="shared" si="179"/>
        <v>2273001</v>
      </c>
      <c r="I200" s="110">
        <v>-3050000</v>
      </c>
      <c r="J200" s="110">
        <v>3050000</v>
      </c>
      <c r="K200" s="110">
        <v>720059</v>
      </c>
      <c r="L200" s="110">
        <f>2995000+500000</f>
        <v>3495000</v>
      </c>
      <c r="M200" s="110">
        <v>4066000</v>
      </c>
      <c r="N200" s="52">
        <v>4066000</v>
      </c>
      <c r="O200" s="52"/>
      <c r="P200" s="52">
        <f t="shared" si="180"/>
        <v>4066000</v>
      </c>
      <c r="Q200" s="52">
        <f>-VLOOKUP(B:B,'דוח כספי 1-10.17'!A:D,4,0)</f>
        <v>3024791</v>
      </c>
      <c r="R200" s="52">
        <f t="shared" si="181"/>
        <v>3629749.1999999997</v>
      </c>
      <c r="S200" s="52">
        <v>3640000</v>
      </c>
      <c r="T200" s="52">
        <f>-VLOOKUP(B200,'2174'!$A$1:$G$177,6,0)</f>
        <v>4049471</v>
      </c>
      <c r="U200" s="63">
        <f t="shared" ref="U200:U202" si="187">T200*12/11</f>
        <v>4417604.7272727275</v>
      </c>
      <c r="V200" s="52">
        <v>4500000</v>
      </c>
      <c r="W200" s="52">
        <f>-VLOOKUP(B200,'ביצוע 2019'!$A$3:$H$1103,7,0)</f>
        <v>4750660</v>
      </c>
      <c r="X200" s="52">
        <f t="shared" si="182"/>
        <v>4750660</v>
      </c>
      <c r="Y200" s="101">
        <f t="shared" si="186"/>
        <v>1</v>
      </c>
      <c r="Z200" s="52"/>
      <c r="AA200" s="206"/>
    </row>
    <row r="201" spans="1:27" ht="15.75">
      <c r="A201" s="21">
        <v>12</v>
      </c>
      <c r="B201" s="50">
        <v>1345102930</v>
      </c>
      <c r="C201" s="50" t="str">
        <f t="shared" si="176"/>
        <v>930</v>
      </c>
      <c r="D201" s="50" t="str">
        <f t="shared" si="177"/>
        <v>345102</v>
      </c>
      <c r="E201" s="50" t="str">
        <f t="shared" si="178"/>
        <v>34</v>
      </c>
      <c r="F201" s="51" t="s">
        <v>351</v>
      </c>
      <c r="G201" s="110">
        <v>-10000</v>
      </c>
      <c r="H201" s="110">
        <f t="shared" si="179"/>
        <v>10000</v>
      </c>
      <c r="I201" s="110">
        <v>-3266</v>
      </c>
      <c r="J201" s="110">
        <f t="shared" ref="J201:J205" si="188">I201*-1</f>
        <v>3266</v>
      </c>
      <c r="K201" s="110">
        <v>-6734</v>
      </c>
      <c r="L201" s="110">
        <v>4000</v>
      </c>
      <c r="M201" s="110">
        <v>5000</v>
      </c>
      <c r="N201" s="52">
        <v>5000</v>
      </c>
      <c r="O201" s="52"/>
      <c r="P201" s="52">
        <f t="shared" si="180"/>
        <v>5000</v>
      </c>
      <c r="Q201" s="52">
        <f>-VLOOKUP(B:B,'דוח כספי 1-10.17'!A:D,4,0)</f>
        <v>7442</v>
      </c>
      <c r="R201" s="52">
        <f t="shared" si="181"/>
        <v>8930.4000000000015</v>
      </c>
      <c r="S201" s="52">
        <v>9000</v>
      </c>
      <c r="T201" s="52">
        <f>-VLOOKUP(B201,'2174'!$A$1:$G$177,6,0)</f>
        <v>8912</v>
      </c>
      <c r="U201" s="63">
        <f t="shared" si="187"/>
        <v>9722.181818181818</v>
      </c>
      <c r="V201" s="52">
        <v>11000</v>
      </c>
      <c r="W201" s="52">
        <f>-VLOOKUP(B201,'ביצוע 2019'!$A$3:$H$1103,7,0)</f>
        <v>7816</v>
      </c>
      <c r="X201" s="52">
        <f t="shared" si="182"/>
        <v>7816</v>
      </c>
      <c r="Y201" s="101">
        <f t="shared" si="186"/>
        <v>1</v>
      </c>
      <c r="Z201" s="52"/>
      <c r="AA201" s="206"/>
    </row>
    <row r="202" spans="1:27" ht="15.75" hidden="1">
      <c r="A202" s="21">
        <v>12</v>
      </c>
      <c r="B202" s="50">
        <v>1345103930</v>
      </c>
      <c r="C202" s="50" t="str">
        <f t="shared" si="176"/>
        <v>930</v>
      </c>
      <c r="D202" s="50" t="str">
        <f t="shared" si="177"/>
        <v>345103</v>
      </c>
      <c r="E202" s="50" t="str">
        <f t="shared" si="178"/>
        <v>34</v>
      </c>
      <c r="F202" s="51" t="s">
        <v>352</v>
      </c>
      <c r="G202" s="110">
        <v>-6002</v>
      </c>
      <c r="H202" s="110">
        <f t="shared" si="179"/>
        <v>6002</v>
      </c>
      <c r="I202" s="110">
        <v>-9878</v>
      </c>
      <c r="J202" s="110">
        <f t="shared" si="188"/>
        <v>9878</v>
      </c>
      <c r="K202" s="110">
        <v>3876</v>
      </c>
      <c r="L202" s="110">
        <v>10000</v>
      </c>
      <c r="M202" s="110">
        <v>23000</v>
      </c>
      <c r="N202" s="52">
        <v>23000</v>
      </c>
      <c r="O202" s="52"/>
      <c r="P202" s="52">
        <f t="shared" si="180"/>
        <v>23000</v>
      </c>
      <c r="Q202" s="52">
        <f>-VLOOKUP(B:B,'דוח כספי 1-10.17'!A:D,4,0)</f>
        <v>9566</v>
      </c>
      <c r="R202" s="52">
        <f t="shared" si="181"/>
        <v>11479.2</v>
      </c>
      <c r="S202" s="52">
        <v>12000</v>
      </c>
      <c r="T202" s="52">
        <f>-VLOOKUP(B202,'2174'!$A$1:$G$177,6,0)</f>
        <v>0</v>
      </c>
      <c r="U202" s="63">
        <f t="shared" si="187"/>
        <v>0</v>
      </c>
      <c r="V202" s="52">
        <f t="shared" ref="V202" si="189">U202</f>
        <v>0</v>
      </c>
      <c r="W202" s="52">
        <f>-VLOOKUP(B202,'ביצוע 2019'!$A$3:$H$1103,7,0)</f>
        <v>0</v>
      </c>
      <c r="X202" s="52">
        <f t="shared" si="182"/>
        <v>0</v>
      </c>
      <c r="Y202" s="101">
        <f t="shared" ref="Y202:Y257" si="190">IF((X202+W202+U202+V202)&lt;&gt;0,1,0)</f>
        <v>0</v>
      </c>
      <c r="Z202" s="52"/>
      <c r="AA202" s="206"/>
    </row>
    <row r="203" spans="1:27" ht="15.75">
      <c r="A203" s="21">
        <v>12</v>
      </c>
      <c r="B203" s="50">
        <v>1345200930</v>
      </c>
      <c r="C203" s="50" t="str">
        <f t="shared" si="176"/>
        <v>930</v>
      </c>
      <c r="D203" s="50" t="str">
        <f t="shared" si="177"/>
        <v>345200</v>
      </c>
      <c r="E203" s="50" t="str">
        <f t="shared" si="178"/>
        <v>34</v>
      </c>
      <c r="F203" s="51" t="s">
        <v>354</v>
      </c>
      <c r="G203" s="110">
        <v>-55006</v>
      </c>
      <c r="H203" s="110">
        <f t="shared" si="179"/>
        <v>55006</v>
      </c>
      <c r="I203" s="110">
        <v>-99702</v>
      </c>
      <c r="J203" s="110">
        <f t="shared" si="188"/>
        <v>99702</v>
      </c>
      <c r="K203" s="110">
        <v>44696</v>
      </c>
      <c r="L203" s="110">
        <v>100000</v>
      </c>
      <c r="M203" s="110">
        <v>257000</v>
      </c>
      <c r="N203" s="52">
        <v>257000</v>
      </c>
      <c r="O203" s="52"/>
      <c r="P203" s="52">
        <f t="shared" si="180"/>
        <v>257000</v>
      </c>
      <c r="Q203" s="52">
        <f>-VLOOKUP(B:B,'דוח כספי 1-10.17'!A:D,4,0)</f>
        <v>226251</v>
      </c>
      <c r="R203" s="52">
        <f t="shared" si="181"/>
        <v>271501.19999999995</v>
      </c>
      <c r="S203" s="52">
        <v>310000</v>
      </c>
      <c r="T203" s="52">
        <f>-VLOOKUP(B203,'2174'!$A$1:$G$177,6,0)</f>
        <v>0</v>
      </c>
      <c r="U203" s="63">
        <v>300000</v>
      </c>
      <c r="V203" s="52">
        <v>300000</v>
      </c>
      <c r="W203" s="52">
        <f>-VLOOKUP(B203,'ביצוע 2019'!$A$3:$H$1103,7,0)</f>
        <v>0</v>
      </c>
      <c r="X203" s="52">
        <f t="shared" si="182"/>
        <v>0</v>
      </c>
      <c r="Y203" s="101">
        <f t="shared" ref="Y203:Y208" si="191">IF((X203+W203+V203)&lt;&gt;0,1,0)</f>
        <v>1</v>
      </c>
      <c r="Z203" s="52"/>
      <c r="AA203" s="206"/>
    </row>
    <row r="204" spans="1:27" ht="15.75">
      <c r="A204" s="21">
        <v>12</v>
      </c>
      <c r="B204" s="50">
        <v>1345201930</v>
      </c>
      <c r="C204" s="50" t="str">
        <f t="shared" si="176"/>
        <v>930</v>
      </c>
      <c r="D204" s="50" t="str">
        <f t="shared" si="177"/>
        <v>345201</v>
      </c>
      <c r="E204" s="50" t="str">
        <f t="shared" si="178"/>
        <v>34</v>
      </c>
      <c r="F204" s="51" t="s">
        <v>356</v>
      </c>
      <c r="G204" s="110">
        <v>0</v>
      </c>
      <c r="H204" s="110">
        <f t="shared" si="179"/>
        <v>0</v>
      </c>
      <c r="I204" s="110">
        <v>0</v>
      </c>
      <c r="J204" s="110">
        <f t="shared" si="188"/>
        <v>0</v>
      </c>
      <c r="K204" s="110">
        <v>0</v>
      </c>
      <c r="L204" s="110">
        <v>0</v>
      </c>
      <c r="M204" s="110">
        <v>627000</v>
      </c>
      <c r="N204" s="52">
        <v>627000</v>
      </c>
      <c r="O204" s="52"/>
      <c r="P204" s="52">
        <f t="shared" si="180"/>
        <v>627000</v>
      </c>
      <c r="Q204" s="52">
        <f>-VLOOKUP(B:B,'דוח כספי 1-10.17'!A:D,4,0)</f>
        <v>447184</v>
      </c>
      <c r="R204" s="52">
        <f t="shared" si="181"/>
        <v>536620.80000000005</v>
      </c>
      <c r="S204" s="52">
        <v>580000</v>
      </c>
      <c r="T204" s="52">
        <f>-VLOOKUP(B204,'2174'!$A$1:$G$177,6,0)</f>
        <v>609422</v>
      </c>
      <c r="U204" s="63">
        <v>600000</v>
      </c>
      <c r="V204" s="52">
        <f>U204</f>
        <v>600000</v>
      </c>
      <c r="W204" s="52">
        <f>-VLOOKUP(B204,'ביצוע 2019'!$A$3:$H$1103,7,0)</f>
        <v>1094967</v>
      </c>
      <c r="X204" s="52">
        <f t="shared" si="182"/>
        <v>1094967</v>
      </c>
      <c r="Y204" s="101">
        <f t="shared" si="191"/>
        <v>1</v>
      </c>
      <c r="Z204" s="52"/>
      <c r="AA204" s="51"/>
    </row>
    <row r="205" spans="1:27" ht="15.75">
      <c r="A205" s="21">
        <v>12</v>
      </c>
      <c r="B205" s="50">
        <v>1345202930</v>
      </c>
      <c r="C205" s="50" t="str">
        <f t="shared" si="176"/>
        <v>930</v>
      </c>
      <c r="D205" s="50" t="str">
        <f t="shared" si="177"/>
        <v>345202</v>
      </c>
      <c r="E205" s="50" t="str">
        <f t="shared" si="178"/>
        <v>34</v>
      </c>
      <c r="F205" s="51" t="s">
        <v>357</v>
      </c>
      <c r="G205" s="110">
        <v>-50997</v>
      </c>
      <c r="H205" s="110">
        <f t="shared" si="179"/>
        <v>50997</v>
      </c>
      <c r="I205" s="110">
        <v>-47056.03</v>
      </c>
      <c r="J205" s="110">
        <f t="shared" si="188"/>
        <v>47056.03</v>
      </c>
      <c r="K205" s="110">
        <v>-3940.97</v>
      </c>
      <c r="L205" s="110">
        <v>48000</v>
      </c>
      <c r="M205" s="110">
        <v>72000</v>
      </c>
      <c r="N205" s="52">
        <v>72000</v>
      </c>
      <c r="O205" s="52"/>
      <c r="P205" s="52">
        <f t="shared" si="180"/>
        <v>72000</v>
      </c>
      <c r="Q205" s="52">
        <f>-VLOOKUP(B:B,'דוח כספי 1-10.17'!A:D,4,0)</f>
        <v>54525</v>
      </c>
      <c r="R205" s="52">
        <f t="shared" si="181"/>
        <v>65430</v>
      </c>
      <c r="S205" s="52">
        <v>66000</v>
      </c>
      <c r="T205" s="52">
        <f>-VLOOKUP(B205,'2174'!$A$1:$G$177,6,0)</f>
        <v>53009</v>
      </c>
      <c r="U205" s="63">
        <f t="shared" ref="U205" si="192">T205*12/11</f>
        <v>57828</v>
      </c>
      <c r="V205" s="52">
        <f t="shared" ref="V205" si="193">U205</f>
        <v>57828</v>
      </c>
      <c r="W205" s="52">
        <f>-VLOOKUP(B205,'ביצוע 2019'!$A$3:$H$1103,7,0)</f>
        <v>73265</v>
      </c>
      <c r="X205" s="52">
        <f t="shared" si="182"/>
        <v>73265</v>
      </c>
      <c r="Y205" s="101">
        <f t="shared" si="191"/>
        <v>1</v>
      </c>
      <c r="Z205" s="52"/>
      <c r="AA205" s="206"/>
    </row>
    <row r="206" spans="1:27" ht="15.75">
      <c r="A206" s="21">
        <v>12</v>
      </c>
      <c r="B206" s="50">
        <v>1345203930</v>
      </c>
      <c r="C206" s="50" t="str">
        <f t="shared" ref="C206" si="194">RIGHT(B206,3)</f>
        <v>930</v>
      </c>
      <c r="D206" s="50" t="str">
        <f t="shared" ref="D206" si="195">MID(B206,2,6)</f>
        <v>345203</v>
      </c>
      <c r="E206" s="50" t="str">
        <f t="shared" ref="E206" si="196">LEFT(D206,2)</f>
        <v>34</v>
      </c>
      <c r="F206" s="51" t="s">
        <v>558</v>
      </c>
      <c r="G206" s="110"/>
      <c r="H206" s="110"/>
      <c r="I206" s="110"/>
      <c r="J206" s="110"/>
      <c r="K206" s="110"/>
      <c r="L206" s="110"/>
      <c r="M206" s="110"/>
      <c r="N206" s="52"/>
      <c r="O206" s="52"/>
      <c r="P206" s="52"/>
      <c r="Q206" s="52"/>
      <c r="R206" s="52"/>
      <c r="S206" s="52"/>
      <c r="T206" s="52"/>
      <c r="U206" s="63"/>
      <c r="V206" s="52"/>
      <c r="W206" s="52">
        <f>-VLOOKUP(B206,'ביצוע 2019'!$A$3:$H$1103,7,0)</f>
        <v>478175</v>
      </c>
      <c r="X206" s="52">
        <f t="shared" si="182"/>
        <v>478175</v>
      </c>
      <c r="Y206" s="101">
        <f t="shared" si="191"/>
        <v>1</v>
      </c>
      <c r="Z206" s="52"/>
      <c r="AA206" s="206"/>
    </row>
    <row r="207" spans="1:27" ht="15.75">
      <c r="A207" s="21">
        <v>12</v>
      </c>
      <c r="B207" s="50">
        <v>1345301930</v>
      </c>
      <c r="C207" s="50" t="str">
        <f t="shared" si="176"/>
        <v>930</v>
      </c>
      <c r="D207" s="50" t="str">
        <f t="shared" si="177"/>
        <v>345301</v>
      </c>
      <c r="E207" s="50" t="str">
        <f t="shared" si="178"/>
        <v>34</v>
      </c>
      <c r="F207" s="51" t="s">
        <v>361</v>
      </c>
      <c r="G207" s="110">
        <v>0</v>
      </c>
      <c r="H207" s="110">
        <f t="shared" si="179"/>
        <v>0</v>
      </c>
      <c r="I207" s="110">
        <v>0</v>
      </c>
      <c r="J207" s="110">
        <f>I207*-1</f>
        <v>0</v>
      </c>
      <c r="K207" s="110">
        <v>0</v>
      </c>
      <c r="L207" s="110">
        <v>0</v>
      </c>
      <c r="M207" s="110">
        <v>6000</v>
      </c>
      <c r="N207" s="52">
        <v>6000</v>
      </c>
      <c r="O207" s="52"/>
      <c r="P207" s="52">
        <f t="shared" si="180"/>
        <v>6000</v>
      </c>
      <c r="Q207" s="52">
        <f>-VLOOKUP(B:B,'דוח כספי 1-10.17'!A:D,4,0)</f>
        <v>0</v>
      </c>
      <c r="R207" s="52">
        <f t="shared" si="181"/>
        <v>0</v>
      </c>
      <c r="S207" s="52">
        <f>R207</f>
        <v>0</v>
      </c>
      <c r="T207" s="52">
        <f>-VLOOKUP(B207,'2174'!$A$1:$G$177,6,0)</f>
        <v>78210</v>
      </c>
      <c r="U207" s="63">
        <f>T207*12/11</f>
        <v>85320</v>
      </c>
      <c r="V207" s="52">
        <v>100000</v>
      </c>
      <c r="W207" s="52">
        <f>-VLOOKUP(B207,'ביצוע 2019'!$A$3:$H$1103,7,0)</f>
        <v>79238</v>
      </c>
      <c r="X207" s="52">
        <f t="shared" si="182"/>
        <v>79238</v>
      </c>
      <c r="Y207" s="101">
        <f t="shared" si="191"/>
        <v>1</v>
      </c>
      <c r="Z207" s="52"/>
      <c r="AA207" s="51"/>
    </row>
    <row r="208" spans="1:27" ht="15.75">
      <c r="A208" s="21">
        <v>12</v>
      </c>
      <c r="B208" s="50">
        <v>1345302930</v>
      </c>
      <c r="C208" s="50" t="str">
        <f t="shared" si="176"/>
        <v>930</v>
      </c>
      <c r="D208" s="50" t="str">
        <f t="shared" si="177"/>
        <v>345302</v>
      </c>
      <c r="E208" s="50" t="str">
        <f t="shared" si="178"/>
        <v>34</v>
      </c>
      <c r="F208" s="51" t="s">
        <v>362</v>
      </c>
      <c r="G208" s="110">
        <v>-13001</v>
      </c>
      <c r="H208" s="110">
        <f t="shared" si="179"/>
        <v>13001</v>
      </c>
      <c r="I208" s="110">
        <v>-5918.01</v>
      </c>
      <c r="J208" s="110">
        <f>I208*-1</f>
        <v>5918.01</v>
      </c>
      <c r="K208" s="110">
        <v>-7082.99</v>
      </c>
      <c r="L208" s="110">
        <v>6000</v>
      </c>
      <c r="M208" s="110">
        <v>7500</v>
      </c>
      <c r="N208" s="52">
        <v>7500</v>
      </c>
      <c r="O208" s="52"/>
      <c r="P208" s="52">
        <f t="shared" si="180"/>
        <v>7500</v>
      </c>
      <c r="Q208" s="52">
        <f>-VLOOKUP(B:B,'דוח כספי 1-10.17'!A:D,4,0)</f>
        <v>18623</v>
      </c>
      <c r="R208" s="52">
        <f t="shared" si="181"/>
        <v>22347.599999999999</v>
      </c>
      <c r="S208" s="52">
        <v>23000</v>
      </c>
      <c r="T208" s="52">
        <f>-VLOOKUP(B208,'2174'!$A$1:$G$177,6,0)</f>
        <v>-1660</v>
      </c>
      <c r="U208" s="63">
        <v>0</v>
      </c>
      <c r="V208" s="52">
        <f t="shared" ref="V208:V209" si="197">U208</f>
        <v>0</v>
      </c>
      <c r="W208" s="52">
        <f>-VLOOKUP(B208,'ביצוע 2019'!$A$3:$H$1103,7,0)</f>
        <v>31007</v>
      </c>
      <c r="X208" s="52">
        <f t="shared" si="182"/>
        <v>31007</v>
      </c>
      <c r="Y208" s="101">
        <f t="shared" si="191"/>
        <v>1</v>
      </c>
      <c r="Z208" s="52"/>
      <c r="AA208" s="206"/>
    </row>
    <row r="209" spans="1:27" ht="15.75" hidden="1">
      <c r="A209" s="21">
        <v>12</v>
      </c>
      <c r="B209" s="50">
        <v>1345303930</v>
      </c>
      <c r="C209" s="50" t="str">
        <f t="shared" si="176"/>
        <v>930</v>
      </c>
      <c r="D209" s="50" t="str">
        <f t="shared" si="177"/>
        <v>345303</v>
      </c>
      <c r="E209" s="50" t="str">
        <f t="shared" si="178"/>
        <v>34</v>
      </c>
      <c r="F209" s="51" t="s">
        <v>559</v>
      </c>
      <c r="G209" s="110">
        <v>-50997</v>
      </c>
      <c r="H209" s="110">
        <f t="shared" si="179"/>
        <v>50997</v>
      </c>
      <c r="I209" s="110">
        <v>-199134</v>
      </c>
      <c r="J209" s="110">
        <f>I209*-1</f>
        <v>199134</v>
      </c>
      <c r="K209" s="110">
        <v>148137</v>
      </c>
      <c r="L209" s="110">
        <v>200000</v>
      </c>
      <c r="M209" s="110">
        <v>138000</v>
      </c>
      <c r="N209" s="52">
        <v>138000</v>
      </c>
      <c r="O209" s="52"/>
      <c r="P209" s="52">
        <f t="shared" si="180"/>
        <v>138000</v>
      </c>
      <c r="Q209" s="52"/>
      <c r="R209" s="52"/>
      <c r="S209" s="52">
        <v>100000</v>
      </c>
      <c r="T209" s="52">
        <f>-VLOOKUP(B209,'2174'!$A$1:$G$177,6,0)</f>
        <v>0</v>
      </c>
      <c r="U209" s="63">
        <f t="shared" ref="U209" si="198">T209*12/11</f>
        <v>0</v>
      </c>
      <c r="V209" s="52">
        <f t="shared" si="197"/>
        <v>0</v>
      </c>
      <c r="W209" s="52">
        <f>-VLOOKUP(B209,'ביצוע 2019'!$A$3:$H$1103,7,0)</f>
        <v>0</v>
      </c>
      <c r="X209" s="52">
        <f t="shared" si="182"/>
        <v>0</v>
      </c>
      <c r="Y209" s="101">
        <f t="shared" si="190"/>
        <v>0</v>
      </c>
      <c r="Z209" s="52"/>
      <c r="AA209" s="206"/>
    </row>
    <row r="210" spans="1:27" ht="15.75">
      <c r="A210" s="21"/>
      <c r="B210" s="222"/>
      <c r="C210" s="222"/>
      <c r="D210" s="222"/>
      <c r="E210" s="222"/>
      <c r="F210" s="223" t="s">
        <v>1948</v>
      </c>
      <c r="G210" s="224"/>
      <c r="H210" s="224"/>
      <c r="I210" s="224"/>
      <c r="J210" s="224"/>
      <c r="K210" s="224"/>
      <c r="L210" s="224"/>
      <c r="M210" s="224"/>
      <c r="N210" s="225">
        <f>SUM(N195:N209)</f>
        <v>5377500</v>
      </c>
      <c r="O210" s="225"/>
      <c r="P210" s="225">
        <f t="shared" ref="P210:V210" si="199">SUM(P195:P209)</f>
        <v>5377500</v>
      </c>
      <c r="Q210" s="225">
        <f t="shared" si="199"/>
        <v>3922799</v>
      </c>
      <c r="R210" s="225">
        <f t="shared" si="199"/>
        <v>4707358.7999999989</v>
      </c>
      <c r="S210" s="225">
        <f t="shared" si="199"/>
        <v>4902000</v>
      </c>
      <c r="T210" s="225">
        <f t="shared" si="199"/>
        <v>4995081</v>
      </c>
      <c r="U210" s="225">
        <f t="shared" si="199"/>
        <v>5686166.1818181816</v>
      </c>
      <c r="V210" s="225">
        <f t="shared" si="199"/>
        <v>5901828</v>
      </c>
      <c r="W210" s="225">
        <f t="shared" ref="W210:X210" si="200">SUM(W195:W209)</f>
        <v>6740725</v>
      </c>
      <c r="X210" s="225">
        <f t="shared" si="200"/>
        <v>6739895</v>
      </c>
      <c r="Y210" s="101">
        <f t="shared" ref="Y210:Y213" si="201">IF((X210+W210+V210)&lt;&gt;0,1,0)</f>
        <v>1</v>
      </c>
      <c r="Z210" s="52"/>
      <c r="AA210" s="206"/>
    </row>
    <row r="211" spans="1:27" ht="15.75">
      <c r="A211" s="21">
        <v>12</v>
      </c>
      <c r="B211" s="50">
        <v>1346302930</v>
      </c>
      <c r="C211" s="50" t="str">
        <f t="shared" ref="C211:C231" si="202">RIGHT(B211,3)</f>
        <v>930</v>
      </c>
      <c r="D211" s="50" t="str">
        <f t="shared" ref="D211:D231" si="203">MID(B211,2,6)</f>
        <v>346302</v>
      </c>
      <c r="E211" s="50" t="str">
        <f t="shared" ref="E211:E231" si="204">LEFT(D211,2)</f>
        <v>34</v>
      </c>
      <c r="F211" s="51" t="s">
        <v>561</v>
      </c>
      <c r="G211" s="110">
        <v>0</v>
      </c>
      <c r="H211" s="110">
        <f t="shared" ref="H211:H217" si="205">G211*-1</f>
        <v>0</v>
      </c>
      <c r="I211" s="110">
        <v>0</v>
      </c>
      <c r="J211" s="110">
        <f t="shared" ref="J211:J217" si="206">I211*-1</f>
        <v>0</v>
      </c>
      <c r="K211" s="110">
        <v>0</v>
      </c>
      <c r="L211" s="110">
        <v>0</v>
      </c>
      <c r="M211" s="110">
        <f>+L211</f>
        <v>0</v>
      </c>
      <c r="N211" s="52">
        <f>+M211</f>
        <v>0</v>
      </c>
      <c r="O211" s="52"/>
      <c r="P211" s="52">
        <f t="shared" ref="P211:P217" si="207">N211+O211</f>
        <v>0</v>
      </c>
      <c r="Q211" s="52">
        <f>-VLOOKUP(B:B,'דוח כספי 1-10.17'!A:D,4,0)</f>
        <v>665</v>
      </c>
      <c r="R211" s="52">
        <f t="shared" ref="R211:R234" si="208">Q211/10*12</f>
        <v>798</v>
      </c>
      <c r="S211" s="52">
        <v>1000</v>
      </c>
      <c r="T211" s="52">
        <f>-VLOOKUP(B211,'2174'!$A$1:$G$177,6,0)</f>
        <v>759</v>
      </c>
      <c r="U211" s="63">
        <f t="shared" ref="U211:U219" si="209">T211*12/11</f>
        <v>828</v>
      </c>
      <c r="V211" s="52">
        <v>3750</v>
      </c>
      <c r="W211" s="52">
        <f>-VLOOKUP(B211,'ביצוע 2019'!$A$3:$H$1103,7,0)</f>
        <v>3274</v>
      </c>
      <c r="X211" s="52">
        <f t="shared" ref="X211:X234" si="210">W211</f>
        <v>3274</v>
      </c>
      <c r="Y211" s="101">
        <f t="shared" si="201"/>
        <v>1</v>
      </c>
      <c r="Z211" s="52"/>
      <c r="AA211" s="51"/>
    </row>
    <row r="212" spans="1:27" ht="15.75">
      <c r="A212" s="21">
        <v>12</v>
      </c>
      <c r="B212" s="50">
        <v>1346500930</v>
      </c>
      <c r="C212" s="50" t="str">
        <f t="shared" si="202"/>
        <v>930</v>
      </c>
      <c r="D212" s="50" t="str">
        <f t="shared" si="203"/>
        <v>346500</v>
      </c>
      <c r="E212" s="50" t="str">
        <f t="shared" si="204"/>
        <v>34</v>
      </c>
      <c r="F212" s="51" t="s">
        <v>364</v>
      </c>
      <c r="G212" s="110">
        <v>-67996</v>
      </c>
      <c r="H212" s="110">
        <f t="shared" si="205"/>
        <v>67996</v>
      </c>
      <c r="I212" s="110">
        <v>-100625</v>
      </c>
      <c r="J212" s="110">
        <f t="shared" si="206"/>
        <v>100625</v>
      </c>
      <c r="K212" s="110">
        <v>32629</v>
      </c>
      <c r="L212" s="110">
        <v>100000</v>
      </c>
      <c r="M212" s="110"/>
      <c r="N212" s="52"/>
      <c r="O212" s="52"/>
      <c r="P212" s="52">
        <f t="shared" si="207"/>
        <v>0</v>
      </c>
      <c r="Q212" s="52">
        <f>-VLOOKUP(B:B,'דוח כספי 1-10.17'!A:D,4,0)</f>
        <v>98600</v>
      </c>
      <c r="R212" s="52">
        <f t="shared" si="208"/>
        <v>118320</v>
      </c>
      <c r="S212" s="52">
        <v>119000</v>
      </c>
      <c r="T212" s="52">
        <f>-VLOOKUP(B212,'2174'!$A$1:$G$177,6,0)</f>
        <v>236323</v>
      </c>
      <c r="U212" s="63">
        <f t="shared" si="209"/>
        <v>257806.90909090909</v>
      </c>
      <c r="V212" s="52">
        <v>270000</v>
      </c>
      <c r="W212" s="52">
        <f>-VLOOKUP(B212,'ביצוע 2019'!$A$3:$H$1103,7,0)</f>
        <v>326249</v>
      </c>
      <c r="X212" s="52">
        <f t="shared" si="210"/>
        <v>326249</v>
      </c>
      <c r="Y212" s="101">
        <f t="shared" si="201"/>
        <v>1</v>
      </c>
      <c r="Z212" s="52"/>
      <c r="AA212" s="206"/>
    </row>
    <row r="213" spans="1:27" ht="15.75">
      <c r="A213" s="21">
        <v>12</v>
      </c>
      <c r="B213" s="50">
        <v>1346401930</v>
      </c>
      <c r="C213" s="50"/>
      <c r="D213" s="50"/>
      <c r="E213" s="50"/>
      <c r="F213" s="51" t="s">
        <v>562</v>
      </c>
      <c r="G213" s="110"/>
      <c r="H213" s="110"/>
      <c r="I213" s="110"/>
      <c r="J213" s="110"/>
      <c r="K213" s="110"/>
      <c r="L213" s="110"/>
      <c r="M213" s="110"/>
      <c r="N213" s="52"/>
      <c r="O213" s="52"/>
      <c r="P213" s="52"/>
      <c r="Q213" s="52"/>
      <c r="R213" s="52"/>
      <c r="S213" s="52"/>
      <c r="T213" s="52">
        <f>-VLOOKUP(B213,'2174'!$A$1:$G$177,6,0)</f>
        <v>2150</v>
      </c>
      <c r="U213" s="63">
        <v>2200</v>
      </c>
      <c r="V213" s="52">
        <v>2250</v>
      </c>
      <c r="W213" s="52">
        <f>-VLOOKUP(B213,'ביצוע 2019'!$A$3:$H$1103,7,0)</f>
        <v>5741</v>
      </c>
      <c r="X213" s="52">
        <f t="shared" si="210"/>
        <v>5741</v>
      </c>
      <c r="Y213" s="101">
        <f t="shared" si="201"/>
        <v>1</v>
      </c>
      <c r="Z213" s="52"/>
      <c r="AA213" s="206"/>
    </row>
    <row r="214" spans="1:27" ht="15.75" hidden="1">
      <c r="A214" s="21">
        <v>11</v>
      </c>
      <c r="B214" s="50">
        <v>1346501420</v>
      </c>
      <c r="C214" s="50" t="str">
        <f t="shared" si="202"/>
        <v>420</v>
      </c>
      <c r="D214" s="50" t="str">
        <f t="shared" si="203"/>
        <v>346501</v>
      </c>
      <c r="E214" s="50" t="str">
        <f t="shared" si="204"/>
        <v>34</v>
      </c>
      <c r="F214" s="51" t="s">
        <v>563</v>
      </c>
      <c r="G214" s="110">
        <v>0</v>
      </c>
      <c r="H214" s="110">
        <f t="shared" si="205"/>
        <v>0</v>
      </c>
      <c r="I214" s="110">
        <v>0</v>
      </c>
      <c r="J214" s="110">
        <f t="shared" si="206"/>
        <v>0</v>
      </c>
      <c r="K214" s="110">
        <v>0</v>
      </c>
      <c r="L214" s="110">
        <v>0</v>
      </c>
      <c r="M214" s="110"/>
      <c r="N214" s="52"/>
      <c r="O214" s="52"/>
      <c r="P214" s="52">
        <f t="shared" si="207"/>
        <v>0</v>
      </c>
      <c r="Q214" s="52">
        <f>-VLOOKUP(B:B,'דוח כספי 1-10.17'!A:D,4,0)</f>
        <v>32942</v>
      </c>
      <c r="R214" s="52">
        <f t="shared" si="208"/>
        <v>39530.399999999994</v>
      </c>
      <c r="S214" s="52">
        <v>40000</v>
      </c>
      <c r="T214" s="52">
        <v>0</v>
      </c>
      <c r="U214" s="63">
        <f t="shared" si="209"/>
        <v>0</v>
      </c>
      <c r="V214" s="52">
        <f t="shared" ref="V214:V217" si="211">U214</f>
        <v>0</v>
      </c>
      <c r="W214" s="52">
        <f>-VLOOKUP(B214,'ביצוע 2019'!$A$3:$H$1103,7,0)</f>
        <v>0</v>
      </c>
      <c r="X214" s="52">
        <f t="shared" si="210"/>
        <v>0</v>
      </c>
      <c r="Y214" s="101">
        <f t="shared" si="190"/>
        <v>0</v>
      </c>
      <c r="Z214" s="52"/>
      <c r="AA214" s="51"/>
    </row>
    <row r="215" spans="1:27" ht="15.75" hidden="1">
      <c r="A215" s="21">
        <v>12</v>
      </c>
      <c r="B215" s="50">
        <v>1346501930</v>
      </c>
      <c r="C215" s="50" t="str">
        <f t="shared" si="202"/>
        <v>930</v>
      </c>
      <c r="D215" s="50" t="str">
        <f t="shared" si="203"/>
        <v>346501</v>
      </c>
      <c r="E215" s="50" t="str">
        <f t="shared" si="204"/>
        <v>34</v>
      </c>
      <c r="F215" s="51" t="s">
        <v>563</v>
      </c>
      <c r="G215" s="110">
        <v>-67996</v>
      </c>
      <c r="H215" s="110">
        <f t="shared" si="205"/>
        <v>67996</v>
      </c>
      <c r="I215" s="110">
        <v>-47919</v>
      </c>
      <c r="J215" s="110">
        <f t="shared" si="206"/>
        <v>47919</v>
      </c>
      <c r="K215" s="110">
        <v>-20077</v>
      </c>
      <c r="L215" s="110">
        <v>50000</v>
      </c>
      <c r="M215" s="110">
        <f>+L215</f>
        <v>50000</v>
      </c>
      <c r="N215" s="52">
        <f>+M215</f>
        <v>50000</v>
      </c>
      <c r="O215" s="52"/>
      <c r="P215" s="52">
        <f t="shared" si="207"/>
        <v>50000</v>
      </c>
      <c r="Q215" s="52">
        <f>-VLOOKUP(B:B,'דוח כספי 1-10.17'!A:D,4,0)</f>
        <v>4282</v>
      </c>
      <c r="R215" s="52">
        <f t="shared" si="208"/>
        <v>5138.3999999999996</v>
      </c>
      <c r="S215" s="52">
        <v>5200</v>
      </c>
      <c r="T215" s="52">
        <f>-VLOOKUP(B215,'2174'!$A$1:$G$177,6,0)</f>
        <v>0</v>
      </c>
      <c r="U215" s="63">
        <f t="shared" si="209"/>
        <v>0</v>
      </c>
      <c r="V215" s="52">
        <f t="shared" si="211"/>
        <v>0</v>
      </c>
      <c r="W215" s="52">
        <f>-VLOOKUP(B215,'ביצוע 2019'!$A$3:$H$1103,7,0)</f>
        <v>0</v>
      </c>
      <c r="X215" s="52">
        <f t="shared" si="210"/>
        <v>0</v>
      </c>
      <c r="Y215" s="101">
        <f t="shared" si="190"/>
        <v>0</v>
      </c>
      <c r="Z215" s="52"/>
      <c r="AA215" s="206"/>
    </row>
    <row r="216" spans="1:27" ht="15.75">
      <c r="A216" s="21">
        <v>12</v>
      </c>
      <c r="B216" s="50">
        <v>1346601930</v>
      </c>
      <c r="C216" s="50" t="str">
        <f t="shared" si="202"/>
        <v>930</v>
      </c>
      <c r="D216" s="50" t="str">
        <f t="shared" si="203"/>
        <v>346601</v>
      </c>
      <c r="E216" s="50" t="str">
        <f t="shared" si="204"/>
        <v>34</v>
      </c>
      <c r="F216" s="51" t="s">
        <v>370</v>
      </c>
      <c r="G216" s="110">
        <v>-23998</v>
      </c>
      <c r="H216" s="110">
        <f t="shared" si="205"/>
        <v>23998</v>
      </c>
      <c r="I216" s="110">
        <v>-29967</v>
      </c>
      <c r="J216" s="110">
        <f t="shared" si="206"/>
        <v>29967</v>
      </c>
      <c r="K216" s="110">
        <v>5969</v>
      </c>
      <c r="L216" s="110">
        <v>30000</v>
      </c>
      <c r="M216" s="110">
        <v>34000</v>
      </c>
      <c r="N216" s="52">
        <v>34000</v>
      </c>
      <c r="O216" s="52"/>
      <c r="P216" s="52">
        <f t="shared" si="207"/>
        <v>34000</v>
      </c>
      <c r="Q216" s="52">
        <f>-VLOOKUP(B:B,'דוח כספי 1-10.17'!A:D,4,0)</f>
        <v>20649</v>
      </c>
      <c r="R216" s="52">
        <f t="shared" si="208"/>
        <v>24778.800000000003</v>
      </c>
      <c r="S216" s="52">
        <v>25000</v>
      </c>
      <c r="T216" s="52">
        <f>-VLOOKUP(B216,'2174'!$A$1:$G$177,6,0)</f>
        <v>19040</v>
      </c>
      <c r="U216" s="63">
        <f t="shared" si="209"/>
        <v>20770.909090909092</v>
      </c>
      <c r="V216" s="52">
        <v>22500</v>
      </c>
      <c r="W216" s="52">
        <f>-VLOOKUP(B216,'ביצוע 2019'!$A$3:$H$1103,7,0)</f>
        <v>38598</v>
      </c>
      <c r="X216" s="52">
        <f t="shared" si="210"/>
        <v>38598</v>
      </c>
      <c r="Y216" s="101">
        <f>IF((X216+W216+V216)&lt;&gt;0,1,0)</f>
        <v>1</v>
      </c>
      <c r="Z216" s="52"/>
      <c r="AA216" s="206"/>
    </row>
    <row r="217" spans="1:27" ht="15.75" hidden="1">
      <c r="A217" s="21">
        <v>12</v>
      </c>
      <c r="B217" s="50">
        <v>1346602930</v>
      </c>
      <c r="C217" s="50" t="str">
        <f t="shared" si="202"/>
        <v>930</v>
      </c>
      <c r="D217" s="50" t="str">
        <f t="shared" si="203"/>
        <v>346602</v>
      </c>
      <c r="E217" s="50" t="str">
        <f t="shared" si="204"/>
        <v>34</v>
      </c>
      <c r="F217" s="51" t="s">
        <v>371</v>
      </c>
      <c r="G217" s="110">
        <v>-3998</v>
      </c>
      <c r="H217" s="110">
        <f t="shared" si="205"/>
        <v>3998</v>
      </c>
      <c r="I217" s="110">
        <v>0</v>
      </c>
      <c r="J217" s="110">
        <f t="shared" si="206"/>
        <v>0</v>
      </c>
      <c r="K217" s="110">
        <v>-3998</v>
      </c>
      <c r="L217" s="110">
        <v>4000</v>
      </c>
      <c r="M217" s="110"/>
      <c r="N217" s="52">
        <v>0</v>
      </c>
      <c r="O217" s="52"/>
      <c r="P217" s="52">
        <f t="shared" si="207"/>
        <v>0</v>
      </c>
      <c r="Q217" s="52">
        <f>-VLOOKUP(B:B,'דוח כספי 1-10.17'!A:D,4,0)</f>
        <v>0</v>
      </c>
      <c r="R217" s="52">
        <f t="shared" si="208"/>
        <v>0</v>
      </c>
      <c r="S217" s="52">
        <f>R217</f>
        <v>0</v>
      </c>
      <c r="T217" s="52">
        <v>0</v>
      </c>
      <c r="U217" s="63">
        <f t="shared" si="209"/>
        <v>0</v>
      </c>
      <c r="V217" s="52">
        <f t="shared" si="211"/>
        <v>0</v>
      </c>
      <c r="W217" s="52">
        <f>-VLOOKUP(B217,'ביצוע 2019'!$A$3:$H$1103,7,0)</f>
        <v>0</v>
      </c>
      <c r="X217" s="52">
        <f t="shared" si="210"/>
        <v>0</v>
      </c>
      <c r="Y217" s="101">
        <f t="shared" si="190"/>
        <v>0</v>
      </c>
      <c r="Z217" s="52"/>
      <c r="AA217" s="51"/>
    </row>
    <row r="218" spans="1:27" ht="15.75">
      <c r="A218" s="21">
        <v>12</v>
      </c>
      <c r="B218" s="50">
        <v>1346603930</v>
      </c>
      <c r="C218" s="50" t="str">
        <f t="shared" si="202"/>
        <v>930</v>
      </c>
      <c r="D218" s="50" t="str">
        <f t="shared" si="203"/>
        <v>346603</v>
      </c>
      <c r="E218" s="50" t="str">
        <f t="shared" si="204"/>
        <v>34</v>
      </c>
      <c r="F218" s="106" t="s">
        <v>1710</v>
      </c>
      <c r="G218" s="110"/>
      <c r="H218" s="110"/>
      <c r="I218" s="110"/>
      <c r="J218" s="110"/>
      <c r="K218" s="110"/>
      <c r="L218" s="110"/>
      <c r="M218" s="110"/>
      <c r="N218" s="52">
        <v>11723</v>
      </c>
      <c r="O218" s="52"/>
      <c r="P218" s="52">
        <v>0</v>
      </c>
      <c r="Q218" s="52">
        <f>-VLOOKUP(B:B,'דוח כספי 1-10.17'!A:D,4,0)</f>
        <v>11723</v>
      </c>
      <c r="R218" s="52">
        <f t="shared" si="208"/>
        <v>14067.599999999999</v>
      </c>
      <c r="S218" s="52">
        <v>14000</v>
      </c>
      <c r="T218" s="52">
        <f>-VLOOKUP(B218,'2174'!$A$1:$G$177,6,0)</f>
        <v>27893</v>
      </c>
      <c r="U218" s="63">
        <f t="shared" si="209"/>
        <v>30428.727272727272</v>
      </c>
      <c r="V218" s="52">
        <v>34000</v>
      </c>
      <c r="W218" s="52">
        <f>-VLOOKUP(B218,'ביצוע 2019'!$A$3:$H$1103,7,0)</f>
        <v>23321</v>
      </c>
      <c r="X218" s="52">
        <f t="shared" si="210"/>
        <v>23321</v>
      </c>
      <c r="Y218" s="101">
        <f t="shared" ref="Y218:Y219" si="212">IF((X218+W218+V218)&lt;&gt;0,1,0)</f>
        <v>1</v>
      </c>
      <c r="Z218" s="52"/>
      <c r="AA218" s="51"/>
    </row>
    <row r="219" spans="1:27" ht="15.75">
      <c r="A219" s="21">
        <v>12</v>
      </c>
      <c r="B219" s="50">
        <v>1346701930</v>
      </c>
      <c r="C219" s="50" t="str">
        <f t="shared" si="202"/>
        <v>930</v>
      </c>
      <c r="D219" s="50" t="str">
        <f t="shared" si="203"/>
        <v>346701</v>
      </c>
      <c r="E219" s="50" t="str">
        <f t="shared" si="204"/>
        <v>34</v>
      </c>
      <c r="F219" s="51" t="s">
        <v>564</v>
      </c>
      <c r="G219" s="110">
        <v>-556999</v>
      </c>
      <c r="H219" s="110">
        <f t="shared" ref="H219:H231" si="213">G219*-1</f>
        <v>556999</v>
      </c>
      <c r="I219" s="110">
        <v>-508983</v>
      </c>
      <c r="J219" s="110">
        <f t="shared" ref="J219:J231" si="214">I219*-1</f>
        <v>508983</v>
      </c>
      <c r="K219" s="110">
        <v>-48016</v>
      </c>
      <c r="L219" s="110">
        <v>510000</v>
      </c>
      <c r="M219" s="110">
        <v>365000</v>
      </c>
      <c r="N219" s="52">
        <v>365000</v>
      </c>
      <c r="O219" s="52"/>
      <c r="P219" s="52">
        <f t="shared" ref="P219:P234" si="215">N219+O219</f>
        <v>365000</v>
      </c>
      <c r="Q219" s="52">
        <f>-VLOOKUP(B:B,'דוח כספי 1-10.17'!A:D,4,0)</f>
        <v>234215</v>
      </c>
      <c r="R219" s="52">
        <f t="shared" si="208"/>
        <v>281058</v>
      </c>
      <c r="S219" s="52">
        <v>318000</v>
      </c>
      <c r="T219" s="52">
        <f>-VLOOKUP(B219,'2174'!$A$1:$G$177,6,0)</f>
        <v>467543</v>
      </c>
      <c r="U219" s="63">
        <f t="shared" si="209"/>
        <v>510046.90909090912</v>
      </c>
      <c r="V219" s="52">
        <v>550000</v>
      </c>
      <c r="W219" s="52">
        <f>-VLOOKUP(B219,'ביצוע 2019'!$A$3:$H$1103,7,0)</f>
        <v>653073</v>
      </c>
      <c r="X219" s="52">
        <f t="shared" si="210"/>
        <v>653073</v>
      </c>
      <c r="Y219" s="101">
        <f t="shared" si="212"/>
        <v>1</v>
      </c>
      <c r="Z219" s="52"/>
      <c r="AA219" s="206"/>
    </row>
    <row r="220" spans="1:27" ht="15.75" hidden="1">
      <c r="A220" s="21">
        <v>12</v>
      </c>
      <c r="B220" s="50">
        <v>1346702930</v>
      </c>
      <c r="C220" s="50" t="str">
        <f t="shared" si="202"/>
        <v>930</v>
      </c>
      <c r="D220" s="50" t="str">
        <f t="shared" si="203"/>
        <v>346702</v>
      </c>
      <c r="E220" s="50" t="str">
        <f t="shared" si="204"/>
        <v>34</v>
      </c>
      <c r="F220" s="51" t="s">
        <v>373</v>
      </c>
      <c r="G220" s="110">
        <v>0</v>
      </c>
      <c r="H220" s="110">
        <f t="shared" si="213"/>
        <v>0</v>
      </c>
      <c r="I220" s="110">
        <v>0</v>
      </c>
      <c r="J220" s="110">
        <f t="shared" si="214"/>
        <v>0</v>
      </c>
      <c r="K220" s="110">
        <v>0</v>
      </c>
      <c r="L220" s="110">
        <v>0</v>
      </c>
      <c r="M220" s="110">
        <f>+L220</f>
        <v>0</v>
      </c>
      <c r="N220" s="52">
        <f>+M220</f>
        <v>0</v>
      </c>
      <c r="O220" s="52"/>
      <c r="P220" s="52">
        <f t="shared" si="215"/>
        <v>0</v>
      </c>
      <c r="Q220" s="52">
        <f>-VLOOKUP(B:B,'דוח כספי 1-10.17'!A:D,4,0)</f>
        <v>0</v>
      </c>
      <c r="R220" s="52">
        <f t="shared" si="208"/>
        <v>0</v>
      </c>
      <c r="S220" s="52">
        <f>R220</f>
        <v>0</v>
      </c>
      <c r="T220" s="52"/>
      <c r="U220" s="52"/>
      <c r="V220" s="52"/>
      <c r="W220" s="52">
        <f>-VLOOKUP(B220,'ביצוע 2019'!$A$3:$H$1103,7,0)</f>
        <v>0</v>
      </c>
      <c r="X220" s="52">
        <f t="shared" si="210"/>
        <v>0</v>
      </c>
      <c r="Y220" s="101">
        <f t="shared" si="190"/>
        <v>0</v>
      </c>
      <c r="Z220" s="52"/>
      <c r="AA220" s="51"/>
    </row>
    <row r="221" spans="1:27" ht="15.75">
      <c r="A221" s="21">
        <v>12</v>
      </c>
      <c r="B221" s="50">
        <v>1346703930</v>
      </c>
      <c r="C221" s="50" t="str">
        <f t="shared" si="202"/>
        <v>930</v>
      </c>
      <c r="D221" s="50" t="str">
        <f t="shared" si="203"/>
        <v>346703</v>
      </c>
      <c r="E221" s="50" t="str">
        <f t="shared" si="204"/>
        <v>34</v>
      </c>
      <c r="F221" s="51" t="s">
        <v>374</v>
      </c>
      <c r="G221" s="110">
        <v>-226002</v>
      </c>
      <c r="H221" s="110">
        <f t="shared" si="213"/>
        <v>226002</v>
      </c>
      <c r="I221" s="110">
        <v>-94242</v>
      </c>
      <c r="J221" s="110">
        <f t="shared" si="214"/>
        <v>94242</v>
      </c>
      <c r="K221" s="110">
        <v>-131760</v>
      </c>
      <c r="L221" s="110">
        <v>95000</v>
      </c>
      <c r="M221" s="110">
        <v>245000</v>
      </c>
      <c r="N221" s="52">
        <v>245000</v>
      </c>
      <c r="O221" s="52"/>
      <c r="P221" s="52">
        <f t="shared" si="215"/>
        <v>245000</v>
      </c>
      <c r="Q221" s="52">
        <f>-VLOOKUP(B:B,'דוח כספי 1-10.17'!A:D,4,0)</f>
        <v>234985</v>
      </c>
      <c r="R221" s="52">
        <f t="shared" si="208"/>
        <v>281982</v>
      </c>
      <c r="S221" s="52">
        <v>282000</v>
      </c>
      <c r="T221" s="52">
        <f>-VLOOKUP(B221,'2174'!$A$1:$G$177,6,0)</f>
        <v>327282</v>
      </c>
      <c r="U221" s="63">
        <f t="shared" ref="U221:U222" si="216">T221*12/11</f>
        <v>357034.90909090912</v>
      </c>
      <c r="V221" s="52">
        <v>390000</v>
      </c>
      <c r="W221" s="52">
        <f>-VLOOKUP(B221,'ביצוע 2019'!$A$3:$H$1103,7,0)</f>
        <v>444107</v>
      </c>
      <c r="X221" s="52">
        <f t="shared" si="210"/>
        <v>444107</v>
      </c>
      <c r="Y221" s="101">
        <f t="shared" ref="Y221:Y238" si="217">IF((X221+W221+V221)&lt;&gt;0,1,0)</f>
        <v>1</v>
      </c>
      <c r="Z221" s="52"/>
      <c r="AA221" s="206"/>
    </row>
    <row r="222" spans="1:27" ht="15.75">
      <c r="A222" s="21">
        <v>12</v>
      </c>
      <c r="B222" s="50">
        <v>1346704930</v>
      </c>
      <c r="C222" s="50" t="str">
        <f t="shared" si="202"/>
        <v>930</v>
      </c>
      <c r="D222" s="50" t="str">
        <f t="shared" si="203"/>
        <v>346704</v>
      </c>
      <c r="E222" s="50" t="str">
        <f t="shared" si="204"/>
        <v>34</v>
      </c>
      <c r="F222" s="51" t="s">
        <v>375</v>
      </c>
      <c r="G222" s="110">
        <v>-62004</v>
      </c>
      <c r="H222" s="110">
        <f t="shared" si="213"/>
        <v>62004</v>
      </c>
      <c r="I222" s="110">
        <v>-81047</v>
      </c>
      <c r="J222" s="110">
        <f t="shared" si="214"/>
        <v>81047</v>
      </c>
      <c r="K222" s="110">
        <v>19043</v>
      </c>
      <c r="L222" s="110">
        <v>82000</v>
      </c>
      <c r="M222" s="110">
        <v>90000</v>
      </c>
      <c r="N222" s="52">
        <v>90000</v>
      </c>
      <c r="O222" s="52"/>
      <c r="P222" s="52">
        <f t="shared" si="215"/>
        <v>90000</v>
      </c>
      <c r="Q222" s="52">
        <f>-VLOOKUP(B:B,'דוח כספי 1-10.17'!A:D,4,0)</f>
        <v>59808</v>
      </c>
      <c r="R222" s="52">
        <f t="shared" si="208"/>
        <v>71769.600000000006</v>
      </c>
      <c r="S222" s="52">
        <v>150000</v>
      </c>
      <c r="T222" s="52">
        <f>-VLOOKUP(B222,'2174'!$A$1:$G$177,6,0)</f>
        <v>99913</v>
      </c>
      <c r="U222" s="63">
        <f t="shared" si="216"/>
        <v>108996</v>
      </c>
      <c r="V222" s="52">
        <v>135000</v>
      </c>
      <c r="W222" s="52">
        <f>-VLOOKUP(B222,'ביצוע 2019'!$A$3:$H$1103,7,0)</f>
        <v>83121</v>
      </c>
      <c r="X222" s="52">
        <f t="shared" si="210"/>
        <v>83121</v>
      </c>
      <c r="Y222" s="101">
        <f t="shared" si="217"/>
        <v>1</v>
      </c>
      <c r="Z222" s="52"/>
      <c r="AA222" s="206"/>
    </row>
    <row r="223" spans="1:27" ht="15.75">
      <c r="A223" s="21">
        <v>12</v>
      </c>
      <c r="B223" s="50">
        <v>1346705930</v>
      </c>
      <c r="C223" s="50"/>
      <c r="D223" s="50"/>
      <c r="E223" s="50"/>
      <c r="F223" s="51" t="s">
        <v>2029</v>
      </c>
      <c r="G223" s="110"/>
      <c r="H223" s="110"/>
      <c r="I223" s="110"/>
      <c r="J223" s="110"/>
      <c r="K223" s="110"/>
      <c r="L223" s="110"/>
      <c r="M223" s="110"/>
      <c r="N223" s="52"/>
      <c r="O223" s="52"/>
      <c r="P223" s="52"/>
      <c r="Q223" s="52"/>
      <c r="R223" s="52"/>
      <c r="S223" s="52"/>
      <c r="T223" s="52">
        <f>-VLOOKUP(B223,'2174'!$A$1:$G$177,6,0)</f>
        <v>35488</v>
      </c>
      <c r="U223" s="63">
        <v>38000</v>
      </c>
      <c r="V223" s="52">
        <v>52500</v>
      </c>
      <c r="W223" s="52">
        <f>-VLOOKUP(B223,'ביצוע 2019'!$A$3:$H$1103,7,0)</f>
        <v>27244</v>
      </c>
      <c r="X223" s="52">
        <f t="shared" si="210"/>
        <v>27244</v>
      </c>
      <c r="Y223" s="101">
        <f t="shared" si="217"/>
        <v>1</v>
      </c>
      <c r="Z223" s="52"/>
      <c r="AA223" s="206"/>
    </row>
    <row r="224" spans="1:27" ht="15.75">
      <c r="A224" s="21">
        <v>12</v>
      </c>
      <c r="B224" s="50">
        <v>1346801930</v>
      </c>
      <c r="C224" s="50" t="str">
        <f t="shared" si="202"/>
        <v>930</v>
      </c>
      <c r="D224" s="50" t="str">
        <f t="shared" si="203"/>
        <v>346801</v>
      </c>
      <c r="E224" s="50" t="str">
        <f t="shared" si="204"/>
        <v>34</v>
      </c>
      <c r="F224" s="51" t="s">
        <v>376</v>
      </c>
      <c r="G224" s="110">
        <v>-70000</v>
      </c>
      <c r="H224" s="110">
        <f t="shared" si="213"/>
        <v>70000</v>
      </c>
      <c r="I224" s="110">
        <v>-45655</v>
      </c>
      <c r="J224" s="110">
        <f t="shared" si="214"/>
        <v>45655</v>
      </c>
      <c r="K224" s="110">
        <v>-24345</v>
      </c>
      <c r="L224" s="110">
        <v>46000</v>
      </c>
      <c r="M224" s="110">
        <v>27000</v>
      </c>
      <c r="N224" s="52">
        <v>27000</v>
      </c>
      <c r="O224" s="52"/>
      <c r="P224" s="52">
        <f t="shared" si="215"/>
        <v>27000</v>
      </c>
      <c r="Q224" s="52">
        <f>-VLOOKUP(B:B,'דוח כספי 1-10.17'!A:D,4,0)</f>
        <v>9132</v>
      </c>
      <c r="R224" s="52">
        <f t="shared" si="208"/>
        <v>10958.400000000001</v>
      </c>
      <c r="S224" s="52">
        <v>11000</v>
      </c>
      <c r="T224" s="52">
        <f>-VLOOKUP(B224,'2174'!$A$1:$G$177,6,0)</f>
        <v>9713</v>
      </c>
      <c r="U224" s="63">
        <f>T224*12/11</f>
        <v>10596</v>
      </c>
      <c r="V224" s="52">
        <v>11250</v>
      </c>
      <c r="W224" s="52">
        <f>-VLOOKUP(B224,'ביצוע 2019'!$A$3:$H$1103,7,0)</f>
        <v>16938</v>
      </c>
      <c r="X224" s="52">
        <f t="shared" si="210"/>
        <v>16938</v>
      </c>
      <c r="Y224" s="101">
        <f t="shared" si="217"/>
        <v>1</v>
      </c>
      <c r="Z224" s="52"/>
      <c r="AA224" s="206"/>
    </row>
    <row r="225" spans="1:27" ht="15.75">
      <c r="A225" s="21">
        <v>12</v>
      </c>
      <c r="B225" s="50">
        <v>1347101930</v>
      </c>
      <c r="C225" s="50" t="str">
        <f t="shared" si="202"/>
        <v>930</v>
      </c>
      <c r="D225" s="50" t="str">
        <f t="shared" si="203"/>
        <v>347101</v>
      </c>
      <c r="E225" s="50" t="str">
        <f t="shared" si="204"/>
        <v>34</v>
      </c>
      <c r="F225" s="51" t="s">
        <v>2066</v>
      </c>
      <c r="G225" s="110">
        <v>-6999</v>
      </c>
      <c r="H225" s="110">
        <f t="shared" si="213"/>
        <v>6999</v>
      </c>
      <c r="I225" s="110">
        <v>-29013.01</v>
      </c>
      <c r="J225" s="110">
        <f t="shared" si="214"/>
        <v>29013.01</v>
      </c>
      <c r="K225" s="110">
        <v>22014.01</v>
      </c>
      <c r="L225" s="110">
        <v>30000</v>
      </c>
      <c r="M225" s="110">
        <v>1000</v>
      </c>
      <c r="N225" s="52">
        <v>1000</v>
      </c>
      <c r="O225" s="52"/>
      <c r="P225" s="52">
        <f t="shared" si="215"/>
        <v>1000</v>
      </c>
      <c r="Q225" s="52">
        <f>-VLOOKUP(B:B,'דוח כספי 1-10.17'!A:D,4,0)</f>
        <v>450</v>
      </c>
      <c r="R225" s="52">
        <f t="shared" si="208"/>
        <v>540</v>
      </c>
      <c r="S225" s="52">
        <v>550</v>
      </c>
      <c r="T225" s="52">
        <f>-VLOOKUP(B225,'2174'!$A$1:$G$177,6,0)</f>
        <v>10979</v>
      </c>
      <c r="U225" s="63">
        <f>T225*12/11</f>
        <v>11977.09090909091</v>
      </c>
      <c r="V225" s="52">
        <f>U225</f>
        <v>11977.09090909091</v>
      </c>
      <c r="W225" s="52">
        <f>-VLOOKUP(B225,'ביצוע 2019'!$A$3:$H$1103,7,0)</f>
        <v>131624</v>
      </c>
      <c r="X225" s="52">
        <f t="shared" si="210"/>
        <v>131624</v>
      </c>
      <c r="Y225" s="101">
        <f t="shared" si="217"/>
        <v>1</v>
      </c>
      <c r="Z225" s="52"/>
      <c r="AA225" s="206"/>
    </row>
    <row r="226" spans="1:27" ht="15.75">
      <c r="A226" s="21">
        <v>12</v>
      </c>
      <c r="B226" s="50">
        <v>1347102930</v>
      </c>
      <c r="C226" s="50" t="str">
        <f t="shared" si="202"/>
        <v>930</v>
      </c>
      <c r="D226" s="50" t="str">
        <f t="shared" si="203"/>
        <v>347102</v>
      </c>
      <c r="E226" s="50" t="str">
        <f t="shared" si="204"/>
        <v>34</v>
      </c>
      <c r="F226" s="51" t="s">
        <v>381</v>
      </c>
      <c r="G226" s="110">
        <v>0</v>
      </c>
      <c r="H226" s="110">
        <f t="shared" si="213"/>
        <v>0</v>
      </c>
      <c r="I226" s="110">
        <v>0</v>
      </c>
      <c r="J226" s="110">
        <f t="shared" si="214"/>
        <v>0</v>
      </c>
      <c r="K226" s="110">
        <v>0</v>
      </c>
      <c r="L226" s="110">
        <v>0</v>
      </c>
      <c r="M226" s="110">
        <f>+L226</f>
        <v>0</v>
      </c>
      <c r="N226" s="52">
        <f>+M226</f>
        <v>0</v>
      </c>
      <c r="O226" s="52"/>
      <c r="P226" s="52">
        <f t="shared" si="215"/>
        <v>0</v>
      </c>
      <c r="Q226" s="52">
        <f>-VLOOKUP(B:B,'דוח כספי 1-10.17'!A:D,4,0)</f>
        <v>0</v>
      </c>
      <c r="R226" s="52">
        <f t="shared" si="208"/>
        <v>0</v>
      </c>
      <c r="S226" s="52">
        <f>R226</f>
        <v>0</v>
      </c>
      <c r="T226" s="52"/>
      <c r="U226" s="52"/>
      <c r="V226" s="52">
        <v>11250</v>
      </c>
      <c r="W226" s="52">
        <f>-VLOOKUP(B226,'ביצוע 2019'!$A$3:$H$1103,7,0)</f>
        <v>0</v>
      </c>
      <c r="X226" s="52">
        <f t="shared" si="210"/>
        <v>0</v>
      </c>
      <c r="Y226" s="101">
        <f t="shared" si="217"/>
        <v>1</v>
      </c>
      <c r="Z226" s="52"/>
      <c r="AA226" s="51"/>
    </row>
    <row r="227" spans="1:27" ht="15.75">
      <c r="A227" s="21">
        <v>12</v>
      </c>
      <c r="B227" s="50">
        <v>1347103930</v>
      </c>
      <c r="C227" s="50" t="str">
        <f t="shared" si="202"/>
        <v>930</v>
      </c>
      <c r="D227" s="50" t="str">
        <f t="shared" si="203"/>
        <v>347103</v>
      </c>
      <c r="E227" s="50" t="str">
        <f t="shared" si="204"/>
        <v>34</v>
      </c>
      <c r="F227" s="51" t="s">
        <v>382</v>
      </c>
      <c r="G227" s="110">
        <v>0</v>
      </c>
      <c r="H227" s="110">
        <f t="shared" si="213"/>
        <v>0</v>
      </c>
      <c r="I227" s="110">
        <v>0</v>
      </c>
      <c r="J227" s="110">
        <f t="shared" si="214"/>
        <v>0</v>
      </c>
      <c r="K227" s="110">
        <v>0</v>
      </c>
      <c r="L227" s="110">
        <v>0</v>
      </c>
      <c r="M227" s="110">
        <v>215000</v>
      </c>
      <c r="N227" s="52">
        <v>215000</v>
      </c>
      <c r="O227" s="52"/>
      <c r="P227" s="52">
        <f t="shared" si="215"/>
        <v>215000</v>
      </c>
      <c r="Q227" s="52">
        <f>-VLOOKUP(B:B,'דוח כספי 1-10.17'!A:D,4,0)</f>
        <v>95623</v>
      </c>
      <c r="R227" s="52">
        <f t="shared" si="208"/>
        <v>114747.59999999999</v>
      </c>
      <c r="S227" s="52">
        <v>115000</v>
      </c>
      <c r="T227" s="52">
        <f>-VLOOKUP(B227,'2174'!$A$1:$G$177,6,0)</f>
        <v>105193</v>
      </c>
      <c r="U227" s="63">
        <f t="shared" ref="U227:U234" si="218">T227*12/11</f>
        <v>114756</v>
      </c>
      <c r="V227" s="52">
        <v>150000</v>
      </c>
      <c r="W227" s="52">
        <f>-VLOOKUP(B227,'ביצוע 2019'!$A$3:$H$1103,7,0)</f>
        <v>183352</v>
      </c>
      <c r="X227" s="52">
        <f t="shared" si="210"/>
        <v>183352</v>
      </c>
      <c r="Y227" s="101">
        <f t="shared" si="217"/>
        <v>1</v>
      </c>
      <c r="Z227" s="52"/>
      <c r="AA227" s="51"/>
    </row>
    <row r="228" spans="1:27" ht="15.75">
      <c r="A228" s="21">
        <v>12</v>
      </c>
      <c r="B228" s="50">
        <v>1347104930</v>
      </c>
      <c r="C228" s="50" t="str">
        <f t="shared" si="202"/>
        <v>930</v>
      </c>
      <c r="D228" s="50" t="str">
        <f t="shared" si="203"/>
        <v>347104</v>
      </c>
      <c r="E228" s="50" t="str">
        <f t="shared" si="204"/>
        <v>34</v>
      </c>
      <c r="F228" s="51" t="s">
        <v>383</v>
      </c>
      <c r="G228" s="110">
        <v>-10000</v>
      </c>
      <c r="H228" s="110">
        <f t="shared" si="213"/>
        <v>10000</v>
      </c>
      <c r="I228" s="110">
        <v>-24618</v>
      </c>
      <c r="J228" s="110">
        <f t="shared" si="214"/>
        <v>24618</v>
      </c>
      <c r="K228" s="110">
        <v>14618</v>
      </c>
      <c r="L228" s="110">
        <v>25000</v>
      </c>
      <c r="M228" s="110">
        <v>67000</v>
      </c>
      <c r="N228" s="52">
        <v>67000</v>
      </c>
      <c r="O228" s="52"/>
      <c r="P228" s="52">
        <f t="shared" si="215"/>
        <v>67000</v>
      </c>
      <c r="Q228" s="52">
        <f>-VLOOKUP(B:B,'דוח כספי 1-10.17'!A:D,4,0)</f>
        <v>22883</v>
      </c>
      <c r="R228" s="52">
        <f t="shared" si="208"/>
        <v>27459.600000000002</v>
      </c>
      <c r="S228" s="52">
        <v>28000</v>
      </c>
      <c r="T228" s="52">
        <f>-VLOOKUP(B228,'2174'!$A$1:$G$177,6,0)</f>
        <v>320001</v>
      </c>
      <c r="U228" s="63">
        <f t="shared" si="218"/>
        <v>349092</v>
      </c>
      <c r="V228" s="52">
        <v>370000</v>
      </c>
      <c r="W228" s="52">
        <f>-VLOOKUP(B228,'ביצוע 2019'!$A$3:$H$1103,7,0)</f>
        <v>253022</v>
      </c>
      <c r="X228" s="52">
        <f t="shared" si="210"/>
        <v>253022</v>
      </c>
      <c r="Y228" s="101">
        <f t="shared" si="217"/>
        <v>1</v>
      </c>
      <c r="Z228" s="52"/>
      <c r="AA228" s="206"/>
    </row>
    <row r="229" spans="1:27" ht="15.75">
      <c r="A229" s="21">
        <v>12</v>
      </c>
      <c r="B229" s="50">
        <v>1347201930</v>
      </c>
      <c r="C229" s="50" t="str">
        <f t="shared" si="202"/>
        <v>930</v>
      </c>
      <c r="D229" s="50" t="str">
        <f t="shared" si="203"/>
        <v>347201</v>
      </c>
      <c r="E229" s="50" t="str">
        <f t="shared" si="204"/>
        <v>34</v>
      </c>
      <c r="F229" s="51" t="s">
        <v>385</v>
      </c>
      <c r="G229" s="110">
        <v>0</v>
      </c>
      <c r="H229" s="110">
        <f t="shared" si="213"/>
        <v>0</v>
      </c>
      <c r="I229" s="110">
        <v>0</v>
      </c>
      <c r="J229" s="110">
        <f t="shared" si="214"/>
        <v>0</v>
      </c>
      <c r="K229" s="110">
        <v>0</v>
      </c>
      <c r="L229" s="110">
        <v>0</v>
      </c>
      <c r="M229" s="110">
        <f>+L229</f>
        <v>0</v>
      </c>
      <c r="N229" s="52">
        <f>+M229</f>
        <v>0</v>
      </c>
      <c r="O229" s="52"/>
      <c r="P229" s="52">
        <f t="shared" si="215"/>
        <v>0</v>
      </c>
      <c r="Q229" s="52">
        <f>-VLOOKUP(B:B,'דוח כספי 1-10.17'!A:D,4,0)</f>
        <v>5138</v>
      </c>
      <c r="R229" s="52">
        <f t="shared" si="208"/>
        <v>6165.5999999999995</v>
      </c>
      <c r="S229" s="52">
        <v>6200</v>
      </c>
      <c r="T229" s="52">
        <v>0</v>
      </c>
      <c r="U229" s="63">
        <f t="shared" si="218"/>
        <v>0</v>
      </c>
      <c r="V229" s="52">
        <f t="shared" ref="V229" si="219">U229</f>
        <v>0</v>
      </c>
      <c r="W229" s="52">
        <f>-VLOOKUP(B229,'ביצוע 2019'!$A$3:$H$1103,7,0)</f>
        <v>10882</v>
      </c>
      <c r="X229" s="52">
        <f t="shared" si="210"/>
        <v>10882</v>
      </c>
      <c r="Y229" s="101">
        <f t="shared" si="217"/>
        <v>1</v>
      </c>
      <c r="Z229" s="52"/>
      <c r="AA229" s="51"/>
    </row>
    <row r="230" spans="1:27" ht="15.75">
      <c r="A230" s="21">
        <v>12</v>
      </c>
      <c r="B230" s="50">
        <v>1347202930</v>
      </c>
      <c r="C230" s="50" t="str">
        <f t="shared" si="202"/>
        <v>930</v>
      </c>
      <c r="D230" s="50" t="str">
        <f t="shared" si="203"/>
        <v>347202</v>
      </c>
      <c r="E230" s="50" t="str">
        <f t="shared" si="204"/>
        <v>34</v>
      </c>
      <c r="F230" s="51" t="s">
        <v>569</v>
      </c>
      <c r="G230" s="110">
        <v>-112004</v>
      </c>
      <c r="H230" s="110">
        <f t="shared" si="213"/>
        <v>112004</v>
      </c>
      <c r="I230" s="110">
        <v>-96585</v>
      </c>
      <c r="J230" s="110">
        <f t="shared" si="214"/>
        <v>96585</v>
      </c>
      <c r="K230" s="110">
        <v>-15419</v>
      </c>
      <c r="L230" s="110">
        <v>96000</v>
      </c>
      <c r="M230" s="110">
        <v>116000</v>
      </c>
      <c r="N230" s="52">
        <v>116000</v>
      </c>
      <c r="O230" s="52"/>
      <c r="P230" s="52">
        <f t="shared" si="215"/>
        <v>116000</v>
      </c>
      <c r="Q230" s="52">
        <f>-VLOOKUP(B:B,'דוח כספי 1-10.17'!A:D,4,0)</f>
        <v>64688</v>
      </c>
      <c r="R230" s="52">
        <f t="shared" si="208"/>
        <v>77625.600000000006</v>
      </c>
      <c r="S230" s="52">
        <v>78000</v>
      </c>
      <c r="T230" s="52">
        <f>-VLOOKUP(B230,'2174'!$A$1:$G$177,6,0)</f>
        <v>47669</v>
      </c>
      <c r="U230" s="63">
        <f t="shared" si="218"/>
        <v>52002.545454545456</v>
      </c>
      <c r="V230" s="52">
        <v>60000</v>
      </c>
      <c r="W230" s="52">
        <f>-VLOOKUP(B230,'ביצוע 2019'!$A$3:$H$1103,7,0)</f>
        <v>63894</v>
      </c>
      <c r="X230" s="52">
        <f t="shared" si="210"/>
        <v>63894</v>
      </c>
      <c r="Y230" s="101">
        <f t="shared" si="217"/>
        <v>1</v>
      </c>
      <c r="Z230" s="52"/>
      <c r="AA230" s="206"/>
    </row>
    <row r="231" spans="1:27" ht="15.75">
      <c r="A231" s="21">
        <v>12</v>
      </c>
      <c r="B231" s="50">
        <v>1347301930</v>
      </c>
      <c r="C231" s="50" t="str">
        <f t="shared" si="202"/>
        <v>930</v>
      </c>
      <c r="D231" s="50" t="str">
        <f t="shared" si="203"/>
        <v>347301</v>
      </c>
      <c r="E231" s="50" t="str">
        <f t="shared" si="204"/>
        <v>34</v>
      </c>
      <c r="F231" s="51" t="s">
        <v>570</v>
      </c>
      <c r="G231" s="110">
        <v>-90000</v>
      </c>
      <c r="H231" s="110">
        <f t="shared" si="213"/>
        <v>90000</v>
      </c>
      <c r="I231" s="110">
        <v>-89928</v>
      </c>
      <c r="J231" s="110">
        <f t="shared" si="214"/>
        <v>89928</v>
      </c>
      <c r="K231" s="110">
        <v>-72</v>
      </c>
      <c r="L231" s="110">
        <v>90000</v>
      </c>
      <c r="M231" s="110">
        <v>54000</v>
      </c>
      <c r="N231" s="52">
        <v>54000</v>
      </c>
      <c r="O231" s="52"/>
      <c r="P231" s="52">
        <f t="shared" si="215"/>
        <v>54000</v>
      </c>
      <c r="Q231" s="52">
        <f>-VLOOKUP(B:B,'דוח כספי 1-10.17'!A:D,4,0)</f>
        <v>48338</v>
      </c>
      <c r="R231" s="52">
        <f t="shared" si="208"/>
        <v>58005.600000000006</v>
      </c>
      <c r="S231" s="52">
        <v>58000</v>
      </c>
      <c r="T231" s="52">
        <f>-VLOOKUP(B231,'2174'!$A$1:$G$177,6,0)</f>
        <v>46008</v>
      </c>
      <c r="U231" s="63">
        <f t="shared" si="218"/>
        <v>50190.545454545456</v>
      </c>
      <c r="V231" s="52">
        <v>60000</v>
      </c>
      <c r="W231" s="52">
        <f>-VLOOKUP(B231,'ביצוע 2019'!$A$3:$H$1103,7,0)</f>
        <v>62584</v>
      </c>
      <c r="X231" s="52">
        <f t="shared" si="210"/>
        <v>62584</v>
      </c>
      <c r="Y231" s="101">
        <f t="shared" si="217"/>
        <v>1</v>
      </c>
      <c r="Z231" s="52"/>
      <c r="AA231" s="206"/>
    </row>
    <row r="232" spans="1:27" ht="15.75">
      <c r="A232" s="21">
        <v>12</v>
      </c>
      <c r="B232" s="50">
        <v>1347400930</v>
      </c>
      <c r="C232" s="50"/>
      <c r="D232" s="50"/>
      <c r="E232" s="50"/>
      <c r="F232" s="51" t="s">
        <v>571</v>
      </c>
      <c r="G232" s="110"/>
      <c r="H232" s="110"/>
      <c r="I232" s="110"/>
      <c r="J232" s="110"/>
      <c r="K232" s="110"/>
      <c r="L232" s="110"/>
      <c r="M232" s="110"/>
      <c r="N232" s="52"/>
      <c r="O232" s="52"/>
      <c r="P232" s="52"/>
      <c r="Q232" s="52"/>
      <c r="R232" s="52"/>
      <c r="S232" s="52"/>
      <c r="T232" s="52">
        <f>-VLOOKUP(B232,'2174'!$A$1:$G$177,6,0)</f>
        <v>10366</v>
      </c>
      <c r="U232" s="63">
        <v>12000</v>
      </c>
      <c r="V232" s="52">
        <v>22500</v>
      </c>
      <c r="W232" s="52">
        <f>-VLOOKUP(B232,'ביצוע 2019'!$A$3:$H$1103,7,0)</f>
        <v>18203</v>
      </c>
      <c r="X232" s="52">
        <f t="shared" si="210"/>
        <v>18203</v>
      </c>
      <c r="Y232" s="101">
        <f t="shared" si="217"/>
        <v>1</v>
      </c>
      <c r="Z232" s="52"/>
      <c r="AA232" s="206"/>
    </row>
    <row r="233" spans="1:27" ht="15.75">
      <c r="A233" s="21">
        <v>12</v>
      </c>
      <c r="B233" s="50">
        <v>1347500930</v>
      </c>
      <c r="C233" s="50">
        <v>930</v>
      </c>
      <c r="D233" s="50">
        <v>347500</v>
      </c>
      <c r="E233" s="50">
        <v>34</v>
      </c>
      <c r="F233" s="160" t="s">
        <v>1639</v>
      </c>
      <c r="G233" s="110"/>
      <c r="H233" s="110"/>
      <c r="I233" s="110"/>
      <c r="J233" s="110"/>
      <c r="K233" s="110"/>
      <c r="L233" s="110"/>
      <c r="M233" s="110"/>
      <c r="N233" s="52">
        <v>350000</v>
      </c>
      <c r="O233" s="52"/>
      <c r="P233" s="52">
        <f t="shared" si="215"/>
        <v>350000</v>
      </c>
      <c r="Q233" s="52">
        <f>-VLOOKUP(B:B,'דוח כספי 1-10.17'!A:D,4,0)</f>
        <v>10605</v>
      </c>
      <c r="R233" s="52">
        <f t="shared" si="208"/>
        <v>12726</v>
      </c>
      <c r="S233" s="52">
        <v>140000</v>
      </c>
      <c r="T233" s="52">
        <f>-VLOOKUP(B233,'2174'!$A$1:$G$177,6,0)</f>
        <v>261844</v>
      </c>
      <c r="U233" s="63">
        <f t="shared" si="218"/>
        <v>285648</v>
      </c>
      <c r="V233" s="52">
        <v>120000</v>
      </c>
      <c r="W233" s="52">
        <f>-VLOOKUP(B233,'ביצוע 2019'!$A$3:$H$1103,7,0)</f>
        <v>337380</v>
      </c>
      <c r="X233" s="52">
        <f t="shared" si="210"/>
        <v>337380</v>
      </c>
      <c r="Y233" s="101">
        <f t="shared" si="217"/>
        <v>1</v>
      </c>
      <c r="Z233" s="52"/>
      <c r="AA233" s="206"/>
    </row>
    <row r="234" spans="1:27" ht="15.75">
      <c r="A234" s="21">
        <v>12</v>
      </c>
      <c r="B234" s="50">
        <v>1348500930</v>
      </c>
      <c r="C234" s="50">
        <v>930</v>
      </c>
      <c r="D234" s="50">
        <v>348500</v>
      </c>
      <c r="E234" s="50">
        <v>34</v>
      </c>
      <c r="F234" s="160" t="s">
        <v>1637</v>
      </c>
      <c r="G234" s="110"/>
      <c r="H234" s="110"/>
      <c r="I234" s="110"/>
      <c r="J234" s="110"/>
      <c r="K234" s="110"/>
      <c r="L234" s="110"/>
      <c r="M234" s="110"/>
      <c r="N234" s="52">
        <v>900000</v>
      </c>
      <c r="O234" s="52"/>
      <c r="P234" s="52">
        <f t="shared" si="215"/>
        <v>900000</v>
      </c>
      <c r="Q234" s="52">
        <f>-VLOOKUP(B:B,'דוח כספי 1-10.17'!A:D,4,0)</f>
        <v>149878</v>
      </c>
      <c r="R234" s="52">
        <f t="shared" si="208"/>
        <v>179853.59999999998</v>
      </c>
      <c r="S234" s="52">
        <v>930000</v>
      </c>
      <c r="T234" s="52">
        <f>-VLOOKUP(B234,'2174'!$A$1:$G$177,6,0)</f>
        <v>220612</v>
      </c>
      <c r="U234" s="63">
        <f t="shared" si="218"/>
        <v>240667.63636363635</v>
      </c>
      <c r="V234" s="52">
        <v>900000</v>
      </c>
      <c r="W234" s="52">
        <f>-VLOOKUP(B234,'ביצוע 2019'!$A$3:$H$1103,7,0)</f>
        <v>871751</v>
      </c>
      <c r="X234" s="52">
        <f t="shared" si="210"/>
        <v>871751</v>
      </c>
      <c r="Y234" s="101">
        <f t="shared" si="217"/>
        <v>1</v>
      </c>
      <c r="Z234" s="52"/>
      <c r="AA234" s="206"/>
    </row>
    <row r="235" spans="1:27" ht="15.75">
      <c r="A235" s="21">
        <v>12</v>
      </c>
      <c r="B235" s="50">
        <v>1348501930</v>
      </c>
      <c r="C235" s="50">
        <v>930</v>
      </c>
      <c r="D235" s="50">
        <v>348500</v>
      </c>
      <c r="E235" s="50">
        <v>34</v>
      </c>
      <c r="F235" s="160" t="s">
        <v>2067</v>
      </c>
      <c r="G235" s="110"/>
      <c r="H235" s="110"/>
      <c r="I235" s="110"/>
      <c r="J235" s="110"/>
      <c r="K235" s="110"/>
      <c r="L235" s="110"/>
      <c r="M235" s="110"/>
      <c r="N235" s="52"/>
      <c r="O235" s="52"/>
      <c r="P235" s="52"/>
      <c r="Q235" s="52"/>
      <c r="R235" s="52"/>
      <c r="S235" s="52"/>
      <c r="T235" s="52"/>
      <c r="U235" s="63"/>
      <c r="V235" s="52">
        <v>160000</v>
      </c>
      <c r="W235" s="52">
        <v>183634</v>
      </c>
      <c r="X235" s="52">
        <v>183634</v>
      </c>
      <c r="Y235" s="101">
        <f t="shared" si="217"/>
        <v>1</v>
      </c>
      <c r="Z235" s="52"/>
      <c r="AA235" s="206"/>
    </row>
    <row r="236" spans="1:27" ht="15.75">
      <c r="A236" s="21">
        <v>12</v>
      </c>
      <c r="B236" s="50">
        <v>1348900930</v>
      </c>
      <c r="C236" s="50">
        <v>930</v>
      </c>
      <c r="D236" s="50">
        <v>348900</v>
      </c>
      <c r="E236" s="50">
        <v>34</v>
      </c>
      <c r="F236" s="160" t="s">
        <v>2129</v>
      </c>
      <c r="G236" s="110"/>
      <c r="H236" s="110"/>
      <c r="I236" s="110"/>
      <c r="J236" s="110"/>
      <c r="K236" s="110"/>
      <c r="L236" s="110"/>
      <c r="M236" s="110"/>
      <c r="N236" s="52"/>
      <c r="O236" s="52"/>
      <c r="P236" s="52"/>
      <c r="Q236" s="52"/>
      <c r="R236" s="52"/>
      <c r="S236" s="52"/>
      <c r="T236" s="52"/>
      <c r="U236" s="63"/>
      <c r="V236" s="52"/>
      <c r="W236" s="52"/>
      <c r="X236" s="52">
        <v>925110</v>
      </c>
      <c r="Y236" s="101">
        <f t="shared" si="217"/>
        <v>1</v>
      </c>
      <c r="Z236" s="52"/>
      <c r="AA236" s="206"/>
    </row>
    <row r="237" spans="1:27" ht="15.75">
      <c r="A237" s="21"/>
      <c r="B237" s="222"/>
      <c r="C237" s="222"/>
      <c r="D237" s="222"/>
      <c r="E237" s="222"/>
      <c r="F237" s="223" t="s">
        <v>1949</v>
      </c>
      <c r="G237" s="224"/>
      <c r="H237" s="224"/>
      <c r="I237" s="224"/>
      <c r="J237" s="224"/>
      <c r="K237" s="224"/>
      <c r="L237" s="224"/>
      <c r="M237" s="224"/>
      <c r="N237" s="225">
        <f>SUM(N211:N234)</f>
        <v>2525723</v>
      </c>
      <c r="O237" s="225"/>
      <c r="P237" s="225">
        <f t="shared" ref="P237:U237" si="220">SUM(P211:P234)</f>
        <v>2514000</v>
      </c>
      <c r="Q237" s="225">
        <f t="shared" si="220"/>
        <v>1104604</v>
      </c>
      <c r="R237" s="225">
        <f t="shared" si="220"/>
        <v>1325524.7999999998</v>
      </c>
      <c r="S237" s="225">
        <f t="shared" si="220"/>
        <v>2320950</v>
      </c>
      <c r="T237" s="225">
        <f t="shared" si="220"/>
        <v>2248776</v>
      </c>
      <c r="U237" s="225">
        <f t="shared" si="220"/>
        <v>2453042.1818181816</v>
      </c>
      <c r="V237" s="225">
        <f>SUM(V211:V236)</f>
        <v>3336977.0909090908</v>
      </c>
      <c r="W237" s="225">
        <f>SUM(W211:W236)</f>
        <v>3737992</v>
      </c>
      <c r="X237" s="225">
        <f>SUM(X211:X236)</f>
        <v>4663102</v>
      </c>
      <c r="Y237" s="101">
        <f t="shared" si="217"/>
        <v>1</v>
      </c>
      <c r="Z237" s="52"/>
      <c r="AA237" s="51"/>
    </row>
    <row r="238" spans="1:27" ht="15.75">
      <c r="A238" s="21"/>
      <c r="B238" s="229"/>
      <c r="C238" s="230"/>
      <c r="D238" s="230"/>
      <c r="E238" s="230"/>
      <c r="F238" s="229" t="s">
        <v>710</v>
      </c>
      <c r="G238" s="227"/>
      <c r="H238" s="227">
        <f t="shared" ref="H238:M238" si="221">SUM(H172:H234)</f>
        <v>8340012</v>
      </c>
      <c r="I238" s="227">
        <f t="shared" si="221"/>
        <v>-9750766.0499999989</v>
      </c>
      <c r="J238" s="227">
        <f t="shared" si="221"/>
        <v>9750766.0499999989</v>
      </c>
      <c r="K238" s="227">
        <f t="shared" si="221"/>
        <v>1258810.05</v>
      </c>
      <c r="L238" s="227">
        <f t="shared" si="221"/>
        <v>11271000</v>
      </c>
      <c r="M238" s="227">
        <f t="shared" si="221"/>
        <v>12111500</v>
      </c>
      <c r="N238" s="228">
        <f t="shared" ref="N238:X238" si="222">N175+N182+N194+N210+N237</f>
        <v>14070723</v>
      </c>
      <c r="O238" s="228">
        <f t="shared" si="222"/>
        <v>0</v>
      </c>
      <c r="P238" s="228">
        <f t="shared" si="222"/>
        <v>14059000</v>
      </c>
      <c r="Q238" s="228">
        <f t="shared" si="222"/>
        <v>9843878</v>
      </c>
      <c r="R238" s="228">
        <f t="shared" si="222"/>
        <v>11812653.600000001</v>
      </c>
      <c r="S238" s="228">
        <f t="shared" si="222"/>
        <v>13251450</v>
      </c>
      <c r="T238" s="228">
        <f t="shared" si="222"/>
        <v>12923682</v>
      </c>
      <c r="U238" s="228">
        <f t="shared" si="222"/>
        <v>14509199.636363635</v>
      </c>
      <c r="V238" s="228">
        <f t="shared" si="222"/>
        <v>15851542.545454547</v>
      </c>
      <c r="W238" s="228">
        <f t="shared" si="222"/>
        <v>18641158</v>
      </c>
      <c r="X238" s="228">
        <f t="shared" si="222"/>
        <v>19893000</v>
      </c>
      <c r="Y238" s="101">
        <f t="shared" si="217"/>
        <v>1</v>
      </c>
      <c r="Z238" s="52"/>
      <c r="AA238" s="206"/>
    </row>
    <row r="239" spans="1:27" ht="15.75" hidden="1">
      <c r="A239" s="21"/>
      <c r="B239" s="50"/>
      <c r="C239" s="100" t="s">
        <v>711</v>
      </c>
      <c r="D239" s="50"/>
      <c r="E239" s="50"/>
      <c r="F239" s="51"/>
      <c r="G239" s="110"/>
      <c r="H239" s="110"/>
      <c r="I239" s="110"/>
      <c r="J239" s="110"/>
      <c r="K239" s="110"/>
      <c r="L239" s="110"/>
      <c r="M239" s="110"/>
      <c r="N239" s="52"/>
      <c r="O239" s="52"/>
      <c r="P239" s="52">
        <f t="shared" ref="P239:P246" si="223">N239+O239</f>
        <v>0</v>
      </c>
      <c r="Q239" s="52"/>
      <c r="R239" s="52"/>
      <c r="S239" s="52"/>
      <c r="T239" s="52"/>
      <c r="U239" s="52"/>
      <c r="V239" s="52"/>
      <c r="W239" s="52"/>
      <c r="X239" s="52"/>
      <c r="Y239" s="101">
        <f t="shared" si="190"/>
        <v>0</v>
      </c>
      <c r="Z239" s="52"/>
      <c r="AA239" s="206"/>
    </row>
    <row r="240" spans="1:27" ht="15.75">
      <c r="A240" s="21">
        <v>13</v>
      </c>
      <c r="B240" s="50">
        <v>1413100210</v>
      </c>
      <c r="C240" s="50" t="str">
        <f t="shared" ref="C240:C246" si="224">RIGHT(B240,3)</f>
        <v>210</v>
      </c>
      <c r="D240" s="50" t="str">
        <f t="shared" ref="D240:D246" si="225">MID(B240,2,6)</f>
        <v>413100</v>
      </c>
      <c r="E240" s="50" t="str">
        <f t="shared" ref="E240:E246" si="226">LEFT(D240,2)</f>
        <v>41</v>
      </c>
      <c r="F240" s="51" t="s">
        <v>574</v>
      </c>
      <c r="G240" s="110">
        <v>-2200000</v>
      </c>
      <c r="H240" s="110">
        <f t="shared" ref="H240:H246" si="227">G240*-1</f>
        <v>2200000</v>
      </c>
      <c r="I240" s="110">
        <v>-1649000.99</v>
      </c>
      <c r="J240" s="110">
        <f t="shared" ref="J240:J246" si="228">I240*-1</f>
        <v>1649000.99</v>
      </c>
      <c r="K240" s="110">
        <v>-550999.01</v>
      </c>
      <c r="L240" s="110">
        <v>2500000</v>
      </c>
      <c r="M240" s="110">
        <v>2106000</v>
      </c>
      <c r="N240" s="52">
        <v>1925000</v>
      </c>
      <c r="O240" s="52"/>
      <c r="P240" s="52">
        <f t="shared" si="223"/>
        <v>1925000</v>
      </c>
      <c r="Q240" s="52">
        <f>-VLOOKUP(B:B,'דוח כספי 1-10.17'!A:D,4,0)</f>
        <v>827597.4</v>
      </c>
      <c r="R240" s="186">
        <v>2700000</v>
      </c>
      <c r="S240" s="52">
        <v>3000000</v>
      </c>
      <c r="T240" s="52">
        <f>-VLOOKUP(B240,'2174'!$A$1:$G$177,6,0)</f>
        <v>822734.77</v>
      </c>
      <c r="U240" s="63">
        <v>2000000</v>
      </c>
      <c r="V240" s="52">
        <v>1600000</v>
      </c>
      <c r="W240" s="52">
        <f>-VLOOKUP(B240,'ביצוע 2019'!$A$3:$H$1103,7,0)</f>
        <v>2184077.36</v>
      </c>
      <c r="X240" s="52">
        <v>2200000</v>
      </c>
      <c r="Y240" s="101">
        <f t="shared" ref="Y240:Y243" si="229">IF((X240+W240+V240)&lt;&gt;0,1,0)</f>
        <v>1</v>
      </c>
      <c r="Z240" s="52"/>
      <c r="AA240" s="206"/>
    </row>
    <row r="241" spans="1:27" ht="15.75">
      <c r="A241" s="21">
        <v>13</v>
      </c>
      <c r="B241" s="50">
        <v>1413110210</v>
      </c>
      <c r="C241" s="50" t="str">
        <f t="shared" si="224"/>
        <v>210</v>
      </c>
      <c r="D241" s="50" t="str">
        <f t="shared" si="225"/>
        <v>413110</v>
      </c>
      <c r="E241" s="50" t="str">
        <f t="shared" si="226"/>
        <v>41</v>
      </c>
      <c r="F241" s="51" t="s">
        <v>575</v>
      </c>
      <c r="G241" s="110">
        <v>-1800000</v>
      </c>
      <c r="H241" s="110">
        <f t="shared" si="227"/>
        <v>1800000</v>
      </c>
      <c r="I241" s="110">
        <v>-1100994.44</v>
      </c>
      <c r="J241" s="110">
        <f t="shared" si="228"/>
        <v>1100994.44</v>
      </c>
      <c r="K241" s="110">
        <v>-699005.56</v>
      </c>
      <c r="L241" s="110">
        <v>2000000</v>
      </c>
      <c r="M241" s="110">
        <v>2018000</v>
      </c>
      <c r="N241" s="52">
        <v>2250000</v>
      </c>
      <c r="O241" s="52"/>
      <c r="P241" s="52">
        <f t="shared" si="223"/>
        <v>2250000</v>
      </c>
      <c r="Q241" s="52">
        <f>-VLOOKUP(B:B,'דוח כספי 1-10.17'!A:D,4,0)</f>
        <v>1597207.9</v>
      </c>
      <c r="R241" s="186">
        <v>1800000</v>
      </c>
      <c r="S241" s="52">
        <v>1900000</v>
      </c>
      <c r="T241" s="52">
        <f>-VLOOKUP(B241,'2174'!$A$1:$G$177,6,0)</f>
        <v>1422520.02</v>
      </c>
      <c r="U241" s="63">
        <v>1903000</v>
      </c>
      <c r="V241" s="52">
        <v>1600000</v>
      </c>
      <c r="W241" s="52">
        <f>-VLOOKUP(B241,'ביצוע 2019'!$A$3:$H$1103,7,0)</f>
        <v>2165140.41</v>
      </c>
      <c r="X241" s="52"/>
      <c r="Y241" s="101">
        <f t="shared" si="229"/>
        <v>1</v>
      </c>
      <c r="Z241" s="52"/>
      <c r="AA241" s="206"/>
    </row>
    <row r="242" spans="1:27" ht="15.75">
      <c r="A242" s="21">
        <v>3</v>
      </c>
      <c r="B242" s="50">
        <v>1413200220</v>
      </c>
      <c r="C242" s="50" t="str">
        <f t="shared" si="224"/>
        <v>220</v>
      </c>
      <c r="D242" s="50" t="str">
        <f t="shared" si="225"/>
        <v>413200</v>
      </c>
      <c r="E242" s="50" t="str">
        <f t="shared" si="226"/>
        <v>41</v>
      </c>
      <c r="F242" s="51" t="s">
        <v>576</v>
      </c>
      <c r="G242" s="110">
        <v>-95006</v>
      </c>
      <c r="H242" s="110">
        <f t="shared" si="227"/>
        <v>95006</v>
      </c>
      <c r="I242" s="110">
        <v>-98746.95</v>
      </c>
      <c r="J242" s="110">
        <f t="shared" si="228"/>
        <v>98746.95</v>
      </c>
      <c r="K242" s="110">
        <v>3740.95</v>
      </c>
      <c r="L242" s="110">
        <v>200000</v>
      </c>
      <c r="M242" s="110">
        <v>121000</v>
      </c>
      <c r="N242" s="52">
        <v>100000</v>
      </c>
      <c r="O242" s="52"/>
      <c r="P242" s="52">
        <f t="shared" si="223"/>
        <v>100000</v>
      </c>
      <c r="Q242" s="52">
        <f>-VLOOKUP(B:B,'דוח כספי 1-10.17'!A:D,4,0)</f>
        <v>65908.179999999993</v>
      </c>
      <c r="R242" s="186">
        <f>Q242*12/11</f>
        <v>71899.832727272718</v>
      </c>
      <c r="S242" s="52">
        <v>72000</v>
      </c>
      <c r="T242" s="52">
        <f>-VLOOKUP(B242,'2174'!$A$1:$G$177,6,0)</f>
        <v>26806.3</v>
      </c>
      <c r="U242" s="63">
        <f t="shared" ref="U242:U243" si="230">T242*12/11</f>
        <v>29243.236363636363</v>
      </c>
      <c r="V242" s="52">
        <v>20000</v>
      </c>
      <c r="W242" s="52">
        <f>-VLOOKUP(B242,'ביצוע 2019'!$A$3:$H$1103,7,0)</f>
        <v>40526.39</v>
      </c>
      <c r="X242" s="52">
        <v>15000</v>
      </c>
      <c r="Y242" s="101">
        <f t="shared" si="229"/>
        <v>1</v>
      </c>
      <c r="Z242" s="52"/>
      <c r="AA242" s="206"/>
    </row>
    <row r="243" spans="1:27" ht="15.75">
      <c r="A243" s="21">
        <v>3</v>
      </c>
      <c r="B243" s="50">
        <v>1413300810</v>
      </c>
      <c r="C243" s="50" t="str">
        <f t="shared" si="224"/>
        <v>810</v>
      </c>
      <c r="D243" s="50" t="str">
        <f t="shared" si="225"/>
        <v>413300</v>
      </c>
      <c r="E243" s="50" t="str">
        <f t="shared" si="226"/>
        <v>41</v>
      </c>
      <c r="F243" s="51" t="s">
        <v>577</v>
      </c>
      <c r="G243" s="110">
        <v>-250000</v>
      </c>
      <c r="H243" s="110">
        <f t="shared" si="227"/>
        <v>250000</v>
      </c>
      <c r="I243" s="110">
        <v>-259877.29</v>
      </c>
      <c r="J243" s="110">
        <f t="shared" si="228"/>
        <v>259877.29</v>
      </c>
      <c r="K243" s="110">
        <v>9877.2900000000009</v>
      </c>
      <c r="L243" s="110">
        <v>400000</v>
      </c>
      <c r="M243" s="110">
        <v>373000</v>
      </c>
      <c r="N243" s="52">
        <v>250000</v>
      </c>
      <c r="O243" s="52"/>
      <c r="P243" s="52">
        <f t="shared" si="223"/>
        <v>250000</v>
      </c>
      <c r="Q243" s="52">
        <f>-VLOOKUP(B:B,'דוח כספי 1-10.17'!A:D,4,0)</f>
        <v>173778.7</v>
      </c>
      <c r="R243" s="186">
        <f>Q243*12/11</f>
        <v>189576.76363636364</v>
      </c>
      <c r="S243" s="52">
        <v>190000</v>
      </c>
      <c r="T243" s="52">
        <f>-VLOOKUP(B243,'2174'!$A$1:$G$177,6,0)</f>
        <v>125880.22</v>
      </c>
      <c r="U243" s="63">
        <f t="shared" si="230"/>
        <v>137323.87636363637</v>
      </c>
      <c r="V243" s="52">
        <v>100000</v>
      </c>
      <c r="W243" s="52">
        <f>-VLOOKUP(B243,'ביצוע 2019'!$A$3:$H$1103,7,0)</f>
        <v>0</v>
      </c>
      <c r="X243" s="52">
        <f t="shared" ref="X243:X246" si="231">W243</f>
        <v>0</v>
      </c>
      <c r="Y243" s="101">
        <f t="shared" si="229"/>
        <v>1</v>
      </c>
      <c r="Z243" s="52"/>
      <c r="AA243" s="206"/>
    </row>
    <row r="244" spans="1:27" ht="15.75" hidden="1">
      <c r="A244" s="21">
        <v>3</v>
      </c>
      <c r="B244" s="50">
        <v>1414300810</v>
      </c>
      <c r="C244" s="50" t="str">
        <f t="shared" si="224"/>
        <v>810</v>
      </c>
      <c r="D244" s="50" t="str">
        <f t="shared" si="225"/>
        <v>414300</v>
      </c>
      <c r="E244" s="50" t="str">
        <f t="shared" si="226"/>
        <v>41</v>
      </c>
      <c r="F244" s="51" t="s">
        <v>578</v>
      </c>
      <c r="G244" s="110">
        <v>0</v>
      </c>
      <c r="H244" s="110">
        <f t="shared" si="227"/>
        <v>0</v>
      </c>
      <c r="I244" s="110">
        <v>0</v>
      </c>
      <c r="J244" s="110">
        <f t="shared" si="228"/>
        <v>0</v>
      </c>
      <c r="K244" s="110">
        <v>0</v>
      </c>
      <c r="L244" s="110">
        <v>0</v>
      </c>
      <c r="M244" s="110">
        <f>+L244</f>
        <v>0</v>
      </c>
      <c r="N244" s="52">
        <v>0</v>
      </c>
      <c r="O244" s="52"/>
      <c r="P244" s="52">
        <f t="shared" si="223"/>
        <v>0</v>
      </c>
      <c r="Q244" s="52">
        <f>-VLOOKUP(B:B,'דוח כספי 1-10.17'!A:D,4,0)</f>
        <v>0</v>
      </c>
      <c r="R244" s="186">
        <f>Q244*12/11</f>
        <v>0</v>
      </c>
      <c r="S244" s="52">
        <f>R244</f>
        <v>0</v>
      </c>
      <c r="T244" s="52"/>
      <c r="U244" s="52"/>
      <c r="V244" s="52"/>
      <c r="W244" s="52">
        <f>-VLOOKUP(B244,'ביצוע 2019'!$A$3:$H$1103,7,0)</f>
        <v>0</v>
      </c>
      <c r="X244" s="52">
        <f t="shared" si="231"/>
        <v>0</v>
      </c>
      <c r="Y244" s="101">
        <f t="shared" si="190"/>
        <v>0</v>
      </c>
      <c r="Z244" s="52"/>
      <c r="AA244" s="51"/>
    </row>
    <row r="245" spans="1:27" ht="15.75">
      <c r="A245" s="21">
        <v>3</v>
      </c>
      <c r="B245" s="50">
        <v>1433000290</v>
      </c>
      <c r="C245" s="50" t="str">
        <f t="shared" si="224"/>
        <v>290</v>
      </c>
      <c r="D245" s="50" t="str">
        <f t="shared" si="225"/>
        <v>433000</v>
      </c>
      <c r="E245" s="50" t="str">
        <f t="shared" si="226"/>
        <v>43</v>
      </c>
      <c r="F245" s="51" t="s">
        <v>579</v>
      </c>
      <c r="G245" s="110">
        <v>0</v>
      </c>
      <c r="H245" s="110">
        <f t="shared" si="227"/>
        <v>0</v>
      </c>
      <c r="I245" s="110">
        <v>-618</v>
      </c>
      <c r="J245" s="110">
        <f t="shared" si="228"/>
        <v>618</v>
      </c>
      <c r="K245" s="110">
        <v>618</v>
      </c>
      <c r="L245" s="110">
        <v>0</v>
      </c>
      <c r="M245" s="110">
        <v>1000</v>
      </c>
      <c r="N245" s="52">
        <v>0</v>
      </c>
      <c r="O245" s="52"/>
      <c r="P245" s="52">
        <f t="shared" si="223"/>
        <v>0</v>
      </c>
      <c r="Q245" s="52">
        <f>-VLOOKUP(B:B,'דוח כספי 1-10.17'!A:D,4,0)</f>
        <v>350</v>
      </c>
      <c r="R245" s="52">
        <f>Q245*12/11</f>
        <v>381.81818181818181</v>
      </c>
      <c r="S245" s="52">
        <v>2000</v>
      </c>
      <c r="T245" s="52">
        <f>-VLOOKUP(B245,'2174'!$A$1:$G$177,6,0)</f>
        <v>320</v>
      </c>
      <c r="U245" s="63">
        <v>0</v>
      </c>
      <c r="V245" s="52">
        <v>0</v>
      </c>
      <c r="W245" s="52">
        <f>-VLOOKUP(B245,'ביצוע 2019'!$A$3:$H$1103,7,0)</f>
        <v>2908</v>
      </c>
      <c r="X245" s="52">
        <v>2000</v>
      </c>
      <c r="Y245" s="101">
        <f>IF((X245+W245+V245)&lt;&gt;0,1,0)</f>
        <v>1</v>
      </c>
      <c r="Z245" s="52"/>
      <c r="AA245" s="51"/>
    </row>
    <row r="246" spans="1:27" ht="15.75" hidden="1">
      <c r="A246" s="21">
        <v>3</v>
      </c>
      <c r="B246" s="50">
        <v>1438000410</v>
      </c>
      <c r="C246" s="50" t="str">
        <f t="shared" si="224"/>
        <v>410</v>
      </c>
      <c r="D246" s="50" t="str">
        <f t="shared" si="225"/>
        <v>438000</v>
      </c>
      <c r="E246" s="50" t="str">
        <f t="shared" si="226"/>
        <v>43</v>
      </c>
      <c r="F246" s="51" t="s">
        <v>580</v>
      </c>
      <c r="G246" s="110">
        <v>0</v>
      </c>
      <c r="H246" s="110">
        <f t="shared" si="227"/>
        <v>0</v>
      </c>
      <c r="I246" s="110">
        <v>0</v>
      </c>
      <c r="J246" s="110">
        <f t="shared" si="228"/>
        <v>0</v>
      </c>
      <c r="K246" s="110">
        <v>0</v>
      </c>
      <c r="L246" s="110"/>
      <c r="M246" s="110">
        <f>+L246</f>
        <v>0</v>
      </c>
      <c r="N246" s="52"/>
      <c r="O246" s="52"/>
      <c r="P246" s="52">
        <f t="shared" si="223"/>
        <v>0</v>
      </c>
      <c r="Q246" s="52">
        <f>-VLOOKUP(B:B,'דוח כספי 1-10.17'!A:D,4,0)</f>
        <v>0</v>
      </c>
      <c r="R246" s="186">
        <f>Q246*12/11</f>
        <v>0</v>
      </c>
      <c r="S246" s="52">
        <f>R246</f>
        <v>0</v>
      </c>
      <c r="T246" s="52"/>
      <c r="U246" s="52"/>
      <c r="V246" s="52"/>
      <c r="W246" s="52">
        <f>-VLOOKUP(B246,'ביצוע 2019'!$A$3:$H$1103,7,0)</f>
        <v>0</v>
      </c>
      <c r="X246" s="52">
        <f t="shared" si="231"/>
        <v>0</v>
      </c>
      <c r="Y246" s="101">
        <f t="shared" si="190"/>
        <v>0</v>
      </c>
      <c r="Z246" s="52"/>
      <c r="AA246" s="51"/>
    </row>
    <row r="247" spans="1:27" ht="15.75">
      <c r="A247" s="21"/>
      <c r="B247" s="222"/>
      <c r="C247" s="222"/>
      <c r="D247" s="222"/>
      <c r="E247" s="222"/>
      <c r="F247" s="223" t="s">
        <v>1950</v>
      </c>
      <c r="G247" s="224"/>
      <c r="H247" s="224"/>
      <c r="I247" s="224"/>
      <c r="J247" s="224"/>
      <c r="K247" s="224"/>
      <c r="L247" s="224"/>
      <c r="M247" s="224"/>
      <c r="N247" s="225">
        <f>SUM(N240:N246)</f>
        <v>4525000</v>
      </c>
      <c r="O247" s="225"/>
      <c r="P247" s="225">
        <f>SUM(P240:P246)</f>
        <v>4525000</v>
      </c>
      <c r="Q247" s="225">
        <f>SUM(Q240:Q246)</f>
        <v>2664842.1800000002</v>
      </c>
      <c r="R247" s="225">
        <f>SUM(R240:R246)</f>
        <v>4761858.414545455</v>
      </c>
      <c r="S247" s="225">
        <f>SUM(S240:S246)</f>
        <v>5164000</v>
      </c>
      <c r="T247" s="225">
        <f t="shared" ref="T247:X247" si="232">SUM(T240:T246)</f>
        <v>2398261.31</v>
      </c>
      <c r="U247" s="225">
        <f t="shared" si="232"/>
        <v>4069567.1127272728</v>
      </c>
      <c r="V247" s="225">
        <f t="shared" si="232"/>
        <v>3320000</v>
      </c>
      <c r="W247" s="225">
        <f t="shared" si="232"/>
        <v>4392652.1599999992</v>
      </c>
      <c r="X247" s="225">
        <f t="shared" si="232"/>
        <v>2217000</v>
      </c>
      <c r="Y247" s="101">
        <f t="shared" ref="Y247:Y252" si="233">IF((X247+W247+V247)&lt;&gt;0,1,0)</f>
        <v>1</v>
      </c>
      <c r="Z247" s="52"/>
      <c r="AA247" s="51"/>
    </row>
    <row r="248" spans="1:27" ht="15.75">
      <c r="A248" s="21">
        <v>3</v>
      </c>
      <c r="B248" s="50">
        <v>1472000210</v>
      </c>
      <c r="C248" s="50" t="str">
        <f>RIGHT(B248,3)</f>
        <v>210</v>
      </c>
      <c r="D248" s="50" t="str">
        <f>MID(B248,2,6)</f>
        <v>472000</v>
      </c>
      <c r="E248" s="50" t="str">
        <f>LEFT(D248,2)</f>
        <v>47</v>
      </c>
      <c r="F248" s="51" t="s">
        <v>581</v>
      </c>
      <c r="G248" s="110">
        <v>-1200000</v>
      </c>
      <c r="H248" s="110">
        <f>G248*-1</f>
        <v>1200000</v>
      </c>
      <c r="I248" s="110">
        <v>-892685.72</v>
      </c>
      <c r="J248" s="110">
        <f>I248*-1</f>
        <v>892685.72</v>
      </c>
      <c r="K248" s="110">
        <v>-307314.28000000003</v>
      </c>
      <c r="L248" s="110">
        <v>1500000</v>
      </c>
      <c r="M248" s="110">
        <v>1000000</v>
      </c>
      <c r="N248" s="52">
        <v>500000</v>
      </c>
      <c r="O248" s="52"/>
      <c r="P248" s="52">
        <f>N248+O248</f>
        <v>500000</v>
      </c>
      <c r="Q248" s="52">
        <f>-VLOOKUP(B:B,'דוח כספי 1-10.17'!A:D,4,0)</f>
        <v>299088.3</v>
      </c>
      <c r="R248" s="186">
        <f>Q248*12/11</f>
        <v>326278.14545454545</v>
      </c>
      <c r="S248" s="52">
        <v>500000</v>
      </c>
      <c r="T248" s="52">
        <f>-VLOOKUP(B248,'2174'!$A$1:$G$177,6,0)</f>
        <v>189120.22</v>
      </c>
      <c r="U248" s="63">
        <v>277000</v>
      </c>
      <c r="V248" s="52">
        <v>80000</v>
      </c>
      <c r="W248" s="52">
        <f>-VLOOKUP(B248,'ביצוע 2019'!$A$3:$H$1103,7,0)</f>
        <v>191518.23</v>
      </c>
      <c r="X248" s="52">
        <v>226000</v>
      </c>
      <c r="Y248" s="101">
        <f t="shared" si="233"/>
        <v>1</v>
      </c>
      <c r="Z248" s="52"/>
      <c r="AA248" s="206"/>
    </row>
    <row r="249" spans="1:27" ht="15.75">
      <c r="A249" s="21">
        <v>3</v>
      </c>
      <c r="B249" s="50">
        <v>1472100210</v>
      </c>
      <c r="C249" s="50" t="str">
        <f>RIGHT(B249,3)</f>
        <v>210</v>
      </c>
      <c r="D249" s="50" t="str">
        <f>MID(B249,2,6)</f>
        <v>472100</v>
      </c>
      <c r="E249" s="50" t="str">
        <f>LEFT(D249,2)</f>
        <v>47</v>
      </c>
      <c r="F249" s="51" t="s">
        <v>2030</v>
      </c>
      <c r="G249" s="110"/>
      <c r="H249" s="110"/>
      <c r="I249" s="110"/>
      <c r="J249" s="110"/>
      <c r="K249" s="110"/>
      <c r="L249" s="110"/>
      <c r="M249" s="110"/>
      <c r="N249" s="52"/>
      <c r="O249" s="52"/>
      <c r="P249" s="52"/>
      <c r="Q249" s="52"/>
      <c r="R249" s="186"/>
      <c r="S249" s="52"/>
      <c r="T249" s="52"/>
      <c r="U249" s="63"/>
      <c r="V249" s="52">
        <v>150000</v>
      </c>
      <c r="W249" s="52">
        <f>-VLOOKUP(B249,'ביצוע 2019'!$A$3:$H$1103,7,0)</f>
        <v>0</v>
      </c>
      <c r="X249" s="52">
        <f t="shared" ref="X249" si="234">W249</f>
        <v>0</v>
      </c>
      <c r="Y249" s="101">
        <f t="shared" si="233"/>
        <v>1</v>
      </c>
      <c r="Z249" s="52"/>
      <c r="AA249" s="206"/>
    </row>
    <row r="250" spans="1:27" ht="15.75">
      <c r="A250" s="21">
        <v>3</v>
      </c>
      <c r="B250" s="50">
        <v>1472000810</v>
      </c>
      <c r="C250" s="50" t="str">
        <f>RIGHT(B250,3)</f>
        <v>810</v>
      </c>
      <c r="D250" s="50" t="str">
        <f>MID(B250,2,6)</f>
        <v>472000</v>
      </c>
      <c r="E250" s="50" t="str">
        <f>LEFT(D250,2)</f>
        <v>47</v>
      </c>
      <c r="F250" s="51" t="s">
        <v>582</v>
      </c>
      <c r="G250" s="110">
        <v>-800000</v>
      </c>
      <c r="H250" s="110">
        <f>G250*-1</f>
        <v>800000</v>
      </c>
      <c r="I250" s="110">
        <v>-590708.94999999995</v>
      </c>
      <c r="J250" s="110">
        <f>I250*-1</f>
        <v>590708.94999999995</v>
      </c>
      <c r="K250" s="110">
        <v>-209291.05</v>
      </c>
      <c r="L250" s="110">
        <v>1050000</v>
      </c>
      <c r="M250" s="110">
        <v>1000000</v>
      </c>
      <c r="N250" s="52">
        <v>300000</v>
      </c>
      <c r="O250" s="52"/>
      <c r="P250" s="52">
        <f>N250+O250</f>
        <v>300000</v>
      </c>
      <c r="Q250" s="52">
        <f>-VLOOKUP(B:B,'דוח כספי 1-10.17'!A:D,4,0)</f>
        <v>329658.90000000002</v>
      </c>
      <c r="R250" s="186">
        <f>Q250*12/11</f>
        <v>359627.89090909093</v>
      </c>
      <c r="S250" s="52">
        <v>500000</v>
      </c>
      <c r="T250" s="52">
        <f>-VLOOKUP(B250,'2174'!$A$1:$G$177,6,0)</f>
        <v>233732.29</v>
      </c>
      <c r="U250" s="63">
        <v>354000</v>
      </c>
      <c r="V250" s="52">
        <v>300000</v>
      </c>
      <c r="W250" s="52">
        <f>-VLOOKUP(B250,'ביצוע 2019'!$A$3:$H$1103,7,0)</f>
        <v>226979.85</v>
      </c>
      <c r="X250" s="52">
        <v>100000</v>
      </c>
      <c r="Y250" s="101">
        <f t="shared" si="233"/>
        <v>1</v>
      </c>
      <c r="Z250" s="52"/>
      <c r="AA250" s="51"/>
    </row>
    <row r="251" spans="1:27" ht="15.75">
      <c r="A251" s="21"/>
      <c r="B251" s="222"/>
      <c r="C251" s="222"/>
      <c r="D251" s="222"/>
      <c r="E251" s="222"/>
      <c r="F251" s="223" t="s">
        <v>1951</v>
      </c>
      <c r="G251" s="224"/>
      <c r="H251" s="224"/>
      <c r="I251" s="224"/>
      <c r="J251" s="224"/>
      <c r="K251" s="224"/>
      <c r="L251" s="224"/>
      <c r="M251" s="224"/>
      <c r="N251" s="225">
        <f>SUM(N248:N250)</f>
        <v>800000</v>
      </c>
      <c r="O251" s="225"/>
      <c r="P251" s="225">
        <f>SUM(P248:P250)</f>
        <v>800000</v>
      </c>
      <c r="Q251" s="225">
        <f>SUM(Q248:Q250)</f>
        <v>628747.19999999995</v>
      </c>
      <c r="R251" s="225">
        <f>SUM(R248:R250)</f>
        <v>685906.03636363638</v>
      </c>
      <c r="S251" s="225">
        <f>SUM(S248:S250)</f>
        <v>1000000</v>
      </c>
      <c r="T251" s="225">
        <f t="shared" ref="T251:V251" si="235">SUM(T248:T250)</f>
        <v>422852.51</v>
      </c>
      <c r="U251" s="225">
        <f t="shared" si="235"/>
        <v>631000</v>
      </c>
      <c r="V251" s="225">
        <f t="shared" si="235"/>
        <v>530000</v>
      </c>
      <c r="W251" s="225">
        <f t="shared" ref="W251:X251" si="236">SUM(W248:W250)</f>
        <v>418498.08</v>
      </c>
      <c r="X251" s="225">
        <f t="shared" si="236"/>
        <v>326000</v>
      </c>
      <c r="Y251" s="101">
        <f t="shared" si="233"/>
        <v>1</v>
      </c>
      <c r="Z251" s="52"/>
      <c r="AA251" s="51"/>
    </row>
    <row r="252" spans="1:27" ht="15.75">
      <c r="A252" s="21"/>
      <c r="B252" s="229"/>
      <c r="C252" s="230"/>
      <c r="D252" s="230"/>
      <c r="E252" s="230"/>
      <c r="F252" s="229" t="s">
        <v>712</v>
      </c>
      <c r="G252" s="227"/>
      <c r="H252" s="227">
        <f>SUM(H240:H250)</f>
        <v>6345006</v>
      </c>
      <c r="I252" s="227">
        <f>SUM(I240:I250)</f>
        <v>-4592632.34</v>
      </c>
      <c r="J252" s="227">
        <f>SUM(J240:J250)</f>
        <v>4592632.34</v>
      </c>
      <c r="K252" s="227">
        <f>SUM(K240:K250)</f>
        <v>-1752373.6600000001</v>
      </c>
      <c r="L252" s="227">
        <f>SUM(L240:L250)</f>
        <v>7650000</v>
      </c>
      <c r="M252" s="227"/>
      <c r="N252" s="228">
        <f t="shared" ref="N252:S252" si="237">N247+N251</f>
        <v>5325000</v>
      </c>
      <c r="O252" s="228">
        <f t="shared" si="237"/>
        <v>0</v>
      </c>
      <c r="P252" s="228">
        <f t="shared" si="237"/>
        <v>5325000</v>
      </c>
      <c r="Q252" s="228">
        <f t="shared" si="237"/>
        <v>3293589.38</v>
      </c>
      <c r="R252" s="228">
        <f t="shared" si="237"/>
        <v>5447764.4509090912</v>
      </c>
      <c r="S252" s="228">
        <f t="shared" si="237"/>
        <v>6164000</v>
      </c>
      <c r="T252" s="228">
        <f t="shared" ref="T252:V252" si="238">T247+T251</f>
        <v>2821113.8200000003</v>
      </c>
      <c r="U252" s="228">
        <f t="shared" si="238"/>
        <v>4700567.1127272733</v>
      </c>
      <c r="V252" s="228">
        <f t="shared" si="238"/>
        <v>3850000</v>
      </c>
      <c r="W252" s="228">
        <f t="shared" ref="W252:X252" si="239">W247+W251</f>
        <v>4811150.2399999993</v>
      </c>
      <c r="X252" s="228">
        <f t="shared" si="239"/>
        <v>2543000</v>
      </c>
      <c r="Y252" s="101">
        <f t="shared" si="233"/>
        <v>1</v>
      </c>
      <c r="Z252" s="52"/>
      <c r="AA252" s="206"/>
    </row>
    <row r="253" spans="1:27" ht="15.75" hidden="1">
      <c r="A253" s="21"/>
      <c r="B253" s="50"/>
      <c r="C253" s="100" t="s">
        <v>713</v>
      </c>
      <c r="D253" s="50"/>
      <c r="E253" s="50"/>
      <c r="F253" s="51"/>
      <c r="G253" s="110"/>
      <c r="H253" s="110"/>
      <c r="I253" s="110"/>
      <c r="J253" s="110"/>
      <c r="K253" s="110"/>
      <c r="L253" s="110"/>
      <c r="M253" s="110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101">
        <f t="shared" si="190"/>
        <v>0</v>
      </c>
      <c r="Z253" s="52"/>
      <c r="AA253" s="51"/>
    </row>
    <row r="254" spans="1:27" ht="15.75" hidden="1">
      <c r="A254" s="21">
        <v>7</v>
      </c>
      <c r="B254" s="50">
        <v>1511000661</v>
      </c>
      <c r="C254" s="50" t="str">
        <f t="shared" ref="C254:C255" si="240">RIGHT(B254,3)</f>
        <v>661</v>
      </c>
      <c r="D254" s="50" t="str">
        <f t="shared" ref="D254:D255" si="241">MID(B254,2,6)</f>
        <v>511000</v>
      </c>
      <c r="E254" s="50" t="str">
        <f t="shared" ref="E254:E255" si="242">LEFT(D254,2)</f>
        <v>51</v>
      </c>
      <c r="F254" s="51" t="s">
        <v>1716</v>
      </c>
      <c r="G254" s="110"/>
      <c r="H254" s="110"/>
      <c r="I254" s="110"/>
      <c r="J254" s="110"/>
      <c r="K254" s="110"/>
      <c r="L254" s="110"/>
      <c r="M254" s="110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101">
        <f t="shared" ref="Y254:Y256" si="243">IF((X254+W254+V254)&lt;&gt;0,1,0)</f>
        <v>0</v>
      </c>
      <c r="Z254" s="52"/>
      <c r="AA254" s="51"/>
    </row>
    <row r="255" spans="1:27" ht="15.75" hidden="1">
      <c r="A255" s="21">
        <v>7</v>
      </c>
      <c r="B255" s="50">
        <v>1513000690</v>
      </c>
      <c r="C255" s="50" t="str">
        <f t="shared" si="240"/>
        <v>690</v>
      </c>
      <c r="D255" s="50" t="str">
        <f t="shared" si="241"/>
        <v>513000</v>
      </c>
      <c r="E255" s="50" t="str">
        <f t="shared" si="242"/>
        <v>51</v>
      </c>
      <c r="F255" s="51" t="s">
        <v>1718</v>
      </c>
      <c r="G255" s="110"/>
      <c r="H255" s="110"/>
      <c r="I255" s="110"/>
      <c r="J255" s="110"/>
      <c r="K255" s="110"/>
      <c r="L255" s="110"/>
      <c r="M255" s="110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>
        <f t="shared" ref="X255:X257" si="244">W255</f>
        <v>0</v>
      </c>
      <c r="Y255" s="101">
        <f t="shared" si="243"/>
        <v>0</v>
      </c>
      <c r="Z255" s="52"/>
      <c r="AA255" s="51"/>
    </row>
    <row r="256" spans="1:27" ht="15.75">
      <c r="A256" s="21">
        <v>14</v>
      </c>
      <c r="B256" s="50">
        <v>1599100910</v>
      </c>
      <c r="C256" s="50" t="str">
        <f>RIGHT(B256,3)</f>
        <v>910</v>
      </c>
      <c r="D256" s="50" t="str">
        <f>MID(B256,2,6)</f>
        <v>599100</v>
      </c>
      <c r="E256" s="50" t="str">
        <f>LEFT(D256,2)</f>
        <v>59</v>
      </c>
      <c r="F256" s="51" t="s">
        <v>583</v>
      </c>
      <c r="G256" s="110">
        <v>0</v>
      </c>
      <c r="H256" s="110">
        <f>G256*-1</f>
        <v>0</v>
      </c>
      <c r="I256" s="110">
        <v>-450000</v>
      </c>
      <c r="J256" s="110">
        <f>I256*-1</f>
        <v>450000</v>
      </c>
      <c r="K256" s="110">
        <v>450000</v>
      </c>
      <c r="L256" s="110">
        <v>0</v>
      </c>
      <c r="M256" s="110">
        <v>0</v>
      </c>
      <c r="N256" s="52">
        <v>0</v>
      </c>
      <c r="O256" s="52"/>
      <c r="P256" s="52">
        <f>N256+O256</f>
        <v>0</v>
      </c>
      <c r="Q256" s="52">
        <f>-VLOOKUP(B:B,'דוח כספי 1-10.17'!A:D,4,0)</f>
        <v>0</v>
      </c>
      <c r="R256" s="52">
        <v>0</v>
      </c>
      <c r="S256" s="52">
        <v>0</v>
      </c>
      <c r="T256" s="52"/>
      <c r="U256" s="52"/>
      <c r="V256" s="52"/>
      <c r="W256" s="52">
        <f>-VLOOKUP(B256,'ביצוע 2019'!$A$3:$H$1103,7,0)</f>
        <v>2808000</v>
      </c>
      <c r="X256" s="52"/>
      <c r="Y256" s="101">
        <f t="shared" si="243"/>
        <v>1</v>
      </c>
      <c r="Z256" s="52"/>
      <c r="AA256" s="206"/>
    </row>
    <row r="257" spans="1:27" ht="15.75" hidden="1">
      <c r="A257" s="21">
        <v>14</v>
      </c>
      <c r="B257" s="50">
        <v>1599900790</v>
      </c>
      <c r="C257" s="50" t="str">
        <f>RIGHT(B257,3)</f>
        <v>790</v>
      </c>
      <c r="D257" s="50" t="str">
        <f>MID(B257,2,6)</f>
        <v>599900</v>
      </c>
      <c r="E257" s="50" t="str">
        <f>LEFT(D257,2)</f>
        <v>59</v>
      </c>
      <c r="F257" s="51" t="s">
        <v>584</v>
      </c>
      <c r="G257" s="110">
        <v>0</v>
      </c>
      <c r="H257" s="110">
        <f>G257*-1</f>
        <v>0</v>
      </c>
      <c r="I257" s="110">
        <v>-3200000</v>
      </c>
      <c r="J257" s="110">
        <f>I257*-1</f>
        <v>3200000</v>
      </c>
      <c r="K257" s="110">
        <v>3200000</v>
      </c>
      <c r="L257" s="110">
        <v>0</v>
      </c>
      <c r="M257" s="110">
        <f>+L257</f>
        <v>0</v>
      </c>
      <c r="N257" s="52">
        <v>0</v>
      </c>
      <c r="O257" s="52"/>
      <c r="P257" s="52">
        <f>N257+O257</f>
        <v>0</v>
      </c>
      <c r="Q257" s="52">
        <f>-VLOOKUP(B:B,'דוח כספי 1-10.17'!A:D,4,0)</f>
        <v>0</v>
      </c>
      <c r="R257" s="52">
        <v>0</v>
      </c>
      <c r="S257" s="52">
        <v>0</v>
      </c>
      <c r="T257" s="52"/>
      <c r="U257" s="52"/>
      <c r="V257" s="52"/>
      <c r="W257" s="52">
        <f>-VLOOKUP(B257,'ביצוע 2019'!$A$3:$H$1103,7,0)</f>
        <v>0</v>
      </c>
      <c r="X257" s="52">
        <f t="shared" si="244"/>
        <v>0</v>
      </c>
      <c r="Y257" s="101">
        <f t="shared" si="190"/>
        <v>0</v>
      </c>
      <c r="Z257" s="52"/>
      <c r="AA257" s="206"/>
    </row>
    <row r="258" spans="1:27" ht="15.75">
      <c r="A258" s="21"/>
      <c r="B258" s="229"/>
      <c r="C258" s="230"/>
      <c r="D258" s="230"/>
      <c r="E258" s="230"/>
      <c r="F258" s="229" t="s">
        <v>714</v>
      </c>
      <c r="G258" s="227"/>
      <c r="H258" s="227">
        <f t="shared" ref="H258:U258" si="245">SUM(H256:H257)</f>
        <v>0</v>
      </c>
      <c r="I258" s="227">
        <f t="shared" si="245"/>
        <v>-3650000</v>
      </c>
      <c r="J258" s="227">
        <f t="shared" si="245"/>
        <v>3650000</v>
      </c>
      <c r="K258" s="227">
        <f t="shared" si="245"/>
        <v>3650000</v>
      </c>
      <c r="L258" s="227">
        <f t="shared" si="245"/>
        <v>0</v>
      </c>
      <c r="M258" s="227">
        <f t="shared" si="245"/>
        <v>0</v>
      </c>
      <c r="N258" s="228">
        <f t="shared" si="245"/>
        <v>0</v>
      </c>
      <c r="O258" s="228">
        <f t="shared" si="245"/>
        <v>0</v>
      </c>
      <c r="P258" s="228">
        <f t="shared" si="245"/>
        <v>0</v>
      </c>
      <c r="Q258" s="228">
        <f t="shared" si="245"/>
        <v>0</v>
      </c>
      <c r="R258" s="228">
        <f t="shared" si="245"/>
        <v>0</v>
      </c>
      <c r="S258" s="228">
        <f t="shared" si="245"/>
        <v>0</v>
      </c>
      <c r="T258" s="228">
        <f t="shared" si="245"/>
        <v>0</v>
      </c>
      <c r="U258" s="228">
        <f t="shared" si="245"/>
        <v>0</v>
      </c>
      <c r="V258" s="228">
        <f>SUM(V254:V257)</f>
        <v>0</v>
      </c>
      <c r="W258" s="228">
        <f t="shared" ref="W258:X258" si="246">SUM(W254:W257)</f>
        <v>2808000</v>
      </c>
      <c r="X258" s="228">
        <f t="shared" si="246"/>
        <v>0</v>
      </c>
      <c r="Y258" s="101">
        <f t="shared" ref="Y258:Y259" si="247">IF((X258+W258+V258)&lt;&gt;0,1,0)</f>
        <v>1</v>
      </c>
      <c r="Z258" s="52"/>
      <c r="AA258" s="206"/>
    </row>
    <row r="259" spans="1:27" s="195" customFormat="1" ht="18.75">
      <c r="A259" s="83"/>
      <c r="B259" s="231"/>
      <c r="C259" s="284" t="s">
        <v>715</v>
      </c>
      <c r="D259" s="285"/>
      <c r="E259" s="285"/>
      <c r="F259" s="286"/>
      <c r="G259" s="232">
        <f>SUM(G4:G258)</f>
        <v>-85894048</v>
      </c>
      <c r="H259" s="232">
        <f t="shared" ref="H259:X259" si="248">H258+H252+H238+H170+H159+H28</f>
        <v>61215055</v>
      </c>
      <c r="I259" s="232">
        <f t="shared" si="248"/>
        <v>-69529554.200000003</v>
      </c>
      <c r="J259" s="232">
        <f t="shared" si="248"/>
        <v>69529554.200000003</v>
      </c>
      <c r="K259" s="232">
        <f t="shared" si="248"/>
        <v>5106278.5799999991</v>
      </c>
      <c r="L259" s="232">
        <f t="shared" si="248"/>
        <v>72330000</v>
      </c>
      <c r="M259" s="232">
        <f t="shared" si="248"/>
        <v>67574400</v>
      </c>
      <c r="N259" s="233">
        <f t="shared" si="248"/>
        <v>83199683</v>
      </c>
      <c r="O259" s="233">
        <f t="shared" si="248"/>
        <v>41728</v>
      </c>
      <c r="P259" s="233">
        <f t="shared" si="248"/>
        <v>81469239.060000002</v>
      </c>
      <c r="Q259" s="233">
        <f t="shared" si="248"/>
        <v>62406347.472000003</v>
      </c>
      <c r="R259" s="233">
        <f t="shared" si="248"/>
        <v>81517844.640000015</v>
      </c>
      <c r="S259" s="233">
        <f t="shared" si="248"/>
        <v>88478249.711999997</v>
      </c>
      <c r="T259" s="233">
        <f t="shared" si="248"/>
        <v>72789685.400000006</v>
      </c>
      <c r="U259" s="233">
        <f t="shared" si="248"/>
        <v>87658874.638181821</v>
      </c>
      <c r="V259" s="233">
        <f t="shared" si="248"/>
        <v>91696839.058181822</v>
      </c>
      <c r="W259" s="233">
        <f t="shared" si="248"/>
        <v>102231376.4965</v>
      </c>
      <c r="X259" s="233">
        <f t="shared" si="248"/>
        <v>100507000.48649999</v>
      </c>
      <c r="Y259" s="101">
        <f t="shared" si="247"/>
        <v>1</v>
      </c>
      <c r="Z259" s="52"/>
      <c r="AA259" s="213"/>
    </row>
    <row r="264" spans="1:27">
      <c r="B264"/>
      <c r="C264"/>
      <c r="D264"/>
      <c r="E264"/>
      <c r="L264" s="214"/>
      <c r="M264" s="214"/>
      <c r="N264"/>
      <c r="O264"/>
      <c r="P264"/>
      <c r="Q264"/>
      <c r="R264"/>
      <c r="S264"/>
      <c r="T264"/>
      <c r="U264"/>
      <c r="V264"/>
      <c r="W264"/>
      <c r="X264"/>
      <c r="Y264"/>
      <c r="Z264"/>
    </row>
  </sheetData>
  <autoFilter ref="A2:AA259" xr:uid="{00000000-0009-0000-0000-000006000000}">
    <filterColumn colId="24">
      <filters blank="1">
        <filter val="1"/>
      </filters>
    </filterColumn>
  </autoFilter>
  <mergeCells count="1">
    <mergeCell ref="C259:F259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headerFooter>
    <oddFooter>&amp;C&amp;"David,רגיל"&amp;P</oddFooter>
  </headerFooter>
  <rowBreaks count="4" manualBreakCount="4">
    <brk id="61" min="1" max="23" man="1"/>
    <brk id="104" min="1" max="23" man="1"/>
    <brk id="170" min="1" max="23" man="1"/>
    <brk id="221" min="1" max="2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filterMode="1">
    <pageSetUpPr fitToPage="1"/>
  </sheetPr>
  <dimension ref="A1:Z521"/>
  <sheetViews>
    <sheetView rightToLeft="1" view="pageBreakPreview" zoomScaleNormal="100" zoomScaleSheetLayoutView="100" workbookViewId="0">
      <pane ySplit="2" topLeftCell="A24" activePane="bottomLeft" state="frozen"/>
      <selection pane="bottomLeft" activeCell="V64" sqref="V64"/>
    </sheetView>
  </sheetViews>
  <sheetFormatPr defaultRowHeight="14.25"/>
  <cols>
    <col min="1" max="1" width="5.25" customWidth="1"/>
    <col min="2" max="2" width="13.5" customWidth="1"/>
    <col min="3" max="3" width="5.375" customWidth="1"/>
    <col min="4" max="4" width="11" customWidth="1"/>
    <col min="5" max="5" width="7.75" customWidth="1"/>
    <col min="6" max="6" width="35.125" bestFit="1" customWidth="1"/>
    <col min="7" max="7" width="15" hidden="1" customWidth="1"/>
    <col min="8" max="8" width="14.75" hidden="1" customWidth="1"/>
    <col min="9" max="9" width="12.25" hidden="1" customWidth="1"/>
    <col min="10" max="11" width="12.125" hidden="1" customWidth="1"/>
    <col min="12" max="12" width="16.875" style="169" hidden="1" customWidth="1"/>
    <col min="13" max="14" width="12.125" style="169" hidden="1" customWidth="1"/>
    <col min="15" max="15" width="10.375" style="169" hidden="1" customWidth="1"/>
    <col min="16" max="19" width="16.875" style="169" hidden="1" customWidth="1"/>
    <col min="20" max="22" width="16.875" style="169" customWidth="1"/>
    <col min="23" max="23" width="9.75" bestFit="1" customWidth="1"/>
    <col min="24" max="24" width="12.125" hidden="1" customWidth="1"/>
    <col min="25" max="25" width="25.25" customWidth="1"/>
  </cols>
  <sheetData>
    <row r="1" spans="1:26" s="2" customFormat="1" ht="33.75" customHeight="1" thickBot="1">
      <c r="A1" s="81"/>
      <c r="B1" s="221" t="s">
        <v>420</v>
      </c>
      <c r="C1" s="162"/>
      <c r="D1" s="162"/>
      <c r="E1" s="162"/>
      <c r="F1" s="162"/>
      <c r="G1" s="96" t="s">
        <v>416</v>
      </c>
      <c r="H1" s="96"/>
      <c r="I1" s="96"/>
      <c r="J1" s="162"/>
      <c r="K1" s="162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62"/>
      <c r="X1" s="162"/>
      <c r="Y1" s="163"/>
    </row>
    <row r="2" spans="1:26" s="98" customFormat="1" ht="47.25">
      <c r="A2" s="97" t="s">
        <v>595</v>
      </c>
      <c r="B2" s="49" t="s">
        <v>0</v>
      </c>
      <c r="C2" s="49" t="s">
        <v>596</v>
      </c>
      <c r="D2" s="49" t="s">
        <v>597</v>
      </c>
      <c r="E2" s="49" t="s">
        <v>598</v>
      </c>
      <c r="F2" s="49" t="s">
        <v>1</v>
      </c>
      <c r="G2" s="49" t="s">
        <v>418</v>
      </c>
      <c r="H2" s="49" t="s">
        <v>419</v>
      </c>
      <c r="I2" s="49" t="s">
        <v>2</v>
      </c>
      <c r="J2" s="154" t="s">
        <v>1618</v>
      </c>
      <c r="K2" s="154" t="s">
        <v>1622</v>
      </c>
      <c r="L2" s="190" t="s">
        <v>1621</v>
      </c>
      <c r="M2" s="190" t="s">
        <v>1661</v>
      </c>
      <c r="N2" s="190" t="s">
        <v>1660</v>
      </c>
      <c r="O2" s="191" t="s">
        <v>1663</v>
      </c>
      <c r="P2" s="191" t="s">
        <v>1664</v>
      </c>
      <c r="Q2" s="191" t="s">
        <v>1665</v>
      </c>
      <c r="R2" s="191" t="s">
        <v>2046</v>
      </c>
      <c r="S2" s="191" t="s">
        <v>2047</v>
      </c>
      <c r="T2" s="191" t="s">
        <v>2002</v>
      </c>
      <c r="U2" s="191" t="s">
        <v>2089</v>
      </c>
      <c r="V2" s="191" t="s">
        <v>2087</v>
      </c>
      <c r="W2" s="154" t="s">
        <v>1632</v>
      </c>
      <c r="X2" s="154"/>
      <c r="Y2" s="49"/>
    </row>
    <row r="3" spans="1:26" s="98" customFormat="1" ht="20.25" hidden="1" customHeight="1">
      <c r="A3" s="99"/>
      <c r="B3" s="200">
        <v>1611200110</v>
      </c>
      <c r="C3" s="100" t="s">
        <v>673</v>
      </c>
      <c r="D3" s="50"/>
      <c r="E3" s="50"/>
      <c r="F3" s="51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101"/>
    </row>
    <row r="4" spans="1:26" s="101" customFormat="1" ht="15.75">
      <c r="A4" s="21">
        <v>16</v>
      </c>
      <c r="B4" s="51">
        <v>1611100110</v>
      </c>
      <c r="C4" s="50" t="str">
        <f t="shared" ref="C4:C32" si="0">RIGHT(B4,3)</f>
        <v>110</v>
      </c>
      <c r="D4" s="50" t="str">
        <f t="shared" ref="D4:D32" si="1">MID(B4,2,6)</f>
        <v>611100</v>
      </c>
      <c r="E4" s="50" t="str">
        <f t="shared" ref="E4:E32" si="2">LEFT(D4,2)</f>
        <v>61</v>
      </c>
      <c r="F4" s="51" t="s">
        <v>3</v>
      </c>
      <c r="G4" s="52">
        <v>620000</v>
      </c>
      <c r="H4" s="52">
        <v>619578.73</v>
      </c>
      <c r="I4" s="52">
        <v>421.27</v>
      </c>
      <c r="J4" s="52">
        <f>1230000-300000</f>
        <v>930000</v>
      </c>
      <c r="K4" s="52">
        <v>670000</v>
      </c>
      <c r="L4" s="52">
        <v>1000000</v>
      </c>
      <c r="M4" s="52"/>
      <c r="N4" s="52">
        <f>M4+L4</f>
        <v>1000000</v>
      </c>
      <c r="O4" s="52">
        <f>VLOOKUP(B:B,'דוח כספי 1-10.17'!A:D,4,0)</f>
        <v>771990.61</v>
      </c>
      <c r="P4" s="52">
        <v>740000</v>
      </c>
      <c r="Q4" s="52">
        <v>750000</v>
      </c>
      <c r="R4" s="52">
        <f>VLOOKUP(B4,'2174'!$A$182:$G$567,6,0)</f>
        <v>941009.67</v>
      </c>
      <c r="S4" s="63">
        <f>950169</f>
        <v>950169</v>
      </c>
      <c r="T4" s="52">
        <f>875000+300000</f>
        <v>1175000</v>
      </c>
      <c r="U4" s="52">
        <f>VLOOKUP(B4,'ביצוע 2019'!$A$3:$H$1103,7,0)</f>
        <v>856539.79</v>
      </c>
      <c r="V4" s="52">
        <v>880000</v>
      </c>
      <c r="W4" s="257">
        <v>2</v>
      </c>
      <c r="X4" s="52"/>
      <c r="Y4" s="52" t="s">
        <v>2130</v>
      </c>
      <c r="Z4" s="101">
        <f>IF((V4+U4+T4)&lt;&gt;0,1,0)</f>
        <v>1</v>
      </c>
    </row>
    <row r="5" spans="1:26" s="101" customFormat="1" ht="15.75">
      <c r="A5" s="21">
        <v>15</v>
      </c>
      <c r="B5" s="51">
        <v>1611100511</v>
      </c>
      <c r="C5" s="50" t="str">
        <f t="shared" si="0"/>
        <v>511</v>
      </c>
      <c r="D5" s="50" t="str">
        <f t="shared" si="1"/>
        <v>611100</v>
      </c>
      <c r="E5" s="50" t="str">
        <f t="shared" si="2"/>
        <v>61</v>
      </c>
      <c r="F5" s="51" t="s">
        <v>4</v>
      </c>
      <c r="G5" s="52">
        <v>12000</v>
      </c>
      <c r="H5" s="52">
        <v>32541</v>
      </c>
      <c r="I5" s="52">
        <v>-20537</v>
      </c>
      <c r="J5" s="52">
        <v>20000</v>
      </c>
      <c r="K5" s="52">
        <v>18000</v>
      </c>
      <c r="L5" s="52">
        <v>36000</v>
      </c>
      <c r="M5" s="52"/>
      <c r="N5" s="52">
        <f t="shared" ref="N5:N59" si="3">M5+L5</f>
        <v>36000</v>
      </c>
      <c r="O5" s="52">
        <f>VLOOKUP(B:B,'דוח כספי 1-10.17'!A:D,4,0)</f>
        <v>19804.29</v>
      </c>
      <c r="P5" s="52">
        <f t="shared" ref="P5:P59" si="4">O5*12/10</f>
        <v>23765.148000000001</v>
      </c>
      <c r="Q5" s="52">
        <v>15000</v>
      </c>
      <c r="R5" s="52">
        <f>VLOOKUP(B5,'2174'!$A$182:$G$567,6,0)</f>
        <v>18485.669999999998</v>
      </c>
      <c r="S5" s="52">
        <f t="shared" ref="S5:S6" si="5">R5*12/11</f>
        <v>20166.185454545452</v>
      </c>
      <c r="T5" s="52">
        <v>25000</v>
      </c>
      <c r="U5" s="52">
        <f>VLOOKUP(B5,'ביצוע 2019'!$A$3:$H$1103,7,0)</f>
        <v>48683.69</v>
      </c>
      <c r="V5" s="52">
        <f>U5-24000-971</f>
        <v>23712.690000000002</v>
      </c>
      <c r="W5" s="52"/>
      <c r="X5" s="52"/>
      <c r="Y5" s="52"/>
      <c r="Z5" s="101">
        <f t="shared" ref="Z5:Z68" si="6">IF((V5+U5+T5)&lt;&gt;0,1,0)</f>
        <v>1</v>
      </c>
    </row>
    <row r="6" spans="1:26" s="101" customFormat="1" ht="15.75" hidden="1">
      <c r="A6" s="21">
        <v>15</v>
      </c>
      <c r="B6" s="51">
        <v>1611100514</v>
      </c>
      <c r="C6" s="50" t="str">
        <f t="shared" si="0"/>
        <v>514</v>
      </c>
      <c r="D6" s="50" t="str">
        <f t="shared" si="1"/>
        <v>611100</v>
      </c>
      <c r="E6" s="50" t="str">
        <f t="shared" si="2"/>
        <v>61</v>
      </c>
      <c r="F6" s="51" t="s">
        <v>5</v>
      </c>
      <c r="G6" s="52">
        <v>15000</v>
      </c>
      <c r="H6" s="52">
        <v>10100</v>
      </c>
      <c r="I6" s="52">
        <v>4906</v>
      </c>
      <c r="J6" s="52">
        <v>15000</v>
      </c>
      <c r="K6" s="52">
        <v>10000</v>
      </c>
      <c r="L6" s="52">
        <v>10000</v>
      </c>
      <c r="M6" s="52"/>
      <c r="N6" s="52">
        <f t="shared" si="3"/>
        <v>10000</v>
      </c>
      <c r="O6" s="52">
        <f>VLOOKUP(B:B,'דוח כספי 1-10.17'!A:D,4,0)</f>
        <v>0</v>
      </c>
      <c r="P6" s="52">
        <f t="shared" si="4"/>
        <v>0</v>
      </c>
      <c r="Q6" s="52">
        <f>P6</f>
        <v>0</v>
      </c>
      <c r="R6" s="52">
        <f>VLOOKUP(B6,'2174'!$A$182:$G$567,6,0)</f>
        <v>0</v>
      </c>
      <c r="S6" s="52">
        <f t="shared" si="5"/>
        <v>0</v>
      </c>
      <c r="T6" s="52">
        <v>0</v>
      </c>
      <c r="U6" s="52">
        <f>VLOOKUP(B6,'ביצוע 2019'!$A$3:$H$1103,7,0)</f>
        <v>0</v>
      </c>
      <c r="V6" s="52">
        <f t="shared" ref="V6:V12" si="7">U6</f>
        <v>0</v>
      </c>
      <c r="W6" s="52"/>
      <c r="X6" s="52"/>
      <c r="Y6" s="52"/>
      <c r="Z6" s="101">
        <f t="shared" si="6"/>
        <v>0</v>
      </c>
    </row>
    <row r="7" spans="1:26" s="101" customFormat="1" ht="15.75">
      <c r="A7" s="21">
        <v>15</v>
      </c>
      <c r="B7" s="51">
        <v>1611100521</v>
      </c>
      <c r="C7" s="50" t="str">
        <f t="shared" si="0"/>
        <v>521</v>
      </c>
      <c r="D7" s="50" t="str">
        <f t="shared" si="1"/>
        <v>611100</v>
      </c>
      <c r="E7" s="50" t="str">
        <f t="shared" si="2"/>
        <v>61</v>
      </c>
      <c r="F7" s="51" t="s">
        <v>6</v>
      </c>
      <c r="G7" s="52">
        <v>0</v>
      </c>
      <c r="H7" s="52">
        <v>0</v>
      </c>
      <c r="I7" s="52">
        <v>0</v>
      </c>
      <c r="J7" s="52">
        <v>30000</v>
      </c>
      <c r="K7" s="52">
        <v>4000</v>
      </c>
      <c r="L7" s="52">
        <v>30000</v>
      </c>
      <c r="M7" s="52"/>
      <c r="N7" s="52">
        <f t="shared" si="3"/>
        <v>30000</v>
      </c>
      <c r="O7" s="52">
        <f>VLOOKUP(B:B,'דוח כספי 1-10.17'!A:D,4,0)</f>
        <v>1700</v>
      </c>
      <c r="P7" s="52">
        <f t="shared" si="4"/>
        <v>2040</v>
      </c>
      <c r="Q7" s="52">
        <v>5000</v>
      </c>
      <c r="R7" s="52">
        <f>VLOOKUP(B7,'2174'!$A$182:$G$567,6,0)</f>
        <v>3300</v>
      </c>
      <c r="S7" s="52">
        <v>3300</v>
      </c>
      <c r="T7" s="52">
        <v>5000</v>
      </c>
      <c r="U7" s="52">
        <f>VLOOKUP(B7,'ביצוע 2019'!$A$3:$H$1103,7,0)</f>
        <v>71945</v>
      </c>
      <c r="V7" s="52">
        <f>U7-20000</f>
        <v>51945</v>
      </c>
      <c r="W7" s="52"/>
      <c r="X7" s="52"/>
      <c r="Y7" s="52"/>
      <c r="Z7" s="101">
        <f t="shared" si="6"/>
        <v>1</v>
      </c>
    </row>
    <row r="8" spans="1:26" s="101" customFormat="1" ht="15.75">
      <c r="A8" s="21">
        <v>15</v>
      </c>
      <c r="B8" s="51">
        <v>1611100522</v>
      </c>
      <c r="C8" s="50" t="str">
        <f t="shared" si="0"/>
        <v>522</v>
      </c>
      <c r="D8" s="50" t="str">
        <f t="shared" si="1"/>
        <v>611100</v>
      </c>
      <c r="E8" s="50" t="str">
        <f t="shared" si="2"/>
        <v>61</v>
      </c>
      <c r="F8" s="51" t="s">
        <v>7</v>
      </c>
      <c r="G8" s="52">
        <v>0</v>
      </c>
      <c r="H8" s="52">
        <v>0</v>
      </c>
      <c r="I8" s="52">
        <v>0</v>
      </c>
      <c r="J8" s="52">
        <v>0</v>
      </c>
      <c r="K8" s="52">
        <f t="shared" ref="K8:K61" si="8">+J8</f>
        <v>0</v>
      </c>
      <c r="L8" s="52">
        <v>0</v>
      </c>
      <c r="M8" s="52"/>
      <c r="N8" s="52">
        <f t="shared" si="3"/>
        <v>0</v>
      </c>
      <c r="O8" s="52">
        <f>VLOOKUP(B:B,'דוח כספי 1-10.17'!A:D,4,0)</f>
        <v>0</v>
      </c>
      <c r="P8" s="52">
        <f t="shared" si="4"/>
        <v>0</v>
      </c>
      <c r="Q8" s="52">
        <f>P8</f>
        <v>0</v>
      </c>
      <c r="R8" s="52"/>
      <c r="S8" s="52"/>
      <c r="T8" s="52">
        <v>3000</v>
      </c>
      <c r="U8" s="52">
        <f>VLOOKUP(B8,'ביצוע 2019'!$A$3:$H$1103,7,0)</f>
        <v>0</v>
      </c>
      <c r="V8" s="52">
        <f t="shared" si="7"/>
        <v>0</v>
      </c>
      <c r="W8" s="52"/>
      <c r="X8" s="52"/>
      <c r="Y8" s="52"/>
      <c r="Z8" s="101">
        <f t="shared" si="6"/>
        <v>1</v>
      </c>
    </row>
    <row r="9" spans="1:26" s="101" customFormat="1" ht="15.75">
      <c r="A9" s="21">
        <v>15</v>
      </c>
      <c r="B9" s="51">
        <v>1611100523</v>
      </c>
      <c r="C9" s="50" t="str">
        <f t="shared" si="0"/>
        <v>523</v>
      </c>
      <c r="D9" s="50" t="str">
        <f t="shared" si="1"/>
        <v>611100</v>
      </c>
      <c r="E9" s="50" t="str">
        <f t="shared" si="2"/>
        <v>61</v>
      </c>
      <c r="F9" s="51" t="s">
        <v>8</v>
      </c>
      <c r="G9" s="52">
        <v>0</v>
      </c>
      <c r="H9" s="52">
        <v>0</v>
      </c>
      <c r="I9" s="52">
        <v>0</v>
      </c>
      <c r="J9" s="52">
        <v>2000</v>
      </c>
      <c r="K9" s="52">
        <f t="shared" si="8"/>
        <v>2000</v>
      </c>
      <c r="L9" s="52">
        <v>2000</v>
      </c>
      <c r="M9" s="52"/>
      <c r="N9" s="52">
        <f t="shared" si="3"/>
        <v>2000</v>
      </c>
      <c r="O9" s="52">
        <f>VLOOKUP(B:B,'דוח כספי 1-10.17'!A:D,4,0)</f>
        <v>0</v>
      </c>
      <c r="P9" s="52">
        <f t="shared" si="4"/>
        <v>0</v>
      </c>
      <c r="Q9" s="52">
        <f>P9</f>
        <v>0</v>
      </c>
      <c r="R9" s="52">
        <f>VLOOKUP(B9,'2174'!$A$182:$G$567,6,0)</f>
        <v>2399</v>
      </c>
      <c r="S9" s="52">
        <v>2399</v>
      </c>
      <c r="T9" s="52">
        <v>2500</v>
      </c>
      <c r="U9" s="52">
        <f>VLOOKUP(B9,'ביצוע 2019'!$A$3:$H$1103,7,0)</f>
        <v>0</v>
      </c>
      <c r="V9" s="52">
        <f t="shared" si="7"/>
        <v>0</v>
      </c>
      <c r="W9" s="52"/>
      <c r="X9" s="52"/>
      <c r="Y9" s="52"/>
      <c r="Z9" s="101">
        <f t="shared" si="6"/>
        <v>1</v>
      </c>
    </row>
    <row r="10" spans="1:26" s="101" customFormat="1" ht="15.75" hidden="1">
      <c r="A10" s="21">
        <v>15</v>
      </c>
      <c r="B10" s="51">
        <v>1611100530</v>
      </c>
      <c r="C10" s="50" t="str">
        <f t="shared" si="0"/>
        <v>530</v>
      </c>
      <c r="D10" s="50" t="str">
        <f t="shared" si="1"/>
        <v>611100</v>
      </c>
      <c r="E10" s="50" t="str">
        <f t="shared" si="2"/>
        <v>61</v>
      </c>
      <c r="F10" s="51" t="s">
        <v>9</v>
      </c>
      <c r="G10" s="52">
        <v>50000</v>
      </c>
      <c r="H10" s="52">
        <v>64780.52</v>
      </c>
      <c r="I10" s="52">
        <v>-14780.52</v>
      </c>
      <c r="J10" s="52">
        <v>60000</v>
      </c>
      <c r="K10" s="52">
        <f t="shared" si="8"/>
        <v>60000</v>
      </c>
      <c r="L10" s="52">
        <v>60000</v>
      </c>
      <c r="M10" s="52"/>
      <c r="N10" s="52">
        <f t="shared" si="3"/>
        <v>60000</v>
      </c>
      <c r="O10" s="52">
        <f>VLOOKUP(B:B,'דוח כספי 1-10.17'!A:D,4,0)</f>
        <v>53262.400000000001</v>
      </c>
      <c r="P10" s="52">
        <f t="shared" si="4"/>
        <v>63914.880000000005</v>
      </c>
      <c r="Q10" s="52">
        <v>0</v>
      </c>
      <c r="R10" s="52">
        <f>VLOOKUP(B10,'2174'!$A$182:$G$567,6,0)</f>
        <v>430.78</v>
      </c>
      <c r="S10" s="52">
        <v>0</v>
      </c>
      <c r="T10" s="52">
        <v>0</v>
      </c>
      <c r="U10" s="52"/>
      <c r="V10" s="52">
        <f t="shared" si="7"/>
        <v>0</v>
      </c>
      <c r="W10" s="52"/>
      <c r="X10" s="52"/>
      <c r="Y10" s="52"/>
      <c r="Z10" s="101">
        <f t="shared" si="6"/>
        <v>0</v>
      </c>
    </row>
    <row r="11" spans="1:26" s="101" customFormat="1" ht="15.75" hidden="1">
      <c r="A11" s="21">
        <v>15</v>
      </c>
      <c r="B11" s="51">
        <v>1611100531</v>
      </c>
      <c r="C11" s="50" t="str">
        <f t="shared" si="0"/>
        <v>531</v>
      </c>
      <c r="D11" s="50" t="str">
        <f t="shared" si="1"/>
        <v>611100</v>
      </c>
      <c r="E11" s="50" t="str">
        <f t="shared" si="2"/>
        <v>61</v>
      </c>
      <c r="F11" s="51" t="s">
        <v>10</v>
      </c>
      <c r="G11" s="52">
        <v>25000</v>
      </c>
      <c r="H11" s="52">
        <v>3087.89</v>
      </c>
      <c r="I11" s="52">
        <v>21918.11</v>
      </c>
      <c r="J11" s="52">
        <v>35000</v>
      </c>
      <c r="K11" s="52">
        <f t="shared" si="8"/>
        <v>35000</v>
      </c>
      <c r="L11" s="52">
        <v>35000</v>
      </c>
      <c r="M11" s="52"/>
      <c r="N11" s="52">
        <f t="shared" si="3"/>
        <v>35000</v>
      </c>
      <c r="O11" s="52">
        <f>VLOOKUP(B:B,'דוח כספי 1-10.17'!A:D,4,0)</f>
        <v>12729.79</v>
      </c>
      <c r="P11" s="52">
        <f t="shared" si="4"/>
        <v>15275.748000000001</v>
      </c>
      <c r="Q11" s="52">
        <v>0</v>
      </c>
      <c r="R11" s="52">
        <f>VLOOKUP(B11,'2174'!$A$182:$G$567,6,0)</f>
        <v>0</v>
      </c>
      <c r="S11" s="52">
        <f t="shared" ref="S11" si="9">R11*12/11</f>
        <v>0</v>
      </c>
      <c r="T11" s="52">
        <v>0</v>
      </c>
      <c r="U11" s="52">
        <f>VLOOKUP(B11,'ביצוע 2019'!$A$3:$H$1103,7,0)</f>
        <v>0</v>
      </c>
      <c r="V11" s="52">
        <f t="shared" si="7"/>
        <v>0</v>
      </c>
      <c r="W11" s="52"/>
      <c r="X11" s="52"/>
      <c r="Y11" s="52"/>
      <c r="Z11" s="101">
        <f t="shared" si="6"/>
        <v>0</v>
      </c>
    </row>
    <row r="12" spans="1:26" s="101" customFormat="1" ht="15.75">
      <c r="A12" s="21">
        <v>15</v>
      </c>
      <c r="B12" s="51">
        <v>1611100560</v>
      </c>
      <c r="C12" s="50" t="str">
        <f t="shared" si="0"/>
        <v>560</v>
      </c>
      <c r="D12" s="50" t="str">
        <f t="shared" si="1"/>
        <v>611100</v>
      </c>
      <c r="E12" s="50" t="str">
        <f t="shared" si="2"/>
        <v>61</v>
      </c>
      <c r="F12" s="51" t="s">
        <v>14</v>
      </c>
      <c r="G12" s="52">
        <v>0</v>
      </c>
      <c r="H12" s="52">
        <v>8273.3700000000008</v>
      </c>
      <c r="I12" s="52">
        <v>-8273.3700000000008</v>
      </c>
      <c r="J12" s="52">
        <v>8000</v>
      </c>
      <c r="K12" s="52">
        <f t="shared" si="8"/>
        <v>8000</v>
      </c>
      <c r="L12" s="52">
        <v>8000</v>
      </c>
      <c r="M12" s="52"/>
      <c r="N12" s="52">
        <f t="shared" si="3"/>
        <v>8000</v>
      </c>
      <c r="O12" s="52">
        <f>VLOOKUP(B:B,'דוח כספי 1-10.17'!A:D,4,0)</f>
        <v>9371</v>
      </c>
      <c r="P12" s="52">
        <f t="shared" si="4"/>
        <v>11245.2</v>
      </c>
      <c r="Q12" s="52">
        <v>12000</v>
      </c>
      <c r="R12" s="52">
        <f>VLOOKUP(B12,'2174'!$A$182:$G$567,6,0)</f>
        <v>2938</v>
      </c>
      <c r="S12" s="52">
        <f>R12*12/11</f>
        <v>3205.090909090909</v>
      </c>
      <c r="T12" s="52">
        <v>20000</v>
      </c>
      <c r="U12" s="52">
        <f>VLOOKUP(B12,'ביצוע 2019'!$A$3:$H$1103,7,0)</f>
        <v>18241.3</v>
      </c>
      <c r="V12" s="52">
        <f t="shared" si="7"/>
        <v>18241.3</v>
      </c>
      <c r="W12" s="52"/>
      <c r="X12" s="52"/>
      <c r="Y12" s="52"/>
      <c r="Z12" s="101">
        <f t="shared" si="6"/>
        <v>1</v>
      </c>
    </row>
    <row r="13" spans="1:26" s="101" customFormat="1" ht="15.75">
      <c r="A13" s="21">
        <v>15</v>
      </c>
      <c r="B13" s="51">
        <v>1611100780</v>
      </c>
      <c r="C13" s="50" t="str">
        <f t="shared" si="0"/>
        <v>780</v>
      </c>
      <c r="D13" s="50" t="str">
        <f t="shared" si="1"/>
        <v>611100</v>
      </c>
      <c r="E13" s="50" t="str">
        <f t="shared" si="2"/>
        <v>61</v>
      </c>
      <c r="F13" s="51" t="s">
        <v>18</v>
      </c>
      <c r="G13" s="52">
        <v>7000</v>
      </c>
      <c r="H13" s="52">
        <v>14180.29</v>
      </c>
      <c r="I13" s="52">
        <v>-7181.29</v>
      </c>
      <c r="J13" s="52">
        <v>10000</v>
      </c>
      <c r="K13" s="52">
        <v>10000</v>
      </c>
      <c r="L13" s="52">
        <v>10000</v>
      </c>
      <c r="M13" s="52"/>
      <c r="N13" s="52">
        <f t="shared" si="3"/>
        <v>10000</v>
      </c>
      <c r="O13" s="52">
        <f>VLOOKUP(B:B,'דוח כספי 1-10.17'!A:D,4,0)</f>
        <v>9821.4</v>
      </c>
      <c r="P13" s="52">
        <f t="shared" si="4"/>
        <v>11785.679999999998</v>
      </c>
      <c r="Q13" s="52">
        <v>15000</v>
      </c>
      <c r="R13" s="52">
        <f>VLOOKUP(B13,'2174'!$A$182:$G$567,6,0)</f>
        <v>9898.4500000000007</v>
      </c>
      <c r="S13" s="52">
        <f>R13*12/11</f>
        <v>10798.309090909092</v>
      </c>
      <c r="T13" s="52">
        <v>15000</v>
      </c>
      <c r="U13" s="52">
        <f>VLOOKUP(B13,'ביצוע 2019'!$A$3:$H$1103,7,0)</f>
        <v>13236</v>
      </c>
      <c r="V13" s="52">
        <f>U13-554</f>
        <v>12682</v>
      </c>
      <c r="W13" s="52"/>
      <c r="X13" s="52"/>
      <c r="Y13" s="52"/>
      <c r="Z13" s="101">
        <f t="shared" si="6"/>
        <v>1</v>
      </c>
    </row>
    <row r="14" spans="1:26" s="101" customFormat="1" ht="15.75">
      <c r="A14" s="21">
        <v>16</v>
      </c>
      <c r="B14" s="51">
        <v>1611110110</v>
      </c>
      <c r="C14" s="50" t="str">
        <f t="shared" si="0"/>
        <v>110</v>
      </c>
      <c r="D14" s="50" t="str">
        <f t="shared" si="1"/>
        <v>611110</v>
      </c>
      <c r="E14" s="50" t="str">
        <f t="shared" si="2"/>
        <v>61</v>
      </c>
      <c r="F14" s="51" t="s">
        <v>20</v>
      </c>
      <c r="G14" s="52">
        <v>0</v>
      </c>
      <c r="H14" s="52">
        <v>56295</v>
      </c>
      <c r="I14" s="52">
        <v>0</v>
      </c>
      <c r="J14" s="52">
        <v>257000</v>
      </c>
      <c r="K14" s="52">
        <v>275000</v>
      </c>
      <c r="L14" s="52">
        <v>0</v>
      </c>
      <c r="M14" s="52"/>
      <c r="N14" s="52">
        <f t="shared" si="3"/>
        <v>0</v>
      </c>
      <c r="O14" s="52">
        <f>VLOOKUP(B:B,'דוח כספי 1-10.17'!A:D,4,0)</f>
        <v>0</v>
      </c>
      <c r="P14" s="52">
        <v>330000</v>
      </c>
      <c r="Q14" s="52">
        <v>333000</v>
      </c>
      <c r="R14" s="52">
        <f>VLOOKUP(B14,'2174'!$A$182:$G$567,6,0)</f>
        <v>0</v>
      </c>
      <c r="S14" s="63">
        <f>367245</f>
        <v>367245</v>
      </c>
      <c r="T14" s="52">
        <v>405000</v>
      </c>
      <c r="U14" s="52">
        <f>VLOOKUP(B14,'ביצוע 2019'!$A$3:$H$1103,7,0)</f>
        <v>354084.84</v>
      </c>
      <c r="V14" s="52">
        <v>365000</v>
      </c>
      <c r="W14" s="257">
        <v>2</v>
      </c>
      <c r="X14" s="52"/>
      <c r="Y14" s="52"/>
      <c r="Z14" s="101">
        <f t="shared" si="6"/>
        <v>1</v>
      </c>
    </row>
    <row r="15" spans="1:26" s="101" customFormat="1" ht="15.75">
      <c r="A15" s="21"/>
      <c r="B15" s="234"/>
      <c r="C15" s="235"/>
      <c r="D15" s="235"/>
      <c r="E15" s="235"/>
      <c r="F15" s="234" t="s">
        <v>1952</v>
      </c>
      <c r="G15" s="236"/>
      <c r="H15" s="236"/>
      <c r="I15" s="236"/>
      <c r="J15" s="236"/>
      <c r="K15" s="236"/>
      <c r="L15" s="236">
        <f>SUM(L4:L14)</f>
        <v>1191000</v>
      </c>
      <c r="M15" s="236"/>
      <c r="N15" s="236">
        <f t="shared" ref="N15:W15" si="10">SUM(N4:N14)</f>
        <v>1191000</v>
      </c>
      <c r="O15" s="236">
        <f t="shared" si="10"/>
        <v>878679.49000000011</v>
      </c>
      <c r="P15" s="236">
        <f t="shared" si="10"/>
        <v>1198026.656</v>
      </c>
      <c r="Q15" s="236">
        <f t="shared" si="10"/>
        <v>1130000</v>
      </c>
      <c r="R15" s="236">
        <f t="shared" si="10"/>
        <v>978461.57000000007</v>
      </c>
      <c r="S15" s="236">
        <f t="shared" si="10"/>
        <v>1357282.5854545454</v>
      </c>
      <c r="T15" s="236">
        <f t="shared" si="10"/>
        <v>1650500</v>
      </c>
      <c r="U15" s="236">
        <f t="shared" si="10"/>
        <v>1362730.62</v>
      </c>
      <c r="V15" s="236">
        <f t="shared" si="10"/>
        <v>1351580.99</v>
      </c>
      <c r="W15" s="236">
        <f t="shared" si="10"/>
        <v>4</v>
      </c>
      <c r="X15" s="52"/>
      <c r="Y15" s="52"/>
      <c r="Z15" s="101">
        <f t="shared" si="6"/>
        <v>1</v>
      </c>
    </row>
    <row r="16" spans="1:26" s="101" customFormat="1" ht="15.75">
      <c r="A16" s="21">
        <v>15</v>
      </c>
      <c r="B16" s="51">
        <v>1612000523</v>
      </c>
      <c r="C16" s="50" t="str">
        <f t="shared" si="0"/>
        <v>523</v>
      </c>
      <c r="D16" s="50" t="str">
        <f t="shared" si="1"/>
        <v>612000</v>
      </c>
      <c r="E16" s="50" t="str">
        <f t="shared" si="2"/>
        <v>61</v>
      </c>
      <c r="F16" s="51" t="s">
        <v>21</v>
      </c>
      <c r="G16" s="52">
        <v>0</v>
      </c>
      <c r="H16" s="52">
        <v>4600</v>
      </c>
      <c r="I16" s="52">
        <v>-4600</v>
      </c>
      <c r="J16" s="52">
        <v>2000</v>
      </c>
      <c r="K16" s="52">
        <f t="shared" si="8"/>
        <v>2000</v>
      </c>
      <c r="L16" s="52">
        <v>2000</v>
      </c>
      <c r="M16" s="52"/>
      <c r="N16" s="52">
        <f t="shared" si="3"/>
        <v>2000</v>
      </c>
      <c r="O16" s="52">
        <f>VLOOKUP(B:B,'דוח כספי 1-10.17'!A:D,4,0)</f>
        <v>1150</v>
      </c>
      <c r="P16" s="52">
        <f t="shared" si="4"/>
        <v>1380</v>
      </c>
      <c r="Q16" s="52">
        <v>1400</v>
      </c>
      <c r="R16" s="52">
        <f>VLOOKUP(B16,'2174'!$A$182:$G$567,6,0)</f>
        <v>1200</v>
      </c>
      <c r="S16" s="52">
        <v>1200</v>
      </c>
      <c r="T16" s="52">
        <v>1200</v>
      </c>
      <c r="U16" s="52">
        <f>VLOOKUP(B16,'ביצוע 2019'!$A$3:$H$1103,7,0)</f>
        <v>1200</v>
      </c>
      <c r="V16" s="52">
        <f t="shared" ref="V16:V32" si="11">U16</f>
        <v>1200</v>
      </c>
      <c r="W16" s="52"/>
      <c r="X16" s="52"/>
      <c r="Y16" s="52"/>
      <c r="Z16" s="101">
        <f t="shared" si="6"/>
        <v>1</v>
      </c>
    </row>
    <row r="17" spans="1:26" s="101" customFormat="1" ht="15.6" customHeight="1">
      <c r="A17" s="21">
        <v>15</v>
      </c>
      <c r="B17" s="51">
        <v>1612000550</v>
      </c>
      <c r="C17" s="50" t="str">
        <f t="shared" si="0"/>
        <v>550</v>
      </c>
      <c r="D17" s="50" t="str">
        <f t="shared" si="1"/>
        <v>612000</v>
      </c>
      <c r="E17" s="50" t="str">
        <f t="shared" si="2"/>
        <v>61</v>
      </c>
      <c r="F17" s="51" t="s">
        <v>22</v>
      </c>
      <c r="G17" s="52">
        <v>3000</v>
      </c>
      <c r="H17" s="52">
        <v>8378</v>
      </c>
      <c r="I17" s="52">
        <v>-5377</v>
      </c>
      <c r="J17" s="52">
        <v>3000</v>
      </c>
      <c r="K17" s="52">
        <f t="shared" si="8"/>
        <v>3000</v>
      </c>
      <c r="L17" s="52">
        <v>0</v>
      </c>
      <c r="M17" s="52"/>
      <c r="N17" s="52">
        <f t="shared" si="3"/>
        <v>0</v>
      </c>
      <c r="O17" s="52">
        <f>VLOOKUP(B:B,'דוח כספי 1-10.17'!A:D,4,0)</f>
        <v>0</v>
      </c>
      <c r="P17" s="52">
        <f t="shared" si="4"/>
        <v>0</v>
      </c>
      <c r="Q17" s="52">
        <f>P17</f>
        <v>0</v>
      </c>
      <c r="R17" s="52"/>
      <c r="S17" s="52">
        <f t="shared" ref="S17:S18" si="12">R17*12/11</f>
        <v>0</v>
      </c>
      <c r="T17" s="52">
        <v>1500</v>
      </c>
      <c r="U17" s="52">
        <f>VLOOKUP(B17,'ביצוע 2019'!$A$3:$H$1103,7,0)</f>
        <v>0</v>
      </c>
      <c r="V17" s="52">
        <f t="shared" si="11"/>
        <v>0</v>
      </c>
      <c r="W17" s="52"/>
      <c r="X17" s="52"/>
      <c r="Y17" s="52"/>
      <c r="Z17" s="101">
        <f t="shared" si="6"/>
        <v>1</v>
      </c>
    </row>
    <row r="18" spans="1:26" s="101" customFormat="1" ht="15.6" customHeight="1">
      <c r="A18" s="21">
        <v>15</v>
      </c>
      <c r="B18" s="51">
        <v>1612000930</v>
      </c>
      <c r="C18" s="50" t="str">
        <f t="shared" si="0"/>
        <v>930</v>
      </c>
      <c r="D18" s="50" t="str">
        <f t="shared" si="1"/>
        <v>612000</v>
      </c>
      <c r="E18" s="50" t="str">
        <f t="shared" si="2"/>
        <v>61</v>
      </c>
      <c r="F18" s="51" t="s">
        <v>23</v>
      </c>
      <c r="G18" s="52">
        <v>0</v>
      </c>
      <c r="H18" s="52">
        <v>1298</v>
      </c>
      <c r="I18" s="52">
        <v>-1298</v>
      </c>
      <c r="J18" s="52">
        <v>0</v>
      </c>
      <c r="K18" s="52">
        <f t="shared" si="8"/>
        <v>0</v>
      </c>
      <c r="L18" s="52">
        <v>0</v>
      </c>
      <c r="M18" s="52"/>
      <c r="N18" s="52">
        <f t="shared" si="3"/>
        <v>0</v>
      </c>
      <c r="O18" s="52">
        <f>VLOOKUP(B:B,'דוח כספי 1-10.17'!A:D,4,0)</f>
        <v>0</v>
      </c>
      <c r="P18" s="52">
        <f t="shared" si="4"/>
        <v>0</v>
      </c>
      <c r="Q18" s="52">
        <v>3000</v>
      </c>
      <c r="R18" s="52"/>
      <c r="S18" s="52">
        <f t="shared" si="12"/>
        <v>0</v>
      </c>
      <c r="T18" s="52">
        <v>1500</v>
      </c>
      <c r="U18" s="52">
        <f>VLOOKUP(B18,'ביצוע 2019'!$A$3:$H$1103,7,0)</f>
        <v>0</v>
      </c>
      <c r="V18" s="52">
        <f t="shared" si="11"/>
        <v>0</v>
      </c>
      <c r="W18" s="52"/>
      <c r="X18" s="52"/>
      <c r="Y18" s="52"/>
      <c r="Z18" s="101">
        <f t="shared" si="6"/>
        <v>1</v>
      </c>
    </row>
    <row r="19" spans="1:26" s="101" customFormat="1" ht="15.75">
      <c r="A19" s="21">
        <v>16</v>
      </c>
      <c r="B19" s="51">
        <v>1613000110</v>
      </c>
      <c r="C19" s="50" t="str">
        <f t="shared" si="0"/>
        <v>110</v>
      </c>
      <c r="D19" s="50" t="str">
        <f t="shared" si="1"/>
        <v>613000</v>
      </c>
      <c r="E19" s="50" t="str">
        <f t="shared" si="2"/>
        <v>61</v>
      </c>
      <c r="F19" s="51" t="s">
        <v>24</v>
      </c>
      <c r="G19" s="52">
        <v>726000</v>
      </c>
      <c r="H19" s="52">
        <f>648975.28-H14</f>
        <v>592680.28</v>
      </c>
      <c r="I19" s="52">
        <v>77026.720000000001</v>
      </c>
      <c r="J19" s="52">
        <v>720000</v>
      </c>
      <c r="K19" s="52">
        <v>790000</v>
      </c>
      <c r="L19" s="52">
        <v>740000</v>
      </c>
      <c r="M19" s="52"/>
      <c r="N19" s="52">
        <f t="shared" si="3"/>
        <v>740000</v>
      </c>
      <c r="O19" s="52">
        <f>VLOOKUP(B:B,'דוח כספי 1-10.17'!A:D,4,0)</f>
        <v>532110.85</v>
      </c>
      <c r="P19" s="52">
        <v>680000</v>
      </c>
      <c r="Q19" s="52">
        <v>683000</v>
      </c>
      <c r="R19" s="52">
        <f>VLOOKUP(B19,'2174'!$A$182:$G$567,6,0)</f>
        <v>562646.23</v>
      </c>
      <c r="S19" s="63">
        <f>VLOOKUP(B19,'2174'!$A$575:$D$697,4,0)-134443</f>
        <v>612557.43999999994</v>
      </c>
      <c r="T19" s="52">
        <f>S19*1.0217</f>
        <v>625849.93644800002</v>
      </c>
      <c r="U19" s="52">
        <f>VLOOKUP(B19,'ביצוע 2019'!$A$3:$H$1103,7,0)</f>
        <v>732737.76</v>
      </c>
      <c r="V19" s="52">
        <v>755000</v>
      </c>
      <c r="W19" s="257">
        <v>2</v>
      </c>
      <c r="X19" s="52"/>
      <c r="Y19" s="52"/>
      <c r="Z19" s="101">
        <f t="shared" si="6"/>
        <v>1</v>
      </c>
    </row>
    <row r="20" spans="1:26" s="101" customFormat="1" ht="15.75">
      <c r="A20" s="21">
        <v>16</v>
      </c>
      <c r="B20" s="51">
        <v>1613100110</v>
      </c>
      <c r="C20" s="54">
        <v>110</v>
      </c>
      <c r="D20" s="54">
        <v>613100</v>
      </c>
      <c r="E20" s="54">
        <v>61</v>
      </c>
      <c r="F20" s="55" t="s">
        <v>2132</v>
      </c>
      <c r="G20" s="52"/>
      <c r="H20" s="52"/>
      <c r="I20" s="52"/>
      <c r="J20" s="52"/>
      <c r="K20" s="52"/>
      <c r="L20" s="56">
        <v>0</v>
      </c>
      <c r="M20" s="52"/>
      <c r="N20" s="52">
        <f t="shared" si="3"/>
        <v>0</v>
      </c>
      <c r="O20" s="52">
        <f>VLOOKUP(B:B,'דוח כספי 1-10.17'!A:D,4,0)</f>
        <v>0</v>
      </c>
      <c r="P20" s="56">
        <f t="shared" si="4"/>
        <v>0</v>
      </c>
      <c r="Q20" s="56">
        <f>P20</f>
        <v>0</v>
      </c>
      <c r="R20" s="56"/>
      <c r="S20" s="56">
        <f>VLOOKUP(B20,'2174'!$A$575:$D$697,4,0)</f>
        <v>0</v>
      </c>
      <c r="T20" s="56">
        <f t="shared" ref="T20:T21" si="13">S20*1.0217</f>
        <v>0</v>
      </c>
      <c r="U20" s="56">
        <f>VLOOKUP(B20,'ביצוע 2019'!$A$3:$H$1103,7,0)</f>
        <v>0</v>
      </c>
      <c r="V20" s="56">
        <v>220000</v>
      </c>
      <c r="W20" s="258">
        <v>1</v>
      </c>
      <c r="X20" s="52"/>
      <c r="Y20" s="52"/>
      <c r="Z20" s="101">
        <f t="shared" si="6"/>
        <v>1</v>
      </c>
    </row>
    <row r="21" spans="1:26" s="101" customFormat="1" ht="15.75" hidden="1">
      <c r="A21" s="21">
        <v>16</v>
      </c>
      <c r="B21" s="51">
        <v>1613000320</v>
      </c>
      <c r="C21" s="54" t="str">
        <f t="shared" si="0"/>
        <v>320</v>
      </c>
      <c r="D21" s="54" t="str">
        <f t="shared" si="1"/>
        <v>613000</v>
      </c>
      <c r="E21" s="54" t="str">
        <f t="shared" si="2"/>
        <v>61</v>
      </c>
      <c r="F21" s="55" t="s">
        <v>25</v>
      </c>
      <c r="G21" s="52">
        <v>0</v>
      </c>
      <c r="H21" s="52">
        <v>0</v>
      </c>
      <c r="I21" s="52">
        <v>0</v>
      </c>
      <c r="J21" s="52">
        <v>0</v>
      </c>
      <c r="K21" s="52">
        <f t="shared" si="8"/>
        <v>0</v>
      </c>
      <c r="L21" s="56">
        <v>0</v>
      </c>
      <c r="M21" s="52"/>
      <c r="N21" s="52">
        <f t="shared" si="3"/>
        <v>0</v>
      </c>
      <c r="O21" s="52">
        <f>VLOOKUP(B:B,'דוח כספי 1-10.17'!A:D,4,0)</f>
        <v>0</v>
      </c>
      <c r="P21" s="56">
        <f t="shared" si="4"/>
        <v>0</v>
      </c>
      <c r="Q21" s="56">
        <f>P21</f>
        <v>0</v>
      </c>
      <c r="R21" s="56"/>
      <c r="S21" s="56">
        <f>VLOOKUP(B21,'2174'!$A$575:$D$697,4,0)</f>
        <v>0</v>
      </c>
      <c r="T21" s="56">
        <f t="shared" si="13"/>
        <v>0</v>
      </c>
      <c r="U21" s="56">
        <f>VLOOKUP(B21,'ביצוע 2019'!$A$3:$H$1103,7,0)</f>
        <v>0</v>
      </c>
      <c r="V21" s="56">
        <f t="shared" si="11"/>
        <v>0</v>
      </c>
      <c r="W21" s="258"/>
      <c r="X21" s="52"/>
      <c r="Y21" s="52"/>
      <c r="Z21" s="101">
        <f t="shared" si="6"/>
        <v>0</v>
      </c>
    </row>
    <row r="22" spans="1:26" s="101" customFormat="1" ht="15.75">
      <c r="A22" s="21">
        <v>15</v>
      </c>
      <c r="B22" s="51">
        <v>1613000431</v>
      </c>
      <c r="C22" s="50" t="str">
        <f t="shared" si="0"/>
        <v>431</v>
      </c>
      <c r="D22" s="50" t="str">
        <f t="shared" si="1"/>
        <v>613000</v>
      </c>
      <c r="E22" s="50" t="str">
        <f t="shared" si="2"/>
        <v>61</v>
      </c>
      <c r="F22" s="51" t="s">
        <v>26</v>
      </c>
      <c r="G22" s="52">
        <v>20000</v>
      </c>
      <c r="H22" s="52">
        <v>11018.99</v>
      </c>
      <c r="I22" s="52">
        <v>8981.01</v>
      </c>
      <c r="J22" s="52">
        <v>12000</v>
      </c>
      <c r="K22" s="52">
        <v>16000</v>
      </c>
      <c r="L22" s="52">
        <v>16000</v>
      </c>
      <c r="M22" s="52"/>
      <c r="N22" s="52">
        <f t="shared" si="3"/>
        <v>16000</v>
      </c>
      <c r="O22" s="52">
        <f>VLOOKUP(B:B,'דוח כספי 1-10.17'!A:D,4,0)</f>
        <v>5845.15</v>
      </c>
      <c r="P22" s="52">
        <f t="shared" si="4"/>
        <v>7014.1799999999985</v>
      </c>
      <c r="Q22" s="52">
        <v>8000</v>
      </c>
      <c r="R22" s="52">
        <f>VLOOKUP(B22,'2174'!$A$182:$G$567,6,0)</f>
        <v>37138.82</v>
      </c>
      <c r="S22" s="52">
        <f>R22*12/11</f>
        <v>40515.076363636363</v>
      </c>
      <c r="T22" s="52">
        <v>40000</v>
      </c>
      <c r="U22" s="52">
        <f>VLOOKUP(B22,'ביצוע 2019'!$A$3:$H$1103,7,0)</f>
        <v>23050.1</v>
      </c>
      <c r="V22" s="52">
        <f t="shared" si="11"/>
        <v>23050.1</v>
      </c>
      <c r="W22" s="52"/>
      <c r="X22" s="52"/>
      <c r="Y22" s="52"/>
      <c r="Z22" s="101">
        <f t="shared" si="6"/>
        <v>1</v>
      </c>
    </row>
    <row r="23" spans="1:26" s="101" customFormat="1" ht="16.5" customHeight="1">
      <c r="A23" s="21">
        <v>15</v>
      </c>
      <c r="B23" s="51">
        <v>1613000511</v>
      </c>
      <c r="C23" s="50" t="str">
        <f t="shared" si="0"/>
        <v>511</v>
      </c>
      <c r="D23" s="50" t="str">
        <f t="shared" si="1"/>
        <v>613000</v>
      </c>
      <c r="E23" s="50" t="str">
        <f t="shared" si="2"/>
        <v>61</v>
      </c>
      <c r="F23" s="51" t="s">
        <v>27</v>
      </c>
      <c r="G23" s="52">
        <v>2000</v>
      </c>
      <c r="H23" s="52">
        <v>0</v>
      </c>
      <c r="I23" s="52">
        <v>2004</v>
      </c>
      <c r="J23" s="52">
        <v>0</v>
      </c>
      <c r="K23" s="52">
        <f t="shared" si="8"/>
        <v>0</v>
      </c>
      <c r="L23" s="52">
        <v>0</v>
      </c>
      <c r="M23" s="52"/>
      <c r="N23" s="52">
        <f t="shared" si="3"/>
        <v>0</v>
      </c>
      <c r="O23" s="52">
        <f>VLOOKUP(B:B,'דוח כספי 1-10.17'!A:D,4,0)</f>
        <v>0</v>
      </c>
      <c r="P23" s="52">
        <f t="shared" si="4"/>
        <v>0</v>
      </c>
      <c r="Q23" s="52">
        <f>P23</f>
        <v>0</v>
      </c>
      <c r="R23" s="52">
        <f>VLOOKUP(B23,'2174'!$A$182:$G$567,6,0)</f>
        <v>1404</v>
      </c>
      <c r="S23" s="52">
        <f>R23*12/11</f>
        <v>1531.6363636363637</v>
      </c>
      <c r="T23" s="52">
        <v>1500</v>
      </c>
      <c r="U23" s="52">
        <f>VLOOKUP(B23,'ביצוע 2019'!$A$3:$H$1103,7,0)</f>
        <v>0</v>
      </c>
      <c r="V23" s="52">
        <f t="shared" si="11"/>
        <v>0</v>
      </c>
      <c r="W23" s="52"/>
      <c r="X23" s="52"/>
      <c r="Y23" s="52"/>
      <c r="Z23" s="101">
        <f t="shared" si="6"/>
        <v>1</v>
      </c>
    </row>
    <row r="24" spans="1:26" s="101" customFormat="1" ht="15.75">
      <c r="A24" s="21">
        <v>15</v>
      </c>
      <c r="B24" s="51">
        <v>1613000523</v>
      </c>
      <c r="C24" s="50" t="str">
        <f t="shared" si="0"/>
        <v>523</v>
      </c>
      <c r="D24" s="50" t="str">
        <f t="shared" si="1"/>
        <v>613000</v>
      </c>
      <c r="E24" s="50" t="str">
        <f t="shared" si="2"/>
        <v>61</v>
      </c>
      <c r="F24" s="51" t="s">
        <v>28</v>
      </c>
      <c r="G24" s="52">
        <v>0</v>
      </c>
      <c r="H24" s="52">
        <v>3390</v>
      </c>
      <c r="I24" s="52">
        <v>-3390</v>
      </c>
      <c r="J24" s="52">
        <v>3000</v>
      </c>
      <c r="K24" s="52">
        <v>5000</v>
      </c>
      <c r="L24" s="52">
        <v>5000</v>
      </c>
      <c r="M24" s="52"/>
      <c r="N24" s="52">
        <f t="shared" si="3"/>
        <v>5000</v>
      </c>
      <c r="O24" s="52">
        <f>VLOOKUP(B:B,'דוח כספי 1-10.17'!A:D,4,0)</f>
        <v>790.8</v>
      </c>
      <c r="P24" s="52">
        <f t="shared" si="4"/>
        <v>948.95999999999981</v>
      </c>
      <c r="Q24" s="52">
        <v>2000</v>
      </c>
      <c r="R24" s="52">
        <f>VLOOKUP(B24,'2174'!$A$182:$G$567,6,0)</f>
        <v>0</v>
      </c>
      <c r="S24" s="52">
        <f t="shared" ref="S24:S27" si="14">R24*12/11</f>
        <v>0</v>
      </c>
      <c r="T24" s="52">
        <v>2000</v>
      </c>
      <c r="U24" s="52">
        <f>VLOOKUP(B24,'ביצוע 2019'!$A$3:$H$1103,7,0)</f>
        <v>1700</v>
      </c>
      <c r="V24" s="52">
        <f t="shared" si="11"/>
        <v>1700</v>
      </c>
      <c r="W24" s="52"/>
      <c r="X24" s="52"/>
      <c r="Y24" s="52"/>
      <c r="Z24" s="101">
        <f t="shared" si="6"/>
        <v>1</v>
      </c>
    </row>
    <row r="25" spans="1:26" s="101" customFormat="1" ht="15.75">
      <c r="A25" s="21">
        <v>15</v>
      </c>
      <c r="B25" s="51">
        <v>1613000540</v>
      </c>
      <c r="C25" s="50" t="str">
        <f t="shared" si="0"/>
        <v>540</v>
      </c>
      <c r="D25" s="50" t="str">
        <f t="shared" si="1"/>
        <v>613000</v>
      </c>
      <c r="E25" s="50" t="str">
        <f t="shared" si="2"/>
        <v>61</v>
      </c>
      <c r="F25" s="51" t="s">
        <v>29</v>
      </c>
      <c r="G25" s="52">
        <v>40000</v>
      </c>
      <c r="H25" s="52">
        <v>80772.009999999995</v>
      </c>
      <c r="I25" s="52">
        <v>-40772.01</v>
      </c>
      <c r="J25" s="52">
        <v>80000</v>
      </c>
      <c r="K25" s="52">
        <v>98000</v>
      </c>
      <c r="L25" s="52">
        <v>135000</v>
      </c>
      <c r="M25" s="52"/>
      <c r="N25" s="52">
        <f t="shared" si="3"/>
        <v>135000</v>
      </c>
      <c r="O25" s="52">
        <f>VLOOKUP(B:B,'דוח כספי 1-10.17'!A:D,4,0)</f>
        <v>124281.34</v>
      </c>
      <c r="P25" s="52">
        <f t="shared" si="4"/>
        <v>149137.60800000001</v>
      </c>
      <c r="Q25" s="52">
        <v>150000</v>
      </c>
      <c r="R25" s="52">
        <f>VLOOKUP(B25,'2174'!$A$182:$G$567,6,0)</f>
        <v>46022.6</v>
      </c>
      <c r="S25" s="52">
        <f t="shared" si="14"/>
        <v>50206.472727272725</v>
      </c>
      <c r="T25" s="52">
        <v>50000</v>
      </c>
      <c r="U25" s="52">
        <f>VLOOKUP(B25,'ביצוע 2019'!$A$3:$H$1103,7,0)</f>
        <v>61072.480000000003</v>
      </c>
      <c r="V25" s="52">
        <f t="shared" si="11"/>
        <v>61072.480000000003</v>
      </c>
      <c r="W25" s="52"/>
      <c r="X25" s="52"/>
      <c r="Y25" s="52"/>
      <c r="Z25" s="101">
        <f t="shared" si="6"/>
        <v>1</v>
      </c>
    </row>
    <row r="26" spans="1:26" s="101" customFormat="1" ht="15.75">
      <c r="A26" s="21">
        <v>15</v>
      </c>
      <c r="B26" s="51">
        <v>1613000550</v>
      </c>
      <c r="C26" s="50" t="str">
        <f t="shared" si="0"/>
        <v>550</v>
      </c>
      <c r="D26" s="50" t="str">
        <f t="shared" si="1"/>
        <v>613000</v>
      </c>
      <c r="E26" s="50" t="str">
        <f t="shared" si="2"/>
        <v>61</v>
      </c>
      <c r="F26" s="51" t="s">
        <v>30</v>
      </c>
      <c r="G26" s="52">
        <v>10000</v>
      </c>
      <c r="H26" s="52">
        <v>17522.400000000001</v>
      </c>
      <c r="I26" s="52">
        <v>-7522.4</v>
      </c>
      <c r="J26" s="52">
        <v>15000</v>
      </c>
      <c r="K26" s="52">
        <v>40000</v>
      </c>
      <c r="L26" s="52">
        <v>65000</v>
      </c>
      <c r="M26" s="52"/>
      <c r="N26" s="52">
        <f t="shared" si="3"/>
        <v>65000</v>
      </c>
      <c r="O26" s="52">
        <f>VLOOKUP(B:B,'דוח כספי 1-10.17'!A:D,4,0)</f>
        <v>59721.95</v>
      </c>
      <c r="P26" s="52">
        <f t="shared" si="4"/>
        <v>71666.34</v>
      </c>
      <c r="Q26" s="52">
        <v>72000</v>
      </c>
      <c r="R26" s="52">
        <f>VLOOKUP(B26,'2174'!$A$182:$G$567,6,0)</f>
        <v>32912.1</v>
      </c>
      <c r="S26" s="52">
        <f t="shared" si="14"/>
        <v>35904.109090909085</v>
      </c>
      <c r="T26" s="52">
        <v>40000</v>
      </c>
      <c r="U26" s="52">
        <f>VLOOKUP(B26,'ביצוע 2019'!$A$3:$H$1103,7,0)</f>
        <v>51609.1</v>
      </c>
      <c r="V26" s="52">
        <f t="shared" si="11"/>
        <v>51609.1</v>
      </c>
      <c r="W26" s="52"/>
      <c r="X26" s="52"/>
      <c r="Y26" s="52"/>
      <c r="Z26" s="101">
        <f t="shared" si="6"/>
        <v>1</v>
      </c>
    </row>
    <row r="27" spans="1:26" s="101" customFormat="1" ht="15.75">
      <c r="A27" s="21">
        <v>15</v>
      </c>
      <c r="B27" s="51">
        <v>1613000560</v>
      </c>
      <c r="C27" s="50" t="str">
        <f t="shared" si="0"/>
        <v>560</v>
      </c>
      <c r="D27" s="50" t="str">
        <f t="shared" si="1"/>
        <v>613000</v>
      </c>
      <c r="E27" s="50" t="str">
        <f t="shared" si="2"/>
        <v>61</v>
      </c>
      <c r="F27" s="51" t="s">
        <v>14</v>
      </c>
      <c r="G27" s="52">
        <v>30000</v>
      </c>
      <c r="H27" s="52">
        <v>36912.6</v>
      </c>
      <c r="I27" s="52">
        <v>-6912.6</v>
      </c>
      <c r="J27" s="52">
        <v>35000</v>
      </c>
      <c r="K27" s="52">
        <v>28000</v>
      </c>
      <c r="L27" s="52">
        <v>30000</v>
      </c>
      <c r="M27" s="52"/>
      <c r="N27" s="52">
        <f t="shared" si="3"/>
        <v>30000</v>
      </c>
      <c r="O27" s="52">
        <f>VLOOKUP(B:B,'דוח כספי 1-10.17'!A:D,4,0)</f>
        <v>37859</v>
      </c>
      <c r="P27" s="52">
        <f t="shared" si="4"/>
        <v>45430.8</v>
      </c>
      <c r="Q27" s="52">
        <v>50000</v>
      </c>
      <c r="R27" s="52">
        <f>VLOOKUP(B27,'2174'!$A$182:$G$567,6,0)</f>
        <v>50954</v>
      </c>
      <c r="S27" s="52">
        <f t="shared" si="14"/>
        <v>55586.181818181816</v>
      </c>
      <c r="T27" s="52">
        <v>30000</v>
      </c>
      <c r="U27" s="52">
        <f>VLOOKUP(B27,'ביצוע 2019'!$A$3:$H$1103,7,0)</f>
        <v>53846.2</v>
      </c>
      <c r="V27" s="52">
        <f t="shared" si="11"/>
        <v>53846.2</v>
      </c>
      <c r="W27" s="52"/>
      <c r="X27" s="52"/>
      <c r="Y27" s="52"/>
      <c r="Z27" s="101">
        <f t="shared" si="6"/>
        <v>1</v>
      </c>
    </row>
    <row r="28" spans="1:26" s="101" customFormat="1" ht="15.75" customHeight="1">
      <c r="A28" s="21">
        <v>15</v>
      </c>
      <c r="B28" s="51">
        <v>1613000710</v>
      </c>
      <c r="C28" s="50" t="str">
        <f t="shared" si="0"/>
        <v>710</v>
      </c>
      <c r="D28" s="50" t="str">
        <f t="shared" si="1"/>
        <v>613000</v>
      </c>
      <c r="E28" s="50" t="str">
        <f t="shared" si="2"/>
        <v>61</v>
      </c>
      <c r="F28" s="51" t="s">
        <v>31</v>
      </c>
      <c r="G28" s="52">
        <v>0</v>
      </c>
      <c r="H28" s="52">
        <v>0</v>
      </c>
      <c r="I28" s="52">
        <v>0</v>
      </c>
      <c r="J28" s="52">
        <v>0</v>
      </c>
      <c r="K28" s="52">
        <f t="shared" si="8"/>
        <v>0</v>
      </c>
      <c r="L28" s="52">
        <v>0</v>
      </c>
      <c r="M28" s="52"/>
      <c r="N28" s="52">
        <f t="shared" si="3"/>
        <v>0</v>
      </c>
      <c r="O28" s="52">
        <f>VLOOKUP(B:B,'דוח כספי 1-10.17'!A:D,4,0)</f>
        <v>0</v>
      </c>
      <c r="P28" s="52">
        <f t="shared" si="4"/>
        <v>0</v>
      </c>
      <c r="Q28" s="52">
        <f>P28</f>
        <v>0</v>
      </c>
      <c r="R28" s="52">
        <f>VLOOKUP(B28,'2174'!$A$182:$G$567,6,0)</f>
        <v>17485</v>
      </c>
      <c r="S28" s="52">
        <f t="shared" ref="S28" si="15">R28*12/11</f>
        <v>19074.545454545456</v>
      </c>
      <c r="T28" s="52">
        <v>20000</v>
      </c>
      <c r="U28" s="52">
        <f>VLOOKUP(B28,'ביצוע 2019'!$A$3:$H$1103,7,0)</f>
        <v>0</v>
      </c>
      <c r="V28" s="52">
        <f t="shared" si="11"/>
        <v>0</v>
      </c>
      <c r="W28" s="52"/>
      <c r="X28" s="52"/>
      <c r="Y28" s="52"/>
      <c r="Z28" s="101">
        <f t="shared" si="6"/>
        <v>1</v>
      </c>
    </row>
    <row r="29" spans="1:26" s="101" customFormat="1" ht="15" hidden="1" customHeight="1">
      <c r="A29" s="21">
        <v>15</v>
      </c>
      <c r="B29" s="51">
        <v>1613000720</v>
      </c>
      <c r="C29" s="50" t="str">
        <f t="shared" si="0"/>
        <v>720</v>
      </c>
      <c r="D29" s="50" t="str">
        <f t="shared" si="1"/>
        <v>613000</v>
      </c>
      <c r="E29" s="50" t="str">
        <f t="shared" si="2"/>
        <v>61</v>
      </c>
      <c r="F29" s="51" t="s">
        <v>32</v>
      </c>
      <c r="G29" s="52">
        <v>0</v>
      </c>
      <c r="H29" s="52">
        <v>0</v>
      </c>
      <c r="I29" s="52">
        <v>0</v>
      </c>
      <c r="J29" s="52">
        <v>0</v>
      </c>
      <c r="K29" s="52">
        <f t="shared" si="8"/>
        <v>0</v>
      </c>
      <c r="L29" s="52">
        <v>0</v>
      </c>
      <c r="M29" s="52"/>
      <c r="N29" s="52">
        <f t="shared" si="3"/>
        <v>0</v>
      </c>
      <c r="O29" s="52">
        <f>VLOOKUP(B:B,'דוח כספי 1-10.17'!A:D,4,0)</f>
        <v>0</v>
      </c>
      <c r="P29" s="52">
        <f t="shared" si="4"/>
        <v>0</v>
      </c>
      <c r="Q29" s="52">
        <f>P29</f>
        <v>0</v>
      </c>
      <c r="R29" s="52"/>
      <c r="S29" s="52"/>
      <c r="T29" s="52"/>
      <c r="U29" s="52">
        <f>VLOOKUP(B29,'ביצוע 2019'!$A$3:$H$1103,7,0)</f>
        <v>0</v>
      </c>
      <c r="V29" s="52">
        <f t="shared" si="11"/>
        <v>0</v>
      </c>
      <c r="W29" s="52"/>
      <c r="X29" s="52"/>
      <c r="Y29" s="52"/>
      <c r="Z29" s="101">
        <f t="shared" si="6"/>
        <v>0</v>
      </c>
    </row>
    <row r="30" spans="1:26" s="101" customFormat="1" ht="15" hidden="1" customHeight="1">
      <c r="A30" s="21">
        <v>15</v>
      </c>
      <c r="B30" s="51">
        <v>1613000740</v>
      </c>
      <c r="C30" s="50" t="str">
        <f t="shared" si="0"/>
        <v>740</v>
      </c>
      <c r="D30" s="50" t="str">
        <f t="shared" si="1"/>
        <v>613000</v>
      </c>
      <c r="E30" s="50" t="str">
        <f t="shared" si="2"/>
        <v>61</v>
      </c>
      <c r="F30" s="51" t="s">
        <v>33</v>
      </c>
      <c r="G30" s="52">
        <v>1000</v>
      </c>
      <c r="H30" s="52">
        <v>0</v>
      </c>
      <c r="I30" s="52">
        <v>997</v>
      </c>
      <c r="J30" s="52">
        <v>0</v>
      </c>
      <c r="K30" s="52">
        <f t="shared" si="8"/>
        <v>0</v>
      </c>
      <c r="L30" s="52">
        <v>0</v>
      </c>
      <c r="M30" s="52"/>
      <c r="N30" s="52">
        <f t="shared" si="3"/>
        <v>0</v>
      </c>
      <c r="O30" s="52">
        <f>VLOOKUP(B:B,'דוח כספי 1-10.17'!A:D,4,0)</f>
        <v>0</v>
      </c>
      <c r="P30" s="52">
        <f t="shared" si="4"/>
        <v>0</v>
      </c>
      <c r="Q30" s="52">
        <f>P30</f>
        <v>0</v>
      </c>
      <c r="R30" s="52"/>
      <c r="S30" s="52"/>
      <c r="T30" s="52"/>
      <c r="U30" s="52">
        <f>VLOOKUP(B30,'ביצוע 2019'!$A$3:$H$1103,7,0)</f>
        <v>0</v>
      </c>
      <c r="V30" s="52">
        <f t="shared" si="11"/>
        <v>0</v>
      </c>
      <c r="W30" s="52"/>
      <c r="X30" s="52"/>
      <c r="Y30" s="52"/>
      <c r="Z30" s="101">
        <f t="shared" si="6"/>
        <v>0</v>
      </c>
    </row>
    <row r="31" spans="1:26" s="101" customFormat="1" ht="15.75">
      <c r="A31" s="21">
        <v>15</v>
      </c>
      <c r="B31" s="51">
        <v>1613000750</v>
      </c>
      <c r="C31" s="50" t="str">
        <f t="shared" si="0"/>
        <v>750</v>
      </c>
      <c r="D31" s="50" t="str">
        <f t="shared" si="1"/>
        <v>613000</v>
      </c>
      <c r="E31" s="50" t="str">
        <f t="shared" si="2"/>
        <v>61</v>
      </c>
      <c r="F31" s="51" t="s">
        <v>34</v>
      </c>
      <c r="G31" s="52">
        <v>25000</v>
      </c>
      <c r="H31" s="52">
        <v>32554.9</v>
      </c>
      <c r="I31" s="52">
        <v>-7548.9</v>
      </c>
      <c r="J31" s="52">
        <v>35000</v>
      </c>
      <c r="K31" s="52">
        <v>25000</v>
      </c>
      <c r="L31" s="52">
        <v>92000</v>
      </c>
      <c r="M31" s="52"/>
      <c r="N31" s="52">
        <f t="shared" si="3"/>
        <v>92000</v>
      </c>
      <c r="O31" s="52">
        <f>VLOOKUP(B:B,'דוח כספי 1-10.17'!A:D,4,0)</f>
        <v>72911.899999999994</v>
      </c>
      <c r="P31" s="52">
        <f t="shared" si="4"/>
        <v>87494.28</v>
      </c>
      <c r="Q31" s="52">
        <v>90000</v>
      </c>
      <c r="R31" s="52">
        <f>VLOOKUP(B31,'2174'!$A$182:$G$567,6,0)</f>
        <v>47430.93</v>
      </c>
      <c r="S31" s="52">
        <f t="shared" ref="S31:S32" si="16">R31*12/11</f>
        <v>51742.832727272733</v>
      </c>
      <c r="T31" s="52">
        <v>100000</v>
      </c>
      <c r="U31" s="52">
        <f>VLOOKUP(B31,'ביצוע 2019'!$A$3:$H$1103,7,0)</f>
        <v>80434.5</v>
      </c>
      <c r="V31" s="52">
        <f t="shared" si="11"/>
        <v>80434.5</v>
      </c>
      <c r="W31" s="52"/>
      <c r="X31" s="52"/>
      <c r="Y31" s="52"/>
      <c r="Z31" s="101">
        <f t="shared" si="6"/>
        <v>1</v>
      </c>
    </row>
    <row r="32" spans="1:26" s="101" customFormat="1" ht="15.75">
      <c r="A32" s="21">
        <v>15</v>
      </c>
      <c r="B32" s="51">
        <v>1613000780</v>
      </c>
      <c r="C32" s="50" t="str">
        <f t="shared" si="0"/>
        <v>780</v>
      </c>
      <c r="D32" s="50" t="str">
        <f t="shared" si="1"/>
        <v>613000</v>
      </c>
      <c r="E32" s="50" t="str">
        <f t="shared" si="2"/>
        <v>61</v>
      </c>
      <c r="F32" s="51" t="s">
        <v>18</v>
      </c>
      <c r="G32" s="52">
        <v>38000</v>
      </c>
      <c r="H32" s="52">
        <v>25735</v>
      </c>
      <c r="I32" s="52">
        <v>12261</v>
      </c>
      <c r="J32" s="52">
        <v>25000</v>
      </c>
      <c r="K32" s="52">
        <f t="shared" si="8"/>
        <v>25000</v>
      </c>
      <c r="L32" s="52">
        <v>25000</v>
      </c>
      <c r="M32" s="52"/>
      <c r="N32" s="52">
        <f t="shared" si="3"/>
        <v>25000</v>
      </c>
      <c r="O32" s="52">
        <f>VLOOKUP(B:B,'דוח כספי 1-10.17'!A:D,4,0)</f>
        <v>11400</v>
      </c>
      <c r="P32" s="52">
        <f t="shared" si="4"/>
        <v>13680</v>
      </c>
      <c r="Q32" s="52">
        <v>14000</v>
      </c>
      <c r="R32" s="52">
        <f>VLOOKUP(B32,'2174'!$A$182:$G$567,6,0)</f>
        <v>24950</v>
      </c>
      <c r="S32" s="52">
        <f t="shared" si="16"/>
        <v>27218.18181818182</v>
      </c>
      <c r="T32" s="52">
        <v>50000</v>
      </c>
      <c r="U32" s="52">
        <f>VLOOKUP(B32,'ביצוע 2019'!$A$3:$H$1103,7,0)</f>
        <v>48996.11</v>
      </c>
      <c r="V32" s="52">
        <f t="shared" si="11"/>
        <v>48996.11</v>
      </c>
      <c r="W32" s="52"/>
      <c r="X32" s="52"/>
      <c r="Y32" s="52"/>
      <c r="Z32" s="101">
        <f t="shared" si="6"/>
        <v>1</v>
      </c>
    </row>
    <row r="33" spans="1:26" s="101" customFormat="1" ht="15.75">
      <c r="A33" s="21"/>
      <c r="B33" s="234"/>
      <c r="C33" s="235"/>
      <c r="D33" s="235"/>
      <c r="E33" s="235"/>
      <c r="F33" s="234" t="s">
        <v>1953</v>
      </c>
      <c r="G33" s="236"/>
      <c r="H33" s="236"/>
      <c r="I33" s="236"/>
      <c r="J33" s="236"/>
      <c r="K33" s="236"/>
      <c r="L33" s="236">
        <f>SUM(L16:L32)</f>
        <v>1110000</v>
      </c>
      <c r="M33" s="236"/>
      <c r="N33" s="236">
        <f t="shared" ref="N33:W33" si="17">SUM(N16:N32)</f>
        <v>1110000</v>
      </c>
      <c r="O33" s="236">
        <f t="shared" si="17"/>
        <v>846070.99</v>
      </c>
      <c r="P33" s="236">
        <f t="shared" si="17"/>
        <v>1056752.1680000001</v>
      </c>
      <c r="Q33" s="236">
        <f t="shared" si="17"/>
        <v>1073400</v>
      </c>
      <c r="R33" s="236">
        <f t="shared" si="17"/>
        <v>822143.67999999993</v>
      </c>
      <c r="S33" s="236">
        <f t="shared" si="17"/>
        <v>895536.47636363632</v>
      </c>
      <c r="T33" s="236">
        <f t="shared" si="17"/>
        <v>963549.93644800002</v>
      </c>
      <c r="U33" s="236">
        <f t="shared" si="17"/>
        <v>1054646.25</v>
      </c>
      <c r="V33" s="236">
        <f t="shared" si="17"/>
        <v>1296908.4900000002</v>
      </c>
      <c r="W33" s="236">
        <f t="shared" si="17"/>
        <v>3</v>
      </c>
      <c r="X33" s="52"/>
      <c r="Y33" s="52"/>
      <c r="Z33" s="101">
        <f t="shared" si="6"/>
        <v>1</v>
      </c>
    </row>
    <row r="34" spans="1:26" s="101" customFormat="1" ht="15.75">
      <c r="A34" s="21">
        <v>16</v>
      </c>
      <c r="B34" s="51">
        <v>1615000110</v>
      </c>
      <c r="C34" s="50" t="str">
        <f t="shared" ref="C34:C71" si="18">RIGHT(B34,3)</f>
        <v>110</v>
      </c>
      <c r="D34" s="50" t="str">
        <f t="shared" ref="D34:D71" si="19">MID(B34,2,6)</f>
        <v>615000</v>
      </c>
      <c r="E34" s="50" t="str">
        <f t="shared" ref="E34:E71" si="20">LEFT(D34,2)</f>
        <v>61</v>
      </c>
      <c r="F34" s="51" t="s">
        <v>38</v>
      </c>
      <c r="G34" s="52">
        <v>202000</v>
      </c>
      <c r="H34" s="52">
        <v>108063.52</v>
      </c>
      <c r="I34" s="52">
        <v>93940.479999999996</v>
      </c>
      <c r="J34" s="52">
        <f>110000*(1+0.6)</f>
        <v>176000</v>
      </c>
      <c r="K34" s="52">
        <v>299000</v>
      </c>
      <c r="L34" s="52">
        <v>307000</v>
      </c>
      <c r="M34" s="52"/>
      <c r="N34" s="52">
        <f t="shared" si="3"/>
        <v>307000</v>
      </c>
      <c r="O34" s="52">
        <f>VLOOKUP(B:B,'דוח כספי 1-10.17'!A:D,4,0)</f>
        <v>157716.97</v>
      </c>
      <c r="P34" s="52">
        <v>195000</v>
      </c>
      <c r="Q34" s="52">
        <v>220000</v>
      </c>
      <c r="R34" s="52">
        <f>VLOOKUP(B34,'2174'!$A$182:$G$567,6,0)</f>
        <v>169986.47</v>
      </c>
      <c r="S34" s="63">
        <f>VLOOKUP(B34,'2174'!$A$575:$D$697,4,0)</f>
        <v>223253.61</v>
      </c>
      <c r="T34" s="52">
        <v>350000</v>
      </c>
      <c r="U34" s="52">
        <f>VLOOKUP(B34,'ביצוע 2019'!$A$3:$H$1103,7,0)</f>
        <v>278551.65000000002</v>
      </c>
      <c r="V34" s="52">
        <v>330000</v>
      </c>
      <c r="W34" s="257">
        <v>1</v>
      </c>
      <c r="X34" s="52"/>
      <c r="Y34" s="52" t="s">
        <v>2086</v>
      </c>
      <c r="Z34" s="101">
        <f t="shared" si="6"/>
        <v>1</v>
      </c>
    </row>
    <row r="35" spans="1:26" s="101" customFormat="1" ht="18.75" customHeight="1">
      <c r="A35" s="21">
        <v>16</v>
      </c>
      <c r="B35" s="51">
        <v>1615101110</v>
      </c>
      <c r="C35" s="54">
        <v>110</v>
      </c>
      <c r="D35" s="54">
        <v>615100</v>
      </c>
      <c r="E35" s="54">
        <v>61</v>
      </c>
      <c r="F35" s="55" t="s">
        <v>2031</v>
      </c>
      <c r="G35" s="56"/>
      <c r="H35" s="56"/>
      <c r="I35" s="56"/>
      <c r="J35" s="56"/>
      <c r="K35" s="56"/>
      <c r="L35" s="56">
        <v>0</v>
      </c>
      <c r="M35" s="56"/>
      <c r="N35" s="56">
        <f t="shared" si="3"/>
        <v>0</v>
      </c>
      <c r="O35" s="52" t="e">
        <f>VLOOKUP(B:B,'דוח כספי 1-10.17'!A:D,4,0)</f>
        <v>#N/A</v>
      </c>
      <c r="P35" s="56">
        <v>0</v>
      </c>
      <c r="Q35" s="56">
        <v>0</v>
      </c>
      <c r="R35" s="56">
        <f>VLOOKUP(B35,'2174'!$A$182:$G$567,6,0)</f>
        <v>156015.48000000001</v>
      </c>
      <c r="S35" s="56">
        <v>250000</v>
      </c>
      <c r="T35" s="56">
        <v>600000</v>
      </c>
      <c r="U35" s="56">
        <f>VLOOKUP(B35,'ביצוע 2019'!$A$3:$H$1103,7,0)</f>
        <v>417012.2</v>
      </c>
      <c r="V35" s="56">
        <v>200000</v>
      </c>
      <c r="W35" s="258">
        <v>2</v>
      </c>
      <c r="X35" s="52"/>
      <c r="Y35" s="52"/>
      <c r="Z35" s="101">
        <f t="shared" si="6"/>
        <v>1</v>
      </c>
    </row>
    <row r="36" spans="1:26" s="101" customFormat="1" ht="15.75">
      <c r="A36" s="21">
        <v>16</v>
      </c>
      <c r="B36" s="51">
        <v>1615200110</v>
      </c>
      <c r="C36" s="54">
        <v>110</v>
      </c>
      <c r="D36" s="54">
        <v>615200</v>
      </c>
      <c r="E36" s="54">
        <v>61</v>
      </c>
      <c r="F36" s="161" t="s">
        <v>1644</v>
      </c>
      <c r="G36" s="56"/>
      <c r="H36" s="56"/>
      <c r="I36" s="56"/>
      <c r="J36" s="56"/>
      <c r="K36" s="56"/>
      <c r="L36" s="56">
        <v>40000</v>
      </c>
      <c r="M36" s="56"/>
      <c r="N36" s="56">
        <f t="shared" si="3"/>
        <v>40000</v>
      </c>
      <c r="O36" s="52">
        <f>VLOOKUP(B:B,'דוח כספי 1-10.17'!A:D,4,0)</f>
        <v>0</v>
      </c>
      <c r="P36" s="56">
        <f t="shared" si="4"/>
        <v>0</v>
      </c>
      <c r="Q36" s="56">
        <v>40000</v>
      </c>
      <c r="R36" s="56">
        <f>VLOOKUP(B36,'2174'!$A$182:$G$567,6,0)</f>
        <v>0</v>
      </c>
      <c r="S36" s="56">
        <f>VLOOKUP(B36,'2174'!$A$575:$D$697,4,0)</f>
        <v>0</v>
      </c>
      <c r="T36" s="56">
        <v>40000</v>
      </c>
      <c r="U36" s="56">
        <f>VLOOKUP(B36,'ביצוע 2019'!$A$3:$H$1103,7,0)</f>
        <v>0</v>
      </c>
      <c r="V36" s="56">
        <v>40000</v>
      </c>
      <c r="W36" s="258"/>
      <c r="X36" s="52"/>
      <c r="Y36" s="158"/>
      <c r="Z36" s="101">
        <f t="shared" si="6"/>
        <v>1</v>
      </c>
    </row>
    <row r="37" spans="1:26" s="101" customFormat="1" ht="15.75" hidden="1">
      <c r="A37" s="21">
        <v>15</v>
      </c>
      <c r="B37" s="51">
        <v>1615000760</v>
      </c>
      <c r="C37" s="50" t="str">
        <f t="shared" si="18"/>
        <v>760</v>
      </c>
      <c r="D37" s="50" t="str">
        <f t="shared" si="19"/>
        <v>615000</v>
      </c>
      <c r="E37" s="50" t="str">
        <f t="shared" si="20"/>
        <v>61</v>
      </c>
      <c r="F37" s="51" t="s">
        <v>39</v>
      </c>
      <c r="G37" s="52">
        <v>0</v>
      </c>
      <c r="H37" s="52">
        <v>0</v>
      </c>
      <c r="I37" s="52">
        <v>0</v>
      </c>
      <c r="J37" s="52">
        <v>0</v>
      </c>
      <c r="K37" s="52">
        <f t="shared" si="8"/>
        <v>0</v>
      </c>
      <c r="L37" s="52">
        <v>0</v>
      </c>
      <c r="M37" s="52"/>
      <c r="N37" s="52">
        <f t="shared" si="3"/>
        <v>0</v>
      </c>
      <c r="O37" s="52">
        <f>VLOOKUP(B:B,'דוח כספי 1-10.17'!A:D,4,0)</f>
        <v>0</v>
      </c>
      <c r="P37" s="52">
        <f t="shared" si="4"/>
        <v>0</v>
      </c>
      <c r="Q37" s="52">
        <f>P37</f>
        <v>0</v>
      </c>
      <c r="R37" s="52"/>
      <c r="S37" s="52"/>
      <c r="T37" s="52"/>
      <c r="U37" s="52">
        <f>VLOOKUP(B37,'ביצוע 2019'!$A$3:$H$1103,7,0)</f>
        <v>0</v>
      </c>
      <c r="V37" s="52">
        <f t="shared" ref="V37" si="21">U37</f>
        <v>0</v>
      </c>
      <c r="W37" s="52"/>
      <c r="X37" s="52"/>
      <c r="Y37" s="52"/>
      <c r="Z37" s="101">
        <f t="shared" si="6"/>
        <v>0</v>
      </c>
    </row>
    <row r="38" spans="1:26" s="101" customFormat="1" ht="15.75">
      <c r="A38" s="21"/>
      <c r="B38" s="234"/>
      <c r="C38" s="235"/>
      <c r="D38" s="235"/>
      <c r="E38" s="235"/>
      <c r="F38" s="234" t="s">
        <v>1954</v>
      </c>
      <c r="G38" s="236"/>
      <c r="H38" s="236"/>
      <c r="I38" s="236"/>
      <c r="J38" s="236"/>
      <c r="K38" s="236"/>
      <c r="L38" s="236">
        <f>SUM(L34:L37)</f>
        <v>347000</v>
      </c>
      <c r="M38" s="236"/>
      <c r="N38" s="236">
        <f>SUM(N34:N37)</f>
        <v>347000</v>
      </c>
      <c r="O38" s="236" t="e">
        <f>SUM(O34:O37)</f>
        <v>#N/A</v>
      </c>
      <c r="P38" s="236">
        <f>SUM(P34:P37)</f>
        <v>195000</v>
      </c>
      <c r="Q38" s="236">
        <f>SUM(Q34:Q37)</f>
        <v>260000</v>
      </c>
      <c r="R38" s="236">
        <f t="shared" ref="R38:W38" si="22">SUM(R34:R37)</f>
        <v>326001.95</v>
      </c>
      <c r="S38" s="236">
        <f t="shared" si="22"/>
        <v>473253.61</v>
      </c>
      <c r="T38" s="236">
        <f t="shared" si="22"/>
        <v>990000</v>
      </c>
      <c r="U38" s="236">
        <f t="shared" si="22"/>
        <v>695563.85000000009</v>
      </c>
      <c r="V38" s="236">
        <f t="shared" si="22"/>
        <v>570000</v>
      </c>
      <c r="W38" s="236">
        <f t="shared" si="22"/>
        <v>3</v>
      </c>
      <c r="X38" s="52"/>
      <c r="Y38" s="52"/>
      <c r="Z38" s="101">
        <f t="shared" si="6"/>
        <v>1</v>
      </c>
    </row>
    <row r="39" spans="1:26" s="101" customFormat="1" ht="15.75">
      <c r="A39" s="21">
        <v>15</v>
      </c>
      <c r="B39" s="51">
        <v>1616000521</v>
      </c>
      <c r="C39" s="50" t="str">
        <f t="shared" si="18"/>
        <v>521</v>
      </c>
      <c r="D39" s="50" t="str">
        <f t="shared" si="19"/>
        <v>616000</v>
      </c>
      <c r="E39" s="50" t="str">
        <f t="shared" si="20"/>
        <v>61</v>
      </c>
      <c r="F39" s="51" t="s">
        <v>40</v>
      </c>
      <c r="G39" s="52">
        <v>50000</v>
      </c>
      <c r="H39" s="52">
        <v>55163</v>
      </c>
      <c r="I39" s="52">
        <v>-5163</v>
      </c>
      <c r="J39" s="52">
        <v>110000</v>
      </c>
      <c r="K39" s="52">
        <v>150000</v>
      </c>
      <c r="L39" s="52">
        <v>100000</v>
      </c>
      <c r="M39" s="52"/>
      <c r="N39" s="52">
        <f t="shared" si="3"/>
        <v>100000</v>
      </c>
      <c r="O39" s="52">
        <f>VLOOKUP(B:B,'דוח כספי 1-10.17'!A:D,4,0)</f>
        <v>88230</v>
      </c>
      <c r="P39" s="52">
        <f t="shared" si="4"/>
        <v>105876</v>
      </c>
      <c r="Q39" s="52">
        <v>115000</v>
      </c>
      <c r="R39" s="52">
        <f>VLOOKUP(B39,'2174'!$A$182:$G$567,6,0)</f>
        <v>38425</v>
      </c>
      <c r="S39" s="52">
        <f>R39*12/11</f>
        <v>41918.181818181816</v>
      </c>
      <c r="T39" s="52">
        <v>160000</v>
      </c>
      <c r="U39" s="52">
        <f>VLOOKUP(B39,'ביצוע 2019'!$A$3:$H$1103,7,0)</f>
        <v>189859</v>
      </c>
      <c r="V39" s="52">
        <v>120000</v>
      </c>
      <c r="W39" s="52"/>
      <c r="X39" s="52"/>
      <c r="Y39" s="52"/>
      <c r="Z39" s="101">
        <f t="shared" si="6"/>
        <v>1</v>
      </c>
    </row>
    <row r="40" spans="1:26" s="101" customFormat="1" ht="15.75">
      <c r="A40" s="21"/>
      <c r="B40" s="234"/>
      <c r="C40" s="235"/>
      <c r="D40" s="235"/>
      <c r="E40" s="235"/>
      <c r="F40" s="234" t="s">
        <v>1955</v>
      </c>
      <c r="G40" s="236"/>
      <c r="H40" s="236"/>
      <c r="I40" s="236"/>
      <c r="J40" s="236"/>
      <c r="K40" s="236"/>
      <c r="L40" s="236">
        <f>SUM(L39:L39)</f>
        <v>100000</v>
      </c>
      <c r="M40" s="236"/>
      <c r="N40" s="236">
        <f t="shared" ref="N40:W40" si="23">SUM(N39:N39)</f>
        <v>100000</v>
      </c>
      <c r="O40" s="236">
        <f t="shared" si="23"/>
        <v>88230</v>
      </c>
      <c r="P40" s="236">
        <f t="shared" si="23"/>
        <v>105876</v>
      </c>
      <c r="Q40" s="236">
        <f t="shared" si="23"/>
        <v>115000</v>
      </c>
      <c r="R40" s="236">
        <f t="shared" si="23"/>
        <v>38425</v>
      </c>
      <c r="S40" s="236">
        <f t="shared" si="23"/>
        <v>41918.181818181816</v>
      </c>
      <c r="T40" s="236">
        <f t="shared" si="23"/>
        <v>160000</v>
      </c>
      <c r="U40" s="236">
        <f t="shared" si="23"/>
        <v>189859</v>
      </c>
      <c r="V40" s="236">
        <f t="shared" si="23"/>
        <v>120000</v>
      </c>
      <c r="W40" s="236">
        <f t="shared" si="23"/>
        <v>0</v>
      </c>
      <c r="X40" s="52"/>
      <c r="Y40" s="52"/>
      <c r="Z40" s="101">
        <f t="shared" si="6"/>
        <v>1</v>
      </c>
    </row>
    <row r="41" spans="1:26" s="101" customFormat="1" ht="15.75">
      <c r="A41" s="21">
        <v>15</v>
      </c>
      <c r="B41" s="51">
        <v>1617000581</v>
      </c>
      <c r="C41" s="50" t="str">
        <f t="shared" si="18"/>
        <v>581</v>
      </c>
      <c r="D41" s="50" t="str">
        <f t="shared" si="19"/>
        <v>617000</v>
      </c>
      <c r="E41" s="50" t="str">
        <f t="shared" si="20"/>
        <v>61</v>
      </c>
      <c r="F41" s="51" t="s">
        <v>42</v>
      </c>
      <c r="G41" s="52">
        <v>15000</v>
      </c>
      <c r="H41" s="52">
        <v>87379</v>
      </c>
      <c r="I41" s="52">
        <v>-72373</v>
      </c>
      <c r="J41" s="52">
        <v>50000</v>
      </c>
      <c r="K41" s="52">
        <v>30000</v>
      </c>
      <c r="L41" s="52">
        <v>30000</v>
      </c>
      <c r="M41" s="52"/>
      <c r="N41" s="52">
        <f t="shared" si="3"/>
        <v>30000</v>
      </c>
      <c r="O41" s="52">
        <f>VLOOKUP(B:B,'דוח כספי 1-10.17'!A:D,4,0)</f>
        <v>0</v>
      </c>
      <c r="P41" s="52">
        <f t="shared" si="4"/>
        <v>0</v>
      </c>
      <c r="Q41" s="52">
        <f>P41</f>
        <v>0</v>
      </c>
      <c r="R41" s="52">
        <f>VLOOKUP(B41,'2174'!$A$182:$G$567,6,0)</f>
        <v>97149</v>
      </c>
      <c r="S41" s="52">
        <f t="shared" ref="S41:S44" si="24">R41*12/11</f>
        <v>105980.72727272728</v>
      </c>
      <c r="T41" s="52">
        <v>100000</v>
      </c>
      <c r="U41" s="52">
        <f>VLOOKUP(B41,'ביצוע 2019'!$A$3:$H$1103,7,0)</f>
        <v>265822.3</v>
      </c>
      <c r="V41" s="52">
        <v>50000</v>
      </c>
      <c r="W41" s="52"/>
      <c r="X41" s="52"/>
      <c r="Y41" s="52"/>
      <c r="Z41" s="101">
        <f t="shared" si="6"/>
        <v>1</v>
      </c>
    </row>
    <row r="42" spans="1:26" s="101" customFormat="1" ht="15.75">
      <c r="A42" s="21">
        <v>15</v>
      </c>
      <c r="B42" s="51">
        <v>1617000582</v>
      </c>
      <c r="C42" s="50" t="str">
        <f t="shared" si="18"/>
        <v>582</v>
      </c>
      <c r="D42" s="50" t="str">
        <f t="shared" si="19"/>
        <v>617000</v>
      </c>
      <c r="E42" s="50" t="str">
        <f t="shared" si="20"/>
        <v>61</v>
      </c>
      <c r="F42" s="51" t="s">
        <v>43</v>
      </c>
      <c r="G42" s="52">
        <v>60000</v>
      </c>
      <c r="H42" s="52">
        <v>109959.47</v>
      </c>
      <c r="I42" s="52">
        <v>-49959.47</v>
      </c>
      <c r="J42" s="52">
        <v>60000</v>
      </c>
      <c r="K42" s="52">
        <f t="shared" si="8"/>
        <v>60000</v>
      </c>
      <c r="L42" s="52">
        <v>60000</v>
      </c>
      <c r="M42" s="52"/>
      <c r="N42" s="52">
        <f t="shared" si="3"/>
        <v>60000</v>
      </c>
      <c r="O42" s="52">
        <f>VLOOKUP(B:B,'דוח כספי 1-10.17'!A:D,4,0)</f>
        <v>20779.91</v>
      </c>
      <c r="P42" s="52">
        <f t="shared" si="4"/>
        <v>24935.892</v>
      </c>
      <c r="Q42" s="52">
        <f>P42</f>
        <v>24935.892</v>
      </c>
      <c r="R42" s="52">
        <f>VLOOKUP(B42,'2174'!$A$182:$G$567,6,0)</f>
        <v>97309</v>
      </c>
      <c r="S42" s="52">
        <f t="shared" si="24"/>
        <v>106155.27272727272</v>
      </c>
      <c r="T42" s="52">
        <v>0</v>
      </c>
      <c r="U42" s="52">
        <f>VLOOKUP(B42,'ביצוע 2019'!$A$3:$H$1103,7,0)</f>
        <v>174647.24</v>
      </c>
      <c r="V42" s="52">
        <v>60000</v>
      </c>
      <c r="W42" s="52"/>
      <c r="X42" s="52"/>
      <c r="Y42" s="52"/>
      <c r="Z42" s="101">
        <f t="shared" si="6"/>
        <v>1</v>
      </c>
    </row>
    <row r="43" spans="1:26" s="101" customFormat="1" ht="15.75">
      <c r="A43" s="21">
        <v>15</v>
      </c>
      <c r="B43" s="51">
        <v>1617000750</v>
      </c>
      <c r="C43" s="50" t="str">
        <f t="shared" si="18"/>
        <v>750</v>
      </c>
      <c r="D43" s="50" t="str">
        <f t="shared" si="19"/>
        <v>617000</v>
      </c>
      <c r="E43" s="50" t="str">
        <f t="shared" si="20"/>
        <v>61</v>
      </c>
      <c r="F43" s="51" t="s">
        <v>44</v>
      </c>
      <c r="G43" s="52">
        <v>250000</v>
      </c>
      <c r="H43" s="52">
        <v>502300</v>
      </c>
      <c r="I43" s="52">
        <v>-252300</v>
      </c>
      <c r="J43" s="52">
        <v>240000</v>
      </c>
      <c r="K43" s="52">
        <f t="shared" si="8"/>
        <v>240000</v>
      </c>
      <c r="L43" s="52">
        <v>275000</v>
      </c>
      <c r="M43" s="52"/>
      <c r="N43" s="52">
        <f t="shared" si="3"/>
        <v>275000</v>
      </c>
      <c r="O43" s="52">
        <f>VLOOKUP(B:B,'דוח כספי 1-10.17'!A:D,4,0)</f>
        <v>227078</v>
      </c>
      <c r="P43" s="52">
        <f t="shared" si="4"/>
        <v>272493.59999999998</v>
      </c>
      <c r="Q43" s="52">
        <v>400000</v>
      </c>
      <c r="R43" s="52">
        <f>VLOOKUP(B43,'2174'!$A$182:$G$567,6,0)</f>
        <v>325379</v>
      </c>
      <c r="S43" s="52">
        <f t="shared" si="24"/>
        <v>354958.90909090912</v>
      </c>
      <c r="T43" s="52">
        <v>300000</v>
      </c>
      <c r="U43" s="52">
        <f>VLOOKUP(B43,'ביצוע 2019'!$A$3:$H$1103,7,0)</f>
        <v>201180.99</v>
      </c>
      <c r="V43" s="52">
        <v>421000</v>
      </c>
      <c r="W43" s="52"/>
      <c r="X43" s="52"/>
      <c r="Y43" s="52"/>
      <c r="Z43" s="101">
        <f t="shared" si="6"/>
        <v>1</v>
      </c>
    </row>
    <row r="44" spans="1:26" s="101" customFormat="1" ht="15.75" hidden="1">
      <c r="A44" s="21">
        <v>15</v>
      </c>
      <c r="B44" s="51">
        <v>1617000751</v>
      </c>
      <c r="C44" s="50" t="str">
        <f t="shared" si="18"/>
        <v>751</v>
      </c>
      <c r="D44" s="50" t="str">
        <f t="shared" si="19"/>
        <v>617000</v>
      </c>
      <c r="E44" s="50" t="str">
        <f t="shared" si="20"/>
        <v>61</v>
      </c>
      <c r="F44" s="51" t="s">
        <v>45</v>
      </c>
      <c r="G44" s="52">
        <v>80000</v>
      </c>
      <c r="H44" s="52">
        <v>0</v>
      </c>
      <c r="I44" s="52">
        <v>80000</v>
      </c>
      <c r="J44" s="52">
        <v>110000</v>
      </c>
      <c r="K44" s="52">
        <v>150000</v>
      </c>
      <c r="L44" s="52">
        <v>140000</v>
      </c>
      <c r="M44" s="52"/>
      <c r="N44" s="52">
        <f t="shared" si="3"/>
        <v>140000</v>
      </c>
      <c r="O44" s="52">
        <f>VLOOKUP(B:B,'דוח כספי 1-10.17'!A:D,4,0)</f>
        <v>0</v>
      </c>
      <c r="P44" s="52">
        <f t="shared" si="4"/>
        <v>0</v>
      </c>
      <c r="Q44" s="52">
        <v>100000</v>
      </c>
      <c r="R44" s="52">
        <f>VLOOKUP(B44,'2174'!$A$182:$G$567,6,0)</f>
        <v>0</v>
      </c>
      <c r="S44" s="52">
        <f t="shared" si="24"/>
        <v>0</v>
      </c>
      <c r="T44" s="52">
        <v>0</v>
      </c>
      <c r="U44" s="52">
        <f>VLOOKUP(B44,'ביצוע 2019'!$A$3:$H$1103,7,0)</f>
        <v>0</v>
      </c>
      <c r="V44" s="52">
        <f t="shared" ref="V44" si="25">U44</f>
        <v>0</v>
      </c>
      <c r="W44" s="52"/>
      <c r="X44" s="52"/>
      <c r="Y44" s="52"/>
      <c r="Z44" s="101">
        <f t="shared" si="6"/>
        <v>0</v>
      </c>
    </row>
    <row r="45" spans="1:26" s="101" customFormat="1" ht="15.75">
      <c r="A45" s="21"/>
      <c r="B45" s="234"/>
      <c r="C45" s="235"/>
      <c r="D45" s="235"/>
      <c r="E45" s="235"/>
      <c r="F45" s="234" t="s">
        <v>1956</v>
      </c>
      <c r="G45" s="236"/>
      <c r="H45" s="236"/>
      <c r="I45" s="236"/>
      <c r="J45" s="236"/>
      <c r="K45" s="236"/>
      <c r="L45" s="236">
        <f>SUM(L41:L44)</f>
        <v>505000</v>
      </c>
      <c r="M45" s="236"/>
      <c r="N45" s="236">
        <f>SUM(N41:N44)</f>
        <v>505000</v>
      </c>
      <c r="O45" s="236">
        <f>SUM(O41:O44)</f>
        <v>247857.91</v>
      </c>
      <c r="P45" s="236">
        <f>SUM(P41:P44)</f>
        <v>297429.49199999997</v>
      </c>
      <c r="Q45" s="236">
        <f>SUM(Q41:Q44)</f>
        <v>524935.89199999999</v>
      </c>
      <c r="R45" s="236">
        <f t="shared" ref="R45:W45" si="26">SUM(R41:R44)</f>
        <v>519837</v>
      </c>
      <c r="S45" s="236">
        <f t="shared" si="26"/>
        <v>567094.90909090918</v>
      </c>
      <c r="T45" s="236">
        <f t="shared" si="26"/>
        <v>400000</v>
      </c>
      <c r="U45" s="236">
        <f t="shared" si="26"/>
        <v>641650.53</v>
      </c>
      <c r="V45" s="236">
        <f t="shared" si="26"/>
        <v>531000</v>
      </c>
      <c r="W45" s="236">
        <f t="shared" si="26"/>
        <v>0</v>
      </c>
      <c r="X45" s="52"/>
      <c r="Y45" s="52"/>
      <c r="Z45" s="101">
        <f t="shared" si="6"/>
        <v>1</v>
      </c>
    </row>
    <row r="46" spans="1:26" s="101" customFormat="1" ht="15.75" hidden="1">
      <c r="A46" s="21">
        <v>15</v>
      </c>
      <c r="B46" s="51">
        <v>1619000780</v>
      </c>
      <c r="C46" s="50" t="str">
        <f t="shared" si="18"/>
        <v>780</v>
      </c>
      <c r="D46" s="50" t="str">
        <f t="shared" si="19"/>
        <v>619000</v>
      </c>
      <c r="E46" s="50" t="str">
        <f t="shared" si="20"/>
        <v>61</v>
      </c>
      <c r="F46" s="51" t="s">
        <v>46</v>
      </c>
      <c r="G46" s="52">
        <v>0</v>
      </c>
      <c r="H46" s="52">
        <v>0</v>
      </c>
      <c r="I46" s="52">
        <v>0</v>
      </c>
      <c r="J46" s="52">
        <v>0</v>
      </c>
      <c r="K46" s="52">
        <f t="shared" si="8"/>
        <v>0</v>
      </c>
      <c r="L46" s="52">
        <v>0</v>
      </c>
      <c r="M46" s="52"/>
      <c r="N46" s="52">
        <f t="shared" si="3"/>
        <v>0</v>
      </c>
      <c r="O46" s="52">
        <f>VLOOKUP(B:B,'דוח כספי 1-10.17'!A:D,4,0)</f>
        <v>0</v>
      </c>
      <c r="P46" s="52">
        <f t="shared" si="4"/>
        <v>0</v>
      </c>
      <c r="Q46" s="52">
        <v>100000</v>
      </c>
      <c r="R46" s="52">
        <f>VLOOKUP(B46,'2174'!$A$182:$G$567,6,0)</f>
        <v>152576.75</v>
      </c>
      <c r="S46" s="52">
        <v>152577</v>
      </c>
      <c r="T46" s="52">
        <v>0</v>
      </c>
      <c r="U46" s="52">
        <f>VLOOKUP(B46,'ביצוע 2019'!$A$3:$H$1103,7,0)</f>
        <v>0</v>
      </c>
      <c r="V46" s="52">
        <f>U46</f>
        <v>0</v>
      </c>
      <c r="W46" s="52"/>
      <c r="X46" s="52"/>
      <c r="Y46" s="52"/>
      <c r="Z46" s="101">
        <f t="shared" si="6"/>
        <v>0</v>
      </c>
    </row>
    <row r="47" spans="1:26" s="101" customFormat="1" ht="15.75" hidden="1">
      <c r="A47" s="21"/>
      <c r="B47" s="234"/>
      <c r="C47" s="235"/>
      <c r="D47" s="235"/>
      <c r="E47" s="235"/>
      <c r="F47" s="234" t="s">
        <v>1957</v>
      </c>
      <c r="G47" s="236"/>
      <c r="H47" s="236"/>
      <c r="I47" s="236"/>
      <c r="J47" s="236"/>
      <c r="K47" s="236"/>
      <c r="L47" s="236">
        <f>SUM(L46:L46)</f>
        <v>0</v>
      </c>
      <c r="M47" s="236"/>
      <c r="N47" s="236">
        <f t="shared" ref="N47:W47" si="27">SUM(N46:N46)</f>
        <v>0</v>
      </c>
      <c r="O47" s="236">
        <f t="shared" si="27"/>
        <v>0</v>
      </c>
      <c r="P47" s="236">
        <f t="shared" si="27"/>
        <v>0</v>
      </c>
      <c r="Q47" s="236">
        <f t="shared" si="27"/>
        <v>100000</v>
      </c>
      <c r="R47" s="236">
        <f t="shared" si="27"/>
        <v>152576.75</v>
      </c>
      <c r="S47" s="236">
        <f t="shared" si="27"/>
        <v>152577</v>
      </c>
      <c r="T47" s="236">
        <f t="shared" si="27"/>
        <v>0</v>
      </c>
      <c r="U47" s="236">
        <f t="shared" si="27"/>
        <v>0</v>
      </c>
      <c r="V47" s="236">
        <f t="shared" si="27"/>
        <v>0</v>
      </c>
      <c r="W47" s="236">
        <f t="shared" si="27"/>
        <v>0</v>
      </c>
      <c r="X47" s="52"/>
      <c r="Y47" s="52"/>
      <c r="Z47" s="101">
        <f t="shared" si="6"/>
        <v>0</v>
      </c>
    </row>
    <row r="48" spans="1:26" s="101" customFormat="1" ht="15.75">
      <c r="A48" s="21">
        <v>16</v>
      </c>
      <c r="B48" s="51">
        <v>1621200110</v>
      </c>
      <c r="C48" s="50" t="str">
        <f t="shared" si="18"/>
        <v>110</v>
      </c>
      <c r="D48" s="50" t="str">
        <f t="shared" si="19"/>
        <v>621200</v>
      </c>
      <c r="E48" s="50" t="str">
        <f t="shared" si="20"/>
        <v>62</v>
      </c>
      <c r="F48" s="51" t="s">
        <v>48</v>
      </c>
      <c r="G48" s="52">
        <v>0</v>
      </c>
      <c r="H48" s="52">
        <v>3139.94</v>
      </c>
      <c r="I48" s="52">
        <v>-3139.94</v>
      </c>
      <c r="J48" s="52">
        <v>60000</v>
      </c>
      <c r="K48" s="52">
        <v>50000</v>
      </c>
      <c r="L48" s="52">
        <v>60000</v>
      </c>
      <c r="M48" s="52"/>
      <c r="N48" s="52">
        <f t="shared" si="3"/>
        <v>60000</v>
      </c>
      <c r="O48" s="52">
        <f>VLOOKUP(B:B,'דוח כספי 1-10.17'!A:D,4,0)</f>
        <v>39629.89</v>
      </c>
      <c r="P48" s="52">
        <v>50000</v>
      </c>
      <c r="Q48" s="52">
        <v>65000</v>
      </c>
      <c r="R48" s="52">
        <f>VLOOKUP(B48,'2174'!$A$182:$G$567,6,0)</f>
        <v>47778.11</v>
      </c>
      <c r="S48" s="63">
        <f>VLOOKUP(B48,'2174'!$A$575:$D$697,4,0)</f>
        <v>64457.57</v>
      </c>
      <c r="T48" s="52">
        <v>110000</v>
      </c>
      <c r="U48" s="52">
        <f>VLOOKUP(B48,'ביצוע 2019'!$A$3:$H$1103,7,0)</f>
        <v>80790.22</v>
      </c>
      <c r="V48" s="52">
        <v>100000</v>
      </c>
      <c r="W48" s="257">
        <v>0.8</v>
      </c>
      <c r="X48" s="52"/>
      <c r="Y48" s="52" t="s">
        <v>2082</v>
      </c>
      <c r="Z48" s="101">
        <f t="shared" si="6"/>
        <v>1</v>
      </c>
    </row>
    <row r="49" spans="1:26" s="101" customFormat="1" ht="15.75">
      <c r="A49" s="21">
        <v>16</v>
      </c>
      <c r="B49" s="51">
        <v>1621300110</v>
      </c>
      <c r="C49" s="50" t="str">
        <f t="shared" si="18"/>
        <v>110</v>
      </c>
      <c r="D49" s="50" t="str">
        <f t="shared" si="19"/>
        <v>621300</v>
      </c>
      <c r="E49" s="50" t="str">
        <f t="shared" si="20"/>
        <v>62</v>
      </c>
      <c r="F49" s="51" t="s">
        <v>49</v>
      </c>
      <c r="G49" s="52">
        <v>475000</v>
      </c>
      <c r="H49" s="52">
        <v>479765.45</v>
      </c>
      <c r="I49" s="52">
        <v>-4759.45</v>
      </c>
      <c r="J49" s="52">
        <v>520000</v>
      </c>
      <c r="K49" s="52">
        <v>670000</v>
      </c>
      <c r="L49" s="52">
        <v>545000</v>
      </c>
      <c r="M49" s="52"/>
      <c r="N49" s="52">
        <f t="shared" si="3"/>
        <v>545000</v>
      </c>
      <c r="O49" s="52">
        <f>VLOOKUP(B:B,'דוח כספי 1-10.17'!A:D,4,0)</f>
        <v>482206.92</v>
      </c>
      <c r="P49" s="52">
        <f t="shared" si="4"/>
        <v>578648.304</v>
      </c>
      <c r="Q49" s="52">
        <v>450000</v>
      </c>
      <c r="R49" s="52">
        <f>VLOOKUP(B49,'2174'!$A$182:$G$567,6,0)</f>
        <v>306390.96999999997</v>
      </c>
      <c r="S49" s="63">
        <f>VLOOKUP(B49,'2174'!$A$575:$D$697,4,0)</f>
        <v>426066.7</v>
      </c>
      <c r="T49" s="52">
        <v>550000</v>
      </c>
      <c r="U49" s="52">
        <f>VLOOKUP(B49,'ביצוע 2019'!$A$3:$H$1103,7,0)</f>
        <v>433625.84</v>
      </c>
      <c r="V49" s="52">
        <v>543000</v>
      </c>
      <c r="W49" s="257">
        <v>2</v>
      </c>
      <c r="X49" s="52"/>
      <c r="Y49" s="52" t="s">
        <v>2075</v>
      </c>
      <c r="Z49" s="101">
        <f t="shared" si="6"/>
        <v>1</v>
      </c>
    </row>
    <row r="50" spans="1:26" s="101" customFormat="1" ht="15.75">
      <c r="A50" s="21">
        <v>15</v>
      </c>
      <c r="B50" s="51">
        <v>1621300521</v>
      </c>
      <c r="C50" s="50" t="str">
        <f t="shared" si="18"/>
        <v>521</v>
      </c>
      <c r="D50" s="50" t="str">
        <f t="shared" si="19"/>
        <v>621300</v>
      </c>
      <c r="E50" s="50" t="str">
        <f t="shared" si="20"/>
        <v>62</v>
      </c>
      <c r="F50" s="51" t="s">
        <v>6</v>
      </c>
      <c r="G50" s="52">
        <v>0</v>
      </c>
      <c r="H50" s="52">
        <v>5600</v>
      </c>
      <c r="I50" s="52">
        <v>-5600</v>
      </c>
      <c r="J50" s="52">
        <v>3500</v>
      </c>
      <c r="K50" s="52">
        <f t="shared" si="8"/>
        <v>3500</v>
      </c>
      <c r="L50" s="52">
        <f t="shared" ref="L50:L59" si="28">+K50</f>
        <v>3500</v>
      </c>
      <c r="M50" s="52"/>
      <c r="N50" s="52">
        <f t="shared" si="3"/>
        <v>3500</v>
      </c>
      <c r="O50" s="52">
        <f>VLOOKUP(B:B,'דוח כספי 1-10.17'!A:D,4,0)</f>
        <v>3450</v>
      </c>
      <c r="P50" s="52">
        <f t="shared" si="4"/>
        <v>4140</v>
      </c>
      <c r="Q50" s="52">
        <v>10000</v>
      </c>
      <c r="R50" s="52">
        <f>VLOOKUP(B50,'2174'!$A$182:$G$567,6,0)</f>
        <v>0</v>
      </c>
      <c r="S50" s="52">
        <f t="shared" ref="S50:S52" si="29">R50*12/11</f>
        <v>0</v>
      </c>
      <c r="T50" s="52">
        <v>5000</v>
      </c>
      <c r="U50" s="52">
        <f>VLOOKUP(B50,'ביצוע 2019'!$A$3:$H$1103,7,0)</f>
        <v>5670</v>
      </c>
      <c r="V50" s="52">
        <f t="shared" ref="V50:V59" si="30">U50</f>
        <v>5670</v>
      </c>
      <c r="W50" s="52"/>
      <c r="X50" s="52"/>
      <c r="Y50" s="52"/>
      <c r="Z50" s="101">
        <f t="shared" si="6"/>
        <v>1</v>
      </c>
    </row>
    <row r="51" spans="1:26" s="101" customFormat="1" ht="15.75">
      <c r="A51" s="21">
        <v>15</v>
      </c>
      <c r="B51" s="51">
        <v>1621300523</v>
      </c>
      <c r="C51" s="50" t="str">
        <f t="shared" si="18"/>
        <v>523</v>
      </c>
      <c r="D51" s="50" t="str">
        <f t="shared" si="19"/>
        <v>621300</v>
      </c>
      <c r="E51" s="50" t="str">
        <f t="shared" si="20"/>
        <v>62</v>
      </c>
      <c r="F51" s="51" t="s">
        <v>28</v>
      </c>
      <c r="G51" s="52">
        <v>3000</v>
      </c>
      <c r="H51" s="52">
        <v>0</v>
      </c>
      <c r="I51" s="52">
        <v>3001</v>
      </c>
      <c r="J51" s="52">
        <v>1500</v>
      </c>
      <c r="K51" s="52">
        <f t="shared" si="8"/>
        <v>1500</v>
      </c>
      <c r="L51" s="52">
        <f t="shared" si="28"/>
        <v>1500</v>
      </c>
      <c r="M51" s="52"/>
      <c r="N51" s="52">
        <f t="shared" si="3"/>
        <v>1500</v>
      </c>
      <c r="O51" s="52">
        <f>VLOOKUP(B:B,'דוח כספי 1-10.17'!A:D,4,0)</f>
        <v>0</v>
      </c>
      <c r="P51" s="52">
        <f t="shared" si="4"/>
        <v>0</v>
      </c>
      <c r="Q51" s="52">
        <v>1500</v>
      </c>
      <c r="R51" s="52">
        <f>VLOOKUP(B51,'2174'!$A$182:$G$567,6,0)</f>
        <v>0</v>
      </c>
      <c r="S51" s="52">
        <v>1500</v>
      </c>
      <c r="T51" s="52">
        <v>1500</v>
      </c>
      <c r="U51" s="52">
        <f>VLOOKUP(B51,'ביצוע 2019'!$A$3:$H$1103,7,0)</f>
        <v>0</v>
      </c>
      <c r="V51" s="52">
        <f t="shared" si="30"/>
        <v>0</v>
      </c>
      <c r="W51" s="52"/>
      <c r="X51" s="52"/>
      <c r="Y51" s="52"/>
      <c r="Z51" s="101">
        <f t="shared" si="6"/>
        <v>1</v>
      </c>
    </row>
    <row r="52" spans="1:26" s="101" customFormat="1" ht="15.75">
      <c r="A52" s="21">
        <v>15</v>
      </c>
      <c r="B52" s="51">
        <v>1621300540</v>
      </c>
      <c r="C52" s="50" t="str">
        <f t="shared" si="18"/>
        <v>540</v>
      </c>
      <c r="D52" s="50" t="str">
        <f t="shared" si="19"/>
        <v>621300</v>
      </c>
      <c r="E52" s="50" t="str">
        <f t="shared" si="20"/>
        <v>62</v>
      </c>
      <c r="F52" s="51" t="s">
        <v>50</v>
      </c>
      <c r="G52" s="52">
        <v>3000</v>
      </c>
      <c r="H52" s="52">
        <v>1453.8</v>
      </c>
      <c r="I52" s="52">
        <v>1547.2</v>
      </c>
      <c r="J52" s="52">
        <v>0</v>
      </c>
      <c r="K52" s="52">
        <f t="shared" si="8"/>
        <v>0</v>
      </c>
      <c r="L52" s="52">
        <f t="shared" si="28"/>
        <v>0</v>
      </c>
      <c r="M52" s="52"/>
      <c r="N52" s="52">
        <f t="shared" si="3"/>
        <v>0</v>
      </c>
      <c r="O52" s="52">
        <f>VLOOKUP(B:B,'דוח כספי 1-10.17'!A:D,4,0)</f>
        <v>1419.42</v>
      </c>
      <c r="P52" s="52">
        <f t="shared" si="4"/>
        <v>1703.3040000000001</v>
      </c>
      <c r="Q52" s="52">
        <v>2000</v>
      </c>
      <c r="R52" s="52">
        <f>VLOOKUP(B52,'2174'!$A$182:$G$567,6,0)</f>
        <v>100</v>
      </c>
      <c r="S52" s="52">
        <f t="shared" si="29"/>
        <v>109.09090909090909</v>
      </c>
      <c r="T52" s="52">
        <v>2000</v>
      </c>
      <c r="U52" s="52">
        <f>VLOOKUP(B52,'ביצוע 2019'!$A$3:$H$1103,7,0)</f>
        <v>1481.94</v>
      </c>
      <c r="V52" s="52">
        <f t="shared" si="30"/>
        <v>1481.94</v>
      </c>
      <c r="W52" s="52"/>
      <c r="X52" s="52"/>
      <c r="Y52" s="52"/>
      <c r="Z52" s="101">
        <f t="shared" si="6"/>
        <v>1</v>
      </c>
    </row>
    <row r="53" spans="1:26" s="101" customFormat="1" ht="15.75">
      <c r="A53" s="21">
        <v>15</v>
      </c>
      <c r="B53" s="51">
        <v>1621300560</v>
      </c>
      <c r="C53" s="50" t="str">
        <f t="shared" si="18"/>
        <v>560</v>
      </c>
      <c r="D53" s="50" t="str">
        <f t="shared" si="19"/>
        <v>621300</v>
      </c>
      <c r="E53" s="50" t="str">
        <f t="shared" si="20"/>
        <v>62</v>
      </c>
      <c r="F53" s="51" t="s">
        <v>52</v>
      </c>
      <c r="G53" s="52">
        <v>10000</v>
      </c>
      <c r="H53" s="52">
        <v>3353.78</v>
      </c>
      <c r="I53" s="52">
        <v>6646.22</v>
      </c>
      <c r="J53" s="52">
        <v>7000</v>
      </c>
      <c r="K53" s="52">
        <f t="shared" si="8"/>
        <v>7000</v>
      </c>
      <c r="L53" s="52">
        <v>6700</v>
      </c>
      <c r="M53" s="52"/>
      <c r="N53" s="52">
        <f t="shared" si="3"/>
        <v>6700</v>
      </c>
      <c r="O53" s="52">
        <f>VLOOKUP(B:B,'דוח כספי 1-10.17'!A:D,4,0)</f>
        <v>3500</v>
      </c>
      <c r="P53" s="52">
        <f t="shared" si="4"/>
        <v>4200</v>
      </c>
      <c r="Q53" s="52">
        <v>5000</v>
      </c>
      <c r="R53" s="52">
        <f>VLOOKUP(B53,'2174'!$A$182:$G$567,6,0)</f>
        <v>4092</v>
      </c>
      <c r="S53" s="52">
        <f t="shared" ref="S53:S54" si="31">R53*12/11</f>
        <v>4464</v>
      </c>
      <c r="T53" s="52">
        <v>5000</v>
      </c>
      <c r="U53" s="52">
        <f>VLOOKUP(B53,'ביצוע 2019'!$A$3:$H$1103,7,0)</f>
        <v>6699.83</v>
      </c>
      <c r="V53" s="52">
        <f t="shared" si="30"/>
        <v>6699.83</v>
      </c>
      <c r="W53" s="52"/>
      <c r="X53" s="52"/>
      <c r="Y53" s="52"/>
      <c r="Z53" s="101">
        <f t="shared" si="6"/>
        <v>1</v>
      </c>
    </row>
    <row r="54" spans="1:26" s="101" customFormat="1" ht="15.75">
      <c r="A54" s="21">
        <v>15</v>
      </c>
      <c r="B54" s="51">
        <v>1621300570</v>
      </c>
      <c r="C54" s="50" t="str">
        <f t="shared" si="18"/>
        <v>570</v>
      </c>
      <c r="D54" s="50" t="str">
        <f t="shared" si="19"/>
        <v>621300</v>
      </c>
      <c r="E54" s="50" t="str">
        <f t="shared" si="20"/>
        <v>62</v>
      </c>
      <c r="F54" s="51" t="s">
        <v>53</v>
      </c>
      <c r="G54" s="52">
        <v>229000</v>
      </c>
      <c r="H54" s="52">
        <v>349760.71</v>
      </c>
      <c r="I54" s="52">
        <v>-120757.71</v>
      </c>
      <c r="J54" s="52">
        <v>300000</v>
      </c>
      <c r="K54" s="52">
        <f t="shared" si="8"/>
        <v>300000</v>
      </c>
      <c r="L54" s="52">
        <v>330000</v>
      </c>
      <c r="M54" s="52"/>
      <c r="N54" s="52">
        <f t="shared" si="3"/>
        <v>330000</v>
      </c>
      <c r="O54" s="52">
        <f>VLOOKUP(B:B,'דוח כספי 1-10.17'!A:D,4,0)</f>
        <v>248362.39</v>
      </c>
      <c r="P54" s="52">
        <f>O54*12/7</f>
        <v>425764.09714285715</v>
      </c>
      <c r="Q54" s="52">
        <v>450000</v>
      </c>
      <c r="R54" s="52">
        <f>VLOOKUP(B54,'2174'!$A$182:$G$567,6,0)</f>
        <v>308541.33</v>
      </c>
      <c r="S54" s="52">
        <f t="shared" si="31"/>
        <v>336590.54181818181</v>
      </c>
      <c r="T54" s="52">
        <v>330000</v>
      </c>
      <c r="U54" s="52">
        <f>VLOOKUP(B54,'ביצוע 2019'!$A$3:$H$1103,7,0)</f>
        <v>345174.72</v>
      </c>
      <c r="V54" s="52">
        <f>U54-195</f>
        <v>344979.72</v>
      </c>
      <c r="W54" s="52"/>
      <c r="X54" s="52"/>
      <c r="Y54" s="158"/>
      <c r="Z54" s="101">
        <f t="shared" si="6"/>
        <v>1</v>
      </c>
    </row>
    <row r="55" spans="1:26" s="101" customFormat="1" ht="15.75" hidden="1">
      <c r="A55" s="21">
        <v>15</v>
      </c>
      <c r="B55" s="51">
        <v>1621300571</v>
      </c>
      <c r="C55" s="50" t="str">
        <f t="shared" ref="C55" si="32">RIGHT(B55,3)</f>
        <v>571</v>
      </c>
      <c r="D55" s="50" t="str">
        <f t="shared" ref="D55" si="33">MID(B55,2,6)</f>
        <v>621300</v>
      </c>
      <c r="E55" s="50" t="str">
        <f t="shared" ref="E55" si="34">LEFT(D55,2)</f>
        <v>62</v>
      </c>
      <c r="F55" s="51" t="s">
        <v>54</v>
      </c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>
        <v>0</v>
      </c>
      <c r="U55" s="52"/>
      <c r="V55" s="52"/>
      <c r="W55" s="52"/>
      <c r="X55" s="52"/>
      <c r="Y55" s="158"/>
      <c r="Z55" s="101">
        <f t="shared" si="6"/>
        <v>0</v>
      </c>
    </row>
    <row r="56" spans="1:26" s="101" customFormat="1" ht="15.75" hidden="1">
      <c r="A56" s="21">
        <v>15</v>
      </c>
      <c r="B56" s="51">
        <v>1621300750</v>
      </c>
      <c r="C56" s="50" t="str">
        <f t="shared" si="18"/>
        <v>750</v>
      </c>
      <c r="D56" s="50" t="str">
        <f t="shared" si="19"/>
        <v>621300</v>
      </c>
      <c r="E56" s="50" t="str">
        <f t="shared" si="20"/>
        <v>62</v>
      </c>
      <c r="F56" s="51" t="s">
        <v>55</v>
      </c>
      <c r="G56" s="52">
        <v>0</v>
      </c>
      <c r="H56" s="52">
        <v>0</v>
      </c>
      <c r="I56" s="52">
        <v>0</v>
      </c>
      <c r="J56" s="52">
        <v>0</v>
      </c>
      <c r="K56" s="52">
        <f t="shared" si="8"/>
        <v>0</v>
      </c>
      <c r="L56" s="52">
        <v>207000</v>
      </c>
      <c r="M56" s="52"/>
      <c r="N56" s="52">
        <f t="shared" si="3"/>
        <v>207000</v>
      </c>
      <c r="O56" s="52"/>
      <c r="P56" s="52">
        <f t="shared" si="4"/>
        <v>0</v>
      </c>
      <c r="Q56" s="52">
        <f>P56</f>
        <v>0</v>
      </c>
      <c r="R56" s="52"/>
      <c r="S56" s="52">
        <f t="shared" ref="S56" si="35">R56*12/11</f>
        <v>0</v>
      </c>
      <c r="T56" s="52">
        <v>0</v>
      </c>
      <c r="U56" s="52">
        <f>VLOOKUP(B56,'ביצוע 2019'!$A$3:$H$1103,7,0)</f>
        <v>0</v>
      </c>
      <c r="V56" s="52">
        <f t="shared" si="30"/>
        <v>0</v>
      </c>
      <c r="W56" s="52"/>
      <c r="X56" s="52"/>
      <c r="Y56" s="52"/>
      <c r="Z56" s="101">
        <f t="shared" si="6"/>
        <v>0</v>
      </c>
    </row>
    <row r="57" spans="1:26" s="101" customFormat="1" ht="15.75">
      <c r="A57" s="21">
        <v>15</v>
      </c>
      <c r="B57" s="51">
        <v>1621300751</v>
      </c>
      <c r="C57" s="50" t="str">
        <f t="shared" si="18"/>
        <v>751</v>
      </c>
      <c r="D57" s="50" t="str">
        <f t="shared" si="19"/>
        <v>621300</v>
      </c>
      <c r="E57" s="50" t="str">
        <f t="shared" si="20"/>
        <v>62</v>
      </c>
      <c r="F57" s="51" t="s">
        <v>56</v>
      </c>
      <c r="G57" s="52">
        <v>423000</v>
      </c>
      <c r="H57" s="52">
        <v>470900</v>
      </c>
      <c r="I57" s="52">
        <v>-47899</v>
      </c>
      <c r="J57" s="52">
        <v>450000</v>
      </c>
      <c r="K57" s="52">
        <v>480000</v>
      </c>
      <c r="L57" s="52">
        <v>480000</v>
      </c>
      <c r="M57" s="52"/>
      <c r="N57" s="52">
        <f t="shared" si="3"/>
        <v>480000</v>
      </c>
      <c r="O57" s="52">
        <f>VLOOKUP(B:B,'דוח כספי 1-10.17'!A:D,4,0)</f>
        <v>331974</v>
      </c>
      <c r="P57" s="52">
        <v>480000</v>
      </c>
      <c r="Q57" s="52">
        <v>500000</v>
      </c>
      <c r="R57" s="52">
        <f>VLOOKUP(B57,'2174'!$A$182:$G$567,6,0)</f>
        <v>361165</v>
      </c>
      <c r="S57" s="52">
        <v>500000</v>
      </c>
      <c r="T57" s="52">
        <f>480000-180000</f>
        <v>300000</v>
      </c>
      <c r="U57" s="52">
        <f>VLOOKUP(B57,'ביצוע 2019'!$A$3:$H$1103,7,0)</f>
        <v>541546</v>
      </c>
      <c r="V57" s="52">
        <v>490000</v>
      </c>
      <c r="W57" s="52"/>
      <c r="X57" s="52"/>
      <c r="Y57" s="52"/>
      <c r="Z57" s="101">
        <f t="shared" si="6"/>
        <v>1</v>
      </c>
    </row>
    <row r="58" spans="1:26" s="101" customFormat="1" ht="15.75">
      <c r="A58" s="21">
        <v>15</v>
      </c>
      <c r="B58" s="51">
        <v>1621300780</v>
      </c>
      <c r="C58" s="50" t="str">
        <f t="shared" si="18"/>
        <v>780</v>
      </c>
      <c r="D58" s="50" t="str">
        <f t="shared" si="19"/>
        <v>621300</v>
      </c>
      <c r="E58" s="50" t="str">
        <f t="shared" si="20"/>
        <v>62</v>
      </c>
      <c r="F58" s="51" t="s">
        <v>58</v>
      </c>
      <c r="G58" s="52">
        <v>0</v>
      </c>
      <c r="H58" s="52">
        <v>0</v>
      </c>
      <c r="I58" s="52">
        <v>0</v>
      </c>
      <c r="J58" s="52">
        <v>0</v>
      </c>
      <c r="K58" s="52">
        <f t="shared" si="8"/>
        <v>0</v>
      </c>
      <c r="L58" s="52">
        <v>12000</v>
      </c>
      <c r="M58" s="52"/>
      <c r="N58" s="52">
        <f t="shared" si="3"/>
        <v>12000</v>
      </c>
      <c r="O58" s="52">
        <f>VLOOKUP(B:B,'דוח כספי 1-10.17'!A:D,4,0)</f>
        <v>11897.6</v>
      </c>
      <c r="P58" s="52">
        <f t="shared" si="4"/>
        <v>14277.12</v>
      </c>
      <c r="Q58" s="52">
        <v>14000</v>
      </c>
      <c r="R58" s="52"/>
      <c r="S58" s="52">
        <f t="shared" ref="S58:S59" si="36">R58*12/11</f>
        <v>0</v>
      </c>
      <c r="T58" s="52">
        <v>30000</v>
      </c>
      <c r="U58" s="52">
        <f>VLOOKUP(B58,'ביצוע 2019'!$A$3:$H$1103,7,0)</f>
        <v>27099.7</v>
      </c>
      <c r="V58" s="52">
        <f t="shared" si="30"/>
        <v>27099.7</v>
      </c>
      <c r="W58" s="52"/>
      <c r="X58" s="52"/>
      <c r="Y58" s="52"/>
      <c r="Z58" s="101">
        <f t="shared" si="6"/>
        <v>1</v>
      </c>
    </row>
    <row r="59" spans="1:26" s="101" customFormat="1" ht="15.75">
      <c r="A59" s="21">
        <v>15</v>
      </c>
      <c r="B59" s="51">
        <v>1621300930</v>
      </c>
      <c r="C59" s="50" t="str">
        <f t="shared" si="18"/>
        <v>930</v>
      </c>
      <c r="D59" s="50" t="str">
        <f t="shared" si="19"/>
        <v>621300</v>
      </c>
      <c r="E59" s="50" t="str">
        <f t="shared" si="20"/>
        <v>62</v>
      </c>
      <c r="F59" s="51" t="s">
        <v>19</v>
      </c>
      <c r="G59" s="52">
        <v>2000</v>
      </c>
      <c r="H59" s="52">
        <v>0</v>
      </c>
      <c r="I59" s="52">
        <v>2004</v>
      </c>
      <c r="J59" s="52">
        <v>6000</v>
      </c>
      <c r="K59" s="52">
        <f t="shared" si="8"/>
        <v>6000</v>
      </c>
      <c r="L59" s="52">
        <f t="shared" si="28"/>
        <v>6000</v>
      </c>
      <c r="M59" s="52"/>
      <c r="N59" s="52">
        <f t="shared" si="3"/>
        <v>6000</v>
      </c>
      <c r="O59" s="52">
        <f>VLOOKUP(B:B,'דוח כספי 1-10.17'!A:D,4,0)</f>
        <v>0</v>
      </c>
      <c r="P59" s="52">
        <f t="shared" si="4"/>
        <v>0</v>
      </c>
      <c r="Q59" s="52">
        <v>15000</v>
      </c>
      <c r="R59" s="52">
        <f>VLOOKUP(B59,'2174'!$A$182:$G$567,6,0)</f>
        <v>29500</v>
      </c>
      <c r="S59" s="52">
        <f t="shared" si="36"/>
        <v>32181.81818181818</v>
      </c>
      <c r="T59" s="52">
        <v>20000</v>
      </c>
      <c r="U59" s="52">
        <f>VLOOKUP(B59,'ביצוע 2019'!$A$3:$H$1103,7,0)</f>
        <v>26000</v>
      </c>
      <c r="V59" s="52">
        <f t="shared" si="30"/>
        <v>26000</v>
      </c>
      <c r="W59" s="52"/>
      <c r="X59" s="52"/>
      <c r="Y59" s="52"/>
      <c r="Z59" s="101">
        <f t="shared" si="6"/>
        <v>1</v>
      </c>
    </row>
    <row r="60" spans="1:26" s="101" customFormat="1" ht="15.75">
      <c r="A60" s="21"/>
      <c r="B60" s="234"/>
      <c r="C60" s="235"/>
      <c r="D60" s="235"/>
      <c r="E60" s="235"/>
      <c r="F60" s="234" t="s">
        <v>49</v>
      </c>
      <c r="G60" s="236"/>
      <c r="H60" s="236"/>
      <c r="I60" s="236"/>
      <c r="J60" s="236"/>
      <c r="K60" s="236"/>
      <c r="L60" s="236">
        <f>SUM(L48:L59)</f>
        <v>1651700</v>
      </c>
      <c r="M60" s="236"/>
      <c r="N60" s="236">
        <f t="shared" ref="N60:W60" si="37">SUM(N48:N59)</f>
        <v>1651700</v>
      </c>
      <c r="O60" s="236">
        <f t="shared" si="37"/>
        <v>1122440.2200000002</v>
      </c>
      <c r="P60" s="236">
        <f t="shared" si="37"/>
        <v>1558732.8251428572</v>
      </c>
      <c r="Q60" s="236">
        <f t="shared" si="37"/>
        <v>1512500</v>
      </c>
      <c r="R60" s="236">
        <f t="shared" si="37"/>
        <v>1057567.4099999999</v>
      </c>
      <c r="S60" s="236">
        <f t="shared" si="37"/>
        <v>1365369.7209090909</v>
      </c>
      <c r="T60" s="236">
        <f t="shared" si="37"/>
        <v>1353500</v>
      </c>
      <c r="U60" s="236">
        <f t="shared" si="37"/>
        <v>1468088.25</v>
      </c>
      <c r="V60" s="236">
        <f t="shared" si="37"/>
        <v>1544931.1899999997</v>
      </c>
      <c r="W60" s="236">
        <f t="shared" si="37"/>
        <v>2.8</v>
      </c>
      <c r="X60" s="52"/>
      <c r="Y60" s="52"/>
      <c r="Z60" s="101">
        <f t="shared" si="6"/>
        <v>1</v>
      </c>
    </row>
    <row r="61" spans="1:26" s="101" customFormat="1" ht="15.75">
      <c r="A61" s="21">
        <v>16</v>
      </c>
      <c r="B61" s="51">
        <v>1623000110</v>
      </c>
      <c r="C61" s="50" t="str">
        <f t="shared" si="18"/>
        <v>110</v>
      </c>
      <c r="D61" s="50" t="str">
        <f t="shared" si="19"/>
        <v>623000</v>
      </c>
      <c r="E61" s="50" t="str">
        <f t="shared" si="20"/>
        <v>62</v>
      </c>
      <c r="F61" s="51" t="s">
        <v>59</v>
      </c>
      <c r="G61" s="52">
        <v>200000</v>
      </c>
      <c r="H61" s="52">
        <v>199872.08</v>
      </c>
      <c r="I61" s="52">
        <v>127.92</v>
      </c>
      <c r="J61" s="52">
        <v>220000</v>
      </c>
      <c r="K61" s="52">
        <f t="shared" si="8"/>
        <v>220000</v>
      </c>
      <c r="L61" s="52">
        <v>227000</v>
      </c>
      <c r="M61" s="52"/>
      <c r="N61" s="52">
        <f t="shared" ref="N61:N118" si="38">M61+L61</f>
        <v>227000</v>
      </c>
      <c r="O61" s="52">
        <f>VLOOKUP(B:B,'דוח כספי 1-10.17'!A:D,4,0)</f>
        <v>191650.18</v>
      </c>
      <c r="P61" s="52">
        <v>220000</v>
      </c>
      <c r="Q61" s="52">
        <f>225000+150000</f>
        <v>375000</v>
      </c>
      <c r="R61" s="52">
        <f>VLOOKUP(B61,'2174'!$A$182:$G$567,6,0)</f>
        <v>241865.53</v>
      </c>
      <c r="S61" s="63">
        <f>VLOOKUP(B61,'2174'!$A$575:$D$697,4,0)</f>
        <v>298499.90000000002</v>
      </c>
      <c r="T61" s="52">
        <v>420000</v>
      </c>
      <c r="U61" s="52">
        <f>VLOOKUP(B61,'ביצוע 2019'!$A$3:$H$1103,7,0)</f>
        <v>261454.88</v>
      </c>
      <c r="V61" s="52">
        <v>318000</v>
      </c>
      <c r="W61" s="257">
        <v>3</v>
      </c>
      <c r="X61" s="52"/>
      <c r="Y61" s="52" t="s">
        <v>2059</v>
      </c>
      <c r="Z61" s="101">
        <f t="shared" si="6"/>
        <v>1</v>
      </c>
    </row>
    <row r="62" spans="1:26" s="101" customFormat="1" ht="15.75">
      <c r="A62" s="21">
        <v>16</v>
      </c>
      <c r="B62" s="51">
        <v>1623000320</v>
      </c>
      <c r="C62" s="56" t="str">
        <f t="shared" ref="C62" si="39">RIGHT(B62,3)</f>
        <v>320</v>
      </c>
      <c r="D62" s="56" t="str">
        <f t="shared" ref="D62" si="40">MID(B62,2,6)</f>
        <v>623000</v>
      </c>
      <c r="E62" s="56" t="str">
        <f t="shared" ref="E62" si="41">LEFT(D62,2)</f>
        <v>62</v>
      </c>
      <c r="F62" s="56" t="s">
        <v>25</v>
      </c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>
        <f>VLOOKUP(B62,'ביצוע 2019'!$A$3:$H$1103,7,0)</f>
        <v>21725</v>
      </c>
      <c r="V62" s="56">
        <v>0</v>
      </c>
      <c r="W62" s="56"/>
      <c r="X62" s="52"/>
      <c r="Y62" s="52"/>
      <c r="Z62" s="101">
        <f t="shared" si="6"/>
        <v>1</v>
      </c>
    </row>
    <row r="63" spans="1:26" s="101" customFormat="1" ht="15.75">
      <c r="A63" s="21">
        <v>15</v>
      </c>
      <c r="B63" s="51">
        <v>1623000560</v>
      </c>
      <c r="C63" s="261" t="str">
        <f t="shared" si="18"/>
        <v>560</v>
      </c>
      <c r="D63" s="261" t="str">
        <f t="shared" si="19"/>
        <v>623000</v>
      </c>
      <c r="E63" s="261" t="str">
        <f t="shared" si="20"/>
        <v>62</v>
      </c>
      <c r="F63" s="261" t="s">
        <v>14</v>
      </c>
      <c r="G63" s="261">
        <v>10000</v>
      </c>
      <c r="H63" s="261">
        <v>7981.36</v>
      </c>
      <c r="I63" s="261">
        <v>2018.64</v>
      </c>
      <c r="J63" s="261">
        <v>8000</v>
      </c>
      <c r="K63" s="261">
        <f t="shared" ref="K63:L64" si="42">+J63</f>
        <v>8000</v>
      </c>
      <c r="L63" s="261">
        <f t="shared" si="42"/>
        <v>8000</v>
      </c>
      <c r="M63" s="261"/>
      <c r="N63" s="261">
        <f t="shared" si="38"/>
        <v>8000</v>
      </c>
      <c r="O63" s="261">
        <f>VLOOKUP(B:B,'דוח כספי 1-10.17'!A:D,4,0)</f>
        <v>7615</v>
      </c>
      <c r="P63" s="261">
        <f t="shared" ref="P63:P71" si="43">O63*12/10</f>
        <v>9138</v>
      </c>
      <c r="Q63" s="261">
        <v>9000</v>
      </c>
      <c r="R63" s="261">
        <f>VLOOKUP(B63,'2174'!$A$182:$G$567,6,0)</f>
        <v>3739</v>
      </c>
      <c r="S63" s="261">
        <f>R63*12/11</f>
        <v>4078.909090909091</v>
      </c>
      <c r="T63" s="261">
        <v>10000</v>
      </c>
      <c r="U63" s="261">
        <f>VLOOKUP(B63,'ביצוע 2019'!$A$3:$H$1103,7,0)</f>
        <v>0</v>
      </c>
      <c r="V63" s="261">
        <f t="shared" ref="V63:V68" si="44">U63</f>
        <v>0</v>
      </c>
      <c r="W63" s="261"/>
      <c r="X63" s="52"/>
      <c r="Y63" s="52"/>
      <c r="Z63" s="101">
        <f t="shared" si="6"/>
        <v>1</v>
      </c>
    </row>
    <row r="64" spans="1:26" s="101" customFormat="1" ht="13.5" customHeight="1">
      <c r="A64" s="21">
        <v>15</v>
      </c>
      <c r="B64" s="51">
        <v>1623000582</v>
      </c>
      <c r="C64" s="261" t="str">
        <f t="shared" si="18"/>
        <v>582</v>
      </c>
      <c r="D64" s="261" t="str">
        <f t="shared" si="19"/>
        <v>623000</v>
      </c>
      <c r="E64" s="261" t="str">
        <f t="shared" si="20"/>
        <v>62</v>
      </c>
      <c r="F64" s="261" t="s">
        <v>61</v>
      </c>
      <c r="G64" s="261">
        <v>0</v>
      </c>
      <c r="H64" s="261">
        <v>0</v>
      </c>
      <c r="I64" s="261">
        <v>0</v>
      </c>
      <c r="J64" s="261">
        <v>0</v>
      </c>
      <c r="K64" s="261">
        <f t="shared" si="42"/>
        <v>0</v>
      </c>
      <c r="L64" s="261">
        <f t="shared" si="42"/>
        <v>0</v>
      </c>
      <c r="M64" s="261"/>
      <c r="N64" s="261">
        <f t="shared" si="38"/>
        <v>0</v>
      </c>
      <c r="O64" s="261">
        <f>VLOOKUP(B:B,'דוח כספי 1-10.17'!A:D,4,0)</f>
        <v>0</v>
      </c>
      <c r="P64" s="261">
        <f t="shared" si="43"/>
        <v>0</v>
      </c>
      <c r="Q64" s="261">
        <f t="shared" ref="Q64:Q67" si="45">P64</f>
        <v>0</v>
      </c>
      <c r="R64" s="261">
        <f>VLOOKUP(B64,'2174'!$A$182:$G$567,6,0)</f>
        <v>17550</v>
      </c>
      <c r="S64" s="261">
        <f t="shared" ref="S64:S65" si="46">R64*12/11</f>
        <v>19145.454545454544</v>
      </c>
      <c r="T64" s="261">
        <v>100000</v>
      </c>
      <c r="U64" s="261">
        <f>VLOOKUP(B64,'ביצוע 2019'!$A$3:$H$1103,7,0)</f>
        <v>411608.9</v>
      </c>
      <c r="V64" s="261"/>
      <c r="W64" s="261"/>
      <c r="X64" s="52"/>
      <c r="Y64" s="52"/>
      <c r="Z64" s="101">
        <f t="shared" si="6"/>
        <v>1</v>
      </c>
    </row>
    <row r="65" spans="1:26" s="101" customFormat="1" ht="15.75">
      <c r="A65" s="21">
        <v>15</v>
      </c>
      <c r="B65" s="51">
        <v>1623000750</v>
      </c>
      <c r="C65" s="261" t="str">
        <f t="shared" si="18"/>
        <v>750</v>
      </c>
      <c r="D65" s="261" t="str">
        <f t="shared" si="19"/>
        <v>623000</v>
      </c>
      <c r="E65" s="261" t="str">
        <f t="shared" si="20"/>
        <v>62</v>
      </c>
      <c r="F65" s="261" t="s">
        <v>62</v>
      </c>
      <c r="G65" s="261">
        <v>400000</v>
      </c>
      <c r="H65" s="261">
        <v>293388.40000000002</v>
      </c>
      <c r="I65" s="261">
        <v>106611.6</v>
      </c>
      <c r="J65" s="261">
        <v>300000</v>
      </c>
      <c r="K65" s="261">
        <v>450000</v>
      </c>
      <c r="L65" s="261">
        <v>425000</v>
      </c>
      <c r="M65" s="261"/>
      <c r="N65" s="261">
        <f t="shared" si="38"/>
        <v>425000</v>
      </c>
      <c r="O65" s="261">
        <f>VLOOKUP(B:B,'דוח כספי 1-10.17'!A:D,4,0)</f>
        <v>293202.32</v>
      </c>
      <c r="P65" s="261">
        <f t="shared" si="43"/>
        <v>351842.78399999999</v>
      </c>
      <c r="Q65" s="261">
        <v>400000</v>
      </c>
      <c r="R65" s="261">
        <f>VLOOKUP(B65,'2174'!$A$182:$G$567,6,0)</f>
        <v>403332.38</v>
      </c>
      <c r="S65" s="261">
        <f t="shared" si="46"/>
        <v>439998.96</v>
      </c>
      <c r="T65" s="261">
        <v>250000</v>
      </c>
      <c r="U65" s="261">
        <f>VLOOKUP(B65,'ביצוע 2019'!$A$3:$H$1103,7,0)</f>
        <v>619248.22</v>
      </c>
      <c r="V65" s="261">
        <v>378000</v>
      </c>
      <c r="W65" s="261"/>
      <c r="X65" s="52"/>
      <c r="Y65" s="52"/>
      <c r="Z65" s="101">
        <f t="shared" si="6"/>
        <v>1</v>
      </c>
    </row>
    <row r="66" spans="1:26" s="101" customFormat="1" ht="18" hidden="1" customHeight="1">
      <c r="A66" s="21">
        <v>15</v>
      </c>
      <c r="B66" s="51">
        <v>1623000751</v>
      </c>
      <c r="C66" s="261" t="str">
        <f t="shared" si="18"/>
        <v>751</v>
      </c>
      <c r="D66" s="261" t="str">
        <f t="shared" si="19"/>
        <v>623000</v>
      </c>
      <c r="E66" s="261" t="str">
        <f t="shared" si="20"/>
        <v>62</v>
      </c>
      <c r="F66" s="261" t="s">
        <v>63</v>
      </c>
      <c r="G66" s="261">
        <v>10000</v>
      </c>
      <c r="H66" s="261">
        <v>0</v>
      </c>
      <c r="I66" s="261">
        <v>10000</v>
      </c>
      <c r="J66" s="261">
        <v>0</v>
      </c>
      <c r="K66" s="261">
        <f t="shared" ref="K66:L68" si="47">+J66</f>
        <v>0</v>
      </c>
      <c r="L66" s="261">
        <f t="shared" si="47"/>
        <v>0</v>
      </c>
      <c r="M66" s="261"/>
      <c r="N66" s="261">
        <f t="shared" si="38"/>
        <v>0</v>
      </c>
      <c r="O66" s="261">
        <f>VLOOKUP(B:B,'דוח כספי 1-10.17'!A:D,4,0)</f>
        <v>0</v>
      </c>
      <c r="P66" s="261">
        <f t="shared" si="43"/>
        <v>0</v>
      </c>
      <c r="Q66" s="261">
        <f t="shared" si="45"/>
        <v>0</v>
      </c>
      <c r="R66" s="261">
        <f>VLOOKUP(B66,'2174'!$A$182:$G$567,6,0)</f>
        <v>5850</v>
      </c>
      <c r="S66" s="261">
        <v>0</v>
      </c>
      <c r="T66" s="261">
        <v>0</v>
      </c>
      <c r="U66" s="261">
        <f>VLOOKUP(B66,'ביצוע 2019'!$A$3:$H$1103,7,0)</f>
        <v>0</v>
      </c>
      <c r="V66" s="261">
        <f t="shared" si="44"/>
        <v>0</v>
      </c>
      <c r="W66" s="261"/>
      <c r="X66" s="52"/>
      <c r="Y66" s="52"/>
      <c r="Z66" s="101">
        <f t="shared" si="6"/>
        <v>0</v>
      </c>
    </row>
    <row r="67" spans="1:26" s="101" customFormat="1" ht="15.75" hidden="1">
      <c r="A67" s="21">
        <v>15</v>
      </c>
      <c r="B67" s="51">
        <v>1623000930</v>
      </c>
      <c r="C67" s="261" t="str">
        <f t="shared" si="18"/>
        <v>930</v>
      </c>
      <c r="D67" s="261" t="str">
        <f t="shared" si="19"/>
        <v>623000</v>
      </c>
      <c r="E67" s="261" t="str">
        <f t="shared" si="20"/>
        <v>62</v>
      </c>
      <c r="F67" s="261" t="s">
        <v>19</v>
      </c>
      <c r="G67" s="261">
        <v>2000</v>
      </c>
      <c r="H67" s="261">
        <v>4089.6</v>
      </c>
      <c r="I67" s="261">
        <v>-2085.6</v>
      </c>
      <c r="J67" s="261">
        <v>2000</v>
      </c>
      <c r="K67" s="261">
        <f t="shared" si="47"/>
        <v>2000</v>
      </c>
      <c r="L67" s="261">
        <f t="shared" si="47"/>
        <v>2000</v>
      </c>
      <c r="M67" s="261"/>
      <c r="N67" s="261">
        <f t="shared" si="38"/>
        <v>2000</v>
      </c>
      <c r="O67" s="261">
        <f>VLOOKUP(B:B,'דוח כספי 1-10.17'!A:D,4,0)</f>
        <v>0</v>
      </c>
      <c r="P67" s="261">
        <f t="shared" si="43"/>
        <v>0</v>
      </c>
      <c r="Q67" s="261">
        <f t="shared" si="45"/>
        <v>0</v>
      </c>
      <c r="R67" s="261">
        <f>VLOOKUP(B67,'2174'!$A$182:$G$567,6,0)</f>
        <v>0</v>
      </c>
      <c r="S67" s="261">
        <f>R67*12/11</f>
        <v>0</v>
      </c>
      <c r="T67" s="261">
        <v>0</v>
      </c>
      <c r="U67" s="261"/>
      <c r="V67" s="261"/>
      <c r="W67" s="261"/>
      <c r="X67" s="52"/>
      <c r="Y67" s="52"/>
      <c r="Z67" s="101">
        <f t="shared" si="6"/>
        <v>0</v>
      </c>
    </row>
    <row r="68" spans="1:26" s="101" customFormat="1" ht="15.75" hidden="1">
      <c r="A68" s="21">
        <v>16</v>
      </c>
      <c r="B68" s="51">
        <v>1629999399</v>
      </c>
      <c r="C68" s="261" t="str">
        <f>RIGHT(B68,3)</f>
        <v>399</v>
      </c>
      <c r="D68" s="261" t="str">
        <f>MID(B68,2,6)</f>
        <v>629999</v>
      </c>
      <c r="E68" s="261" t="str">
        <f>LEFT(D68,2)</f>
        <v>62</v>
      </c>
      <c r="F68" s="261" t="s">
        <v>47</v>
      </c>
      <c r="G68" s="261">
        <v>0</v>
      </c>
      <c r="H68" s="261">
        <v>0</v>
      </c>
      <c r="I68" s="261">
        <v>0</v>
      </c>
      <c r="J68" s="261">
        <v>0</v>
      </c>
      <c r="K68" s="261">
        <f t="shared" si="47"/>
        <v>0</v>
      </c>
      <c r="L68" s="261">
        <f t="shared" si="47"/>
        <v>0</v>
      </c>
      <c r="M68" s="261"/>
      <c r="N68" s="261">
        <f>M68+L68</f>
        <v>0</v>
      </c>
      <c r="O68" s="261">
        <f>VLOOKUP(B:B,'דוח כספי 1-10.17'!A:D,4,0)</f>
        <v>0</v>
      </c>
      <c r="P68" s="261">
        <f>O68*12/10</f>
        <v>0</v>
      </c>
      <c r="Q68" s="261">
        <f>P68</f>
        <v>0</v>
      </c>
      <c r="R68" s="261"/>
      <c r="S68" s="261">
        <f>VLOOKUP(B68,'2174'!$A$575:$D$697,4,0)</f>
        <v>0</v>
      </c>
      <c r="T68" s="261">
        <f>S68*1.0217</f>
        <v>0</v>
      </c>
      <c r="U68" s="261">
        <f>VLOOKUP(B68,'ביצוע 2019'!$A$3:$H$1103,7,0)</f>
        <v>0</v>
      </c>
      <c r="V68" s="261">
        <f t="shared" si="44"/>
        <v>0</v>
      </c>
      <c r="W68" s="261"/>
      <c r="X68" s="52"/>
      <c r="Y68" s="52"/>
      <c r="Z68" s="101">
        <f t="shared" si="6"/>
        <v>0</v>
      </c>
    </row>
    <row r="69" spans="1:26" s="101" customFormat="1" ht="15.75">
      <c r="A69" s="21"/>
      <c r="B69" s="234"/>
      <c r="C69" s="234"/>
      <c r="D69" s="234"/>
      <c r="E69" s="234"/>
      <c r="F69" s="234" t="s">
        <v>1958</v>
      </c>
      <c r="G69" s="234"/>
      <c r="H69" s="234"/>
      <c r="I69" s="234"/>
      <c r="J69" s="234"/>
      <c r="K69" s="234"/>
      <c r="L69" s="234">
        <f>SUM(L61:L68)</f>
        <v>662000</v>
      </c>
      <c r="M69" s="234"/>
      <c r="N69" s="234">
        <f t="shared" ref="N69:W69" si="48">SUM(N61:N68)</f>
        <v>662000</v>
      </c>
      <c r="O69" s="234">
        <f t="shared" si="48"/>
        <v>492467.5</v>
      </c>
      <c r="P69" s="234">
        <f t="shared" si="48"/>
        <v>580980.78399999999</v>
      </c>
      <c r="Q69" s="234">
        <f t="shared" si="48"/>
        <v>784000</v>
      </c>
      <c r="R69" s="234">
        <f t="shared" si="48"/>
        <v>672336.91</v>
      </c>
      <c r="S69" s="234">
        <f t="shared" si="48"/>
        <v>761723.22363636363</v>
      </c>
      <c r="T69" s="265">
        <f t="shared" si="48"/>
        <v>780000</v>
      </c>
      <c r="U69" s="236">
        <f t="shared" si="48"/>
        <v>1314037</v>
      </c>
      <c r="V69" s="236">
        <f t="shared" si="48"/>
        <v>696000</v>
      </c>
      <c r="W69" s="234">
        <f t="shared" si="48"/>
        <v>3</v>
      </c>
      <c r="X69" s="52"/>
      <c r="Y69" s="52"/>
      <c r="Z69" s="101">
        <f t="shared" ref="Z69:Z132" si="49">IF((V69+U69+T69)&lt;&gt;0,1,0)</f>
        <v>1</v>
      </c>
    </row>
    <row r="70" spans="1:26" s="101" customFormat="1" ht="15.75">
      <c r="A70" s="21">
        <v>17</v>
      </c>
      <c r="B70" s="51">
        <v>1631000610</v>
      </c>
      <c r="C70" s="261" t="str">
        <f t="shared" si="18"/>
        <v>610</v>
      </c>
      <c r="D70" s="261" t="str">
        <f t="shared" si="19"/>
        <v>631000</v>
      </c>
      <c r="E70" s="261" t="str">
        <f t="shared" si="20"/>
        <v>63</v>
      </c>
      <c r="F70" s="261" t="s">
        <v>64</v>
      </c>
      <c r="G70" s="261">
        <v>210000</v>
      </c>
      <c r="H70" s="261">
        <v>210606.59</v>
      </c>
      <c r="I70" s="261">
        <v>-606.59</v>
      </c>
      <c r="J70" s="261">
        <v>210000</v>
      </c>
      <c r="K70" s="261">
        <f>+J70</f>
        <v>210000</v>
      </c>
      <c r="L70" s="261">
        <f>+K70</f>
        <v>210000</v>
      </c>
      <c r="M70" s="261"/>
      <c r="N70" s="261">
        <f t="shared" si="38"/>
        <v>210000</v>
      </c>
      <c r="O70" s="261">
        <f>VLOOKUP(B:B,'דוח כספי 1-10.17'!A:D,4,0)</f>
        <v>71954.570000000007</v>
      </c>
      <c r="P70" s="261">
        <f t="shared" si="43"/>
        <v>86345.484000000011</v>
      </c>
      <c r="Q70" s="261">
        <v>86000</v>
      </c>
      <c r="R70" s="261">
        <f>VLOOKUP(B70,'2174'!$A$182:$G$567,6,0)</f>
        <v>115462.59</v>
      </c>
      <c r="S70" s="261">
        <f t="shared" ref="S70:S71" si="50">R70*12/11</f>
        <v>125959.1890909091</v>
      </c>
      <c r="T70" s="261">
        <v>125000</v>
      </c>
      <c r="U70" s="261">
        <f>VLOOKUP(B70,'ביצוע 2019'!$A$3:$H$1103,7,0)</f>
        <v>149871.35999999999</v>
      </c>
      <c r="V70" s="261">
        <v>120000</v>
      </c>
      <c r="W70" s="261"/>
      <c r="X70" s="52"/>
      <c r="Y70" s="52"/>
      <c r="Z70" s="101">
        <f t="shared" si="49"/>
        <v>1</v>
      </c>
    </row>
    <row r="71" spans="1:26" s="101" customFormat="1" ht="15.75">
      <c r="A71" s="21">
        <v>17</v>
      </c>
      <c r="B71" s="51">
        <v>1632000620</v>
      </c>
      <c r="C71" s="261" t="str">
        <f t="shared" si="18"/>
        <v>620</v>
      </c>
      <c r="D71" s="261" t="str">
        <f t="shared" si="19"/>
        <v>632000</v>
      </c>
      <c r="E71" s="261" t="str">
        <f t="shared" si="20"/>
        <v>63</v>
      </c>
      <c r="F71" s="261" t="s">
        <v>65</v>
      </c>
      <c r="G71" s="261">
        <v>500000</v>
      </c>
      <c r="H71" s="261">
        <v>344655.49</v>
      </c>
      <c r="I71" s="261">
        <v>155344.51</v>
      </c>
      <c r="J71" s="261">
        <v>400000</v>
      </c>
      <c r="K71" s="261">
        <v>400000</v>
      </c>
      <c r="L71" s="261">
        <v>300000</v>
      </c>
      <c r="M71" s="261"/>
      <c r="N71" s="261">
        <f t="shared" si="38"/>
        <v>300000</v>
      </c>
      <c r="O71" s="261">
        <f>VLOOKUP(B:B,'דוח כספי 1-10.17'!A:D,4,0)</f>
        <v>67381.48</v>
      </c>
      <c r="P71" s="261">
        <f t="shared" si="43"/>
        <v>80857.775999999998</v>
      </c>
      <c r="Q71" s="261">
        <v>81000</v>
      </c>
      <c r="R71" s="261">
        <f>VLOOKUP(B71,'2174'!$A$182:$G$567,6,0)</f>
        <v>326372.43</v>
      </c>
      <c r="S71" s="261">
        <f t="shared" si="50"/>
        <v>356042.65090909094</v>
      </c>
      <c r="T71" s="261">
        <v>120000</v>
      </c>
      <c r="U71" s="261">
        <f>VLOOKUP(B71,'ביצוע 2019'!$A$3:$H$1103,7,0)</f>
        <v>55347.360000000001</v>
      </c>
      <c r="V71" s="261">
        <v>50000</v>
      </c>
      <c r="W71" s="261"/>
      <c r="X71" s="52"/>
      <c r="Y71" s="52"/>
      <c r="Z71" s="101">
        <f t="shared" si="49"/>
        <v>1</v>
      </c>
    </row>
    <row r="72" spans="1:26" s="101" customFormat="1" ht="15.75">
      <c r="A72" s="21">
        <v>17</v>
      </c>
      <c r="B72" s="51">
        <v>1632000650</v>
      </c>
      <c r="C72" s="261" t="str">
        <f t="shared" ref="C72:C121" si="51">RIGHT(B72,3)</f>
        <v>650</v>
      </c>
      <c r="D72" s="261" t="str">
        <f t="shared" ref="D72:D121" si="52">MID(B72,2,6)</f>
        <v>632000</v>
      </c>
      <c r="E72" s="261" t="str">
        <f t="shared" ref="E72:E121" si="53">LEFT(D72,2)</f>
        <v>63</v>
      </c>
      <c r="F72" s="261" t="s">
        <v>67</v>
      </c>
      <c r="G72" s="261">
        <v>550000</v>
      </c>
      <c r="H72" s="261">
        <v>1369391</v>
      </c>
      <c r="I72" s="261">
        <v>-819391</v>
      </c>
      <c r="J72" s="261">
        <v>1440000</v>
      </c>
      <c r="K72" s="261">
        <v>1500000</v>
      </c>
      <c r="L72" s="261">
        <v>300000</v>
      </c>
      <c r="M72" s="261"/>
      <c r="N72" s="261">
        <f t="shared" si="38"/>
        <v>300000</v>
      </c>
      <c r="O72" s="261">
        <f>VLOOKUP(B:B,'דוח כספי 1-10.17'!A:D,4,0)</f>
        <v>892349.97</v>
      </c>
      <c r="P72" s="261">
        <v>2000000</v>
      </c>
      <c r="Q72" s="261">
        <v>550000</v>
      </c>
      <c r="R72" s="261">
        <f>VLOOKUP(B72,'2174'!$A$182:$G$567,6,0)</f>
        <v>533055.62</v>
      </c>
      <c r="S72" s="261">
        <f>R72*12/11</f>
        <v>581515.2218181818</v>
      </c>
      <c r="T72" s="261">
        <v>400000</v>
      </c>
      <c r="U72" s="261">
        <f>VLOOKUP(B72,'ביצוע 2019'!$A$3:$H$1103,7,0)</f>
        <v>804098.5</v>
      </c>
      <c r="V72" s="261">
        <v>230000</v>
      </c>
      <c r="W72" s="261"/>
      <c r="X72" s="52"/>
      <c r="Y72" s="52"/>
      <c r="Z72" s="101">
        <f t="shared" si="49"/>
        <v>1</v>
      </c>
    </row>
    <row r="73" spans="1:26" s="101" customFormat="1" ht="15.75">
      <c r="A73" s="21"/>
      <c r="B73" s="234"/>
      <c r="C73" s="234"/>
      <c r="D73" s="234"/>
      <c r="E73" s="234"/>
      <c r="F73" s="234" t="s">
        <v>64</v>
      </c>
      <c r="G73" s="234"/>
      <c r="H73" s="234"/>
      <c r="I73" s="234"/>
      <c r="J73" s="234"/>
      <c r="K73" s="234"/>
      <c r="L73" s="234">
        <f>SUM(L70:L72)</f>
        <v>810000</v>
      </c>
      <c r="M73" s="234"/>
      <c r="N73" s="234">
        <f t="shared" ref="N73:W73" si="54">SUM(N70:N72)</f>
        <v>810000</v>
      </c>
      <c r="O73" s="234">
        <f t="shared" si="54"/>
        <v>1031686.02</v>
      </c>
      <c r="P73" s="234">
        <f t="shared" si="54"/>
        <v>2167203.2599999998</v>
      </c>
      <c r="Q73" s="234">
        <f t="shared" si="54"/>
        <v>717000</v>
      </c>
      <c r="R73" s="234">
        <f t="shared" si="54"/>
        <v>974890.64</v>
      </c>
      <c r="S73" s="234">
        <f t="shared" si="54"/>
        <v>1063517.0618181818</v>
      </c>
      <c r="T73" s="264">
        <f t="shared" si="54"/>
        <v>645000</v>
      </c>
      <c r="U73" s="236">
        <f t="shared" si="54"/>
        <v>1009317.22</v>
      </c>
      <c r="V73" s="236">
        <f t="shared" si="54"/>
        <v>400000</v>
      </c>
      <c r="W73" s="234">
        <f t="shared" si="54"/>
        <v>0</v>
      </c>
      <c r="X73" s="52"/>
      <c r="Y73" s="52"/>
      <c r="Z73" s="101">
        <f t="shared" si="49"/>
        <v>1</v>
      </c>
    </row>
    <row r="74" spans="1:26" s="101" customFormat="1" ht="15.75">
      <c r="A74" s="21">
        <v>18</v>
      </c>
      <c r="B74" s="51">
        <v>1648000691</v>
      </c>
      <c r="C74" s="261" t="str">
        <f t="shared" si="51"/>
        <v>691</v>
      </c>
      <c r="D74" s="261" t="str">
        <f t="shared" si="52"/>
        <v>648000</v>
      </c>
      <c r="E74" s="261" t="str">
        <f t="shared" si="53"/>
        <v>64</v>
      </c>
      <c r="F74" s="261" t="s">
        <v>70</v>
      </c>
      <c r="G74" s="261">
        <v>2275000</v>
      </c>
      <c r="H74" s="261">
        <v>2295677.16</v>
      </c>
      <c r="I74" s="261">
        <v>-20671.16</v>
      </c>
      <c r="J74" s="261">
        <v>2750000</v>
      </c>
      <c r="K74" s="261">
        <v>1560000</v>
      </c>
      <c r="L74" s="261">
        <v>1700000</v>
      </c>
      <c r="M74" s="261"/>
      <c r="N74" s="261">
        <f t="shared" si="38"/>
        <v>1700000</v>
      </c>
      <c r="O74" s="261">
        <f>VLOOKUP(B:B,'דוח כספי 1-10.17'!A:D,4,0)</f>
        <v>1111111.1200000001</v>
      </c>
      <c r="P74" s="261">
        <f>O74/8*12</f>
        <v>1666666.6800000002</v>
      </c>
      <c r="Q74" s="261">
        <v>2000000</v>
      </c>
      <c r="R74" s="261">
        <f>VLOOKUP(B74,'2174'!$A$182:$G$567,6,0)</f>
        <v>2036750.88</v>
      </c>
      <c r="S74" s="261">
        <f t="shared" ref="S74:S76" si="55">R74*12/11</f>
        <v>2221910.0509090908</v>
      </c>
      <c r="T74" s="261">
        <f>1539000+800000+54000</f>
        <v>2393000</v>
      </c>
      <c r="U74" s="261">
        <f>VLOOKUP(B74,'ביצוע 2019'!$A$3:$H$1103,7,0)</f>
        <v>2924404.34</v>
      </c>
      <c r="V74" s="261">
        <v>2660075</v>
      </c>
      <c r="W74" s="261"/>
      <c r="X74" s="52"/>
      <c r="Y74" s="52"/>
      <c r="Z74" s="101">
        <f t="shared" si="49"/>
        <v>1</v>
      </c>
    </row>
    <row r="75" spans="1:26" s="101" customFormat="1" ht="15.75">
      <c r="A75" s="21">
        <v>18</v>
      </c>
      <c r="B75" s="51">
        <v>1648000692</v>
      </c>
      <c r="C75" s="261" t="str">
        <f t="shared" si="51"/>
        <v>692</v>
      </c>
      <c r="D75" s="261" t="str">
        <f t="shared" si="52"/>
        <v>648000</v>
      </c>
      <c r="E75" s="261" t="str">
        <f t="shared" si="53"/>
        <v>64</v>
      </c>
      <c r="F75" s="261" t="s">
        <v>71</v>
      </c>
      <c r="G75" s="261">
        <v>1000000</v>
      </c>
      <c r="H75" s="261">
        <v>866100.28</v>
      </c>
      <c r="I75" s="261">
        <v>133899.72</v>
      </c>
      <c r="J75" s="261">
        <v>1180000</v>
      </c>
      <c r="K75" s="261">
        <v>250000</v>
      </c>
      <c r="L75" s="261">
        <v>1100000</v>
      </c>
      <c r="M75" s="261"/>
      <c r="N75" s="261">
        <f t="shared" si="38"/>
        <v>1100000</v>
      </c>
      <c r="O75" s="261">
        <f>VLOOKUP(B:B,'דוח כספי 1-10.17'!A:D,4,0)-118128</f>
        <v>723882.67</v>
      </c>
      <c r="P75" s="261">
        <f>O75/8*12</f>
        <v>1085824.0050000001</v>
      </c>
      <c r="Q75" s="261">
        <v>710000</v>
      </c>
      <c r="R75" s="261">
        <f>VLOOKUP(B75,'2174'!$A$182:$G$567,6,0)</f>
        <v>680139.3</v>
      </c>
      <c r="S75" s="261">
        <f t="shared" si="55"/>
        <v>741970.14545454551</v>
      </c>
      <c r="T75" s="261">
        <f>537288+400000</f>
        <v>937288</v>
      </c>
      <c r="U75" s="261">
        <f>VLOOKUP(B75,'ביצוע 2019'!$A$3:$H$1103,7,0)</f>
        <v>601307.29</v>
      </c>
      <c r="V75" s="261">
        <f>U75-100000</f>
        <v>501307.29000000004</v>
      </c>
      <c r="W75" s="261"/>
      <c r="X75" s="52"/>
      <c r="Y75" s="52"/>
      <c r="Z75" s="101">
        <f t="shared" si="49"/>
        <v>1</v>
      </c>
    </row>
    <row r="76" spans="1:26" s="101" customFormat="1" ht="15.75">
      <c r="A76" s="21">
        <v>18</v>
      </c>
      <c r="B76" s="51">
        <v>1648000693</v>
      </c>
      <c r="C76" s="261" t="str">
        <f t="shared" si="51"/>
        <v>693</v>
      </c>
      <c r="D76" s="261" t="str">
        <f t="shared" si="52"/>
        <v>648000</v>
      </c>
      <c r="E76" s="261" t="str">
        <f t="shared" si="53"/>
        <v>64</v>
      </c>
      <c r="F76" s="261" t="s">
        <v>72</v>
      </c>
      <c r="G76" s="261">
        <v>359000</v>
      </c>
      <c r="H76" s="261">
        <v>382720.42</v>
      </c>
      <c r="I76" s="261">
        <v>-23717.42</v>
      </c>
      <c r="J76" s="261">
        <v>550000</v>
      </c>
      <c r="K76" s="261">
        <v>100000</v>
      </c>
      <c r="L76" s="261">
        <v>200000</v>
      </c>
      <c r="M76" s="261"/>
      <c r="N76" s="261">
        <f t="shared" si="38"/>
        <v>200000</v>
      </c>
      <c r="O76" s="261">
        <f>VLOOKUP(B:B,'דוח כספי 1-10.17'!A:D,4,0)</f>
        <v>104092.02</v>
      </c>
      <c r="P76" s="261">
        <f>O76/8*12</f>
        <v>156138.03</v>
      </c>
      <c r="Q76" s="261">
        <v>148000</v>
      </c>
      <c r="R76" s="261">
        <f>VLOOKUP(B76,'2174'!$A$182:$G$567,6,0)</f>
        <v>132914.81</v>
      </c>
      <c r="S76" s="261">
        <f t="shared" si="55"/>
        <v>144997.97454545455</v>
      </c>
      <c r="T76" s="261">
        <f>170000</f>
        <v>170000</v>
      </c>
      <c r="U76" s="261">
        <f>VLOOKUP(B76,'ביצוע 2019'!$A$3:$H$1103,7,0)</f>
        <v>116617.66</v>
      </c>
      <c r="V76" s="261">
        <f>U76-30000</f>
        <v>86617.66</v>
      </c>
      <c r="W76" s="261"/>
      <c r="X76" s="52"/>
      <c r="Y76" s="52"/>
      <c r="Z76" s="101">
        <f t="shared" si="49"/>
        <v>1</v>
      </c>
    </row>
    <row r="77" spans="1:26" s="101" customFormat="1" ht="15.75">
      <c r="A77" s="21"/>
      <c r="B77" s="234"/>
      <c r="C77" s="234"/>
      <c r="D77" s="234"/>
      <c r="E77" s="234"/>
      <c r="F77" s="234" t="s">
        <v>1959</v>
      </c>
      <c r="G77" s="234"/>
      <c r="H77" s="234"/>
      <c r="I77" s="234"/>
      <c r="J77" s="234"/>
      <c r="K77" s="234"/>
      <c r="L77" s="234">
        <f>SUM(L74:L76)</f>
        <v>3000000</v>
      </c>
      <c r="M77" s="234"/>
      <c r="N77" s="234">
        <f>SUM(N74:N76)</f>
        <v>3000000</v>
      </c>
      <c r="O77" s="234">
        <f>SUM(O74:O76)</f>
        <v>1939085.81</v>
      </c>
      <c r="P77" s="234">
        <f>SUM(P74:P76)</f>
        <v>2908628.7150000003</v>
      </c>
      <c r="Q77" s="234">
        <f>SUM(Q74:Q76)</f>
        <v>2858000</v>
      </c>
      <c r="R77" s="234">
        <f t="shared" ref="R77:T77" si="56">SUM(R74:R76)</f>
        <v>2849804.9899999998</v>
      </c>
      <c r="S77" s="234">
        <f t="shared" si="56"/>
        <v>3108878.1709090909</v>
      </c>
      <c r="T77" s="236">
        <f t="shared" si="56"/>
        <v>3500288</v>
      </c>
      <c r="U77" s="236">
        <f t="shared" ref="U77:W77" si="57">SUM(U74:U76)</f>
        <v>3642329.29</v>
      </c>
      <c r="V77" s="236">
        <f t="shared" si="57"/>
        <v>3247999.95</v>
      </c>
      <c r="W77" s="234">
        <f t="shared" si="57"/>
        <v>0</v>
      </c>
      <c r="X77" s="52"/>
      <c r="Y77" s="52"/>
      <c r="Z77" s="101">
        <f t="shared" si="49"/>
        <v>1</v>
      </c>
    </row>
    <row r="78" spans="1:26" s="105" customFormat="1" ht="15.75">
      <c r="A78" s="102"/>
      <c r="B78" s="239"/>
      <c r="C78" s="239"/>
      <c r="D78" s="239"/>
      <c r="E78" s="239"/>
      <c r="F78" s="239" t="s">
        <v>716</v>
      </c>
      <c r="G78" s="239">
        <f>SUM(G4:G77)</f>
        <v>8942000</v>
      </c>
      <c r="H78" s="239">
        <f>SUM(H4:H77)</f>
        <v>9775020.0299999975</v>
      </c>
      <c r="I78" s="239">
        <f>SUM(I4:I77)</f>
        <v>-832960.03</v>
      </c>
      <c r="J78" s="239">
        <f>SUM(J4:J77)</f>
        <v>11451000</v>
      </c>
      <c r="K78" s="239">
        <f>SUM(K4:K77)</f>
        <v>9271000</v>
      </c>
      <c r="L78" s="239">
        <f t="shared" ref="L78:T78" si="58">L15+L33+L38+L40+L45+L60+L69+L73+L77+L47</f>
        <v>9376700</v>
      </c>
      <c r="M78" s="239">
        <f t="shared" si="58"/>
        <v>0</v>
      </c>
      <c r="N78" s="239">
        <f t="shared" si="58"/>
        <v>9376700</v>
      </c>
      <c r="O78" s="239" t="e">
        <f t="shared" si="58"/>
        <v>#N/A</v>
      </c>
      <c r="P78" s="239">
        <f t="shared" si="58"/>
        <v>10068629.900142858</v>
      </c>
      <c r="Q78" s="239">
        <f t="shared" si="58"/>
        <v>9074835.8920000009</v>
      </c>
      <c r="R78" s="239">
        <f t="shared" si="58"/>
        <v>8392045.9000000004</v>
      </c>
      <c r="S78" s="239">
        <f t="shared" si="58"/>
        <v>9787150.9399999995</v>
      </c>
      <c r="T78" s="228">
        <f t="shared" si="58"/>
        <v>10442837.936448</v>
      </c>
      <c r="U78" s="228">
        <f t="shared" ref="U78:W78" si="59">U15+U33+U38+U40+U45+U60+U69+U73+U77+U47</f>
        <v>11378222.01</v>
      </c>
      <c r="V78" s="228">
        <f t="shared" si="59"/>
        <v>9758420.620000001</v>
      </c>
      <c r="W78" s="239">
        <f t="shared" si="59"/>
        <v>15.8</v>
      </c>
      <c r="X78" s="52"/>
      <c r="Y78" s="104"/>
      <c r="Z78" s="101">
        <f t="shared" si="49"/>
        <v>1</v>
      </c>
    </row>
    <row r="79" spans="1:26" s="105" customFormat="1" ht="15.75">
      <c r="A79" s="21">
        <v>15</v>
      </c>
      <c r="B79" s="51">
        <v>1711000523</v>
      </c>
      <c r="C79" s="261">
        <v>540</v>
      </c>
      <c r="D79" s="261" t="str">
        <f>MID(B79,2,6)</f>
        <v>711000</v>
      </c>
      <c r="E79" s="261" t="str">
        <f>LEFT(D79,2)</f>
        <v>71</v>
      </c>
      <c r="F79" s="261" t="s">
        <v>1726</v>
      </c>
      <c r="G79" s="261"/>
      <c r="H79" s="261"/>
      <c r="I79" s="261"/>
      <c r="J79" s="261"/>
      <c r="K79" s="261"/>
      <c r="L79" s="261"/>
      <c r="M79" s="261"/>
      <c r="N79" s="261"/>
      <c r="O79" s="261"/>
      <c r="P79" s="261"/>
      <c r="Q79" s="261"/>
      <c r="R79" s="261"/>
      <c r="S79" s="261"/>
      <c r="T79" s="261"/>
      <c r="U79" s="261">
        <f>VLOOKUP(B79,'ביצוע 2019'!$A$3:$H$1103,7,0)</f>
        <v>500</v>
      </c>
      <c r="V79" s="261">
        <f t="shared" ref="V79:V84" si="60">U79</f>
        <v>500</v>
      </c>
      <c r="W79" s="261"/>
      <c r="X79" s="52"/>
      <c r="Y79" s="107"/>
      <c r="Z79" s="101">
        <f t="shared" si="49"/>
        <v>1</v>
      </c>
    </row>
    <row r="80" spans="1:26" s="105" customFormat="1" ht="15.75">
      <c r="A80" s="21">
        <v>15</v>
      </c>
      <c r="B80" s="51">
        <v>1712200740</v>
      </c>
      <c r="C80" s="261">
        <v>540</v>
      </c>
      <c r="D80" s="261" t="str">
        <f>MID(B80,2,6)</f>
        <v>712200</v>
      </c>
      <c r="E80" s="261" t="str">
        <f>LEFT(D80,2)</f>
        <v>71</v>
      </c>
      <c r="F80" s="261" t="s">
        <v>1626</v>
      </c>
      <c r="G80" s="261"/>
      <c r="H80" s="261"/>
      <c r="I80" s="261"/>
      <c r="J80" s="261"/>
      <c r="K80" s="261">
        <v>4500</v>
      </c>
      <c r="L80" s="261">
        <v>5000</v>
      </c>
      <c r="M80" s="261"/>
      <c r="N80" s="261">
        <f t="shared" si="38"/>
        <v>5000</v>
      </c>
      <c r="O80" s="261">
        <f>VLOOKUP(B:B,'דוח כספי 1-10.17'!A:D,4,0)</f>
        <v>1900</v>
      </c>
      <c r="P80" s="261">
        <f t="shared" ref="P80:P129" si="61">O80*12/10</f>
        <v>2280</v>
      </c>
      <c r="Q80" s="261">
        <v>3000</v>
      </c>
      <c r="R80" s="261">
        <f>VLOOKUP(B80,'2174'!$A$182:$G$567,6,0)</f>
        <v>0</v>
      </c>
      <c r="S80" s="261">
        <f>R80*12/11</f>
        <v>0</v>
      </c>
      <c r="T80" s="261">
        <v>3000</v>
      </c>
      <c r="U80" s="261">
        <f>VLOOKUP(B80,'ביצוע 2019'!$A$3:$H$1103,7,0)</f>
        <v>0</v>
      </c>
      <c r="V80" s="261">
        <f t="shared" si="60"/>
        <v>0</v>
      </c>
      <c r="W80" s="261"/>
      <c r="X80" s="52"/>
      <c r="Y80" s="107"/>
      <c r="Z80" s="101">
        <f t="shared" si="49"/>
        <v>1</v>
      </c>
    </row>
    <row r="81" spans="1:26" s="101" customFormat="1" ht="15.75">
      <c r="A81" s="21">
        <v>15</v>
      </c>
      <c r="B81" s="51">
        <v>1712200740</v>
      </c>
      <c r="C81" s="261" t="str">
        <f t="shared" si="51"/>
        <v>740</v>
      </c>
      <c r="D81" s="261" t="str">
        <f t="shared" si="52"/>
        <v>712200</v>
      </c>
      <c r="E81" s="261" t="str">
        <f t="shared" si="53"/>
        <v>71</v>
      </c>
      <c r="F81" s="261" t="s">
        <v>33</v>
      </c>
      <c r="G81" s="261">
        <v>3000</v>
      </c>
      <c r="H81" s="261">
        <v>4299</v>
      </c>
      <c r="I81" s="261">
        <v>-1298</v>
      </c>
      <c r="J81" s="261">
        <v>3000</v>
      </c>
      <c r="K81" s="261">
        <v>2000</v>
      </c>
      <c r="L81" s="261">
        <v>2000</v>
      </c>
      <c r="M81" s="261"/>
      <c r="N81" s="261">
        <f t="shared" si="38"/>
        <v>2000</v>
      </c>
      <c r="O81" s="261">
        <f>VLOOKUP(B:B,'דוח כספי 1-10.17'!A:D,4,0)</f>
        <v>1900</v>
      </c>
      <c r="P81" s="261">
        <f t="shared" si="61"/>
        <v>2280</v>
      </c>
      <c r="Q81" s="261">
        <v>2500</v>
      </c>
      <c r="R81" s="261">
        <f>VLOOKUP(B81,'2174'!$A$182:$G$567,6,0)</f>
        <v>0</v>
      </c>
      <c r="S81" s="261">
        <f t="shared" ref="S81:S83" si="62">R81*12/11</f>
        <v>0</v>
      </c>
      <c r="T81" s="261">
        <v>2500</v>
      </c>
      <c r="U81" s="261">
        <f>VLOOKUP(B81,'ביצוע 2019'!$A$3:$H$1103,7,0)</f>
        <v>0</v>
      </c>
      <c r="V81" s="261">
        <f t="shared" si="60"/>
        <v>0</v>
      </c>
      <c r="W81" s="261"/>
      <c r="X81" s="52"/>
      <c r="Y81" s="52"/>
      <c r="Z81" s="101">
        <f t="shared" si="49"/>
        <v>1</v>
      </c>
    </row>
    <row r="82" spans="1:26" s="101" customFormat="1" ht="15.75">
      <c r="A82" s="21">
        <v>15</v>
      </c>
      <c r="B82" s="51">
        <v>1712200750</v>
      </c>
      <c r="C82" s="261" t="str">
        <f t="shared" si="51"/>
        <v>750</v>
      </c>
      <c r="D82" s="261" t="str">
        <f t="shared" si="52"/>
        <v>712200</v>
      </c>
      <c r="E82" s="261" t="str">
        <f t="shared" si="53"/>
        <v>71</v>
      </c>
      <c r="F82" s="261" t="s">
        <v>62</v>
      </c>
      <c r="G82" s="261">
        <v>420000</v>
      </c>
      <c r="H82" s="261">
        <v>522234</v>
      </c>
      <c r="I82" s="261">
        <v>-102234</v>
      </c>
      <c r="J82" s="261">
        <v>450000</v>
      </c>
      <c r="K82" s="261">
        <v>550000</v>
      </c>
      <c r="L82" s="261">
        <v>660000</v>
      </c>
      <c r="M82" s="261"/>
      <c r="N82" s="261">
        <f t="shared" si="38"/>
        <v>660000</v>
      </c>
      <c r="O82" s="261">
        <f>VLOOKUP(B:B,'דוח כספי 1-10.17'!A:D,4,0)</f>
        <v>517174.25</v>
      </c>
      <c r="P82" s="261">
        <f t="shared" si="61"/>
        <v>620609.1</v>
      </c>
      <c r="Q82" s="261">
        <v>621000</v>
      </c>
      <c r="R82" s="261">
        <f>VLOOKUP(B82,'2174'!$A$182:$G$567,6,0)</f>
        <v>476571.25</v>
      </c>
      <c r="S82" s="261">
        <f t="shared" si="62"/>
        <v>519895.90909090912</v>
      </c>
      <c r="T82" s="261">
        <v>672000</v>
      </c>
      <c r="U82" s="261">
        <f>VLOOKUP(B82,'ביצוע 2019'!$A$3:$H$1103,7,0)</f>
        <v>763126.76</v>
      </c>
      <c r="V82" s="261">
        <v>500000</v>
      </c>
      <c r="W82" s="261"/>
      <c r="X82" s="52"/>
      <c r="Y82" s="158" t="s">
        <v>2079</v>
      </c>
      <c r="Z82" s="101">
        <f t="shared" si="49"/>
        <v>1</v>
      </c>
    </row>
    <row r="83" spans="1:26" s="101" customFormat="1" ht="15.75">
      <c r="A83" s="21">
        <v>15</v>
      </c>
      <c r="B83" s="51">
        <v>1712200751</v>
      </c>
      <c r="C83" s="261" t="str">
        <f t="shared" si="51"/>
        <v>751</v>
      </c>
      <c r="D83" s="261" t="str">
        <f t="shared" si="52"/>
        <v>712200</v>
      </c>
      <c r="E83" s="261" t="str">
        <f t="shared" si="53"/>
        <v>71</v>
      </c>
      <c r="F83" s="261" t="s">
        <v>79</v>
      </c>
      <c r="G83" s="261">
        <v>10000</v>
      </c>
      <c r="H83" s="261">
        <v>16166</v>
      </c>
      <c r="I83" s="261">
        <v>-6166</v>
      </c>
      <c r="J83" s="261">
        <v>10000</v>
      </c>
      <c r="K83" s="261">
        <f>+J83</f>
        <v>10000</v>
      </c>
      <c r="L83" s="261">
        <v>100000</v>
      </c>
      <c r="M83" s="261"/>
      <c r="N83" s="261">
        <f t="shared" si="38"/>
        <v>100000</v>
      </c>
      <c r="O83" s="261">
        <f>VLOOKUP(B:B,'דוח כספי 1-10.17'!A:D,4,0)</f>
        <v>0</v>
      </c>
      <c r="P83" s="261">
        <f t="shared" si="61"/>
        <v>0</v>
      </c>
      <c r="Q83" s="261">
        <v>100000</v>
      </c>
      <c r="R83" s="261">
        <f>VLOOKUP(B83,'2174'!$A$182:$G$567,6,0)</f>
        <v>136656</v>
      </c>
      <c r="S83" s="261">
        <f t="shared" si="62"/>
        <v>149079.27272727274</v>
      </c>
      <c r="T83" s="261">
        <v>180000</v>
      </c>
      <c r="U83" s="261">
        <f>VLOOKUP(B83,'ביצוע 2019'!$A$3:$H$1103,7,0)</f>
        <v>71487</v>
      </c>
      <c r="V83" s="261">
        <f t="shared" si="60"/>
        <v>71487</v>
      </c>
      <c r="W83" s="261"/>
      <c r="X83" s="52"/>
      <c r="Y83" s="52"/>
      <c r="Z83" s="101">
        <f t="shared" si="49"/>
        <v>1</v>
      </c>
    </row>
    <row r="84" spans="1:26" s="101" customFormat="1" ht="15.75">
      <c r="A84" s="21">
        <v>15</v>
      </c>
      <c r="B84" s="51">
        <v>1712200780</v>
      </c>
      <c r="C84" s="261" t="str">
        <f t="shared" si="51"/>
        <v>780</v>
      </c>
      <c r="D84" s="261" t="str">
        <f t="shared" si="52"/>
        <v>712200</v>
      </c>
      <c r="E84" s="261" t="str">
        <f t="shared" si="53"/>
        <v>71</v>
      </c>
      <c r="F84" s="261" t="s">
        <v>18</v>
      </c>
      <c r="G84" s="261"/>
      <c r="H84" s="261"/>
      <c r="I84" s="261"/>
      <c r="J84" s="261"/>
      <c r="K84" s="261"/>
      <c r="L84" s="261"/>
      <c r="M84" s="261"/>
      <c r="N84" s="261"/>
      <c r="O84" s="261"/>
      <c r="P84" s="261"/>
      <c r="Q84" s="261"/>
      <c r="R84" s="261">
        <f>VLOOKUP(B84,'2174'!$A$182:$G$567,6,0)</f>
        <v>29585.48</v>
      </c>
      <c r="S84" s="261">
        <v>0</v>
      </c>
      <c r="T84" s="261">
        <v>0</v>
      </c>
      <c r="U84" s="261">
        <f>VLOOKUP(B84,'ביצוע 2019'!$A$3:$H$1103,7,0)</f>
        <v>11044.189999999999</v>
      </c>
      <c r="V84" s="261">
        <f t="shared" si="60"/>
        <v>11044.189999999999</v>
      </c>
      <c r="W84" s="261"/>
      <c r="X84" s="52"/>
      <c r="Y84" s="52"/>
      <c r="Z84" s="101">
        <f t="shared" si="49"/>
        <v>1</v>
      </c>
    </row>
    <row r="85" spans="1:26" s="101" customFormat="1" ht="15.75">
      <c r="A85" s="21"/>
      <c r="B85" s="234"/>
      <c r="C85" s="234"/>
      <c r="D85" s="234"/>
      <c r="E85" s="234"/>
      <c r="F85" s="234" t="s">
        <v>1960</v>
      </c>
      <c r="G85" s="234"/>
      <c r="H85" s="234"/>
      <c r="I85" s="234"/>
      <c r="J85" s="234"/>
      <c r="K85" s="234"/>
      <c r="L85" s="234">
        <f>SUM(L80:L84)</f>
        <v>767000</v>
      </c>
      <c r="M85" s="234">
        <f t="shared" ref="M85:S85" si="63">SUM(M80:M84)</f>
        <v>0</v>
      </c>
      <c r="N85" s="234">
        <f t="shared" si="63"/>
        <v>767000</v>
      </c>
      <c r="O85" s="234">
        <f t="shared" si="63"/>
        <v>520974.25</v>
      </c>
      <c r="P85" s="234">
        <f t="shared" si="63"/>
        <v>625169.1</v>
      </c>
      <c r="Q85" s="234">
        <f t="shared" si="63"/>
        <v>726500</v>
      </c>
      <c r="R85" s="234">
        <f t="shared" si="63"/>
        <v>642812.73</v>
      </c>
      <c r="S85" s="234">
        <f t="shared" si="63"/>
        <v>668975.18181818188</v>
      </c>
      <c r="T85" s="266">
        <f>SUM(T79:T84)</f>
        <v>857500</v>
      </c>
      <c r="U85" s="266">
        <f t="shared" ref="U85:W85" si="64">SUM(U79:U84)</f>
        <v>846157.95</v>
      </c>
      <c r="V85" s="266">
        <f t="shared" si="64"/>
        <v>583031.18999999994</v>
      </c>
      <c r="W85" s="234">
        <f t="shared" si="64"/>
        <v>0</v>
      </c>
      <c r="X85" s="52"/>
      <c r="Y85" s="52"/>
      <c r="Z85" s="101">
        <f t="shared" si="49"/>
        <v>1</v>
      </c>
    </row>
    <row r="86" spans="1:26" s="101" customFormat="1" ht="15.75">
      <c r="A86" s="21">
        <v>15</v>
      </c>
      <c r="B86" s="51">
        <v>1712300751</v>
      </c>
      <c r="C86" s="56" t="str">
        <f t="shared" si="51"/>
        <v>751</v>
      </c>
      <c r="D86" s="56" t="str">
        <f t="shared" si="52"/>
        <v>712300</v>
      </c>
      <c r="E86" s="56" t="str">
        <f t="shared" si="53"/>
        <v>71</v>
      </c>
      <c r="F86" s="56" t="s">
        <v>80</v>
      </c>
      <c r="G86" s="56">
        <v>2350000</v>
      </c>
      <c r="H86" s="56">
        <v>2592825</v>
      </c>
      <c r="I86" s="56">
        <v>-242825</v>
      </c>
      <c r="J86" s="56">
        <v>2500000</v>
      </c>
      <c r="K86" s="56">
        <v>3100000</v>
      </c>
      <c r="L86" s="56">
        <v>3600000</v>
      </c>
      <c r="M86" s="56"/>
      <c r="N86" s="56">
        <f t="shared" si="38"/>
        <v>3600000</v>
      </c>
      <c r="O86" s="56">
        <f>VLOOKUP(B:B,'דוח כספי 1-10.17'!A:D,4,0)</f>
        <v>3204466.75</v>
      </c>
      <c r="P86" s="56">
        <f>O86*12/8</f>
        <v>4806700.125</v>
      </c>
      <c r="Q86" s="56">
        <v>4000000</v>
      </c>
      <c r="R86" s="56">
        <f>VLOOKUP(B86,'2174'!$A$182:$G$567,6,0)</f>
        <v>2967355.55</v>
      </c>
      <c r="S86" s="56">
        <v>3700000</v>
      </c>
      <c r="T86" s="56">
        <v>3720000</v>
      </c>
      <c r="U86" s="56">
        <f>VLOOKUP(B86,'ביצוע 2019'!$A$3:$H$1103,7,0)</f>
        <v>4213518.4000000004</v>
      </c>
      <c r="V86" s="56">
        <f>U86-264-100000</f>
        <v>4113254.4000000004</v>
      </c>
      <c r="W86" s="56"/>
      <c r="X86" s="52"/>
      <c r="Y86" s="52"/>
      <c r="Z86" s="101">
        <f t="shared" si="49"/>
        <v>1</v>
      </c>
    </row>
    <row r="87" spans="1:26" s="101" customFormat="1" ht="15.75">
      <c r="A87" s="21"/>
      <c r="B87" s="234"/>
      <c r="C87" s="234"/>
      <c r="D87" s="234"/>
      <c r="E87" s="234"/>
      <c r="F87" s="234" t="s">
        <v>1961</v>
      </c>
      <c r="G87" s="234"/>
      <c r="H87" s="234"/>
      <c r="I87" s="234"/>
      <c r="J87" s="234"/>
      <c r="K87" s="234"/>
      <c r="L87" s="234">
        <f>SUM(L86:L86)</f>
        <v>3600000</v>
      </c>
      <c r="M87" s="234"/>
      <c r="N87" s="234">
        <f t="shared" ref="N87:W87" si="65">SUM(N86:N86)</f>
        <v>3600000</v>
      </c>
      <c r="O87" s="234">
        <f t="shared" si="65"/>
        <v>3204466.75</v>
      </c>
      <c r="P87" s="234">
        <f t="shared" si="65"/>
        <v>4806700.125</v>
      </c>
      <c r="Q87" s="234">
        <f t="shared" si="65"/>
        <v>4000000</v>
      </c>
      <c r="R87" s="234">
        <f t="shared" si="65"/>
        <v>2967355.55</v>
      </c>
      <c r="S87" s="234">
        <f t="shared" si="65"/>
        <v>3700000</v>
      </c>
      <c r="T87" s="236">
        <f t="shared" si="65"/>
        <v>3720000</v>
      </c>
      <c r="U87" s="236">
        <f t="shared" si="65"/>
        <v>4213518.4000000004</v>
      </c>
      <c r="V87" s="236">
        <f t="shared" si="65"/>
        <v>4113254.4000000004</v>
      </c>
      <c r="W87" s="234">
        <f t="shared" si="65"/>
        <v>0</v>
      </c>
      <c r="X87" s="52"/>
      <c r="Y87" s="52"/>
      <c r="Z87" s="101">
        <f t="shared" si="49"/>
        <v>1</v>
      </c>
    </row>
    <row r="88" spans="1:26" s="101" customFormat="1" ht="15.75">
      <c r="A88" s="21">
        <v>16</v>
      </c>
      <c r="B88" s="51">
        <v>1713000110</v>
      </c>
      <c r="C88" s="56" t="str">
        <f t="shared" si="51"/>
        <v>110</v>
      </c>
      <c r="D88" s="56" t="str">
        <f t="shared" si="52"/>
        <v>713000</v>
      </c>
      <c r="E88" s="56" t="str">
        <f t="shared" si="53"/>
        <v>71</v>
      </c>
      <c r="F88" s="56" t="s">
        <v>82</v>
      </c>
      <c r="G88" s="56">
        <v>113000</v>
      </c>
      <c r="H88" s="56">
        <v>105754.71</v>
      </c>
      <c r="I88" s="56">
        <v>7246.29</v>
      </c>
      <c r="J88" s="56">
        <v>120000</v>
      </c>
      <c r="K88" s="56">
        <v>122500</v>
      </c>
      <c r="L88" s="56">
        <v>127000</v>
      </c>
      <c r="M88" s="56"/>
      <c r="N88" s="56">
        <f t="shared" si="38"/>
        <v>127000</v>
      </c>
      <c r="O88" s="56">
        <f>VLOOKUP(B:B,'דוח כספי 1-10.17'!A:D,4,0)</f>
        <v>105338.51</v>
      </c>
      <c r="P88" s="56">
        <v>130000</v>
      </c>
      <c r="Q88" s="56">
        <v>133000</v>
      </c>
      <c r="R88" s="56">
        <f>VLOOKUP(B88,'2174'!$A$182:$G$567,6,0)</f>
        <v>109424.74</v>
      </c>
      <c r="S88" s="56">
        <f>VLOOKUP(B88,'2174'!$A$575:$D$697,4,0)</f>
        <v>129118.96</v>
      </c>
      <c r="T88" s="56">
        <v>170000</v>
      </c>
      <c r="U88" s="56">
        <f>VLOOKUP(B88,'ביצוע 2019'!$A$3:$H$1103,7,0)</f>
        <v>112240.04</v>
      </c>
      <c r="V88" s="56">
        <v>140000</v>
      </c>
      <c r="W88" s="56">
        <v>1</v>
      </c>
      <c r="X88" s="52"/>
      <c r="Y88" s="52"/>
      <c r="Z88" s="101">
        <f t="shared" si="49"/>
        <v>1</v>
      </c>
    </row>
    <row r="89" spans="1:26" s="101" customFormat="1" ht="15.75">
      <c r="A89" s="21">
        <v>16</v>
      </c>
      <c r="B89" s="51">
        <v>1713000320</v>
      </c>
      <c r="C89" s="56" t="str">
        <f t="shared" ref="C89" si="66">RIGHT(B89,3)</f>
        <v>320</v>
      </c>
      <c r="D89" s="56" t="str">
        <f t="shared" ref="D89" si="67">MID(B89,2,6)</f>
        <v>713000</v>
      </c>
      <c r="E89" s="56" t="str">
        <f t="shared" ref="E89" si="68">LEFT(D89,2)</f>
        <v>71</v>
      </c>
      <c r="F89" s="56" t="s">
        <v>1732</v>
      </c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>
        <v>0</v>
      </c>
      <c r="U89" s="56">
        <f>VLOOKUP(B89,'ביצוע 2019'!$A$3:$H$1103,7,0)</f>
        <v>1642</v>
      </c>
      <c r="V89" s="56">
        <v>0</v>
      </c>
      <c r="W89" s="56"/>
      <c r="X89" s="52"/>
      <c r="Y89" s="52"/>
      <c r="Z89" s="101">
        <f t="shared" si="49"/>
        <v>1</v>
      </c>
    </row>
    <row r="90" spans="1:26" s="101" customFormat="1" ht="15.75">
      <c r="A90" s="21">
        <v>15</v>
      </c>
      <c r="B90" s="51">
        <v>1714100830</v>
      </c>
      <c r="C90" s="50" t="str">
        <f t="shared" si="51"/>
        <v>830</v>
      </c>
      <c r="D90" s="50" t="str">
        <f t="shared" si="52"/>
        <v>714100</v>
      </c>
      <c r="E90" s="50" t="str">
        <f t="shared" si="53"/>
        <v>71</v>
      </c>
      <c r="F90" s="51" t="s">
        <v>83</v>
      </c>
      <c r="G90" s="52">
        <v>110000</v>
      </c>
      <c r="H90" s="52">
        <v>170460</v>
      </c>
      <c r="I90" s="52">
        <v>-60460</v>
      </c>
      <c r="J90" s="52">
        <v>110000</v>
      </c>
      <c r="K90" s="52">
        <v>140000</v>
      </c>
      <c r="L90" s="52">
        <v>140000</v>
      </c>
      <c r="M90" s="52"/>
      <c r="N90" s="52">
        <f t="shared" si="38"/>
        <v>140000</v>
      </c>
      <c r="O90" s="52">
        <f>VLOOKUP(B:B,'דוח כספי 1-10.17'!A:D,4,0)</f>
        <v>123904</v>
      </c>
      <c r="P90" s="52">
        <f t="shared" si="61"/>
        <v>148684.79999999999</v>
      </c>
      <c r="Q90" s="52">
        <v>150000</v>
      </c>
      <c r="R90" s="52">
        <f>VLOOKUP(B90,'2174'!$A$182:$G$567,6,0)</f>
        <v>0</v>
      </c>
      <c r="S90" s="52">
        <v>150000</v>
      </c>
      <c r="T90" s="52">
        <v>150000</v>
      </c>
      <c r="U90" s="52">
        <f>VLOOKUP(B90,'ביצוע 2019'!$A$3:$H$1103,7,0)</f>
        <v>0</v>
      </c>
      <c r="V90" s="52">
        <f t="shared" ref="V90:V93" si="69">U90</f>
        <v>0</v>
      </c>
      <c r="W90" s="52"/>
      <c r="X90" s="52"/>
      <c r="Y90" s="52"/>
      <c r="Z90" s="101">
        <f t="shared" si="49"/>
        <v>1</v>
      </c>
    </row>
    <row r="91" spans="1:26" s="101" customFormat="1" ht="15.75" hidden="1">
      <c r="A91" s="21">
        <v>15</v>
      </c>
      <c r="B91" s="51">
        <v>1715300720</v>
      </c>
      <c r="C91" s="50" t="str">
        <f t="shared" si="51"/>
        <v>720</v>
      </c>
      <c r="D91" s="50" t="str">
        <f t="shared" si="52"/>
        <v>715300</v>
      </c>
      <c r="E91" s="50" t="str">
        <f t="shared" si="53"/>
        <v>71</v>
      </c>
      <c r="F91" s="51" t="s">
        <v>84</v>
      </c>
      <c r="G91" s="52">
        <v>0</v>
      </c>
      <c r="H91" s="52">
        <v>0</v>
      </c>
      <c r="I91" s="52">
        <v>0</v>
      </c>
      <c r="J91" s="52">
        <v>0</v>
      </c>
      <c r="K91" s="52">
        <v>2000</v>
      </c>
      <c r="L91" s="52">
        <v>2000</v>
      </c>
      <c r="M91" s="52"/>
      <c r="N91" s="52">
        <f t="shared" si="38"/>
        <v>2000</v>
      </c>
      <c r="O91" s="52">
        <f>VLOOKUP(B:B,'דוח כספי 1-10.17'!A:D,4,0)</f>
        <v>0</v>
      </c>
      <c r="P91" s="52">
        <f t="shared" si="61"/>
        <v>0</v>
      </c>
      <c r="Q91" s="52">
        <v>20000</v>
      </c>
      <c r="R91" s="52">
        <f>VLOOKUP(B91,'2174'!$A$182:$G$567,6,0)</f>
        <v>0</v>
      </c>
      <c r="S91" s="52">
        <f t="shared" ref="S91" si="70">R91*12/11</f>
        <v>0</v>
      </c>
      <c r="T91" s="52">
        <v>0</v>
      </c>
      <c r="U91" s="52">
        <f>VLOOKUP(B91,'ביצוע 2019'!$A$3:$H$1103,7,0)</f>
        <v>0</v>
      </c>
      <c r="V91" s="52">
        <f t="shared" si="69"/>
        <v>0</v>
      </c>
      <c r="W91" s="52"/>
      <c r="X91" s="52"/>
      <c r="Y91" s="52"/>
      <c r="Z91" s="101">
        <f t="shared" si="49"/>
        <v>0</v>
      </c>
    </row>
    <row r="92" spans="1:26" s="101" customFormat="1" ht="15.75">
      <c r="A92" s="21">
        <v>15</v>
      </c>
      <c r="B92" s="51">
        <v>1715300750</v>
      </c>
      <c r="C92" s="50" t="str">
        <f t="shared" si="51"/>
        <v>750</v>
      </c>
      <c r="D92" s="50" t="str">
        <f t="shared" si="52"/>
        <v>715300</v>
      </c>
      <c r="E92" s="50" t="str">
        <f t="shared" si="53"/>
        <v>71</v>
      </c>
      <c r="F92" s="51" t="s">
        <v>85</v>
      </c>
      <c r="G92" s="52">
        <v>40000</v>
      </c>
      <c r="H92" s="52">
        <v>23995</v>
      </c>
      <c r="I92" s="52">
        <v>16005</v>
      </c>
      <c r="J92" s="52">
        <v>25000</v>
      </c>
      <c r="K92" s="52">
        <v>25000</v>
      </c>
      <c r="L92" s="52">
        <v>25000</v>
      </c>
      <c r="M92" s="52"/>
      <c r="N92" s="52">
        <f t="shared" si="38"/>
        <v>25000</v>
      </c>
      <c r="O92" s="52">
        <f>VLOOKUP(B:B,'דוח כספי 1-10.17'!A:D,4,0)</f>
        <v>4500</v>
      </c>
      <c r="P92" s="52">
        <f t="shared" si="61"/>
        <v>5400</v>
      </c>
      <c r="Q92" s="52">
        <v>15000</v>
      </c>
      <c r="R92" s="52">
        <f>VLOOKUP(B92,'2174'!$A$182:$G$567,6,0)</f>
        <v>24628</v>
      </c>
      <c r="S92" s="52">
        <f t="shared" ref="S92:S93" si="71">R92*12/11</f>
        <v>26866.909090909092</v>
      </c>
      <c r="T92" s="52">
        <v>40000</v>
      </c>
      <c r="U92" s="52">
        <f>VLOOKUP(B92,'ביצוע 2019'!$A$3:$H$1103,7,0)</f>
        <v>21879</v>
      </c>
      <c r="V92" s="52">
        <f>U92+60000</f>
        <v>81879</v>
      </c>
      <c r="W92" s="52"/>
      <c r="X92" s="52"/>
      <c r="Y92" s="52"/>
      <c r="Z92" s="101">
        <f t="shared" si="49"/>
        <v>1</v>
      </c>
    </row>
    <row r="93" spans="1:26" s="101" customFormat="1" ht="15.75" hidden="1">
      <c r="A93" s="21">
        <v>15</v>
      </c>
      <c r="B93" s="51">
        <v>1715300930</v>
      </c>
      <c r="C93" s="50" t="str">
        <f t="shared" si="51"/>
        <v>930</v>
      </c>
      <c r="D93" s="50" t="str">
        <f t="shared" si="52"/>
        <v>715300</v>
      </c>
      <c r="E93" s="50" t="str">
        <f t="shared" si="53"/>
        <v>71</v>
      </c>
      <c r="F93" s="51" t="s">
        <v>19</v>
      </c>
      <c r="G93" s="52">
        <v>0</v>
      </c>
      <c r="H93" s="52">
        <v>0</v>
      </c>
      <c r="I93" s="52">
        <v>0</v>
      </c>
      <c r="J93" s="52">
        <v>0</v>
      </c>
      <c r="K93" s="52">
        <f>+J93</f>
        <v>0</v>
      </c>
      <c r="L93" s="52">
        <v>4800</v>
      </c>
      <c r="M93" s="52"/>
      <c r="N93" s="52">
        <f t="shared" si="38"/>
        <v>4800</v>
      </c>
      <c r="O93" s="52">
        <f>VLOOKUP(B:B,'דוח כספי 1-10.17'!A:D,4,0)</f>
        <v>0</v>
      </c>
      <c r="P93" s="52">
        <f t="shared" si="61"/>
        <v>0</v>
      </c>
      <c r="Q93" s="52">
        <v>5000</v>
      </c>
      <c r="R93" s="52"/>
      <c r="S93" s="52">
        <f t="shared" si="71"/>
        <v>0</v>
      </c>
      <c r="T93" s="52">
        <v>0</v>
      </c>
      <c r="U93" s="52">
        <f>VLOOKUP(B93,'ביצוע 2019'!$A$3:$H$1103,7,0)</f>
        <v>0</v>
      </c>
      <c r="V93" s="52">
        <f t="shared" si="69"/>
        <v>0</v>
      </c>
      <c r="W93" s="52"/>
      <c r="X93" s="52"/>
      <c r="Y93" s="52"/>
      <c r="Z93" s="101">
        <f t="shared" si="49"/>
        <v>0</v>
      </c>
    </row>
    <row r="94" spans="1:26" s="101" customFormat="1" ht="15.75">
      <c r="A94" s="21"/>
      <c r="B94" s="234"/>
      <c r="C94" s="235"/>
      <c r="D94" s="235"/>
      <c r="E94" s="235"/>
      <c r="F94" s="234" t="s">
        <v>1531</v>
      </c>
      <c r="G94" s="236"/>
      <c r="H94" s="236"/>
      <c r="I94" s="236"/>
      <c r="J94" s="236"/>
      <c r="K94" s="236"/>
      <c r="L94" s="236">
        <f>SUM(L88:L93)</f>
        <v>298800</v>
      </c>
      <c r="M94" s="236"/>
      <c r="N94" s="236">
        <f t="shared" ref="N94:W94" si="72">SUM(N88:N93)</f>
        <v>298800</v>
      </c>
      <c r="O94" s="236">
        <f t="shared" si="72"/>
        <v>233742.51</v>
      </c>
      <c r="P94" s="236">
        <f t="shared" si="72"/>
        <v>284084.8</v>
      </c>
      <c r="Q94" s="236">
        <f t="shared" si="72"/>
        <v>323000</v>
      </c>
      <c r="R94" s="236">
        <f t="shared" si="72"/>
        <v>134052.74</v>
      </c>
      <c r="S94" s="236">
        <f t="shared" si="72"/>
        <v>305985.86909090914</v>
      </c>
      <c r="T94" s="236">
        <f t="shared" si="72"/>
        <v>360000</v>
      </c>
      <c r="U94" s="236">
        <f t="shared" si="72"/>
        <v>135761.03999999998</v>
      </c>
      <c r="V94" s="236">
        <f t="shared" si="72"/>
        <v>221879</v>
      </c>
      <c r="W94" s="236">
        <f t="shared" si="72"/>
        <v>1</v>
      </c>
      <c r="X94" s="52"/>
      <c r="Y94" s="52"/>
      <c r="Z94" s="101">
        <f t="shared" si="49"/>
        <v>1</v>
      </c>
    </row>
    <row r="95" spans="1:26" s="101" customFormat="1" ht="15.75">
      <c r="A95" s="21">
        <v>16</v>
      </c>
      <c r="B95" s="51">
        <v>1722000110</v>
      </c>
      <c r="C95" s="50" t="str">
        <f t="shared" si="51"/>
        <v>110</v>
      </c>
      <c r="D95" s="50" t="str">
        <f t="shared" si="52"/>
        <v>722000</v>
      </c>
      <c r="E95" s="50" t="str">
        <f t="shared" si="53"/>
        <v>72</v>
      </c>
      <c r="F95" s="51" t="s">
        <v>1734</v>
      </c>
      <c r="G95" s="52">
        <v>102000</v>
      </c>
      <c r="H95" s="52">
        <v>115078.34</v>
      </c>
      <c r="I95" s="52">
        <v>-13074.34</v>
      </c>
      <c r="J95" s="52">
        <v>130000</v>
      </c>
      <c r="K95" s="52">
        <v>217000</v>
      </c>
      <c r="L95" s="52">
        <v>0</v>
      </c>
      <c r="M95" s="52"/>
      <c r="N95" s="52">
        <v>0</v>
      </c>
      <c r="O95" s="52">
        <f>VLOOKUP(B:B,'דוח כספי 1-10.17'!A:D,4,0)</f>
        <v>183400.42</v>
      </c>
      <c r="P95" s="52">
        <v>236000</v>
      </c>
      <c r="Q95" s="52">
        <v>239000</v>
      </c>
      <c r="R95" s="52">
        <f>VLOOKUP(B95,'2174'!$A$182:$G$567,6,0)</f>
        <v>204683.23</v>
      </c>
      <c r="S95" s="63">
        <f>VLOOKUP(B95,'2174'!$A$575:$D$697,4,0)</f>
        <v>265050.25</v>
      </c>
      <c r="T95" s="52">
        <f>S95*1.0217+57</f>
        <v>270858.840425</v>
      </c>
      <c r="U95" s="56">
        <f>VLOOKUP(B95,'ביצוע 2019'!$A$3:$H$1103,7,0)</f>
        <v>329236.64</v>
      </c>
      <c r="V95" s="52">
        <v>215000</v>
      </c>
      <c r="W95" s="257">
        <v>1</v>
      </c>
      <c r="X95" s="52"/>
      <c r="Y95" s="158" t="s">
        <v>2068</v>
      </c>
      <c r="Z95" s="101">
        <f t="shared" si="49"/>
        <v>1</v>
      </c>
    </row>
    <row r="96" spans="1:26" s="101" customFormat="1" ht="15.75" hidden="1">
      <c r="A96" s="21">
        <v>16</v>
      </c>
      <c r="B96" s="51">
        <v>1722002110</v>
      </c>
      <c r="C96" s="50" t="str">
        <f>RIGHT(B96,3)</f>
        <v>110</v>
      </c>
      <c r="D96" s="50" t="str">
        <f>MID(B96,2,6)</f>
        <v>722002</v>
      </c>
      <c r="E96" s="50" t="str">
        <f>LEFT(D96,2)</f>
        <v>72</v>
      </c>
      <c r="F96" s="51" t="s">
        <v>2081</v>
      </c>
      <c r="G96" s="52"/>
      <c r="H96" s="52"/>
      <c r="I96" s="52"/>
      <c r="J96" s="52"/>
      <c r="K96" s="52"/>
      <c r="L96" s="52">
        <f>225000+25000</f>
        <v>250000</v>
      </c>
      <c r="M96" s="52"/>
      <c r="N96" s="52">
        <f>M96+L96</f>
        <v>250000</v>
      </c>
      <c r="O96" s="52">
        <f>VLOOKUP(B:B,'דוח כספי 1-10.17'!A:D,4,0)</f>
        <v>0</v>
      </c>
      <c r="P96" s="52">
        <f t="shared" si="61"/>
        <v>0</v>
      </c>
      <c r="Q96" s="52">
        <f>P96</f>
        <v>0</v>
      </c>
      <c r="R96" s="52">
        <f>VLOOKUP(B96,'2174'!$A$182:$G$567,6,0)</f>
        <v>0</v>
      </c>
      <c r="S96" s="63">
        <f>VLOOKUP(B96,'2174'!$A$575:$D$697,4,0)</f>
        <v>0</v>
      </c>
      <c r="T96" s="52">
        <v>0</v>
      </c>
      <c r="U96" s="56">
        <f>VLOOKUP(B96,'ביצוע 2019'!$A$3:$H$1103,7,0)</f>
        <v>0</v>
      </c>
      <c r="V96" s="52">
        <f t="shared" ref="V96" si="73">U96</f>
        <v>0</v>
      </c>
      <c r="W96" s="257"/>
      <c r="X96" s="52"/>
      <c r="Y96" s="158"/>
      <c r="Z96" s="101">
        <f t="shared" si="49"/>
        <v>0</v>
      </c>
    </row>
    <row r="97" spans="1:26" s="101" customFormat="1" ht="15.75">
      <c r="A97" s="21"/>
      <c r="B97" s="234"/>
      <c r="C97" s="235"/>
      <c r="D97" s="235"/>
      <c r="E97" s="235"/>
      <c r="F97" s="234" t="s">
        <v>1568</v>
      </c>
      <c r="G97" s="236"/>
      <c r="H97" s="236"/>
      <c r="I97" s="236"/>
      <c r="J97" s="236"/>
      <c r="K97" s="236"/>
      <c r="L97" s="236">
        <f>SUM(L95:L96)</f>
        <v>250000</v>
      </c>
      <c r="M97" s="236"/>
      <c r="N97" s="236">
        <f>SUM(N95:N96)</f>
        <v>250000</v>
      </c>
      <c r="O97" s="236">
        <f>SUM(O95:O96)</f>
        <v>183400.42</v>
      </c>
      <c r="P97" s="236">
        <f>SUM(P95:P96)</f>
        <v>236000</v>
      </c>
      <c r="Q97" s="236">
        <f>SUM(Q95:Q96)</f>
        <v>239000</v>
      </c>
      <c r="R97" s="236">
        <f t="shared" ref="R97:W97" si="74">SUM(R95:R96)</f>
        <v>204683.23</v>
      </c>
      <c r="S97" s="236">
        <f t="shared" si="74"/>
        <v>265050.25</v>
      </c>
      <c r="T97" s="236">
        <f t="shared" si="74"/>
        <v>270858.840425</v>
      </c>
      <c r="U97" s="236">
        <f t="shared" si="74"/>
        <v>329236.64</v>
      </c>
      <c r="V97" s="236">
        <f t="shared" si="74"/>
        <v>215000</v>
      </c>
      <c r="W97" s="236">
        <f t="shared" si="74"/>
        <v>1</v>
      </c>
      <c r="X97" s="52"/>
      <c r="Y97" s="158"/>
      <c r="Z97" s="101">
        <f t="shared" si="49"/>
        <v>1</v>
      </c>
    </row>
    <row r="98" spans="1:26" s="101" customFormat="1" ht="15.75">
      <c r="A98" s="21">
        <v>15</v>
      </c>
      <c r="B98" s="51">
        <v>1722000730</v>
      </c>
      <c r="C98" s="50">
        <v>730</v>
      </c>
      <c r="D98" s="50" t="str">
        <f>MID(B98,2,6)</f>
        <v>722000</v>
      </c>
      <c r="E98" s="50" t="str">
        <f>LEFT(D98,2)</f>
        <v>72</v>
      </c>
      <c r="F98" s="51" t="s">
        <v>2080</v>
      </c>
      <c r="G98" s="52"/>
      <c r="H98" s="52"/>
      <c r="I98" s="52"/>
      <c r="J98" s="52"/>
      <c r="K98" s="52"/>
      <c r="L98" s="52">
        <v>70000</v>
      </c>
      <c r="M98" s="52"/>
      <c r="N98" s="52">
        <f t="shared" si="38"/>
        <v>70000</v>
      </c>
      <c r="O98" s="52">
        <f>VLOOKUP(B:B,'דוח כספי 1-10.17'!A:D,4,0)</f>
        <v>0</v>
      </c>
      <c r="P98" s="52">
        <f t="shared" si="61"/>
        <v>0</v>
      </c>
      <c r="Q98" s="52">
        <v>30000</v>
      </c>
      <c r="R98" s="52">
        <f>VLOOKUP(B98,'2174'!$A$182:$G$567,6,0)</f>
        <v>0</v>
      </c>
      <c r="S98" s="52">
        <v>0</v>
      </c>
      <c r="T98" s="52">
        <v>100000</v>
      </c>
      <c r="U98" s="52">
        <f>VLOOKUP(B98,'ביצוע 2019'!$A$3:$H$1103,7,0)</f>
        <v>0</v>
      </c>
      <c r="V98" s="52">
        <f t="shared" ref="V98:V103" si="75">U98</f>
        <v>0</v>
      </c>
      <c r="W98" s="52"/>
      <c r="X98" s="52"/>
      <c r="Y98" s="52"/>
      <c r="Z98" s="101">
        <f t="shared" si="49"/>
        <v>1</v>
      </c>
    </row>
    <row r="99" spans="1:26" s="101" customFormat="1" ht="15.75">
      <c r="A99" s="21">
        <v>15</v>
      </c>
      <c r="B99" s="51">
        <v>1722000731</v>
      </c>
      <c r="C99" s="50" t="str">
        <f t="shared" si="51"/>
        <v>731</v>
      </c>
      <c r="D99" s="50" t="str">
        <f t="shared" si="52"/>
        <v>722000</v>
      </c>
      <c r="E99" s="50" t="str">
        <f t="shared" si="53"/>
        <v>72</v>
      </c>
      <c r="F99" s="51" t="s">
        <v>87</v>
      </c>
      <c r="G99" s="52">
        <v>15000</v>
      </c>
      <c r="H99" s="52">
        <v>17877.95</v>
      </c>
      <c r="I99" s="52">
        <v>-2877.95</v>
      </c>
      <c r="J99" s="52"/>
      <c r="K99" s="52">
        <v>35000</v>
      </c>
      <c r="L99" s="52">
        <v>35000</v>
      </c>
      <c r="M99" s="52"/>
      <c r="N99" s="52">
        <f t="shared" si="38"/>
        <v>35000</v>
      </c>
      <c r="O99" s="52">
        <f>VLOOKUP(B:B,'דוח כספי 1-10.17'!A:D,4,0)</f>
        <v>21121.35</v>
      </c>
      <c r="P99" s="52">
        <f t="shared" si="61"/>
        <v>25345.62</v>
      </c>
      <c r="Q99" s="52">
        <v>26000</v>
      </c>
      <c r="R99" s="52">
        <f>VLOOKUP(B99,'2174'!$A$182:$G$567,6,0)</f>
        <v>4228.9799999999996</v>
      </c>
      <c r="S99" s="52">
        <f t="shared" ref="S99:S102" si="76">R99*12/11</f>
        <v>4613.4327272727269</v>
      </c>
      <c r="T99" s="52">
        <v>10000</v>
      </c>
      <c r="U99" s="52">
        <f>VLOOKUP(B99,'ביצוע 2019'!$A$3:$H$1103,7,0)</f>
        <v>0</v>
      </c>
      <c r="V99" s="52">
        <f t="shared" si="75"/>
        <v>0</v>
      </c>
      <c r="W99" s="52"/>
      <c r="X99" s="52"/>
      <c r="Y99" s="52"/>
      <c r="Z99" s="101">
        <f t="shared" si="49"/>
        <v>1</v>
      </c>
    </row>
    <row r="100" spans="1:26" s="101" customFormat="1" ht="15.75">
      <c r="A100" s="21">
        <v>15</v>
      </c>
      <c r="B100" s="51">
        <v>1722000732</v>
      </c>
      <c r="C100" s="50" t="str">
        <f t="shared" si="51"/>
        <v>732</v>
      </c>
      <c r="D100" s="50" t="str">
        <f t="shared" si="52"/>
        <v>722000</v>
      </c>
      <c r="E100" s="50" t="str">
        <f t="shared" si="53"/>
        <v>72</v>
      </c>
      <c r="F100" s="51" t="s">
        <v>88</v>
      </c>
      <c r="G100" s="52">
        <v>4000</v>
      </c>
      <c r="H100" s="52">
        <v>18623</v>
      </c>
      <c r="I100" s="52">
        <v>-14623</v>
      </c>
      <c r="J100" s="52">
        <v>15000</v>
      </c>
      <c r="K100" s="52">
        <v>10000</v>
      </c>
      <c r="L100" s="52">
        <v>15000</v>
      </c>
      <c r="M100" s="52"/>
      <c r="N100" s="52">
        <f t="shared" si="38"/>
        <v>15000</v>
      </c>
      <c r="O100" s="52">
        <f>VLOOKUP(B:B,'דוח כספי 1-10.17'!A:D,4,0)</f>
        <v>8261</v>
      </c>
      <c r="P100" s="52">
        <f t="shared" si="61"/>
        <v>9913.2000000000007</v>
      </c>
      <c r="Q100" s="52">
        <v>10000</v>
      </c>
      <c r="R100" s="52">
        <f>VLOOKUP(B100,'2174'!$A$182:$G$567,6,0)</f>
        <v>5708.8</v>
      </c>
      <c r="S100" s="52">
        <f t="shared" si="76"/>
        <v>6227.7818181818184</v>
      </c>
      <c r="T100" s="52">
        <v>10000</v>
      </c>
      <c r="U100" s="52">
        <f>VLOOKUP(B100,'ביצוע 2019'!$A$3:$H$1103,7,0)</f>
        <v>0</v>
      </c>
      <c r="V100" s="52">
        <f t="shared" si="75"/>
        <v>0</v>
      </c>
      <c r="W100" s="52"/>
      <c r="X100" s="52"/>
      <c r="Y100" s="52"/>
      <c r="Z100" s="101">
        <f t="shared" si="49"/>
        <v>1</v>
      </c>
    </row>
    <row r="101" spans="1:26" s="101" customFormat="1" ht="15.75">
      <c r="A101" s="21">
        <v>15</v>
      </c>
      <c r="B101" s="51">
        <v>1722000733</v>
      </c>
      <c r="C101" s="50" t="str">
        <f t="shared" si="51"/>
        <v>733</v>
      </c>
      <c r="D101" s="50" t="str">
        <f t="shared" si="52"/>
        <v>722000</v>
      </c>
      <c r="E101" s="50" t="str">
        <f t="shared" si="53"/>
        <v>72</v>
      </c>
      <c r="F101" s="51" t="s">
        <v>89</v>
      </c>
      <c r="G101" s="52">
        <v>5000</v>
      </c>
      <c r="H101" s="52">
        <v>15531</v>
      </c>
      <c r="I101" s="52">
        <v>-10531</v>
      </c>
      <c r="J101" s="52">
        <v>15000</v>
      </c>
      <c r="K101" s="52">
        <v>23000</v>
      </c>
      <c r="L101" s="52">
        <v>23000</v>
      </c>
      <c r="M101" s="52"/>
      <c r="N101" s="52">
        <f t="shared" si="38"/>
        <v>23000</v>
      </c>
      <c r="O101" s="52">
        <f>VLOOKUP(B:B,'דוח כספי 1-10.17'!A:D,4,0)</f>
        <v>11719</v>
      </c>
      <c r="P101" s="52">
        <f t="shared" si="61"/>
        <v>14062.8</v>
      </c>
      <c r="Q101" s="52">
        <v>14000</v>
      </c>
      <c r="R101" s="52">
        <f>VLOOKUP(B101,'2174'!$A$182:$G$567,6,0)</f>
        <v>530</v>
      </c>
      <c r="S101" s="52">
        <f t="shared" si="76"/>
        <v>578.18181818181813</v>
      </c>
      <c r="T101" s="52">
        <v>4000</v>
      </c>
      <c r="U101" s="52">
        <f>VLOOKUP(B101,'ביצוע 2019'!$A$3:$H$1103,7,0)</f>
        <v>0</v>
      </c>
      <c r="V101" s="52">
        <f t="shared" si="75"/>
        <v>0</v>
      </c>
      <c r="W101" s="52"/>
      <c r="X101" s="52"/>
      <c r="Y101" s="52"/>
      <c r="Z101" s="101">
        <f t="shared" si="49"/>
        <v>1</v>
      </c>
    </row>
    <row r="102" spans="1:26" s="101" customFormat="1" ht="15.75" hidden="1">
      <c r="A102" s="21">
        <v>15</v>
      </c>
      <c r="B102" s="51">
        <v>1722000780</v>
      </c>
      <c r="C102" s="50" t="str">
        <f t="shared" si="51"/>
        <v>780</v>
      </c>
      <c r="D102" s="50" t="str">
        <f t="shared" si="52"/>
        <v>722000</v>
      </c>
      <c r="E102" s="50" t="str">
        <f t="shared" si="53"/>
        <v>72</v>
      </c>
      <c r="F102" s="51" t="s">
        <v>594</v>
      </c>
      <c r="G102" s="52">
        <v>1000</v>
      </c>
      <c r="H102" s="52">
        <v>495</v>
      </c>
      <c r="I102" s="52">
        <v>502</v>
      </c>
      <c r="J102" s="52">
        <v>11000</v>
      </c>
      <c r="K102" s="52">
        <v>2000</v>
      </c>
      <c r="L102" s="52">
        <v>12000</v>
      </c>
      <c r="M102" s="52"/>
      <c r="N102" s="52">
        <f t="shared" si="38"/>
        <v>12000</v>
      </c>
      <c r="O102" s="52">
        <f>VLOOKUP(B:B,'דוח כספי 1-10.17'!A:D,4,0)</f>
        <v>6453</v>
      </c>
      <c r="P102" s="52">
        <f t="shared" si="61"/>
        <v>7743.6</v>
      </c>
      <c r="Q102" s="52">
        <v>7000</v>
      </c>
      <c r="R102" s="52">
        <f>VLOOKUP(B102,'2174'!$A$182:$G$567,6,0)</f>
        <v>7350</v>
      </c>
      <c r="S102" s="52">
        <f t="shared" si="76"/>
        <v>8018.181818181818</v>
      </c>
      <c r="T102" s="52">
        <v>0</v>
      </c>
      <c r="U102" s="52"/>
      <c r="V102" s="52"/>
      <c r="W102" s="52"/>
      <c r="X102" s="52"/>
      <c r="Y102" s="52"/>
      <c r="Z102" s="101">
        <f t="shared" si="49"/>
        <v>0</v>
      </c>
    </row>
    <row r="103" spans="1:26" s="101" customFormat="1" ht="15.75" hidden="1">
      <c r="A103" s="21">
        <v>15</v>
      </c>
      <c r="B103" s="51">
        <v>1722002780</v>
      </c>
      <c r="C103" s="50" t="str">
        <f>RIGHT(B103,3)</f>
        <v>780</v>
      </c>
      <c r="D103" s="50" t="str">
        <f>MID(B103,2,6)</f>
        <v>722002</v>
      </c>
      <c r="E103" s="50" t="str">
        <f>LEFT(D103,2)</f>
        <v>72</v>
      </c>
      <c r="F103" s="51" t="s">
        <v>1736</v>
      </c>
      <c r="G103" s="52"/>
      <c r="H103" s="52"/>
      <c r="I103" s="52"/>
      <c r="J103" s="52"/>
      <c r="K103" s="52"/>
      <c r="L103" s="52">
        <v>2000</v>
      </c>
      <c r="M103" s="52"/>
      <c r="N103" s="52">
        <f t="shared" si="38"/>
        <v>2000</v>
      </c>
      <c r="O103" s="52">
        <f>VLOOKUP(B:B,'דוח כספי 1-10.17'!A:D,4,0)</f>
        <v>0</v>
      </c>
      <c r="P103" s="52">
        <f t="shared" si="61"/>
        <v>0</v>
      </c>
      <c r="Q103" s="52">
        <f>P103</f>
        <v>0</v>
      </c>
      <c r="R103" s="52">
        <f>VLOOKUP(B103,'2174'!$A$182:$G$567,6,0)</f>
        <v>0</v>
      </c>
      <c r="S103" s="52">
        <f>R103*12/11</f>
        <v>0</v>
      </c>
      <c r="T103" s="52">
        <v>0</v>
      </c>
      <c r="U103" s="52">
        <f>VLOOKUP(B103,'ביצוע 2019'!$A$3:$H$1103,7,0)</f>
        <v>0</v>
      </c>
      <c r="V103" s="52">
        <f t="shared" si="75"/>
        <v>0</v>
      </c>
      <c r="W103" s="52"/>
      <c r="X103" s="52"/>
      <c r="Y103" s="52"/>
      <c r="Z103" s="101">
        <f t="shared" si="49"/>
        <v>0</v>
      </c>
    </row>
    <row r="104" spans="1:26" s="101" customFormat="1" ht="15.75">
      <c r="A104" s="21"/>
      <c r="B104" s="234"/>
      <c r="C104" s="235"/>
      <c r="D104" s="235"/>
      <c r="E104" s="235"/>
      <c r="F104" s="234" t="s">
        <v>1962</v>
      </c>
      <c r="G104" s="236"/>
      <c r="H104" s="236"/>
      <c r="I104" s="236"/>
      <c r="J104" s="236"/>
      <c r="K104" s="236"/>
      <c r="L104" s="236">
        <f>SUM(L98:L103)</f>
        <v>157000</v>
      </c>
      <c r="M104" s="236"/>
      <c r="N104" s="236">
        <f t="shared" ref="N104:W104" si="77">SUM(N98:N103)</f>
        <v>157000</v>
      </c>
      <c r="O104" s="236">
        <f t="shared" si="77"/>
        <v>47554.35</v>
      </c>
      <c r="P104" s="236">
        <f t="shared" si="77"/>
        <v>57065.219999999994</v>
      </c>
      <c r="Q104" s="236">
        <f t="shared" si="77"/>
        <v>87000</v>
      </c>
      <c r="R104" s="236">
        <f t="shared" si="77"/>
        <v>17817.78</v>
      </c>
      <c r="S104" s="236">
        <f t="shared" si="77"/>
        <v>19437.578181818182</v>
      </c>
      <c r="T104" s="236">
        <f t="shared" si="77"/>
        <v>124000</v>
      </c>
      <c r="U104" s="236">
        <f t="shared" si="77"/>
        <v>0</v>
      </c>
      <c r="V104" s="236">
        <f t="shared" si="77"/>
        <v>0</v>
      </c>
      <c r="W104" s="236">
        <f t="shared" si="77"/>
        <v>0</v>
      </c>
      <c r="X104" s="52"/>
      <c r="Y104" s="52"/>
      <c r="Z104" s="101">
        <f t="shared" si="49"/>
        <v>1</v>
      </c>
    </row>
    <row r="105" spans="1:26" s="101" customFormat="1" ht="15.75">
      <c r="A105" s="21">
        <v>15</v>
      </c>
      <c r="B105" s="51">
        <v>1723000810</v>
      </c>
      <c r="C105" s="50" t="str">
        <f t="shared" si="51"/>
        <v>810</v>
      </c>
      <c r="D105" s="50" t="str">
        <f t="shared" si="52"/>
        <v>723000</v>
      </c>
      <c r="E105" s="50" t="str">
        <f t="shared" si="53"/>
        <v>72</v>
      </c>
      <c r="F105" s="51" t="s">
        <v>90</v>
      </c>
      <c r="G105" s="52">
        <v>80000</v>
      </c>
      <c r="H105" s="52">
        <v>0</v>
      </c>
      <c r="I105" s="52">
        <v>80000</v>
      </c>
      <c r="J105" s="52">
        <v>80000</v>
      </c>
      <c r="K105" s="52">
        <v>80000</v>
      </c>
      <c r="L105" s="52">
        <v>80000</v>
      </c>
      <c r="M105" s="52"/>
      <c r="N105" s="52">
        <f t="shared" si="38"/>
        <v>80000</v>
      </c>
      <c r="O105" s="52">
        <f>VLOOKUP(B:B,'דוח כספי 1-10.17'!A:D,4,0)</f>
        <v>59984</v>
      </c>
      <c r="P105" s="52">
        <f t="shared" si="61"/>
        <v>71980.800000000003</v>
      </c>
      <c r="Q105" s="52">
        <v>72000</v>
      </c>
      <c r="R105" s="52">
        <f>VLOOKUP(B105,'2174'!$A$182:$G$567,6,0)</f>
        <v>0</v>
      </c>
      <c r="S105" s="52">
        <v>87000</v>
      </c>
      <c r="T105" s="52">
        <v>87000</v>
      </c>
      <c r="U105" s="52">
        <f>VLOOKUP(B105,'ביצוע 2019'!$A$3:$H$1103,7,0)</f>
        <v>86337</v>
      </c>
      <c r="V105" s="52">
        <f t="shared" ref="V105:V109" si="78">U105</f>
        <v>86337</v>
      </c>
      <c r="W105" s="52"/>
      <c r="X105" s="52"/>
      <c r="Y105" s="52"/>
      <c r="Z105" s="101">
        <f t="shared" si="49"/>
        <v>1</v>
      </c>
    </row>
    <row r="106" spans="1:26" s="101" customFormat="1" ht="15.75">
      <c r="A106" s="21">
        <v>15</v>
      </c>
      <c r="B106" s="51">
        <v>1723000930</v>
      </c>
      <c r="C106" s="50" t="str">
        <f t="shared" si="51"/>
        <v>930</v>
      </c>
      <c r="D106" s="50" t="str">
        <f t="shared" si="52"/>
        <v>723000</v>
      </c>
      <c r="E106" s="50" t="str">
        <f t="shared" si="53"/>
        <v>72</v>
      </c>
      <c r="F106" s="51" t="s">
        <v>586</v>
      </c>
      <c r="G106" s="52"/>
      <c r="H106" s="52"/>
      <c r="I106" s="52"/>
      <c r="J106" s="153">
        <v>5000</v>
      </c>
      <c r="K106" s="52">
        <v>5000</v>
      </c>
      <c r="L106" s="52">
        <v>5000</v>
      </c>
      <c r="M106" s="52"/>
      <c r="N106" s="52">
        <f t="shared" si="38"/>
        <v>5000</v>
      </c>
      <c r="O106" s="52">
        <f>VLOOKUP(B:B,'דוח כספי 1-10.17'!A:D,4,0)</f>
        <v>3860</v>
      </c>
      <c r="P106" s="52">
        <f t="shared" si="61"/>
        <v>4632</v>
      </c>
      <c r="Q106" s="52">
        <v>4700</v>
      </c>
      <c r="R106" s="52">
        <f>VLOOKUP(B106,'2174'!$A$182:$G$567,6,0)</f>
        <v>1720</v>
      </c>
      <c r="S106" s="52">
        <f t="shared" ref="S106:S109" si="79">R106*12/11</f>
        <v>1876.3636363636363</v>
      </c>
      <c r="T106" s="52">
        <v>3000</v>
      </c>
      <c r="U106" s="52">
        <f>VLOOKUP(B106,'ביצוע 2019'!$A$3:$H$1103,7,0)</f>
        <v>0</v>
      </c>
      <c r="V106" s="52">
        <f t="shared" si="78"/>
        <v>0</v>
      </c>
      <c r="W106" s="52"/>
      <c r="X106" s="52"/>
      <c r="Y106" s="52"/>
      <c r="Z106" s="101">
        <f t="shared" si="49"/>
        <v>1</v>
      </c>
    </row>
    <row r="107" spans="1:26" s="101" customFormat="1" ht="15.75">
      <c r="A107" s="21">
        <v>15</v>
      </c>
      <c r="B107" s="51">
        <v>1723000811</v>
      </c>
      <c r="C107" s="50" t="str">
        <f t="shared" si="51"/>
        <v>811</v>
      </c>
      <c r="D107" s="50" t="str">
        <f t="shared" si="52"/>
        <v>723000</v>
      </c>
      <c r="E107" s="50" t="str">
        <f t="shared" si="53"/>
        <v>72</v>
      </c>
      <c r="F107" s="51" t="s">
        <v>91</v>
      </c>
      <c r="G107" s="52">
        <v>50000</v>
      </c>
      <c r="H107" s="52">
        <v>0</v>
      </c>
      <c r="I107" s="52">
        <v>50000</v>
      </c>
      <c r="J107" s="52">
        <v>50000</v>
      </c>
      <c r="K107" s="52">
        <v>50000</v>
      </c>
      <c r="L107" s="52">
        <f>170662-16</f>
        <v>170646</v>
      </c>
      <c r="M107" s="52"/>
      <c r="N107" s="52">
        <f t="shared" si="38"/>
        <v>170646</v>
      </c>
      <c r="O107" s="52">
        <f>VLOOKUP(B:B,'דוח כספי 1-10.17'!A:D,4,0)</f>
        <v>127290</v>
      </c>
      <c r="P107" s="52"/>
      <c r="Q107" s="52">
        <v>288870</v>
      </c>
      <c r="R107" s="52">
        <f>VLOOKUP(B107,'2174'!$A$182:$G$567,6,0)</f>
        <v>2574</v>
      </c>
      <c r="S107" s="52">
        <f t="shared" si="79"/>
        <v>2808</v>
      </c>
      <c r="T107" s="52">
        <v>299129</v>
      </c>
      <c r="U107" s="52">
        <f>VLOOKUP(B107,'ביצוע 2019'!$A$3:$H$1103,7,0)</f>
        <v>4095</v>
      </c>
      <c r="V107" s="52">
        <v>290000</v>
      </c>
      <c r="W107" s="52"/>
      <c r="X107" s="52"/>
      <c r="Y107" s="52"/>
      <c r="Z107" s="101">
        <f t="shared" si="49"/>
        <v>1</v>
      </c>
    </row>
    <row r="108" spans="1:26" s="101" customFormat="1" ht="15.75" hidden="1">
      <c r="A108" s="21">
        <v>15</v>
      </c>
      <c r="B108" s="51">
        <v>1724000760</v>
      </c>
      <c r="C108" s="50" t="str">
        <f t="shared" si="51"/>
        <v>760</v>
      </c>
      <c r="D108" s="50" t="str">
        <f t="shared" si="52"/>
        <v>724000</v>
      </c>
      <c r="E108" s="50" t="str">
        <f t="shared" si="53"/>
        <v>72</v>
      </c>
      <c r="F108" s="51" t="s">
        <v>92</v>
      </c>
      <c r="G108" s="52">
        <v>0</v>
      </c>
      <c r="H108" s="52">
        <v>21740</v>
      </c>
      <c r="I108" s="52">
        <v>-21740</v>
      </c>
      <c r="J108" s="52">
        <v>275000</v>
      </c>
      <c r="K108" s="52">
        <v>275000</v>
      </c>
      <c r="L108" s="52">
        <v>275000</v>
      </c>
      <c r="M108" s="52"/>
      <c r="N108" s="52">
        <f t="shared" si="38"/>
        <v>275000</v>
      </c>
      <c r="O108" s="52">
        <f>VLOOKUP(B:B,'דוח כספי 1-10.17'!A:D,4,0)</f>
        <v>12043</v>
      </c>
      <c r="P108" s="52">
        <f t="shared" si="61"/>
        <v>14451.6</v>
      </c>
      <c r="Q108" s="52">
        <v>275000</v>
      </c>
      <c r="R108" s="52">
        <v>0</v>
      </c>
      <c r="S108" s="52">
        <v>0</v>
      </c>
      <c r="T108" s="52">
        <v>0</v>
      </c>
      <c r="U108" s="52"/>
      <c r="V108" s="52"/>
      <c r="W108" s="52"/>
      <c r="X108" s="52"/>
      <c r="Y108" s="52"/>
      <c r="Z108" s="101">
        <f t="shared" si="49"/>
        <v>0</v>
      </c>
    </row>
    <row r="109" spans="1:26" s="101" customFormat="1" ht="15.75" hidden="1">
      <c r="A109" s="21">
        <v>15</v>
      </c>
      <c r="B109" s="51">
        <v>1724000830</v>
      </c>
      <c r="C109" s="50" t="str">
        <f t="shared" si="51"/>
        <v>830</v>
      </c>
      <c r="D109" s="50" t="str">
        <f t="shared" si="52"/>
        <v>724000</v>
      </c>
      <c r="E109" s="50" t="str">
        <f t="shared" si="53"/>
        <v>72</v>
      </c>
      <c r="F109" s="51" t="s">
        <v>93</v>
      </c>
      <c r="G109" s="52">
        <v>145000</v>
      </c>
      <c r="H109" s="52">
        <v>229200</v>
      </c>
      <c r="I109" s="52">
        <v>-84194</v>
      </c>
      <c r="J109" s="52">
        <v>230000</v>
      </c>
      <c r="K109" s="52">
        <v>230000</v>
      </c>
      <c r="L109" s="52">
        <v>230000</v>
      </c>
      <c r="M109" s="52"/>
      <c r="N109" s="52">
        <f t="shared" si="38"/>
        <v>230000</v>
      </c>
      <c r="O109" s="52">
        <f>VLOOKUP(B:B,'דוח כספי 1-10.17'!A:D,4,0)</f>
        <v>0</v>
      </c>
      <c r="P109" s="52">
        <v>230000</v>
      </c>
      <c r="Q109" s="52">
        <v>0</v>
      </c>
      <c r="R109" s="52">
        <f>VLOOKUP(B109,'2174'!$A$182:$G$567,6,0)</f>
        <v>0</v>
      </c>
      <c r="S109" s="52">
        <f t="shared" si="79"/>
        <v>0</v>
      </c>
      <c r="T109" s="52">
        <v>0</v>
      </c>
      <c r="U109" s="52">
        <f>VLOOKUP(B109,'ביצוע 2019'!$A$3:$H$1103,7,0)</f>
        <v>0</v>
      </c>
      <c r="V109" s="52">
        <f t="shared" si="78"/>
        <v>0</v>
      </c>
      <c r="W109" s="52"/>
      <c r="X109" s="52"/>
      <c r="Y109" s="52"/>
      <c r="Z109" s="101">
        <f t="shared" si="49"/>
        <v>0</v>
      </c>
    </row>
    <row r="110" spans="1:26" s="101" customFormat="1" ht="15.75">
      <c r="A110" s="21"/>
      <c r="B110" s="234"/>
      <c r="C110" s="235"/>
      <c r="D110" s="235"/>
      <c r="E110" s="235"/>
      <c r="F110" s="234" t="s">
        <v>1963</v>
      </c>
      <c r="G110" s="236"/>
      <c r="H110" s="236"/>
      <c r="I110" s="236"/>
      <c r="J110" s="236"/>
      <c r="K110" s="236"/>
      <c r="L110" s="236">
        <f>SUM(L105:L109)</f>
        <v>760646</v>
      </c>
      <c r="M110" s="236"/>
      <c r="N110" s="236">
        <f>SUM(N105:N109)</f>
        <v>760646</v>
      </c>
      <c r="O110" s="236">
        <f>SUM(O105:O109)</f>
        <v>203177</v>
      </c>
      <c r="P110" s="236">
        <f>SUM(P105:P109)</f>
        <v>321064.40000000002</v>
      </c>
      <c r="Q110" s="236">
        <f>SUM(Q105:Q109)</f>
        <v>640570</v>
      </c>
      <c r="R110" s="236">
        <f t="shared" ref="R110:W110" si="80">SUM(R105:R109)</f>
        <v>4294</v>
      </c>
      <c r="S110" s="236">
        <f t="shared" si="80"/>
        <v>91684.363636363632</v>
      </c>
      <c r="T110" s="236">
        <f t="shared" si="80"/>
        <v>389129</v>
      </c>
      <c r="U110" s="236">
        <f t="shared" si="80"/>
        <v>90432</v>
      </c>
      <c r="V110" s="236">
        <f t="shared" si="80"/>
        <v>376337</v>
      </c>
      <c r="W110" s="236">
        <f t="shared" si="80"/>
        <v>0</v>
      </c>
      <c r="X110" s="52"/>
      <c r="Y110" s="52"/>
      <c r="Z110" s="101">
        <f t="shared" si="49"/>
        <v>1</v>
      </c>
    </row>
    <row r="111" spans="1:26" s="101" customFormat="1" ht="15.75">
      <c r="A111" s="21">
        <v>15</v>
      </c>
      <c r="B111" s="51">
        <v>1725000750</v>
      </c>
      <c r="C111" s="50" t="str">
        <f>RIGHT(B111,3)</f>
        <v>750</v>
      </c>
      <c r="D111" s="50" t="str">
        <f>MID(B111,2,6)</f>
        <v>725000</v>
      </c>
      <c r="E111" s="50" t="str">
        <f>LEFT(D111,2)</f>
        <v>72</v>
      </c>
      <c r="F111" s="51" t="s">
        <v>92</v>
      </c>
      <c r="G111" s="52">
        <v>102000</v>
      </c>
      <c r="H111" s="52">
        <v>115078.34</v>
      </c>
      <c r="I111" s="52">
        <v>-13074.34</v>
      </c>
      <c r="J111" s="52"/>
      <c r="K111" s="52">
        <v>67000</v>
      </c>
      <c r="L111" s="52">
        <v>0</v>
      </c>
      <c r="M111" s="52"/>
      <c r="N111" s="52">
        <f t="shared" si="38"/>
        <v>0</v>
      </c>
      <c r="O111" s="52">
        <f>VLOOKUP(B:B,'דוח כספי 1-10.17'!A:D,4,0)</f>
        <v>0</v>
      </c>
      <c r="P111" s="52">
        <f t="shared" si="61"/>
        <v>0</v>
      </c>
      <c r="Q111" s="52">
        <f>P111</f>
        <v>0</v>
      </c>
      <c r="R111" s="52">
        <f>VLOOKUP(B111,'2174'!$A$182:$G$567,6,0)</f>
        <v>220740</v>
      </c>
      <c r="S111" s="52">
        <f t="shared" ref="S111" si="81">R111*12/11</f>
        <v>240807.27272727274</v>
      </c>
      <c r="T111" s="52">
        <v>121108</v>
      </c>
      <c r="U111" s="52">
        <f>VLOOKUP(B111,'ביצוע 2019'!$A$3:$H$1103,7,0)</f>
        <v>163788.72</v>
      </c>
      <c r="V111" s="52">
        <v>375000</v>
      </c>
      <c r="W111" s="63"/>
      <c r="X111" s="52"/>
      <c r="Y111" s="52"/>
      <c r="Z111" s="101">
        <f t="shared" si="49"/>
        <v>1</v>
      </c>
    </row>
    <row r="112" spans="1:26" s="101" customFormat="1" ht="15.75">
      <c r="A112" s="21">
        <v>16</v>
      </c>
      <c r="B112" s="51">
        <v>1725000110</v>
      </c>
      <c r="C112" s="50" t="str">
        <f>RIGHT(B112,3)</f>
        <v>110</v>
      </c>
      <c r="D112" s="50" t="str">
        <f>MID(B112,2,6)</f>
        <v>725000</v>
      </c>
      <c r="E112" s="50" t="str">
        <f>LEFT(D112,2)</f>
        <v>72</v>
      </c>
      <c r="F112" s="106" t="s">
        <v>92</v>
      </c>
      <c r="G112" s="52"/>
      <c r="H112" s="52"/>
      <c r="I112" s="52"/>
      <c r="J112" s="52"/>
      <c r="K112" s="52"/>
      <c r="L112" s="52">
        <v>117000</v>
      </c>
      <c r="M112" s="52"/>
      <c r="N112" s="52">
        <v>0</v>
      </c>
      <c r="O112" s="52">
        <f>VLOOKUP(B:B,'דוח כספי 1-10.17'!A:D,4,0)</f>
        <v>105880.61</v>
      </c>
      <c r="P112" s="52">
        <f t="shared" si="61"/>
        <v>127056.732</v>
      </c>
      <c r="Q112" s="52">
        <v>137000</v>
      </c>
      <c r="R112" s="52">
        <f>VLOOKUP(B112,'2174'!$A$182:$G$567,6,0)</f>
        <v>109602.96</v>
      </c>
      <c r="S112" s="63">
        <f>VLOOKUP(B112,'2174'!$A$575:$D$697,4,0)</f>
        <v>168875.97</v>
      </c>
      <c r="T112" s="52">
        <v>300000</v>
      </c>
      <c r="U112" s="56">
        <f>VLOOKUP(B112,'ביצוע 2019'!$A$3:$H$1103,7,0)</f>
        <v>287999.11</v>
      </c>
      <c r="V112" s="52">
        <v>285000</v>
      </c>
      <c r="W112" s="257">
        <v>2</v>
      </c>
      <c r="X112" s="52"/>
      <c r="Y112" s="52" t="s">
        <v>2069</v>
      </c>
      <c r="Z112" s="101">
        <f t="shared" si="49"/>
        <v>1</v>
      </c>
    </row>
    <row r="113" spans="1:26" s="101" customFormat="1" ht="15.75" hidden="1">
      <c r="A113" s="21">
        <v>15</v>
      </c>
      <c r="B113" s="51">
        <v>1725100750</v>
      </c>
      <c r="C113" s="50" t="str">
        <f>RIGHT(B113,3)</f>
        <v>750</v>
      </c>
      <c r="D113" s="50" t="str">
        <f>MID(B113,2,6)</f>
        <v>725100</v>
      </c>
      <c r="E113" s="50" t="str">
        <f>LEFT(D113,2)</f>
        <v>72</v>
      </c>
      <c r="F113" s="106" t="s">
        <v>2118</v>
      </c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63"/>
      <c r="T113" s="52"/>
      <c r="U113" s="52"/>
      <c r="V113" s="52"/>
      <c r="W113" s="257"/>
      <c r="X113" s="52"/>
      <c r="Y113" s="52"/>
      <c r="Z113" s="101">
        <f t="shared" si="49"/>
        <v>0</v>
      </c>
    </row>
    <row r="114" spans="1:26" s="101" customFormat="1" ht="15.75">
      <c r="A114" s="21"/>
      <c r="B114" s="234"/>
      <c r="C114" s="235"/>
      <c r="D114" s="235"/>
      <c r="E114" s="235"/>
      <c r="F114" s="234" t="s">
        <v>92</v>
      </c>
      <c r="G114" s="236"/>
      <c r="H114" s="236"/>
      <c r="I114" s="236"/>
      <c r="J114" s="236"/>
      <c r="K114" s="236"/>
      <c r="L114" s="236">
        <f>SUM(L111:L112)</f>
        <v>117000</v>
      </c>
      <c r="M114" s="236"/>
      <c r="N114" s="236">
        <f t="shared" ref="N114:S114" si="82">SUM(N111:N112)</f>
        <v>0</v>
      </c>
      <c r="O114" s="236">
        <f t="shared" si="82"/>
        <v>105880.61</v>
      </c>
      <c r="P114" s="236">
        <f t="shared" si="82"/>
        <v>127056.732</v>
      </c>
      <c r="Q114" s="236">
        <f t="shared" si="82"/>
        <v>137000</v>
      </c>
      <c r="R114" s="236">
        <f t="shared" si="82"/>
        <v>330342.96000000002</v>
      </c>
      <c r="S114" s="236">
        <f t="shared" si="82"/>
        <v>409683.24272727274</v>
      </c>
      <c r="T114" s="236">
        <f>SUM(T111:T113)</f>
        <v>421108</v>
      </c>
      <c r="U114" s="236">
        <f t="shared" ref="U114:W114" si="83">SUM(U111:U113)</f>
        <v>451787.82999999996</v>
      </c>
      <c r="V114" s="236">
        <f t="shared" si="83"/>
        <v>660000</v>
      </c>
      <c r="W114" s="236">
        <f t="shared" si="83"/>
        <v>2</v>
      </c>
      <c r="X114" s="52"/>
      <c r="Y114" s="52"/>
      <c r="Z114" s="101">
        <f t="shared" si="49"/>
        <v>1</v>
      </c>
    </row>
    <row r="115" spans="1:26" s="101" customFormat="1" ht="15.75">
      <c r="A115" s="21">
        <v>16</v>
      </c>
      <c r="B115" s="51">
        <v>1731000110</v>
      </c>
      <c r="C115" s="50" t="str">
        <f t="shared" si="51"/>
        <v>110</v>
      </c>
      <c r="D115" s="50" t="str">
        <f t="shared" si="52"/>
        <v>731000</v>
      </c>
      <c r="E115" s="50" t="str">
        <f t="shared" si="53"/>
        <v>73</v>
      </c>
      <c r="F115" s="51" t="s">
        <v>97</v>
      </c>
      <c r="G115" s="52">
        <v>651000</v>
      </c>
      <c r="H115" s="52">
        <v>648811.22</v>
      </c>
      <c r="I115" s="52">
        <v>2185.7800000000002</v>
      </c>
      <c r="J115" s="52">
        <v>620000</v>
      </c>
      <c r="K115" s="52">
        <v>770000</v>
      </c>
      <c r="L115" s="52">
        <v>640000</v>
      </c>
      <c r="M115" s="52"/>
      <c r="N115" s="52">
        <f t="shared" si="38"/>
        <v>640000</v>
      </c>
      <c r="O115" s="52">
        <f>VLOOKUP(B:B,'דוח כספי 1-10.17'!A:D,4,0)</f>
        <v>616217.5</v>
      </c>
      <c r="P115" s="52">
        <f t="shared" si="61"/>
        <v>739461</v>
      </c>
      <c r="Q115" s="52">
        <v>758000</v>
      </c>
      <c r="R115" s="52">
        <f>VLOOKUP(B115,'2174'!$A$182:$G$567,6,0)</f>
        <v>538543.73</v>
      </c>
      <c r="S115" s="63">
        <f>VLOOKUP(B115,'2174'!$A$575:$D$697,4,0)</f>
        <v>732716.18</v>
      </c>
      <c r="T115" s="52">
        <v>500000</v>
      </c>
      <c r="U115" s="56">
        <f>VLOOKUP(B115,'ביצוע 2019'!$A$3:$H$1103,7,0)</f>
        <v>610208.9</v>
      </c>
      <c r="V115" s="52">
        <v>530000</v>
      </c>
      <c r="W115" s="257">
        <v>2</v>
      </c>
      <c r="X115" s="52"/>
      <c r="Y115" s="52" t="s">
        <v>2077</v>
      </c>
      <c r="Z115" s="101">
        <f t="shared" si="49"/>
        <v>1</v>
      </c>
    </row>
    <row r="116" spans="1:26" s="101" customFormat="1" ht="15.75">
      <c r="A116" s="21">
        <v>16</v>
      </c>
      <c r="B116" s="51">
        <v>1731000320</v>
      </c>
      <c r="C116" s="54" t="str">
        <f t="shared" ref="C116" si="84">RIGHT(B116,3)</f>
        <v>320</v>
      </c>
      <c r="D116" s="54" t="str">
        <f t="shared" ref="D116" si="85">MID(B116,2,6)</f>
        <v>731000</v>
      </c>
      <c r="E116" s="54" t="str">
        <f t="shared" ref="E116" si="86">LEFT(D116,2)</f>
        <v>73</v>
      </c>
      <c r="F116" s="55" t="s">
        <v>2062</v>
      </c>
      <c r="G116" s="52"/>
      <c r="H116" s="52"/>
      <c r="I116" s="52"/>
      <c r="J116" s="52"/>
      <c r="K116" s="52"/>
      <c r="L116" s="56">
        <v>0</v>
      </c>
      <c r="M116" s="52"/>
      <c r="N116" s="52"/>
      <c r="O116" s="52"/>
      <c r="P116" s="52">
        <v>0</v>
      </c>
      <c r="Q116" s="56">
        <v>0</v>
      </c>
      <c r="R116" s="52"/>
      <c r="S116" s="64">
        <v>0</v>
      </c>
      <c r="T116" s="56">
        <v>500000</v>
      </c>
      <c r="U116" s="56">
        <f>VLOOKUP(B116,'ביצוע 2019'!$A$3:$H$1103,7,0)</f>
        <v>0</v>
      </c>
      <c r="V116" s="56">
        <f t="shared" ref="V116:V120" si="87">U116</f>
        <v>0</v>
      </c>
      <c r="W116" s="258"/>
      <c r="X116" s="52"/>
      <c r="Y116" s="52"/>
      <c r="Z116" s="101">
        <f t="shared" si="49"/>
        <v>1</v>
      </c>
    </row>
    <row r="117" spans="1:26" s="101" customFormat="1" ht="15.75" hidden="1">
      <c r="A117" s="21">
        <v>15</v>
      </c>
      <c r="B117" s="51">
        <v>1731000440</v>
      </c>
      <c r="C117" s="50" t="str">
        <f t="shared" si="51"/>
        <v>440</v>
      </c>
      <c r="D117" s="50" t="str">
        <f t="shared" si="52"/>
        <v>731000</v>
      </c>
      <c r="E117" s="50" t="str">
        <f t="shared" si="53"/>
        <v>73</v>
      </c>
      <c r="F117" s="51" t="s">
        <v>98</v>
      </c>
      <c r="G117" s="52">
        <v>0</v>
      </c>
      <c r="H117" s="52">
        <v>0</v>
      </c>
      <c r="I117" s="52">
        <v>0</v>
      </c>
      <c r="J117" s="52">
        <v>4000</v>
      </c>
      <c r="K117" s="52">
        <f t="shared" ref="K117:L118" si="88">+J117</f>
        <v>4000</v>
      </c>
      <c r="L117" s="52">
        <f t="shared" si="88"/>
        <v>4000</v>
      </c>
      <c r="M117" s="52"/>
      <c r="N117" s="52">
        <f t="shared" si="38"/>
        <v>4000</v>
      </c>
      <c r="O117" s="52">
        <f>VLOOKUP(B:B,'דוח כספי 1-10.17'!A:D,4,0)</f>
        <v>0</v>
      </c>
      <c r="P117" s="52">
        <f t="shared" si="61"/>
        <v>0</v>
      </c>
      <c r="Q117" s="52">
        <f t="shared" ref="Q117:Q120" si="89">P117</f>
        <v>0</v>
      </c>
      <c r="R117" s="52">
        <f>VLOOKUP(B117,'2174'!$A$182:$G$567,6,0)</f>
        <v>0</v>
      </c>
      <c r="S117" s="52">
        <f t="shared" ref="S117:S118" si="90">R117*12/11</f>
        <v>0</v>
      </c>
      <c r="T117" s="52">
        <v>0</v>
      </c>
      <c r="U117" s="52">
        <f>VLOOKUP(B117,'ביצוע 2019'!$A$3:$H$1103,7,0)</f>
        <v>0</v>
      </c>
      <c r="V117" s="52">
        <f t="shared" si="87"/>
        <v>0</v>
      </c>
      <c r="W117" s="52"/>
      <c r="X117" s="52"/>
      <c r="Y117" s="52"/>
      <c r="Z117" s="101">
        <f t="shared" si="49"/>
        <v>0</v>
      </c>
    </row>
    <row r="118" spans="1:26" s="101" customFormat="1" ht="15.75">
      <c r="A118" s="21">
        <v>15</v>
      </c>
      <c r="B118" s="51">
        <v>1731000523</v>
      </c>
      <c r="C118" s="50" t="str">
        <f t="shared" si="51"/>
        <v>523</v>
      </c>
      <c r="D118" s="50" t="str">
        <f t="shared" si="52"/>
        <v>731000</v>
      </c>
      <c r="E118" s="50" t="str">
        <f t="shared" si="53"/>
        <v>73</v>
      </c>
      <c r="F118" s="51" t="s">
        <v>28</v>
      </c>
      <c r="G118" s="52">
        <v>0</v>
      </c>
      <c r="H118" s="52">
        <v>0</v>
      </c>
      <c r="I118" s="52">
        <v>0</v>
      </c>
      <c r="J118" s="52">
        <v>1500</v>
      </c>
      <c r="K118" s="52">
        <f t="shared" si="88"/>
        <v>1500</v>
      </c>
      <c r="L118" s="52">
        <f t="shared" si="88"/>
        <v>1500</v>
      </c>
      <c r="M118" s="52"/>
      <c r="N118" s="52">
        <f t="shared" si="38"/>
        <v>1500</v>
      </c>
      <c r="O118" s="52">
        <f>VLOOKUP(B:B,'דוח כספי 1-10.17'!A:D,4,0)</f>
        <v>0</v>
      </c>
      <c r="P118" s="52">
        <f t="shared" si="61"/>
        <v>0</v>
      </c>
      <c r="Q118" s="52">
        <f t="shared" si="89"/>
        <v>0</v>
      </c>
      <c r="R118" s="52">
        <f>VLOOKUP(B118,'2174'!$A$182:$G$567,6,0)</f>
        <v>0</v>
      </c>
      <c r="S118" s="52">
        <f t="shared" si="90"/>
        <v>0</v>
      </c>
      <c r="T118" s="52">
        <v>1500</v>
      </c>
      <c r="U118" s="52">
        <f>VLOOKUP(B118,'ביצוע 2019'!$A$3:$H$1103,7,0)</f>
        <v>0</v>
      </c>
      <c r="V118" s="52">
        <f t="shared" si="87"/>
        <v>0</v>
      </c>
      <c r="W118" s="52"/>
      <c r="X118" s="52"/>
      <c r="Y118" s="52"/>
      <c r="Z118" s="101">
        <f t="shared" si="49"/>
        <v>1</v>
      </c>
    </row>
    <row r="119" spans="1:26" s="101" customFormat="1" ht="15.75">
      <c r="A119" s="21">
        <v>15</v>
      </c>
      <c r="B119" s="51">
        <v>1731000780</v>
      </c>
      <c r="C119" s="50" t="str">
        <f t="shared" si="51"/>
        <v>780</v>
      </c>
      <c r="D119" s="50" t="str">
        <f t="shared" si="52"/>
        <v>731000</v>
      </c>
      <c r="E119" s="50" t="str">
        <f t="shared" si="53"/>
        <v>73</v>
      </c>
      <c r="F119" s="51" t="s">
        <v>18</v>
      </c>
      <c r="G119" s="52">
        <v>1000</v>
      </c>
      <c r="H119" s="52">
        <v>0</v>
      </c>
      <c r="I119" s="52">
        <v>997</v>
      </c>
      <c r="J119" s="52">
        <v>0</v>
      </c>
      <c r="K119" s="52">
        <v>2000</v>
      </c>
      <c r="L119" s="52">
        <v>0</v>
      </c>
      <c r="M119" s="52"/>
      <c r="N119" s="52">
        <f t="shared" ref="N119:N163" si="91">M119+L119</f>
        <v>0</v>
      </c>
      <c r="O119" s="52">
        <f>VLOOKUP(B:B,'דוח כספי 1-10.17'!A:D,4,0)</f>
        <v>0</v>
      </c>
      <c r="P119" s="52">
        <f t="shared" si="61"/>
        <v>0</v>
      </c>
      <c r="Q119" s="52">
        <f t="shared" si="89"/>
        <v>0</v>
      </c>
      <c r="R119" s="52">
        <f>VLOOKUP(B119,'2174'!$A$182:$G$567,6,0)</f>
        <v>6500</v>
      </c>
      <c r="S119" s="52">
        <f t="shared" ref="S119:S121" si="92">R119*12/11</f>
        <v>7090.909090909091</v>
      </c>
      <c r="T119" s="52">
        <v>8000</v>
      </c>
      <c r="U119" s="52">
        <f>VLOOKUP(B119,'ביצוע 2019'!$A$3:$H$1103,7,0)</f>
        <v>0</v>
      </c>
      <c r="V119" s="52">
        <f t="shared" si="87"/>
        <v>0</v>
      </c>
      <c r="W119" s="52"/>
      <c r="X119" s="52"/>
      <c r="Y119" s="52"/>
      <c r="Z119" s="101">
        <f t="shared" si="49"/>
        <v>1</v>
      </c>
    </row>
    <row r="120" spans="1:26" s="101" customFormat="1" ht="15.75">
      <c r="A120" s="21">
        <v>15</v>
      </c>
      <c r="B120" s="51">
        <v>1731000930</v>
      </c>
      <c r="C120" s="50" t="str">
        <f t="shared" si="51"/>
        <v>930</v>
      </c>
      <c r="D120" s="50" t="str">
        <f t="shared" si="52"/>
        <v>731000</v>
      </c>
      <c r="E120" s="50" t="str">
        <f t="shared" si="53"/>
        <v>73</v>
      </c>
      <c r="F120" s="51" t="s">
        <v>19</v>
      </c>
      <c r="G120" s="52">
        <v>0</v>
      </c>
      <c r="H120" s="52">
        <v>0</v>
      </c>
      <c r="I120" s="52">
        <v>0</v>
      </c>
      <c r="J120" s="52">
        <v>2000</v>
      </c>
      <c r="K120" s="52">
        <v>2000</v>
      </c>
      <c r="L120" s="52">
        <v>2000</v>
      </c>
      <c r="M120" s="52"/>
      <c r="N120" s="52">
        <f t="shared" si="91"/>
        <v>2000</v>
      </c>
      <c r="O120" s="52">
        <f>VLOOKUP(B:B,'דוח כספי 1-10.17'!A:D,4,0)</f>
        <v>0</v>
      </c>
      <c r="P120" s="52">
        <f t="shared" si="61"/>
        <v>0</v>
      </c>
      <c r="Q120" s="52">
        <f t="shared" si="89"/>
        <v>0</v>
      </c>
      <c r="R120" s="52">
        <f>VLOOKUP(B120,'2174'!$A$182:$G$567,6,0)</f>
        <v>1324</v>
      </c>
      <c r="S120" s="52">
        <f t="shared" si="92"/>
        <v>1444.3636363636363</v>
      </c>
      <c r="T120" s="52">
        <v>2000</v>
      </c>
      <c r="U120" s="52">
        <f>VLOOKUP(B120,'ביצוע 2019'!$A$3:$H$1103,7,0)</f>
        <v>0</v>
      </c>
      <c r="V120" s="52">
        <f t="shared" si="87"/>
        <v>0</v>
      </c>
      <c r="W120" s="52"/>
      <c r="X120" s="52"/>
      <c r="Y120" s="52"/>
      <c r="Z120" s="101">
        <f t="shared" si="49"/>
        <v>1</v>
      </c>
    </row>
    <row r="121" spans="1:26" s="101" customFormat="1" ht="15.75">
      <c r="A121" s="21">
        <v>15</v>
      </c>
      <c r="B121" s="51">
        <v>1732100750</v>
      </c>
      <c r="C121" s="50" t="str">
        <f t="shared" si="51"/>
        <v>750</v>
      </c>
      <c r="D121" s="50" t="str">
        <f t="shared" si="52"/>
        <v>732100</v>
      </c>
      <c r="E121" s="50" t="str">
        <f t="shared" si="53"/>
        <v>73</v>
      </c>
      <c r="F121" s="51" t="s">
        <v>100</v>
      </c>
      <c r="G121" s="52">
        <v>0</v>
      </c>
      <c r="H121" s="52">
        <v>8850</v>
      </c>
      <c r="I121" s="52">
        <v>-8850</v>
      </c>
      <c r="J121" s="52">
        <v>10000</v>
      </c>
      <c r="K121" s="52">
        <v>10000</v>
      </c>
      <c r="L121" s="52">
        <v>10000</v>
      </c>
      <c r="M121" s="52"/>
      <c r="N121" s="52">
        <f t="shared" si="91"/>
        <v>10000</v>
      </c>
      <c r="O121" s="52">
        <f>VLOOKUP(B:B,'דוח כספי 1-10.17'!A:D,4,0)</f>
        <v>21435</v>
      </c>
      <c r="P121" s="52">
        <f t="shared" si="61"/>
        <v>25722</v>
      </c>
      <c r="Q121" s="52">
        <v>25000</v>
      </c>
      <c r="R121" s="52">
        <f>VLOOKUP(B121,'2174'!$A$182:$G$567,6,0)</f>
        <v>158990.93</v>
      </c>
      <c r="S121" s="52">
        <f t="shared" si="92"/>
        <v>173444.65090909091</v>
      </c>
      <c r="T121" s="52">
        <v>70000</v>
      </c>
      <c r="U121" s="52">
        <f>VLOOKUP(B121,'ביצוע 2019'!$A$3:$H$1103,7,0)</f>
        <v>109928</v>
      </c>
      <c r="V121" s="52">
        <v>50000</v>
      </c>
      <c r="W121" s="52"/>
      <c r="X121" s="52"/>
      <c r="Y121" s="52"/>
      <c r="Z121" s="101">
        <f t="shared" si="49"/>
        <v>1</v>
      </c>
    </row>
    <row r="122" spans="1:26" s="101" customFormat="1" ht="15.75">
      <c r="A122" s="21">
        <v>15</v>
      </c>
      <c r="B122" s="51">
        <v>1733400750</v>
      </c>
      <c r="C122" s="50" t="str">
        <f t="shared" ref="C122:C157" si="93">RIGHT(B122,3)</f>
        <v>750</v>
      </c>
      <c r="D122" s="50" t="str">
        <f t="shared" ref="D122:D157" si="94">MID(B122,2,6)</f>
        <v>733400</v>
      </c>
      <c r="E122" s="50" t="str">
        <f t="shared" ref="E122:E157" si="95">LEFT(D122,2)</f>
        <v>73</v>
      </c>
      <c r="F122" s="51" t="s">
        <v>102</v>
      </c>
      <c r="G122" s="52">
        <v>537000</v>
      </c>
      <c r="H122" s="52">
        <v>279000</v>
      </c>
      <c r="I122" s="52">
        <v>257999</v>
      </c>
      <c r="J122" s="52">
        <v>1000000</v>
      </c>
      <c r="K122" s="52">
        <v>1000000</v>
      </c>
      <c r="L122" s="52">
        <v>750000</v>
      </c>
      <c r="M122" s="52"/>
      <c r="N122" s="52">
        <f t="shared" si="91"/>
        <v>750000</v>
      </c>
      <c r="O122" s="52">
        <f>VLOOKUP(B:B,'דוח כספי 1-10.17'!A:D,4,0)</f>
        <v>0</v>
      </c>
      <c r="P122" s="52">
        <v>750000</v>
      </c>
      <c r="Q122" s="52">
        <f>P122</f>
        <v>750000</v>
      </c>
      <c r="R122" s="52">
        <f>VLOOKUP(B122,'2174'!$A$182:$G$567,6,0)</f>
        <v>672322.4</v>
      </c>
      <c r="S122" s="52">
        <v>1100000</v>
      </c>
      <c r="T122" s="52">
        <v>1100000</v>
      </c>
      <c r="U122" s="52">
        <v>1100000</v>
      </c>
      <c r="V122" s="52">
        <v>1100000</v>
      </c>
      <c r="W122" s="52"/>
      <c r="X122" s="52"/>
      <c r="Y122" s="52"/>
      <c r="Z122" s="101">
        <f t="shared" si="49"/>
        <v>1</v>
      </c>
    </row>
    <row r="123" spans="1:26" s="101" customFormat="1" ht="15.75">
      <c r="A123" s="21"/>
      <c r="B123" s="234"/>
      <c r="C123" s="235"/>
      <c r="D123" s="235"/>
      <c r="E123" s="235"/>
      <c r="F123" s="234" t="s">
        <v>1964</v>
      </c>
      <c r="G123" s="236"/>
      <c r="H123" s="236"/>
      <c r="I123" s="236"/>
      <c r="J123" s="236"/>
      <c r="K123" s="236"/>
      <c r="L123" s="236">
        <f>SUM(L115:L122)</f>
        <v>1407500</v>
      </c>
      <c r="M123" s="236"/>
      <c r="N123" s="236">
        <f t="shared" ref="N123:W123" si="96">SUM(N115:N122)</f>
        <v>1407500</v>
      </c>
      <c r="O123" s="236">
        <f t="shared" si="96"/>
        <v>637652.5</v>
      </c>
      <c r="P123" s="236">
        <f t="shared" si="96"/>
        <v>1515183</v>
      </c>
      <c r="Q123" s="236">
        <f t="shared" si="96"/>
        <v>1533000</v>
      </c>
      <c r="R123" s="236">
        <f t="shared" si="96"/>
        <v>1377681.06</v>
      </c>
      <c r="S123" s="236">
        <f t="shared" si="96"/>
        <v>2014696.1036363635</v>
      </c>
      <c r="T123" s="236">
        <f t="shared" si="96"/>
        <v>2181500</v>
      </c>
      <c r="U123" s="236">
        <f t="shared" si="96"/>
        <v>1820136.9</v>
      </c>
      <c r="V123" s="236">
        <f t="shared" si="96"/>
        <v>1680000</v>
      </c>
      <c r="W123" s="236">
        <f t="shared" si="96"/>
        <v>2</v>
      </c>
      <c r="X123" s="52"/>
      <c r="Y123" s="52"/>
      <c r="Z123" s="101">
        <f t="shared" si="49"/>
        <v>1</v>
      </c>
    </row>
    <row r="124" spans="1:26" s="101" customFormat="1" ht="15.75">
      <c r="A124" s="21">
        <v>16</v>
      </c>
      <c r="B124" s="51">
        <v>1741000110</v>
      </c>
      <c r="C124" s="50" t="str">
        <f t="shared" si="93"/>
        <v>110</v>
      </c>
      <c r="D124" s="50" t="str">
        <f t="shared" si="94"/>
        <v>741000</v>
      </c>
      <c r="E124" s="50" t="str">
        <f t="shared" si="95"/>
        <v>74</v>
      </c>
      <c r="F124" s="51" t="s">
        <v>103</v>
      </c>
      <c r="G124" s="52">
        <v>122000</v>
      </c>
      <c r="H124" s="52">
        <v>86766.14</v>
      </c>
      <c r="I124" s="52">
        <v>35237.86</v>
      </c>
      <c r="J124" s="52">
        <v>100000</v>
      </c>
      <c r="K124" s="52">
        <v>109800</v>
      </c>
      <c r="L124" s="52">
        <v>112000</v>
      </c>
      <c r="M124" s="52"/>
      <c r="N124" s="52">
        <f t="shared" si="91"/>
        <v>112000</v>
      </c>
      <c r="O124" s="52">
        <f>VLOOKUP(B:B,'דוח כספי 1-10.17'!A:D,4,0)</f>
        <v>86028.18</v>
      </c>
      <c r="P124" s="52">
        <f t="shared" si="61"/>
        <v>103233.81599999999</v>
      </c>
      <c r="Q124" s="52">
        <v>128000</v>
      </c>
      <c r="R124" s="52">
        <f>VLOOKUP(B124,'2174'!$A$182:$G$567,6,0)</f>
        <v>94933.62</v>
      </c>
      <c r="S124" s="63">
        <f>VLOOKUP(B124,'2174'!$A$575:$D$697,4,0)</f>
        <v>123791.87</v>
      </c>
      <c r="T124" s="52">
        <v>206000</v>
      </c>
      <c r="U124" s="56">
        <f>VLOOKUP(B124,'ביצוע 2019'!$A$3:$H$1103,7,0)</f>
        <v>215993.22</v>
      </c>
      <c r="V124" s="52">
        <v>200000</v>
      </c>
      <c r="W124" s="257">
        <v>2</v>
      </c>
      <c r="X124" s="52"/>
      <c r="Y124" s="52" t="s">
        <v>2083</v>
      </c>
      <c r="Z124" s="101">
        <f t="shared" si="49"/>
        <v>1</v>
      </c>
    </row>
    <row r="125" spans="1:26" s="101" customFormat="1" ht="15.75">
      <c r="A125" s="21">
        <v>15</v>
      </c>
      <c r="B125" s="51">
        <v>1741000540</v>
      </c>
      <c r="C125" s="50" t="str">
        <f t="shared" si="93"/>
        <v>540</v>
      </c>
      <c r="D125" s="50" t="str">
        <f t="shared" si="94"/>
        <v>741000</v>
      </c>
      <c r="E125" s="50" t="str">
        <f t="shared" si="95"/>
        <v>74</v>
      </c>
      <c r="F125" s="51" t="s">
        <v>104</v>
      </c>
      <c r="G125" s="52">
        <v>1000</v>
      </c>
      <c r="H125" s="52">
        <v>634.16999999999996</v>
      </c>
      <c r="I125" s="52">
        <v>362.83</v>
      </c>
      <c r="J125" s="52">
        <v>0</v>
      </c>
      <c r="K125" s="52">
        <v>1000</v>
      </c>
      <c r="L125" s="52">
        <v>1000</v>
      </c>
      <c r="M125" s="52"/>
      <c r="N125" s="52">
        <f t="shared" si="91"/>
        <v>1000</v>
      </c>
      <c r="O125" s="52">
        <f>VLOOKUP(B:B,'דוח כספי 1-10.17'!A:D,4,0)</f>
        <v>0</v>
      </c>
      <c r="P125" s="52">
        <f t="shared" si="61"/>
        <v>0</v>
      </c>
      <c r="Q125" s="52">
        <f>P125</f>
        <v>0</v>
      </c>
      <c r="R125" s="52">
        <f>VLOOKUP(B125,'2174'!$A$182:$G$567,6,0)</f>
        <v>0</v>
      </c>
      <c r="S125" s="52">
        <f t="shared" ref="S125:S129" si="97">R125*12/11</f>
        <v>0</v>
      </c>
      <c r="T125" s="52">
        <v>1000</v>
      </c>
      <c r="U125" s="52">
        <f>VLOOKUP(B125,'ביצוע 2019'!$A$3:$H$1103,7,0)</f>
        <v>0</v>
      </c>
      <c r="V125" s="52">
        <f t="shared" ref="V125:V137" si="98">U125</f>
        <v>0</v>
      </c>
      <c r="W125" s="52"/>
      <c r="X125" s="52"/>
      <c r="Y125" s="52"/>
      <c r="Z125" s="101">
        <f t="shared" si="49"/>
        <v>1</v>
      </c>
    </row>
    <row r="126" spans="1:26" s="101" customFormat="1" ht="15.75">
      <c r="A126" s="21">
        <v>15</v>
      </c>
      <c r="B126" s="51">
        <v>1741000720</v>
      </c>
      <c r="C126" s="50" t="str">
        <f t="shared" si="93"/>
        <v>720</v>
      </c>
      <c r="D126" s="50" t="str">
        <f t="shared" si="94"/>
        <v>741000</v>
      </c>
      <c r="E126" s="50" t="str">
        <f t="shared" si="95"/>
        <v>74</v>
      </c>
      <c r="F126" s="51" t="s">
        <v>105</v>
      </c>
      <c r="G126" s="52">
        <v>0</v>
      </c>
      <c r="H126" s="52">
        <v>0</v>
      </c>
      <c r="I126" s="52">
        <v>0</v>
      </c>
      <c r="J126" s="52">
        <v>0</v>
      </c>
      <c r="K126" s="52">
        <v>1000</v>
      </c>
      <c r="L126" s="52">
        <v>1000</v>
      </c>
      <c r="M126" s="52"/>
      <c r="N126" s="52">
        <f t="shared" si="91"/>
        <v>1000</v>
      </c>
      <c r="O126" s="52">
        <f>VLOOKUP(B:B,'דוח כספי 1-10.17'!A:D,4,0)</f>
        <v>0</v>
      </c>
      <c r="P126" s="52">
        <f t="shared" si="61"/>
        <v>0</v>
      </c>
      <c r="Q126" s="52">
        <v>15000</v>
      </c>
      <c r="R126" s="52">
        <f>VLOOKUP(B126,'2174'!$A$182:$G$567,6,0)</f>
        <v>1322.05</v>
      </c>
      <c r="S126" s="52">
        <f t="shared" si="97"/>
        <v>1442.2363636363634</v>
      </c>
      <c r="T126" s="52">
        <v>1500</v>
      </c>
      <c r="U126" s="52">
        <f>VLOOKUP(B126,'ביצוע 2019'!$A$3:$H$1103,7,0)</f>
        <v>0</v>
      </c>
      <c r="V126" s="52">
        <f t="shared" si="98"/>
        <v>0</v>
      </c>
      <c r="W126" s="52"/>
      <c r="X126" s="52"/>
      <c r="Y126" s="52"/>
      <c r="Z126" s="101">
        <f t="shared" si="49"/>
        <v>1</v>
      </c>
    </row>
    <row r="127" spans="1:26" s="101" customFormat="1" ht="15.75" hidden="1">
      <c r="A127" s="21">
        <v>15</v>
      </c>
      <c r="B127" s="51">
        <v>1741000731</v>
      </c>
      <c r="C127" s="50" t="str">
        <f t="shared" si="93"/>
        <v>731</v>
      </c>
      <c r="D127" s="50" t="str">
        <f t="shared" si="94"/>
        <v>741000</v>
      </c>
      <c r="E127" s="50" t="str">
        <f t="shared" si="95"/>
        <v>74</v>
      </c>
      <c r="F127" s="51" t="s">
        <v>106</v>
      </c>
      <c r="G127" s="52">
        <v>0</v>
      </c>
      <c r="H127" s="52">
        <v>0</v>
      </c>
      <c r="I127" s="52">
        <v>0</v>
      </c>
      <c r="J127" s="52">
        <v>20000</v>
      </c>
      <c r="K127" s="52">
        <v>20000</v>
      </c>
      <c r="L127" s="52">
        <v>20000</v>
      </c>
      <c r="M127" s="52"/>
      <c r="N127" s="52">
        <f t="shared" si="91"/>
        <v>20000</v>
      </c>
      <c r="O127" s="52">
        <f>VLOOKUP(B:B,'דוח כספי 1-10.17'!A:D,4,0)</f>
        <v>0</v>
      </c>
      <c r="P127" s="52">
        <f t="shared" si="61"/>
        <v>0</v>
      </c>
      <c r="Q127" s="52">
        <f>P127</f>
        <v>0</v>
      </c>
      <c r="R127" s="52">
        <f>VLOOKUP(B127,'2174'!$A$182:$G$567,6,0)</f>
        <v>0</v>
      </c>
      <c r="S127" s="52">
        <f t="shared" si="97"/>
        <v>0</v>
      </c>
      <c r="T127" s="52">
        <v>0</v>
      </c>
      <c r="U127" s="52">
        <f>VLOOKUP(B127,'ביצוע 2019'!$A$3:$H$1103,7,0)</f>
        <v>0</v>
      </c>
      <c r="V127" s="52">
        <f t="shared" si="98"/>
        <v>0</v>
      </c>
      <c r="W127" s="52"/>
      <c r="X127" s="52"/>
      <c r="Y127" s="52"/>
      <c r="Z127" s="101">
        <f t="shared" si="49"/>
        <v>0</v>
      </c>
    </row>
    <row r="128" spans="1:26" s="101" customFormat="1" ht="15.75">
      <c r="A128" s="21">
        <v>15</v>
      </c>
      <c r="B128" s="51">
        <v>1741000732</v>
      </c>
      <c r="C128" s="50" t="str">
        <f t="shared" si="93"/>
        <v>732</v>
      </c>
      <c r="D128" s="50" t="str">
        <f t="shared" si="94"/>
        <v>741000</v>
      </c>
      <c r="E128" s="50" t="str">
        <f t="shared" si="95"/>
        <v>74</v>
      </c>
      <c r="F128" s="51" t="s">
        <v>107</v>
      </c>
      <c r="G128" s="52">
        <v>0</v>
      </c>
      <c r="H128" s="52">
        <v>0</v>
      </c>
      <c r="I128" s="52">
        <v>0</v>
      </c>
      <c r="J128" s="52">
        <v>10000</v>
      </c>
      <c r="K128" s="52">
        <v>10000</v>
      </c>
      <c r="L128" s="52">
        <v>10000</v>
      </c>
      <c r="M128" s="52"/>
      <c r="N128" s="52">
        <f t="shared" si="91"/>
        <v>10000</v>
      </c>
      <c r="O128" s="52">
        <f>VLOOKUP(B:B,'דוח כספי 1-10.17'!A:D,4,0)</f>
        <v>6305</v>
      </c>
      <c r="P128" s="52">
        <f t="shared" si="61"/>
        <v>7566</v>
      </c>
      <c r="Q128" s="52">
        <v>7500</v>
      </c>
      <c r="R128" s="52">
        <f>VLOOKUP(B128,'2174'!$A$182:$G$567,6,0)</f>
        <v>5000</v>
      </c>
      <c r="S128" s="52">
        <f t="shared" si="97"/>
        <v>5454.545454545455</v>
      </c>
      <c r="T128" s="52">
        <v>6000</v>
      </c>
      <c r="U128" s="52">
        <f>VLOOKUP(B128,'ביצוע 2019'!$A$3:$H$1103,7,0)</f>
        <v>0</v>
      </c>
      <c r="V128" s="52">
        <f t="shared" si="98"/>
        <v>0</v>
      </c>
      <c r="W128" s="52"/>
      <c r="X128" s="52"/>
      <c r="Y128" s="52"/>
      <c r="Z128" s="101">
        <f t="shared" si="49"/>
        <v>1</v>
      </c>
    </row>
    <row r="129" spans="1:26" s="101" customFormat="1" ht="15.75">
      <c r="A129" s="21">
        <v>15</v>
      </c>
      <c r="B129" s="51">
        <v>1741000733</v>
      </c>
      <c r="C129" s="50" t="str">
        <f t="shared" si="93"/>
        <v>733</v>
      </c>
      <c r="D129" s="50" t="str">
        <f t="shared" si="94"/>
        <v>741000</v>
      </c>
      <c r="E129" s="50" t="str">
        <f t="shared" si="95"/>
        <v>74</v>
      </c>
      <c r="F129" s="51" t="s">
        <v>108</v>
      </c>
      <c r="G129" s="52">
        <v>0</v>
      </c>
      <c r="H129" s="52">
        <v>0</v>
      </c>
      <c r="I129" s="52">
        <v>0</v>
      </c>
      <c r="J129" s="52">
        <v>5000</v>
      </c>
      <c r="K129" s="52">
        <f>+J129</f>
        <v>5000</v>
      </c>
      <c r="L129" s="52">
        <v>5000</v>
      </c>
      <c r="M129" s="52"/>
      <c r="N129" s="52">
        <f t="shared" si="91"/>
        <v>5000</v>
      </c>
      <c r="O129" s="52">
        <f>VLOOKUP(B:B,'דוח כספי 1-10.17'!A:D,4,0)</f>
        <v>0</v>
      </c>
      <c r="P129" s="52">
        <f t="shared" si="61"/>
        <v>0</v>
      </c>
      <c r="Q129" s="52">
        <v>5000</v>
      </c>
      <c r="R129" s="52">
        <f>VLOOKUP(B129,'2174'!$A$182:$G$567,6,0)</f>
        <v>0</v>
      </c>
      <c r="S129" s="52">
        <f t="shared" si="97"/>
        <v>0</v>
      </c>
      <c r="T129" s="52">
        <v>5000</v>
      </c>
      <c r="U129" s="52">
        <f>VLOOKUP(B129,'ביצוע 2019'!$A$3:$H$1103,7,0)</f>
        <v>0</v>
      </c>
      <c r="V129" s="52">
        <f t="shared" si="98"/>
        <v>0</v>
      </c>
      <c r="W129" s="52"/>
      <c r="X129" s="52"/>
      <c r="Y129" s="52"/>
      <c r="Z129" s="101">
        <f t="shared" si="49"/>
        <v>1</v>
      </c>
    </row>
    <row r="130" spans="1:26" s="101" customFormat="1" ht="15.75">
      <c r="A130" s="21">
        <v>15</v>
      </c>
      <c r="B130" s="51">
        <v>1741000750</v>
      </c>
      <c r="C130" s="50" t="str">
        <f t="shared" si="93"/>
        <v>750</v>
      </c>
      <c r="D130" s="50" t="str">
        <f t="shared" si="94"/>
        <v>741000</v>
      </c>
      <c r="E130" s="50" t="str">
        <f t="shared" si="95"/>
        <v>74</v>
      </c>
      <c r="F130" s="51" t="s">
        <v>62</v>
      </c>
      <c r="G130" s="52">
        <v>3000</v>
      </c>
      <c r="H130" s="52">
        <v>1500</v>
      </c>
      <c r="I130" s="52">
        <v>1501</v>
      </c>
      <c r="J130" s="52">
        <v>359000</v>
      </c>
      <c r="K130" s="52">
        <v>100000</v>
      </c>
      <c r="L130" s="52">
        <v>100000</v>
      </c>
      <c r="M130" s="52"/>
      <c r="N130" s="52">
        <f t="shared" si="91"/>
        <v>100000</v>
      </c>
      <c r="O130" s="52">
        <f>VLOOKUP(B:B,'דוח כספי 1-10.17'!A:D,4,0)</f>
        <v>60936</v>
      </c>
      <c r="P130" s="52">
        <f t="shared" ref="P130:P178" si="99">O130*12/10</f>
        <v>73123.199999999997</v>
      </c>
      <c r="Q130" s="52">
        <v>150000</v>
      </c>
      <c r="R130" s="52">
        <f>VLOOKUP(B130,'2174'!$A$182:$G$567,6,0)</f>
        <v>127103.93</v>
      </c>
      <c r="S130" s="52">
        <f t="shared" ref="S130:S135" si="100">R130*12/11</f>
        <v>138658.83272727273</v>
      </c>
      <c r="T130" s="52">
        <v>80000</v>
      </c>
      <c r="U130" s="52">
        <f>VLOOKUP(B130,'ביצוע 2019'!$A$3:$H$1103,7,0)</f>
        <v>117530.81999999999</v>
      </c>
      <c r="V130" s="52">
        <v>40000</v>
      </c>
      <c r="W130" s="52"/>
      <c r="X130" s="52"/>
      <c r="Y130" s="52"/>
      <c r="Z130" s="101">
        <f t="shared" si="49"/>
        <v>1</v>
      </c>
    </row>
    <row r="131" spans="1:26" s="101" customFormat="1" ht="15.75">
      <c r="A131" s="21">
        <v>15</v>
      </c>
      <c r="B131" s="51">
        <v>1741000751</v>
      </c>
      <c r="C131" s="50" t="str">
        <f t="shared" si="93"/>
        <v>751</v>
      </c>
      <c r="D131" s="50" t="str">
        <f t="shared" si="94"/>
        <v>741000</v>
      </c>
      <c r="E131" s="50" t="str">
        <f t="shared" si="95"/>
        <v>74</v>
      </c>
      <c r="F131" s="51" t="s">
        <v>2033</v>
      </c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>
        <f>VLOOKUP(B131,'2174'!$A$182:$G$567,6,0)</f>
        <v>403695</v>
      </c>
      <c r="S131" s="52">
        <f>232000+171000</f>
        <v>403000</v>
      </c>
      <c r="T131" s="52">
        <v>0</v>
      </c>
      <c r="U131" s="52">
        <f>VLOOKUP(B131,'ביצוע 2019'!$A$3:$H$1103,7,0)</f>
        <v>55665</v>
      </c>
      <c r="V131" s="52"/>
      <c r="W131" s="52"/>
      <c r="X131" s="52"/>
      <c r="Y131" s="52"/>
      <c r="Z131" s="101">
        <f t="shared" si="49"/>
        <v>1</v>
      </c>
    </row>
    <row r="132" spans="1:26" s="101" customFormat="1" ht="15.75" hidden="1">
      <c r="A132" s="21">
        <v>16</v>
      </c>
      <c r="B132" s="51">
        <v>1741100110</v>
      </c>
      <c r="C132" s="50" t="str">
        <f t="shared" si="93"/>
        <v>110</v>
      </c>
      <c r="D132" s="50" t="str">
        <f t="shared" si="94"/>
        <v>741100</v>
      </c>
      <c r="E132" s="50" t="str">
        <f t="shared" si="95"/>
        <v>74</v>
      </c>
      <c r="F132" s="51" t="s">
        <v>2058</v>
      </c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6">
        <v>0</v>
      </c>
      <c r="V132" s="52">
        <f t="shared" si="98"/>
        <v>0</v>
      </c>
      <c r="W132" s="257">
        <v>0</v>
      </c>
      <c r="X132" s="52"/>
      <c r="Y132" s="52"/>
      <c r="Z132" s="101">
        <f t="shared" si="49"/>
        <v>0</v>
      </c>
    </row>
    <row r="133" spans="1:26" s="101" customFormat="1" ht="15.75">
      <c r="A133" s="21">
        <v>15</v>
      </c>
      <c r="B133" s="51">
        <v>1743000720</v>
      </c>
      <c r="C133" s="50" t="str">
        <f t="shared" si="93"/>
        <v>720</v>
      </c>
      <c r="D133" s="50" t="str">
        <f t="shared" si="94"/>
        <v>743000</v>
      </c>
      <c r="E133" s="50" t="str">
        <f t="shared" si="95"/>
        <v>74</v>
      </c>
      <c r="F133" s="51" t="s">
        <v>1743</v>
      </c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>
        <f>VLOOKUP(B133,'ביצוע 2019'!$A$3:$H$1103,7,0)</f>
        <v>17665.89</v>
      </c>
      <c r="V133" s="52"/>
      <c r="W133" s="257"/>
      <c r="X133" s="52"/>
      <c r="Y133" s="52"/>
      <c r="Z133" s="101">
        <f t="shared" ref="Z133:Z196" si="101">IF((V133+U133+T133)&lt;&gt;0,1,0)</f>
        <v>1</v>
      </c>
    </row>
    <row r="134" spans="1:26" s="101" customFormat="1" ht="15.75" hidden="1">
      <c r="A134" s="21">
        <v>15</v>
      </c>
      <c r="B134" s="51">
        <v>1743000750</v>
      </c>
      <c r="C134" s="50" t="str">
        <f t="shared" si="93"/>
        <v>750</v>
      </c>
      <c r="D134" s="50" t="str">
        <f t="shared" si="94"/>
        <v>743000</v>
      </c>
      <c r="E134" s="50" t="str">
        <f t="shared" si="95"/>
        <v>74</v>
      </c>
      <c r="F134" s="51" t="s">
        <v>109</v>
      </c>
      <c r="G134" s="52">
        <v>30000</v>
      </c>
      <c r="H134" s="52">
        <v>7906</v>
      </c>
      <c r="I134" s="52">
        <v>22094</v>
      </c>
      <c r="J134" s="52">
        <v>10000</v>
      </c>
      <c r="K134" s="52">
        <v>10000</v>
      </c>
      <c r="L134" s="52">
        <v>10000</v>
      </c>
      <c r="M134" s="52"/>
      <c r="N134" s="52">
        <f t="shared" si="91"/>
        <v>10000</v>
      </c>
      <c r="O134" s="52">
        <f>VLOOKUP(B:B,'דוח כספי 1-10.17'!A:D,4,0)</f>
        <v>0</v>
      </c>
      <c r="P134" s="52">
        <f t="shared" si="99"/>
        <v>0</v>
      </c>
      <c r="Q134" s="52">
        <v>0</v>
      </c>
      <c r="R134" s="52">
        <f>VLOOKUP(B134,'2174'!$A$182:$G$567,6,0)</f>
        <v>0</v>
      </c>
      <c r="S134" s="52">
        <f t="shared" si="100"/>
        <v>0</v>
      </c>
      <c r="T134" s="52">
        <v>0</v>
      </c>
      <c r="U134" s="52"/>
      <c r="V134" s="52"/>
      <c r="W134" s="52"/>
      <c r="X134" s="52"/>
      <c r="Y134" s="52"/>
      <c r="Z134" s="101">
        <f t="shared" si="101"/>
        <v>0</v>
      </c>
    </row>
    <row r="135" spans="1:26" s="101" customFormat="1" ht="15.75">
      <c r="A135" s="21">
        <v>15</v>
      </c>
      <c r="B135" s="51">
        <v>1743000771</v>
      </c>
      <c r="C135" s="50" t="str">
        <f t="shared" si="93"/>
        <v>771</v>
      </c>
      <c r="D135" s="50" t="str">
        <f t="shared" si="94"/>
        <v>743000</v>
      </c>
      <c r="E135" s="50" t="str">
        <f t="shared" si="95"/>
        <v>74</v>
      </c>
      <c r="F135" s="51" t="s">
        <v>110</v>
      </c>
      <c r="G135" s="52">
        <v>220000</v>
      </c>
      <c r="H135" s="52">
        <v>143979.29</v>
      </c>
      <c r="I135" s="52">
        <v>76020.710000000006</v>
      </c>
      <c r="J135" s="52">
        <v>150000</v>
      </c>
      <c r="K135" s="52">
        <v>300000</v>
      </c>
      <c r="L135" s="52">
        <v>300000</v>
      </c>
      <c r="M135" s="52"/>
      <c r="N135" s="52">
        <f t="shared" si="91"/>
        <v>300000</v>
      </c>
      <c r="O135" s="52">
        <f>VLOOKUP(B:B,'דוח כספי 1-10.17'!A:D,4,0)</f>
        <v>157531.46</v>
      </c>
      <c r="P135" s="52">
        <f t="shared" si="99"/>
        <v>189037.75200000001</v>
      </c>
      <c r="Q135" s="52">
        <v>230000</v>
      </c>
      <c r="R135" s="52">
        <f>VLOOKUP(B135,'2174'!$A$182:$G$567,6,0)</f>
        <v>118637.87</v>
      </c>
      <c r="S135" s="52">
        <f t="shared" si="100"/>
        <v>129423.13090909091</v>
      </c>
      <c r="T135" s="52">
        <v>200000</v>
      </c>
      <c r="U135" s="52">
        <f>VLOOKUP(B135,'ביצוע 2019'!$A$3:$H$1103,7,0)</f>
        <v>141616.54</v>
      </c>
      <c r="V135" s="52">
        <f>U135-334</f>
        <v>141282.54</v>
      </c>
      <c r="W135" s="52"/>
      <c r="X135" s="52"/>
      <c r="Y135" s="52"/>
      <c r="Z135" s="101">
        <f t="shared" si="101"/>
        <v>1</v>
      </c>
    </row>
    <row r="136" spans="1:26" s="101" customFormat="1" ht="15.75" hidden="1">
      <c r="A136" s="21">
        <v>15</v>
      </c>
      <c r="B136" s="51">
        <v>1744000780</v>
      </c>
      <c r="C136" s="50" t="str">
        <f t="shared" si="93"/>
        <v>780</v>
      </c>
      <c r="D136" s="50" t="str">
        <f t="shared" si="94"/>
        <v>744000</v>
      </c>
      <c r="E136" s="50" t="str">
        <f t="shared" si="95"/>
        <v>74</v>
      </c>
      <c r="F136" s="51" t="s">
        <v>112</v>
      </c>
      <c r="G136" s="52">
        <v>0</v>
      </c>
      <c r="H136" s="52">
        <v>0</v>
      </c>
      <c r="I136" s="52">
        <v>0</v>
      </c>
      <c r="J136" s="52">
        <v>0</v>
      </c>
      <c r="K136" s="52">
        <v>4000</v>
      </c>
      <c r="L136" s="52">
        <v>4000</v>
      </c>
      <c r="M136" s="52"/>
      <c r="N136" s="52">
        <f t="shared" si="91"/>
        <v>4000</v>
      </c>
      <c r="O136" s="52">
        <f>VLOOKUP(B:B,'דוח כספי 1-10.17'!A:D,4,0)</f>
        <v>0</v>
      </c>
      <c r="P136" s="52">
        <f t="shared" si="99"/>
        <v>0</v>
      </c>
      <c r="Q136" s="52">
        <f>P136</f>
        <v>0</v>
      </c>
      <c r="R136" s="52">
        <f>VLOOKUP(B136,'2174'!$A$182:$G$567,6,0)</f>
        <v>1521</v>
      </c>
      <c r="S136" s="52">
        <f>R136*12/11</f>
        <v>1659.2727272727273</v>
      </c>
      <c r="T136" s="52">
        <v>0</v>
      </c>
      <c r="U136" s="52">
        <f>VLOOKUP(B136,'ביצוע 2019'!$A$3:$H$1103,7,0)</f>
        <v>0</v>
      </c>
      <c r="V136" s="52">
        <f t="shared" si="98"/>
        <v>0</v>
      </c>
      <c r="W136" s="52"/>
      <c r="X136" s="52"/>
      <c r="Y136" s="52"/>
      <c r="Z136" s="101">
        <f t="shared" si="101"/>
        <v>0</v>
      </c>
    </row>
    <row r="137" spans="1:26" s="101" customFormat="1" ht="15.75">
      <c r="A137" s="21">
        <v>15</v>
      </c>
      <c r="B137" s="51">
        <v>1745000830</v>
      </c>
      <c r="C137" s="50" t="str">
        <f t="shared" si="93"/>
        <v>830</v>
      </c>
      <c r="D137" s="50" t="str">
        <f t="shared" si="94"/>
        <v>745000</v>
      </c>
      <c r="E137" s="50" t="str">
        <f t="shared" si="95"/>
        <v>74</v>
      </c>
      <c r="F137" s="51" t="s">
        <v>114</v>
      </c>
      <c r="G137" s="52">
        <v>82000</v>
      </c>
      <c r="H137" s="52">
        <v>84744</v>
      </c>
      <c r="I137" s="52">
        <v>-2740</v>
      </c>
      <c r="J137" s="52">
        <v>85000</v>
      </c>
      <c r="K137" s="52">
        <v>100000</v>
      </c>
      <c r="L137" s="52">
        <v>180000</v>
      </c>
      <c r="M137" s="52"/>
      <c r="N137" s="52">
        <f t="shared" si="91"/>
        <v>180000</v>
      </c>
      <c r="O137" s="52">
        <f>VLOOKUP(B:B,'דוח כספי 1-10.17'!A:D,4,0)</f>
        <v>179333</v>
      </c>
      <c r="P137" s="52">
        <v>100000</v>
      </c>
      <c r="Q137" s="52">
        <f>P137</f>
        <v>100000</v>
      </c>
      <c r="R137" s="52">
        <f>VLOOKUP(B137,'2174'!$A$182:$G$567,6,0)</f>
        <v>108045</v>
      </c>
      <c r="S137" s="52">
        <v>108045</v>
      </c>
      <c r="T137" s="52">
        <v>110000</v>
      </c>
      <c r="U137" s="52">
        <f>VLOOKUP(B137,'ביצוע 2019'!$A$3:$H$1103,7,0)</f>
        <v>110784</v>
      </c>
      <c r="V137" s="52">
        <f t="shared" si="98"/>
        <v>110784</v>
      </c>
      <c r="W137" s="52"/>
      <c r="X137" s="52"/>
      <c r="Y137" s="52"/>
      <c r="Z137" s="101">
        <f t="shared" si="101"/>
        <v>1</v>
      </c>
    </row>
    <row r="138" spans="1:26" s="101" customFormat="1" ht="15.75">
      <c r="A138" s="21"/>
      <c r="B138" s="234"/>
      <c r="C138" s="235"/>
      <c r="D138" s="235"/>
      <c r="E138" s="235"/>
      <c r="F138" s="234" t="s">
        <v>1965</v>
      </c>
      <c r="G138" s="236"/>
      <c r="H138" s="236"/>
      <c r="I138" s="236"/>
      <c r="J138" s="236"/>
      <c r="K138" s="236"/>
      <c r="L138" s="236">
        <f>SUM(L124:L137)</f>
        <v>743000</v>
      </c>
      <c r="M138" s="236"/>
      <c r="N138" s="236">
        <f t="shared" ref="N138:W138" si="102">SUM(N124:N137)</f>
        <v>743000</v>
      </c>
      <c r="O138" s="236">
        <f t="shared" si="102"/>
        <v>490133.64</v>
      </c>
      <c r="P138" s="236">
        <f t="shared" si="102"/>
        <v>472960.76800000004</v>
      </c>
      <c r="Q138" s="236">
        <f t="shared" si="102"/>
        <v>635500</v>
      </c>
      <c r="R138" s="236">
        <f t="shared" si="102"/>
        <v>860258.47</v>
      </c>
      <c r="S138" s="236">
        <f t="shared" si="102"/>
        <v>911474.88818181818</v>
      </c>
      <c r="T138" s="236">
        <f t="shared" si="102"/>
        <v>609500</v>
      </c>
      <c r="U138" s="236">
        <f t="shared" si="102"/>
        <v>659255.47</v>
      </c>
      <c r="V138" s="236">
        <f t="shared" si="102"/>
        <v>492066.54000000004</v>
      </c>
      <c r="W138" s="236">
        <f t="shared" si="102"/>
        <v>2</v>
      </c>
      <c r="X138" s="52"/>
      <c r="Y138" s="52"/>
      <c r="Z138" s="101">
        <f t="shared" si="101"/>
        <v>1</v>
      </c>
    </row>
    <row r="139" spans="1:26" s="101" customFormat="1" ht="15.75">
      <c r="A139" s="21">
        <v>16</v>
      </c>
      <c r="B139" s="51">
        <v>1747200110</v>
      </c>
      <c r="C139" s="50" t="str">
        <f t="shared" si="93"/>
        <v>110</v>
      </c>
      <c r="D139" s="50" t="str">
        <f t="shared" si="94"/>
        <v>747200</v>
      </c>
      <c r="E139" s="50" t="str">
        <f t="shared" si="95"/>
        <v>74</v>
      </c>
      <c r="F139" s="51" t="s">
        <v>115</v>
      </c>
      <c r="G139" s="52">
        <v>204000</v>
      </c>
      <c r="H139" s="52">
        <v>258383.65</v>
      </c>
      <c r="I139" s="52">
        <v>-54385.65</v>
      </c>
      <c r="J139" s="52">
        <v>400000</v>
      </c>
      <c r="K139" s="52">
        <v>370000</v>
      </c>
      <c r="L139" s="52">
        <v>377000</v>
      </c>
      <c r="M139" s="52"/>
      <c r="N139" s="52">
        <f t="shared" si="91"/>
        <v>377000</v>
      </c>
      <c r="O139" s="52">
        <f>VLOOKUP(B:B,'דוח כספי 1-10.17'!A:D,4,0)</f>
        <v>351979.97</v>
      </c>
      <c r="P139" s="52">
        <v>338000</v>
      </c>
      <c r="Q139" s="52">
        <v>340000</v>
      </c>
      <c r="R139" s="52">
        <f>VLOOKUP(B139,'2174'!$A$182:$G$567,6,0)</f>
        <v>380886.52</v>
      </c>
      <c r="S139" s="63">
        <f>VLOOKUP(B139,'2174'!$A$575:$D$697,4,0)</f>
        <v>483576.06</v>
      </c>
      <c r="T139" s="52">
        <f>S139*1.0217</f>
        <v>494069.66050200001</v>
      </c>
      <c r="U139" s="56">
        <f>VLOOKUP(B139,'ביצוע 2019'!$A$3:$H$1103,7,0)</f>
        <v>454207.74</v>
      </c>
      <c r="V139" s="52">
        <v>470000</v>
      </c>
      <c r="W139" s="257">
        <v>5</v>
      </c>
      <c r="X139" s="52"/>
      <c r="Y139" s="52"/>
      <c r="Z139" s="101">
        <f t="shared" si="101"/>
        <v>1</v>
      </c>
    </row>
    <row r="140" spans="1:26" s="101" customFormat="1" ht="15.75">
      <c r="A140" s="21">
        <v>15</v>
      </c>
      <c r="B140" s="51">
        <v>1747200431</v>
      </c>
      <c r="C140" s="50" t="str">
        <f t="shared" si="93"/>
        <v>431</v>
      </c>
      <c r="D140" s="50" t="str">
        <f t="shared" si="94"/>
        <v>747200</v>
      </c>
      <c r="E140" s="50" t="str">
        <f t="shared" si="95"/>
        <v>74</v>
      </c>
      <c r="F140" s="51" t="s">
        <v>116</v>
      </c>
      <c r="G140" s="52">
        <v>2000</v>
      </c>
      <c r="H140" s="52">
        <v>7766.35</v>
      </c>
      <c r="I140" s="52">
        <v>-5762.35</v>
      </c>
      <c r="J140" s="52">
        <v>8000</v>
      </c>
      <c r="K140" s="52">
        <v>7000</v>
      </c>
      <c r="L140" s="52">
        <v>8000</v>
      </c>
      <c r="M140" s="52"/>
      <c r="N140" s="52">
        <f t="shared" si="91"/>
        <v>8000</v>
      </c>
      <c r="O140" s="52">
        <f>VLOOKUP(B:B,'דוח כספי 1-10.17'!A:D,4,0)</f>
        <v>6678.89</v>
      </c>
      <c r="P140" s="52">
        <f t="shared" si="99"/>
        <v>8014.6680000000006</v>
      </c>
      <c r="Q140" s="52">
        <v>8000</v>
      </c>
      <c r="R140" s="52">
        <f>VLOOKUP(B140,'2174'!$A$182:$G$567,6,0)</f>
        <v>44526.62</v>
      </c>
      <c r="S140" s="52">
        <f t="shared" ref="S140:S146" si="103">R140*12/11</f>
        <v>48574.494545454552</v>
      </c>
      <c r="T140" s="52">
        <v>50000</v>
      </c>
      <c r="U140" s="52">
        <f>VLOOKUP(B140,'ביצוע 2019'!$A$3:$H$1103,7,0)-30000</f>
        <v>50306.039999999994</v>
      </c>
      <c r="V140" s="52">
        <f>U140</f>
        <v>50306.039999999994</v>
      </c>
      <c r="W140" s="52"/>
      <c r="X140" s="52"/>
      <c r="Y140" s="52"/>
      <c r="Z140" s="101">
        <f t="shared" si="101"/>
        <v>1</v>
      </c>
    </row>
    <row r="141" spans="1:26" s="101" customFormat="1" ht="15.75">
      <c r="A141" s="21">
        <v>15</v>
      </c>
      <c r="B141" s="51">
        <v>1747200432</v>
      </c>
      <c r="C141" s="50" t="str">
        <f t="shared" si="93"/>
        <v>432</v>
      </c>
      <c r="D141" s="50" t="str">
        <f t="shared" si="94"/>
        <v>747200</v>
      </c>
      <c r="E141" s="50" t="str">
        <f t="shared" si="95"/>
        <v>74</v>
      </c>
      <c r="F141" s="51" t="s">
        <v>117</v>
      </c>
      <c r="G141" s="52">
        <v>25000</v>
      </c>
      <c r="H141" s="52">
        <v>23959.7</v>
      </c>
      <c r="I141" s="52">
        <v>1046.3</v>
      </c>
      <c r="J141" s="52">
        <v>25000</v>
      </c>
      <c r="K141" s="52">
        <v>25000</v>
      </c>
      <c r="L141" s="52">
        <v>25000</v>
      </c>
      <c r="M141" s="52"/>
      <c r="N141" s="52">
        <f t="shared" si="91"/>
        <v>25000</v>
      </c>
      <c r="O141" s="52">
        <f>VLOOKUP(B:B,'דוח כספי 1-10.17'!A:D,4,0)</f>
        <v>11460.9</v>
      </c>
      <c r="P141" s="52">
        <f t="shared" si="99"/>
        <v>13753.079999999998</v>
      </c>
      <c r="Q141" s="52">
        <v>13000</v>
      </c>
      <c r="R141" s="52">
        <f>VLOOKUP(B141,'2174'!$A$182:$G$567,6,0)</f>
        <v>1872</v>
      </c>
      <c r="S141" s="52">
        <f t="shared" si="103"/>
        <v>2042.1818181818182</v>
      </c>
      <c r="T141" s="52">
        <v>20000</v>
      </c>
      <c r="U141" s="52">
        <f>VLOOKUP(B141,'ביצוע 2019'!$A$3:$H$1103,7,0)</f>
        <v>0</v>
      </c>
      <c r="V141" s="52">
        <f t="shared" ref="V141:V145" si="104">U141</f>
        <v>0</v>
      </c>
      <c r="W141" s="52"/>
      <c r="X141" s="52"/>
      <c r="Y141" s="52"/>
      <c r="Z141" s="101">
        <f t="shared" si="101"/>
        <v>1</v>
      </c>
    </row>
    <row r="142" spans="1:26" s="101" customFormat="1" ht="15.75">
      <c r="A142" s="21">
        <v>15</v>
      </c>
      <c r="B142" s="51">
        <v>1747200433</v>
      </c>
      <c r="C142" s="50" t="str">
        <f t="shared" si="93"/>
        <v>433</v>
      </c>
      <c r="D142" s="50" t="str">
        <f t="shared" si="94"/>
        <v>747200</v>
      </c>
      <c r="E142" s="50" t="str">
        <f t="shared" si="95"/>
        <v>74</v>
      </c>
      <c r="F142" s="160" t="s">
        <v>144</v>
      </c>
      <c r="G142" s="52">
        <v>0</v>
      </c>
      <c r="H142" s="52">
        <v>0</v>
      </c>
      <c r="I142" s="52">
        <v>0</v>
      </c>
      <c r="J142" s="52">
        <v>0</v>
      </c>
      <c r="K142" s="52">
        <f>+J142</f>
        <v>0</v>
      </c>
      <c r="L142" s="52">
        <v>5000</v>
      </c>
      <c r="M142" s="52"/>
      <c r="N142" s="52">
        <f t="shared" si="91"/>
        <v>5000</v>
      </c>
      <c r="O142" s="52">
        <f>VLOOKUP(B:B,'דוח כספי 1-10.17'!A:D,4,0)</f>
        <v>0</v>
      </c>
      <c r="P142" s="52">
        <f t="shared" si="99"/>
        <v>0</v>
      </c>
      <c r="Q142" s="52">
        <f>P142</f>
        <v>0</v>
      </c>
      <c r="R142" s="52">
        <f>VLOOKUP(B142,'2174'!$A$182:$G$567,6,0)</f>
        <v>0</v>
      </c>
      <c r="S142" s="52">
        <f t="shared" si="103"/>
        <v>0</v>
      </c>
      <c r="T142" s="52">
        <v>5000</v>
      </c>
      <c r="U142" s="52">
        <f>VLOOKUP(B142,'ביצוע 2019'!$A$3:$H$1103,7,0)</f>
        <v>4400</v>
      </c>
      <c r="V142" s="52">
        <f t="shared" si="104"/>
        <v>4400</v>
      </c>
      <c r="W142" s="52"/>
      <c r="X142" s="52"/>
      <c r="Y142" s="158"/>
      <c r="Z142" s="101">
        <f t="shared" si="101"/>
        <v>1</v>
      </c>
    </row>
    <row r="143" spans="1:26" s="101" customFormat="1" ht="15.75">
      <c r="A143" s="21">
        <v>15</v>
      </c>
      <c r="B143" s="51">
        <v>1747200440</v>
      </c>
      <c r="C143" s="50" t="str">
        <f t="shared" si="93"/>
        <v>440</v>
      </c>
      <c r="D143" s="50" t="str">
        <f t="shared" si="94"/>
        <v>747200</v>
      </c>
      <c r="E143" s="50" t="str">
        <f t="shared" si="95"/>
        <v>74</v>
      </c>
      <c r="F143" s="51" t="s">
        <v>119</v>
      </c>
      <c r="G143" s="52">
        <v>6000</v>
      </c>
      <c r="H143" s="52">
        <v>48379</v>
      </c>
      <c r="I143" s="52">
        <v>-42377</v>
      </c>
      <c r="J143" s="52">
        <v>4000</v>
      </c>
      <c r="K143" s="52">
        <v>18000</v>
      </c>
      <c r="L143" s="52">
        <v>18000</v>
      </c>
      <c r="M143" s="52"/>
      <c r="N143" s="52">
        <f t="shared" si="91"/>
        <v>18000</v>
      </c>
      <c r="O143" s="52">
        <f>VLOOKUP(B:B,'דוח כספי 1-10.17'!A:D,4,0)</f>
        <v>0</v>
      </c>
      <c r="P143" s="52">
        <f t="shared" si="99"/>
        <v>0</v>
      </c>
      <c r="Q143" s="52">
        <f>P143</f>
        <v>0</v>
      </c>
      <c r="R143" s="52">
        <f>VLOOKUP(B143,'2174'!$A$182:$G$567,6,0)</f>
        <v>2278</v>
      </c>
      <c r="S143" s="52">
        <f t="shared" si="103"/>
        <v>2485.090909090909</v>
      </c>
      <c r="T143" s="52">
        <v>3000</v>
      </c>
      <c r="U143" s="52">
        <f>VLOOKUP(B143,'ביצוע 2019'!$A$3:$H$1103,7,0)</f>
        <v>0</v>
      </c>
      <c r="V143" s="52">
        <f t="shared" si="104"/>
        <v>0</v>
      </c>
      <c r="W143" s="52"/>
      <c r="X143" s="52"/>
      <c r="Y143" s="52"/>
      <c r="Z143" s="101">
        <f t="shared" si="101"/>
        <v>1</v>
      </c>
    </row>
    <row r="144" spans="1:26" s="101" customFormat="1" ht="15.75" hidden="1">
      <c r="A144" s="21">
        <v>15</v>
      </c>
      <c r="B144" s="51">
        <v>1747200540</v>
      </c>
      <c r="C144" s="50" t="str">
        <f t="shared" si="93"/>
        <v>540</v>
      </c>
      <c r="D144" s="50" t="str">
        <f t="shared" si="94"/>
        <v>747200</v>
      </c>
      <c r="E144" s="50" t="str">
        <f t="shared" si="95"/>
        <v>74</v>
      </c>
      <c r="F144" s="51" t="s">
        <v>104</v>
      </c>
      <c r="G144" s="52">
        <v>1000</v>
      </c>
      <c r="H144" s="52">
        <v>1456.69</v>
      </c>
      <c r="I144" s="52">
        <v>-459.69</v>
      </c>
      <c r="J144" s="52">
        <v>1500</v>
      </c>
      <c r="K144" s="52">
        <v>1500</v>
      </c>
      <c r="L144" s="52">
        <v>1500</v>
      </c>
      <c r="M144" s="52"/>
      <c r="N144" s="52">
        <f t="shared" si="91"/>
        <v>1500</v>
      </c>
      <c r="O144" s="52">
        <f>VLOOKUP(B:B,'דוח כספי 1-10.17'!A:D,4,0)</f>
        <v>0</v>
      </c>
      <c r="P144" s="52">
        <f t="shared" si="99"/>
        <v>0</v>
      </c>
      <c r="Q144" s="52">
        <f>P144</f>
        <v>0</v>
      </c>
      <c r="R144" s="52">
        <f>VLOOKUP(B144,'2174'!$A$182:$G$567,6,0)</f>
        <v>0</v>
      </c>
      <c r="S144" s="52">
        <f t="shared" si="103"/>
        <v>0</v>
      </c>
      <c r="T144" s="52">
        <v>0</v>
      </c>
      <c r="U144" s="52">
        <f>VLOOKUP(B144,'ביצוע 2019'!$A$3:$H$1103,7,0)</f>
        <v>0</v>
      </c>
      <c r="V144" s="52">
        <f t="shared" si="104"/>
        <v>0</v>
      </c>
      <c r="W144" s="52"/>
      <c r="X144" s="52"/>
      <c r="Y144" s="52"/>
      <c r="Z144" s="101">
        <f t="shared" si="101"/>
        <v>0</v>
      </c>
    </row>
    <row r="145" spans="1:26" s="101" customFormat="1" ht="15.75">
      <c r="A145" s="21">
        <v>15</v>
      </c>
      <c r="B145" s="51">
        <v>1747200720</v>
      </c>
      <c r="C145" s="50" t="str">
        <f t="shared" si="93"/>
        <v>720</v>
      </c>
      <c r="D145" s="50" t="str">
        <f t="shared" si="94"/>
        <v>747200</v>
      </c>
      <c r="E145" s="50" t="str">
        <f t="shared" si="95"/>
        <v>74</v>
      </c>
      <c r="F145" s="51" t="s">
        <v>32</v>
      </c>
      <c r="G145" s="52">
        <v>2000</v>
      </c>
      <c r="H145" s="52">
        <v>781</v>
      </c>
      <c r="I145" s="52">
        <v>1223</v>
      </c>
      <c r="J145" s="52">
        <v>2000</v>
      </c>
      <c r="K145" s="52">
        <v>2000</v>
      </c>
      <c r="L145" s="52">
        <v>2000</v>
      </c>
      <c r="M145" s="52"/>
      <c r="N145" s="52">
        <f t="shared" si="91"/>
        <v>2000</v>
      </c>
      <c r="O145" s="52">
        <f>VLOOKUP(B:B,'דוח כספי 1-10.17'!A:D,4,0)</f>
        <v>0</v>
      </c>
      <c r="P145" s="52">
        <f t="shared" si="99"/>
        <v>0</v>
      </c>
      <c r="Q145" s="52">
        <f>P145</f>
        <v>0</v>
      </c>
      <c r="R145" s="52">
        <f>VLOOKUP(B145,'2174'!$A$182:$G$567,6,0)</f>
        <v>1679</v>
      </c>
      <c r="S145" s="52">
        <f t="shared" si="103"/>
        <v>1831.6363636363637</v>
      </c>
      <c r="T145" s="52">
        <v>2000</v>
      </c>
      <c r="U145" s="52">
        <f>VLOOKUP(B145,'ביצוע 2019'!$A$3:$H$1103,7,0)</f>
        <v>0</v>
      </c>
      <c r="V145" s="52">
        <f t="shared" si="104"/>
        <v>0</v>
      </c>
      <c r="W145" s="52"/>
      <c r="X145" s="52"/>
      <c r="Y145" s="52"/>
      <c r="Z145" s="101">
        <f t="shared" si="101"/>
        <v>1</v>
      </c>
    </row>
    <row r="146" spans="1:26" s="101" customFormat="1" ht="15.75">
      <c r="A146" s="21">
        <v>15</v>
      </c>
      <c r="B146" s="51">
        <v>1747200750</v>
      </c>
      <c r="C146" s="50" t="str">
        <f t="shared" si="93"/>
        <v>750</v>
      </c>
      <c r="D146" s="50" t="str">
        <f t="shared" si="94"/>
        <v>747200</v>
      </c>
      <c r="E146" s="50" t="str">
        <f t="shared" si="95"/>
        <v>74</v>
      </c>
      <c r="F146" s="51" t="s">
        <v>62</v>
      </c>
      <c r="G146" s="52">
        <v>2000</v>
      </c>
      <c r="H146" s="52">
        <v>3385</v>
      </c>
      <c r="I146" s="52">
        <v>-1381</v>
      </c>
      <c r="J146" s="52">
        <v>4000</v>
      </c>
      <c r="K146" s="52">
        <v>80000</v>
      </c>
      <c r="L146" s="52">
        <v>100000</v>
      </c>
      <c r="M146" s="52"/>
      <c r="N146" s="52">
        <f t="shared" si="91"/>
        <v>100000</v>
      </c>
      <c r="O146" s="52">
        <f>VLOOKUP(B:B,'דוח כספי 1-10.17'!A:D,4,0)</f>
        <v>0</v>
      </c>
      <c r="P146" s="52">
        <f t="shared" si="99"/>
        <v>0</v>
      </c>
      <c r="Q146" s="52">
        <v>291038</v>
      </c>
      <c r="R146" s="52">
        <f>VLOOKUP(B146,'2174'!$A$182:$G$567,6,0)</f>
        <v>122255.86</v>
      </c>
      <c r="S146" s="52">
        <f t="shared" si="103"/>
        <v>133370.02909090908</v>
      </c>
      <c r="T146" s="52">
        <v>100000</v>
      </c>
      <c r="U146" s="52">
        <v>80000</v>
      </c>
      <c r="V146" s="52">
        <v>80000</v>
      </c>
      <c r="W146" s="52"/>
      <c r="X146" s="52"/>
      <c r="Y146" s="52"/>
      <c r="Z146" s="101">
        <f t="shared" si="101"/>
        <v>1</v>
      </c>
    </row>
    <row r="147" spans="1:26" s="101" customFormat="1" ht="15.75">
      <c r="A147" s="21"/>
      <c r="B147" s="234"/>
      <c r="C147" s="235"/>
      <c r="D147" s="235"/>
      <c r="E147" s="235"/>
      <c r="F147" s="234" t="s">
        <v>1572</v>
      </c>
      <c r="G147" s="236"/>
      <c r="H147" s="236"/>
      <c r="I147" s="236"/>
      <c r="J147" s="236"/>
      <c r="K147" s="236"/>
      <c r="L147" s="236">
        <f>SUM(L139:L146)</f>
        <v>536500</v>
      </c>
      <c r="M147" s="236"/>
      <c r="N147" s="236">
        <f t="shared" ref="N147:W147" si="105">SUM(N139:N146)</f>
        <v>536500</v>
      </c>
      <c r="O147" s="236">
        <f t="shared" si="105"/>
        <v>370119.76</v>
      </c>
      <c r="P147" s="236">
        <f t="shared" si="105"/>
        <v>359767.74800000002</v>
      </c>
      <c r="Q147" s="236">
        <f t="shared" si="105"/>
        <v>652038</v>
      </c>
      <c r="R147" s="236">
        <f t="shared" si="105"/>
        <v>553498</v>
      </c>
      <c r="S147" s="236">
        <f t="shared" si="105"/>
        <v>671879.49272727268</v>
      </c>
      <c r="T147" s="236">
        <f t="shared" si="105"/>
        <v>674069.66050200001</v>
      </c>
      <c r="U147" s="236">
        <f t="shared" si="105"/>
        <v>588913.78</v>
      </c>
      <c r="V147" s="236">
        <f t="shared" si="105"/>
        <v>604706.04</v>
      </c>
      <c r="W147" s="236">
        <f t="shared" si="105"/>
        <v>5</v>
      </c>
      <c r="X147" s="52"/>
      <c r="Y147" s="52"/>
      <c r="Z147" s="101">
        <f t="shared" si="101"/>
        <v>1</v>
      </c>
    </row>
    <row r="148" spans="1:26" s="101" customFormat="1" ht="15.75">
      <c r="A148" s="21">
        <v>15</v>
      </c>
      <c r="B148" s="51">
        <v>1748000432</v>
      </c>
      <c r="C148" s="50" t="str">
        <f t="shared" si="93"/>
        <v>432</v>
      </c>
      <c r="D148" s="50" t="str">
        <f t="shared" si="94"/>
        <v>748000</v>
      </c>
      <c r="E148" s="50" t="str">
        <f t="shared" si="95"/>
        <v>74</v>
      </c>
      <c r="F148" s="51" t="s">
        <v>122</v>
      </c>
      <c r="G148" s="52">
        <v>0</v>
      </c>
      <c r="H148" s="52">
        <v>0</v>
      </c>
      <c r="I148" s="52">
        <v>0</v>
      </c>
      <c r="J148" s="52">
        <v>3000</v>
      </c>
      <c r="K148" s="52">
        <v>3000</v>
      </c>
      <c r="L148" s="52">
        <v>3000</v>
      </c>
      <c r="M148" s="52"/>
      <c r="N148" s="52">
        <f t="shared" si="91"/>
        <v>3000</v>
      </c>
      <c r="O148" s="52">
        <f>VLOOKUP(B:B,'דוח כספי 1-10.17'!A:D,4,0)</f>
        <v>0</v>
      </c>
      <c r="P148" s="52">
        <f t="shared" si="99"/>
        <v>0</v>
      </c>
      <c r="Q148" s="52">
        <f>P148</f>
        <v>0</v>
      </c>
      <c r="R148" s="52">
        <f>VLOOKUP(B148,'2174'!$A$182:$G$567,6,0)</f>
        <v>0</v>
      </c>
      <c r="S148" s="52">
        <f t="shared" ref="S148:S152" si="106">R148*12/11</f>
        <v>0</v>
      </c>
      <c r="T148" s="52">
        <v>3000</v>
      </c>
      <c r="U148" s="52">
        <f>VLOOKUP(B148,'ביצוע 2019'!$A$3:$H$1103,7,0)</f>
        <v>0</v>
      </c>
      <c r="V148" s="52">
        <f t="shared" ref="V148:V153" si="107">U148</f>
        <v>0</v>
      </c>
      <c r="W148" s="52"/>
      <c r="X148" s="52"/>
      <c r="Y148" s="52"/>
      <c r="Z148" s="101">
        <f t="shared" si="101"/>
        <v>1</v>
      </c>
    </row>
    <row r="149" spans="1:26" s="101" customFormat="1" ht="15.75">
      <c r="A149" s="21">
        <v>15</v>
      </c>
      <c r="B149" s="51">
        <v>1752000780</v>
      </c>
      <c r="C149" s="50" t="str">
        <f t="shared" si="93"/>
        <v>780</v>
      </c>
      <c r="D149" s="50" t="str">
        <f t="shared" si="94"/>
        <v>752000</v>
      </c>
      <c r="E149" s="50" t="str">
        <f t="shared" si="95"/>
        <v>75</v>
      </c>
      <c r="F149" s="51" t="s">
        <v>123</v>
      </c>
      <c r="G149" s="52">
        <v>1000</v>
      </c>
      <c r="H149" s="52">
        <v>200</v>
      </c>
      <c r="I149" s="52">
        <v>797</v>
      </c>
      <c r="J149" s="52">
        <v>1000</v>
      </c>
      <c r="K149" s="52">
        <v>1000</v>
      </c>
      <c r="L149" s="52">
        <v>1000</v>
      </c>
      <c r="M149" s="52"/>
      <c r="N149" s="52">
        <f t="shared" si="91"/>
        <v>1000</v>
      </c>
      <c r="O149" s="52">
        <f>VLOOKUP(B:B,'דוח כספי 1-10.17'!A:D,4,0)</f>
        <v>0</v>
      </c>
      <c r="P149" s="52">
        <f t="shared" si="99"/>
        <v>0</v>
      </c>
      <c r="Q149" s="52">
        <f>P149</f>
        <v>0</v>
      </c>
      <c r="R149" s="52">
        <f>VLOOKUP(B149,'2174'!$A$182:$G$567,6,0)</f>
        <v>0</v>
      </c>
      <c r="S149" s="52">
        <f t="shared" si="106"/>
        <v>0</v>
      </c>
      <c r="T149" s="52">
        <v>1000</v>
      </c>
      <c r="U149" s="52">
        <f>VLOOKUP(B149,'ביצוע 2019'!$A$3:$H$1103,7,0)</f>
        <v>0</v>
      </c>
      <c r="V149" s="52">
        <f t="shared" si="107"/>
        <v>0</v>
      </c>
      <c r="W149" s="52"/>
      <c r="X149" s="52"/>
      <c r="Y149" s="52"/>
      <c r="Z149" s="101">
        <f t="shared" si="101"/>
        <v>1</v>
      </c>
    </row>
    <row r="150" spans="1:26" s="101" customFormat="1" ht="15.75">
      <c r="A150" s="21">
        <v>15</v>
      </c>
      <c r="B150" s="51">
        <v>1767000441</v>
      </c>
      <c r="C150" s="50" t="str">
        <f t="shared" si="93"/>
        <v>441</v>
      </c>
      <c r="D150" s="50" t="str">
        <f t="shared" si="94"/>
        <v>767000</v>
      </c>
      <c r="E150" s="50" t="str">
        <f t="shared" si="95"/>
        <v>76</v>
      </c>
      <c r="F150" s="51" t="s">
        <v>125</v>
      </c>
      <c r="G150" s="52">
        <v>300000</v>
      </c>
      <c r="H150" s="52">
        <v>449261</v>
      </c>
      <c r="I150" s="52">
        <v>-149261</v>
      </c>
      <c r="J150" s="52">
        <v>750000</v>
      </c>
      <c r="K150" s="52">
        <v>750000</v>
      </c>
      <c r="L150" s="52">
        <v>802000</v>
      </c>
      <c r="M150" s="52"/>
      <c r="N150" s="52">
        <f t="shared" si="91"/>
        <v>802000</v>
      </c>
      <c r="O150" s="52">
        <f>VLOOKUP(B:B,'דוח כספי 1-10.17'!A:D,4,0)</f>
        <v>797147.68</v>
      </c>
      <c r="P150" s="52">
        <v>750000</v>
      </c>
      <c r="Q150" s="52">
        <v>700000</v>
      </c>
      <c r="R150" s="52">
        <f>VLOOKUP(B150,'2174'!$A$182:$G$567,6,0)</f>
        <v>709204</v>
      </c>
      <c r="S150" s="52">
        <v>709204</v>
      </c>
      <c r="T150" s="52">
        <v>400000</v>
      </c>
      <c r="U150" s="52">
        <f>VLOOKUP(B150,'ביצוע 2019'!$A$3:$H$1103,7,0)</f>
        <v>416536</v>
      </c>
      <c r="V150" s="52">
        <v>430000</v>
      </c>
      <c r="W150" s="52"/>
      <c r="X150" s="52"/>
      <c r="Y150" s="52"/>
      <c r="Z150" s="101">
        <f t="shared" si="101"/>
        <v>1</v>
      </c>
    </row>
    <row r="151" spans="1:26" s="101" customFormat="1" ht="15.75" hidden="1">
      <c r="A151" s="21">
        <v>15</v>
      </c>
      <c r="B151" s="51">
        <v>1769500540</v>
      </c>
      <c r="C151" s="50" t="str">
        <f t="shared" si="93"/>
        <v>540</v>
      </c>
      <c r="D151" s="50" t="str">
        <f t="shared" si="94"/>
        <v>769500</v>
      </c>
      <c r="E151" s="50" t="str">
        <f t="shared" si="95"/>
        <v>76</v>
      </c>
      <c r="F151" s="51" t="s">
        <v>127</v>
      </c>
      <c r="G151" s="52">
        <v>1000</v>
      </c>
      <c r="H151" s="52">
        <v>495.31</v>
      </c>
      <c r="I151" s="52">
        <v>501.69</v>
      </c>
      <c r="J151" s="52">
        <v>1000</v>
      </c>
      <c r="K151" s="52">
        <v>1000</v>
      </c>
      <c r="L151" s="52">
        <v>1000</v>
      </c>
      <c r="M151" s="52"/>
      <c r="N151" s="52">
        <f t="shared" si="91"/>
        <v>1000</v>
      </c>
      <c r="O151" s="52">
        <f>VLOOKUP(B:B,'דוח כספי 1-10.17'!A:D,4,0)</f>
        <v>0</v>
      </c>
      <c r="P151" s="52">
        <f t="shared" si="99"/>
        <v>0</v>
      </c>
      <c r="Q151" s="52">
        <f>P151</f>
        <v>0</v>
      </c>
      <c r="R151" s="52">
        <f>VLOOKUP(B151,'2174'!$A$182:$G$567,6,0)</f>
        <v>0</v>
      </c>
      <c r="S151" s="52">
        <f t="shared" si="106"/>
        <v>0</v>
      </c>
      <c r="T151" s="52">
        <v>0</v>
      </c>
      <c r="U151" s="52">
        <f>VLOOKUP(B151,'ביצוע 2019'!$A$3:$H$1103,7,0)</f>
        <v>0</v>
      </c>
      <c r="V151" s="52">
        <f t="shared" si="107"/>
        <v>0</v>
      </c>
      <c r="W151" s="52"/>
      <c r="X151" s="52"/>
      <c r="Y151" s="52"/>
      <c r="Z151" s="101">
        <f t="shared" si="101"/>
        <v>0</v>
      </c>
    </row>
    <row r="152" spans="1:26" s="101" customFormat="1" ht="15.75" hidden="1">
      <c r="A152" s="21">
        <v>15</v>
      </c>
      <c r="B152" s="51">
        <v>1769500720</v>
      </c>
      <c r="C152" s="50" t="str">
        <f t="shared" si="93"/>
        <v>720</v>
      </c>
      <c r="D152" s="50" t="str">
        <f t="shared" si="94"/>
        <v>769500</v>
      </c>
      <c r="E152" s="50" t="str">
        <f t="shared" si="95"/>
        <v>76</v>
      </c>
      <c r="F152" s="51" t="s">
        <v>129</v>
      </c>
      <c r="G152" s="52">
        <v>0</v>
      </c>
      <c r="H152" s="52">
        <v>0</v>
      </c>
      <c r="I152" s="52">
        <v>0</v>
      </c>
      <c r="J152" s="52">
        <v>6000</v>
      </c>
      <c r="K152" s="52">
        <v>2000</v>
      </c>
      <c r="L152" s="52">
        <v>2000</v>
      </c>
      <c r="M152" s="52"/>
      <c r="N152" s="52">
        <f t="shared" si="91"/>
        <v>2000</v>
      </c>
      <c r="O152" s="52">
        <f>VLOOKUP(B:B,'דוח כספי 1-10.17'!A:D,4,0)</f>
        <v>0</v>
      </c>
      <c r="P152" s="52">
        <f t="shared" si="99"/>
        <v>0</v>
      </c>
      <c r="Q152" s="52">
        <v>0</v>
      </c>
      <c r="R152" s="52">
        <f>VLOOKUP(B152,'2174'!$A$182:$G$567,6,0)</f>
        <v>0</v>
      </c>
      <c r="S152" s="52">
        <f t="shared" si="106"/>
        <v>0</v>
      </c>
      <c r="T152" s="52">
        <v>0</v>
      </c>
      <c r="U152" s="52">
        <f>VLOOKUP(B152,'ביצוע 2019'!$A$3:$H$1103,7,0)</f>
        <v>0</v>
      </c>
      <c r="V152" s="52">
        <f t="shared" si="107"/>
        <v>0</v>
      </c>
      <c r="W152" s="52"/>
      <c r="X152" s="52"/>
      <c r="Y152" s="52"/>
      <c r="Z152" s="101">
        <f t="shared" si="101"/>
        <v>0</v>
      </c>
    </row>
    <row r="153" spans="1:26" s="101" customFormat="1" ht="15.75" hidden="1">
      <c r="A153" s="21">
        <v>15</v>
      </c>
      <c r="B153" s="51">
        <v>1769500780</v>
      </c>
      <c r="C153" s="50" t="str">
        <f t="shared" ref="C153" si="108">RIGHT(B153,3)</f>
        <v>780</v>
      </c>
      <c r="D153" s="50" t="str">
        <f t="shared" ref="D153" si="109">MID(B153,2,6)</f>
        <v>769500</v>
      </c>
      <c r="E153" s="50" t="str">
        <f t="shared" ref="E153" si="110">LEFT(D153,2)</f>
        <v>76</v>
      </c>
      <c r="F153" s="51" t="s">
        <v>58</v>
      </c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>
        <f t="shared" si="107"/>
        <v>0</v>
      </c>
      <c r="W153" s="52"/>
      <c r="X153" s="52"/>
      <c r="Y153" s="52"/>
      <c r="Z153" s="101">
        <f t="shared" si="101"/>
        <v>0</v>
      </c>
    </row>
    <row r="154" spans="1:26" s="101" customFormat="1" ht="15.75">
      <c r="A154" s="21"/>
      <c r="B154" s="234"/>
      <c r="C154" s="235"/>
      <c r="D154" s="235"/>
      <c r="E154" s="235"/>
      <c r="F154" s="234" t="s">
        <v>1966</v>
      </c>
      <c r="G154" s="236"/>
      <c r="H154" s="236"/>
      <c r="I154" s="236"/>
      <c r="J154" s="236"/>
      <c r="K154" s="236"/>
      <c r="L154" s="236">
        <f>SUM(L148:L152)</f>
        <v>809000</v>
      </c>
      <c r="M154" s="236"/>
      <c r="N154" s="236">
        <f>SUM(N148:N152)</f>
        <v>809000</v>
      </c>
      <c r="O154" s="236">
        <f>SUM(O148:O152)</f>
        <v>797147.68</v>
      </c>
      <c r="P154" s="236">
        <f>SUM(P148:P152)</f>
        <v>750000</v>
      </c>
      <c r="Q154" s="236">
        <f>SUM(Q148:Q152)</f>
        <v>700000</v>
      </c>
      <c r="R154" s="236">
        <f t="shared" ref="R154:S154" si="111">SUM(R148:R152)</f>
        <v>709204</v>
      </c>
      <c r="S154" s="236">
        <f t="shared" si="111"/>
        <v>709204</v>
      </c>
      <c r="T154" s="236">
        <f>SUM(T148:T153)</f>
        <v>404000</v>
      </c>
      <c r="U154" s="236">
        <f t="shared" ref="U154:W154" si="112">SUM(U148:U153)</f>
        <v>416536</v>
      </c>
      <c r="V154" s="236">
        <f t="shared" si="112"/>
        <v>430000</v>
      </c>
      <c r="W154" s="236">
        <f t="shared" si="112"/>
        <v>0</v>
      </c>
      <c r="X154" s="236">
        <f t="shared" ref="X154" si="113">SUM(X148:X153)</f>
        <v>0</v>
      </c>
      <c r="Y154" s="52"/>
      <c r="Z154" s="101">
        <f t="shared" si="101"/>
        <v>1</v>
      </c>
    </row>
    <row r="155" spans="1:26" s="105" customFormat="1" ht="15.75">
      <c r="A155" s="102"/>
      <c r="B155" s="237"/>
      <c r="C155" s="238" t="s">
        <v>717</v>
      </c>
      <c r="D155" s="226"/>
      <c r="E155" s="226"/>
      <c r="F155" s="239"/>
      <c r="G155" s="228">
        <f>SUM(G81:G152)</f>
        <v>5741000</v>
      </c>
      <c r="H155" s="228">
        <f>SUM(H81:H152)</f>
        <v>6025615.8599999994</v>
      </c>
      <c r="I155" s="228">
        <f>SUM(I81:I152)</f>
        <v>-284594.8600000001</v>
      </c>
      <c r="J155" s="228">
        <f>SUM(J80:J152)</f>
        <v>7611000</v>
      </c>
      <c r="K155" s="228">
        <f>SUM(K80:K152)</f>
        <v>8660800</v>
      </c>
      <c r="L155" s="228">
        <f t="shared" ref="L155:T155" si="114">L85+L87+L94+L97+L104+L110+L114+L123+L138+L147+L154</f>
        <v>9446446</v>
      </c>
      <c r="M155" s="228">
        <f t="shared" si="114"/>
        <v>0</v>
      </c>
      <c r="N155" s="228">
        <f t="shared" si="114"/>
        <v>9329446</v>
      </c>
      <c r="O155" s="228">
        <f t="shared" si="114"/>
        <v>6794249.4699999988</v>
      </c>
      <c r="P155" s="228">
        <f t="shared" si="114"/>
        <v>9555051.8929999992</v>
      </c>
      <c r="Q155" s="228">
        <f t="shared" si="114"/>
        <v>9673608</v>
      </c>
      <c r="R155" s="228">
        <f t="shared" si="114"/>
        <v>7802000.5199999986</v>
      </c>
      <c r="S155" s="228">
        <f t="shared" si="114"/>
        <v>9768070.9699999988</v>
      </c>
      <c r="T155" s="228">
        <f t="shared" si="114"/>
        <v>10011665.500926999</v>
      </c>
      <c r="U155" s="228">
        <f t="shared" ref="U155:W155" si="115">U85+U87+U94+U97+U104+U110+U114+U123+U138+U147+U154</f>
        <v>9551736.0099999998</v>
      </c>
      <c r="V155" s="228">
        <f t="shared" si="115"/>
        <v>9376274.1699999999</v>
      </c>
      <c r="W155" s="228">
        <f t="shared" si="115"/>
        <v>13</v>
      </c>
      <c r="X155" s="52"/>
      <c r="Y155" s="104"/>
      <c r="Z155" s="101">
        <f t="shared" si="101"/>
        <v>1</v>
      </c>
    </row>
    <row r="156" spans="1:26" s="105" customFormat="1" ht="15.75" hidden="1">
      <c r="A156" s="102"/>
      <c r="B156" s="103"/>
      <c r="C156" s="100" t="s">
        <v>702</v>
      </c>
      <c r="D156" s="106"/>
      <c r="E156" s="106"/>
      <c r="F156" s="106"/>
      <c r="G156" s="107"/>
      <c r="H156" s="107"/>
      <c r="I156" s="107"/>
      <c r="J156" s="107"/>
      <c r="K156" s="52">
        <f>+J156</f>
        <v>0</v>
      </c>
      <c r="L156" s="52"/>
      <c r="M156" s="52"/>
      <c r="N156" s="52"/>
      <c r="O156" s="52"/>
      <c r="P156" s="52">
        <f t="shared" si="99"/>
        <v>0</v>
      </c>
      <c r="Q156" s="52">
        <f>P156</f>
        <v>0</v>
      </c>
      <c r="R156" s="52"/>
      <c r="S156" s="52"/>
      <c r="T156" s="52"/>
      <c r="U156" s="52"/>
      <c r="V156" s="52"/>
      <c r="W156" s="52"/>
      <c r="X156" s="52"/>
      <c r="Y156" s="107"/>
      <c r="Z156" s="101">
        <f t="shared" si="101"/>
        <v>0</v>
      </c>
    </row>
    <row r="157" spans="1:26" s="101" customFormat="1" ht="31.5">
      <c r="A157" s="21">
        <v>20</v>
      </c>
      <c r="B157" s="51">
        <v>1811000110</v>
      </c>
      <c r="C157" s="54" t="str">
        <f t="shared" si="93"/>
        <v>110</v>
      </c>
      <c r="D157" s="54" t="str">
        <f t="shared" si="94"/>
        <v>811000</v>
      </c>
      <c r="E157" s="54" t="str">
        <f t="shared" si="95"/>
        <v>81</v>
      </c>
      <c r="F157" s="55" t="s">
        <v>131</v>
      </c>
      <c r="G157" s="52">
        <v>545000</v>
      </c>
      <c r="H157" s="52">
        <v>672356.63</v>
      </c>
      <c r="I157" s="52">
        <v>-127350.63</v>
      </c>
      <c r="J157" s="52">
        <v>650000</v>
      </c>
      <c r="K157" s="52">
        <v>695000</v>
      </c>
      <c r="L157" s="52">
        <v>710000</v>
      </c>
      <c r="M157" s="52"/>
      <c r="N157" s="52">
        <f t="shared" si="91"/>
        <v>710000</v>
      </c>
      <c r="O157" s="52">
        <f>VLOOKUP(B:B,'דוח כספי 1-10.17'!A:D,4,0)</f>
        <v>530182.49</v>
      </c>
      <c r="P157" s="52">
        <v>590000</v>
      </c>
      <c r="Q157" s="52">
        <v>595000</v>
      </c>
      <c r="R157" s="52">
        <f>VLOOKUP(B157,'2174'!$A$182:$G$567,6,0)</f>
        <v>565727.48</v>
      </c>
      <c r="S157" s="63">
        <f>VLOOKUP(B157,'2174'!$A$575:$D$697,4,0)</f>
        <v>761938.78</v>
      </c>
      <c r="T157" s="56">
        <v>700000</v>
      </c>
      <c r="U157" s="56">
        <f>VLOOKUP(B157,'ביצוע 2019'!$A$3:$H$1103,7,0)</f>
        <v>864802.06</v>
      </c>
      <c r="V157" s="56">
        <v>920000</v>
      </c>
      <c r="W157" s="262">
        <v>4</v>
      </c>
      <c r="X157" s="52"/>
      <c r="Y157" s="254" t="s">
        <v>2070</v>
      </c>
      <c r="Z157" s="101">
        <f t="shared" si="101"/>
        <v>1</v>
      </c>
    </row>
    <row r="158" spans="1:26" s="101" customFormat="1" ht="15.75" hidden="1">
      <c r="A158" s="21">
        <v>20</v>
      </c>
      <c r="B158" s="51">
        <v>1811000320</v>
      </c>
      <c r="C158" s="54" t="str">
        <f t="shared" ref="C158" si="116">RIGHT(B158,3)</f>
        <v>320</v>
      </c>
      <c r="D158" s="54" t="str">
        <f t="shared" ref="D158" si="117">MID(B158,2,6)</f>
        <v>811000</v>
      </c>
      <c r="E158" s="54" t="str">
        <f t="shared" ref="E158" si="118">LEFT(D158,2)</f>
        <v>81</v>
      </c>
      <c r="F158" s="54" t="s">
        <v>25</v>
      </c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4"/>
      <c r="U158" s="54"/>
      <c r="V158" s="54"/>
      <c r="W158" s="54"/>
      <c r="X158" s="52"/>
      <c r="Y158" s="254"/>
      <c r="Z158" s="101">
        <f t="shared" si="101"/>
        <v>0</v>
      </c>
    </row>
    <row r="159" spans="1:26" s="101" customFormat="1" ht="15.75">
      <c r="A159" s="21">
        <v>19</v>
      </c>
      <c r="B159" s="51">
        <v>1811000523</v>
      </c>
      <c r="C159" s="50" t="str">
        <f t="shared" ref="C159:C213" si="119">RIGHT(B159,3)</f>
        <v>523</v>
      </c>
      <c r="D159" s="50" t="str">
        <f t="shared" ref="D159:D213" si="120">MID(B159,2,6)</f>
        <v>811000</v>
      </c>
      <c r="E159" s="50" t="str">
        <f t="shared" ref="E159:E213" si="121">LEFT(D159,2)</f>
        <v>81</v>
      </c>
      <c r="F159" s="51" t="s">
        <v>28</v>
      </c>
      <c r="G159" s="52">
        <v>0</v>
      </c>
      <c r="H159" s="52">
        <v>2600</v>
      </c>
      <c r="I159" s="52">
        <v>-2600</v>
      </c>
      <c r="J159" s="52">
        <v>3000</v>
      </c>
      <c r="K159" s="52">
        <v>3000</v>
      </c>
      <c r="L159" s="52">
        <v>3000</v>
      </c>
      <c r="M159" s="52"/>
      <c r="N159" s="52">
        <f t="shared" si="91"/>
        <v>3000</v>
      </c>
      <c r="O159" s="52">
        <f>VLOOKUP(B:B,'דוח כספי 1-10.17'!A:D,4,0)</f>
        <v>0</v>
      </c>
      <c r="P159" s="52">
        <f t="shared" si="99"/>
        <v>0</v>
      </c>
      <c r="Q159" s="52">
        <f>P159</f>
        <v>0</v>
      </c>
      <c r="R159" s="52">
        <f>VLOOKUP(B159,'2174'!$A$182:$G$567,6,0)</f>
        <v>0</v>
      </c>
      <c r="S159" s="52">
        <f t="shared" ref="S159:S160" si="122">R159*12/11</f>
        <v>0</v>
      </c>
      <c r="T159" s="52">
        <v>3000</v>
      </c>
      <c r="U159" s="52">
        <f>VLOOKUP(B159,'ביצוע 2019'!$A$3:$H$1103,7,0)</f>
        <v>1200</v>
      </c>
      <c r="V159" s="52">
        <f t="shared" ref="V159:V164" si="123">U159</f>
        <v>1200</v>
      </c>
      <c r="W159" s="52"/>
      <c r="X159" s="52"/>
      <c r="Y159" s="52"/>
      <c r="Z159" s="101">
        <f t="shared" si="101"/>
        <v>1</v>
      </c>
    </row>
    <row r="160" spans="1:26" s="101" customFormat="1" ht="15.75">
      <c r="A160" s="21">
        <v>19</v>
      </c>
      <c r="B160" s="51">
        <v>1811000540</v>
      </c>
      <c r="C160" s="50" t="str">
        <f t="shared" si="119"/>
        <v>540</v>
      </c>
      <c r="D160" s="50" t="str">
        <f t="shared" si="120"/>
        <v>811000</v>
      </c>
      <c r="E160" s="50" t="str">
        <f t="shared" si="121"/>
        <v>81</v>
      </c>
      <c r="F160" s="51" t="s">
        <v>134</v>
      </c>
      <c r="G160" s="52">
        <v>7000</v>
      </c>
      <c r="H160" s="52">
        <v>3089.48</v>
      </c>
      <c r="I160" s="52">
        <v>3909.52</v>
      </c>
      <c r="J160" s="52">
        <v>4000</v>
      </c>
      <c r="K160" s="52">
        <v>4000</v>
      </c>
      <c r="L160" s="52">
        <v>4000</v>
      </c>
      <c r="M160" s="52"/>
      <c r="N160" s="52">
        <f t="shared" si="91"/>
        <v>4000</v>
      </c>
      <c r="O160" s="52">
        <f>VLOOKUP(B:B,'דוח כספי 1-10.17'!A:D,4,0)</f>
        <v>440</v>
      </c>
      <c r="P160" s="52">
        <f t="shared" si="99"/>
        <v>528</v>
      </c>
      <c r="Q160" s="52">
        <v>600</v>
      </c>
      <c r="R160" s="52">
        <f>VLOOKUP(B160,'2174'!$A$182:$G$567,6,0)</f>
        <v>60879.81</v>
      </c>
      <c r="S160" s="52">
        <f t="shared" si="122"/>
        <v>66414.338181818181</v>
      </c>
      <c r="T160" s="52">
        <v>65000</v>
      </c>
      <c r="U160" s="52">
        <f>VLOOKUP(B160,'ביצוע 2019'!$A$3:$H$1103,7,0)</f>
        <v>56511.35</v>
      </c>
      <c r="V160" s="52">
        <f t="shared" si="123"/>
        <v>56511.35</v>
      </c>
      <c r="W160" s="52"/>
      <c r="X160" s="52"/>
      <c r="Y160" s="52"/>
      <c r="Z160" s="101">
        <f t="shared" si="101"/>
        <v>1</v>
      </c>
    </row>
    <row r="161" spans="1:26" s="101" customFormat="1" ht="15.75">
      <c r="A161" s="21">
        <v>19</v>
      </c>
      <c r="B161" s="51">
        <v>1811000560</v>
      </c>
      <c r="C161" s="50" t="str">
        <f t="shared" si="119"/>
        <v>560</v>
      </c>
      <c r="D161" s="50" t="str">
        <f t="shared" si="120"/>
        <v>811000</v>
      </c>
      <c r="E161" s="50" t="str">
        <f t="shared" si="121"/>
        <v>81</v>
      </c>
      <c r="F161" s="51" t="s">
        <v>14</v>
      </c>
      <c r="G161" s="52">
        <v>10000</v>
      </c>
      <c r="H161" s="52">
        <v>4436.8900000000003</v>
      </c>
      <c r="I161" s="52">
        <v>5563.11</v>
      </c>
      <c r="J161" s="52">
        <v>5000</v>
      </c>
      <c r="K161" s="52">
        <v>5000</v>
      </c>
      <c r="L161" s="52">
        <v>5000</v>
      </c>
      <c r="M161" s="52"/>
      <c r="N161" s="52">
        <f t="shared" si="91"/>
        <v>5000</v>
      </c>
      <c r="O161" s="52">
        <f>VLOOKUP(B:B,'דוח כספי 1-10.17'!A:D,4,0)</f>
        <v>925</v>
      </c>
      <c r="P161" s="52">
        <f t="shared" si="99"/>
        <v>1110</v>
      </c>
      <c r="Q161" s="52">
        <f>P161</f>
        <v>1110</v>
      </c>
      <c r="R161" s="52">
        <f>VLOOKUP(B161,'2174'!$A$182:$G$567,6,0)</f>
        <v>1000</v>
      </c>
      <c r="S161" s="52">
        <f>R161*12/11</f>
        <v>1090.909090909091</v>
      </c>
      <c r="T161" s="52">
        <v>3000</v>
      </c>
      <c r="U161" s="52">
        <f>VLOOKUP(B161,'ביצוע 2019'!$A$3:$H$1103,7,0)</f>
        <v>4140</v>
      </c>
      <c r="V161" s="52">
        <f t="shared" si="123"/>
        <v>4140</v>
      </c>
      <c r="W161" s="52"/>
      <c r="X161" s="52"/>
      <c r="Y161" s="52"/>
      <c r="Z161" s="101">
        <f t="shared" si="101"/>
        <v>1</v>
      </c>
    </row>
    <row r="162" spans="1:26" s="101" customFormat="1" ht="15.75">
      <c r="A162" s="21">
        <v>19</v>
      </c>
      <c r="B162" s="51">
        <v>1811000750</v>
      </c>
      <c r="C162" s="50" t="str">
        <f t="shared" si="119"/>
        <v>750</v>
      </c>
      <c r="D162" s="50" t="str">
        <f t="shared" si="120"/>
        <v>811000</v>
      </c>
      <c r="E162" s="50" t="str">
        <f t="shared" si="121"/>
        <v>81</v>
      </c>
      <c r="F162" s="51" t="s">
        <v>62</v>
      </c>
      <c r="G162" s="52">
        <v>0</v>
      </c>
      <c r="H162" s="52">
        <v>0</v>
      </c>
      <c r="I162" s="52">
        <v>0</v>
      </c>
      <c r="J162" s="52">
        <v>0</v>
      </c>
      <c r="K162" s="52">
        <v>8000</v>
      </c>
      <c r="L162" s="52">
        <v>8000</v>
      </c>
      <c r="M162" s="52"/>
      <c r="N162" s="52">
        <f t="shared" si="91"/>
        <v>8000</v>
      </c>
      <c r="O162" s="52">
        <f>VLOOKUP(B:B,'דוח כספי 1-10.17'!A:D,4,0)</f>
        <v>5700</v>
      </c>
      <c r="P162" s="52">
        <f t="shared" si="99"/>
        <v>6840</v>
      </c>
      <c r="Q162" s="52">
        <v>7000</v>
      </c>
      <c r="R162" s="52">
        <f>VLOOKUP(B162,'2174'!$A$182:$G$567,6,0)</f>
        <v>23111</v>
      </c>
      <c r="S162" s="52">
        <f t="shared" ref="S162:S163" si="124">R162*12/11</f>
        <v>25212</v>
      </c>
      <c r="T162" s="52">
        <v>10000</v>
      </c>
      <c r="U162" s="52">
        <f>VLOOKUP(B162,'ביצוע 2019'!$A$3:$H$1103,7,0)</f>
        <v>9334.2999999999993</v>
      </c>
      <c r="V162" s="52">
        <f t="shared" si="123"/>
        <v>9334.2999999999993</v>
      </c>
      <c r="W162" s="52"/>
      <c r="X162" s="52"/>
      <c r="Y162" s="52"/>
      <c r="Z162" s="101">
        <f t="shared" si="101"/>
        <v>1</v>
      </c>
    </row>
    <row r="163" spans="1:26" s="101" customFormat="1" ht="15.75">
      <c r="A163" s="21">
        <v>19</v>
      </c>
      <c r="B163" s="51">
        <v>1811010930</v>
      </c>
      <c r="C163" s="50" t="str">
        <f t="shared" si="119"/>
        <v>930</v>
      </c>
      <c r="D163" s="50" t="str">
        <f t="shared" si="120"/>
        <v>811010</v>
      </c>
      <c r="E163" s="50" t="str">
        <f t="shared" si="121"/>
        <v>81</v>
      </c>
      <c r="F163" s="51" t="s">
        <v>138</v>
      </c>
      <c r="G163" s="52">
        <v>120000</v>
      </c>
      <c r="H163" s="52">
        <v>108771.1</v>
      </c>
      <c r="I163" s="52">
        <v>11228.9</v>
      </c>
      <c r="J163" s="52">
        <v>120000</v>
      </c>
      <c r="K163" s="52">
        <v>120000</v>
      </c>
      <c r="L163" s="52">
        <v>120000</v>
      </c>
      <c r="M163" s="52"/>
      <c r="N163" s="52">
        <f t="shared" si="91"/>
        <v>120000</v>
      </c>
      <c r="O163" s="52">
        <f>VLOOKUP(B:B,'דוח כספי 1-10.17'!A:D,4,0)</f>
        <v>19260</v>
      </c>
      <c r="P163" s="52">
        <v>120000</v>
      </c>
      <c r="Q163" s="52">
        <v>50000</v>
      </c>
      <c r="R163" s="52">
        <f>VLOOKUP(B163,'2174'!$A$182:$G$567,6,0)</f>
        <v>66690.55</v>
      </c>
      <c r="S163" s="52">
        <f t="shared" si="124"/>
        <v>72753.327272727285</v>
      </c>
      <c r="T163" s="52">
        <v>10000</v>
      </c>
      <c r="U163" s="52">
        <f>VLOOKUP(B163,'ביצוע 2019'!$A$3:$H$1103,7,0)</f>
        <v>109654.95</v>
      </c>
      <c r="V163" s="52">
        <f t="shared" si="123"/>
        <v>109654.95</v>
      </c>
      <c r="W163" s="52"/>
      <c r="X163" s="52"/>
      <c r="Y163" s="52"/>
      <c r="Z163" s="101">
        <f t="shared" si="101"/>
        <v>1</v>
      </c>
    </row>
    <row r="164" spans="1:26" s="101" customFormat="1" ht="15.75">
      <c r="A164" s="21">
        <v>19</v>
      </c>
      <c r="B164" s="51">
        <v>1811020750</v>
      </c>
      <c r="C164" s="50" t="str">
        <f t="shared" si="119"/>
        <v>750</v>
      </c>
      <c r="D164" s="50" t="str">
        <f t="shared" si="120"/>
        <v>811020</v>
      </c>
      <c r="E164" s="50" t="str">
        <f t="shared" si="121"/>
        <v>81</v>
      </c>
      <c r="F164" s="51" t="s">
        <v>139</v>
      </c>
      <c r="G164" s="52">
        <v>250000</v>
      </c>
      <c r="H164" s="52">
        <v>211139</v>
      </c>
      <c r="I164" s="52">
        <v>38861</v>
      </c>
      <c r="J164" s="52">
        <v>250000</v>
      </c>
      <c r="K164" s="52">
        <v>250000</v>
      </c>
      <c r="L164" s="52">
        <v>250000</v>
      </c>
      <c r="M164" s="52"/>
      <c r="N164" s="52">
        <f t="shared" ref="N164:N217" si="125">M164+L164</f>
        <v>250000</v>
      </c>
      <c r="O164" s="52">
        <f>VLOOKUP(B:B,'דוח כספי 1-10.17'!A:D,4,0)</f>
        <v>16618</v>
      </c>
      <c r="P164" s="52">
        <v>250000</v>
      </c>
      <c r="Q164" s="52">
        <v>150000</v>
      </c>
      <c r="R164" s="52">
        <f>VLOOKUP(B164,'2174'!$A$182:$G$567,6,0)</f>
        <v>222353.08</v>
      </c>
      <c r="S164" s="52">
        <v>222353</v>
      </c>
      <c r="T164" s="52">
        <v>130000</v>
      </c>
      <c r="U164" s="52">
        <f>VLOOKUP(B164,'ביצוע 2019'!$A$3:$H$1103,7,0)</f>
        <v>71838</v>
      </c>
      <c r="V164" s="52">
        <f t="shared" si="123"/>
        <v>71838</v>
      </c>
      <c r="W164" s="52"/>
      <c r="X164" s="52"/>
      <c r="Y164" s="52"/>
      <c r="Z164" s="101">
        <f t="shared" si="101"/>
        <v>1</v>
      </c>
    </row>
    <row r="165" spans="1:26" s="101" customFormat="1" ht="15.75">
      <c r="A165" s="21"/>
      <c r="B165" s="234"/>
      <c r="C165" s="235"/>
      <c r="D165" s="235"/>
      <c r="E165" s="235"/>
      <c r="F165" s="234" t="s">
        <v>1967</v>
      </c>
      <c r="G165" s="236"/>
      <c r="H165" s="236"/>
      <c r="I165" s="236"/>
      <c r="J165" s="236"/>
      <c r="K165" s="236"/>
      <c r="L165" s="236">
        <f t="shared" ref="L165:W165" si="126">SUM(L157:L164)</f>
        <v>1100000</v>
      </c>
      <c r="M165" s="236">
        <f t="shared" si="126"/>
        <v>0</v>
      </c>
      <c r="N165" s="236">
        <f t="shared" si="126"/>
        <v>1100000</v>
      </c>
      <c r="O165" s="236">
        <f t="shared" si="126"/>
        <v>573125.49</v>
      </c>
      <c r="P165" s="236">
        <f t="shared" si="126"/>
        <v>968478</v>
      </c>
      <c r="Q165" s="236">
        <f t="shared" si="126"/>
        <v>803710</v>
      </c>
      <c r="R165" s="236">
        <f t="shared" si="126"/>
        <v>939761.92</v>
      </c>
      <c r="S165" s="236">
        <f t="shared" si="126"/>
        <v>1149762.3545454545</v>
      </c>
      <c r="T165" s="236">
        <f t="shared" si="126"/>
        <v>921000</v>
      </c>
      <c r="U165" s="236">
        <f t="shared" si="126"/>
        <v>1117480.6600000001</v>
      </c>
      <c r="V165" s="236">
        <f t="shared" si="126"/>
        <v>1172678.6000000001</v>
      </c>
      <c r="W165" s="236">
        <f t="shared" si="126"/>
        <v>4</v>
      </c>
      <c r="X165" s="52"/>
      <c r="Y165" s="52"/>
      <c r="Z165" s="101">
        <f t="shared" si="101"/>
        <v>1</v>
      </c>
    </row>
    <row r="166" spans="1:26" s="101" customFormat="1" ht="15.75">
      <c r="A166" s="21">
        <v>20</v>
      </c>
      <c r="B166" s="51">
        <v>1812200110</v>
      </c>
      <c r="C166" s="50" t="str">
        <f t="shared" si="119"/>
        <v>110</v>
      </c>
      <c r="D166" s="50" t="str">
        <f t="shared" si="120"/>
        <v>812200</v>
      </c>
      <c r="E166" s="50" t="str">
        <f t="shared" si="121"/>
        <v>81</v>
      </c>
      <c r="F166" s="51" t="s">
        <v>140</v>
      </c>
      <c r="G166" s="52">
        <v>1279000</v>
      </c>
      <c r="H166" s="52">
        <v>1278012.6299999999</v>
      </c>
      <c r="I166" s="52">
        <v>990.37</v>
      </c>
      <c r="J166" s="52">
        <v>1210000</v>
      </c>
      <c r="K166" s="52">
        <v>1377000</v>
      </c>
      <c r="L166" s="52">
        <f>1415000+80000</f>
        <v>1495000</v>
      </c>
      <c r="M166" s="52"/>
      <c r="N166" s="52">
        <f t="shared" si="125"/>
        <v>1495000</v>
      </c>
      <c r="O166" s="52">
        <f>VLOOKUP(B:B,'דוח כספי 1-10.17'!A:D,4,0)</f>
        <v>1146872.44</v>
      </c>
      <c r="P166" s="52">
        <v>1850000</v>
      </c>
      <c r="Q166" s="52">
        <v>1900000</v>
      </c>
      <c r="R166" s="52">
        <f>VLOOKUP(B166,'2174'!$A$182:$G$567,6,0)</f>
        <v>1432782.5</v>
      </c>
      <c r="S166" s="63">
        <f>VLOOKUP(B166,'2174'!$A$575:$D$697,4,0)</f>
        <v>1903194.57</v>
      </c>
      <c r="T166" s="52">
        <v>2050000</v>
      </c>
      <c r="U166" s="52">
        <f>VLOOKUP(B166,'ביצוע 2019'!$A$3:$H$1103,7,0)</f>
        <v>2202861.91</v>
      </c>
      <c r="V166" s="52">
        <v>2275000</v>
      </c>
      <c r="W166" s="52">
        <v>16</v>
      </c>
      <c r="X166" s="52"/>
      <c r="Y166" s="52"/>
      <c r="Z166" s="101">
        <f t="shared" si="101"/>
        <v>1</v>
      </c>
    </row>
    <row r="167" spans="1:26" s="101" customFormat="1" ht="15.75">
      <c r="A167" s="21">
        <v>19</v>
      </c>
      <c r="B167" s="51">
        <v>1812200420</v>
      </c>
      <c r="C167" s="50" t="str">
        <f t="shared" si="119"/>
        <v>420</v>
      </c>
      <c r="D167" s="50" t="str">
        <f t="shared" si="120"/>
        <v>812200</v>
      </c>
      <c r="E167" s="50" t="str">
        <f t="shared" si="121"/>
        <v>81</v>
      </c>
      <c r="F167" s="51" t="s">
        <v>141</v>
      </c>
      <c r="G167" s="52">
        <v>15000</v>
      </c>
      <c r="H167" s="52">
        <v>63211</v>
      </c>
      <c r="I167" s="52">
        <v>-48205</v>
      </c>
      <c r="J167" s="52">
        <v>15000</v>
      </c>
      <c r="K167" s="52">
        <v>15000</v>
      </c>
      <c r="L167" s="52">
        <v>40000</v>
      </c>
      <c r="M167" s="52"/>
      <c r="N167" s="52">
        <f t="shared" si="125"/>
        <v>40000</v>
      </c>
      <c r="O167" s="52">
        <f>VLOOKUP(B:B,'דוח כספי 1-10.17'!A:D,4,0)</f>
        <v>36879.800000000003</v>
      </c>
      <c r="P167" s="52">
        <f t="shared" si="99"/>
        <v>44255.76</v>
      </c>
      <c r="Q167" s="52">
        <v>44000</v>
      </c>
      <c r="R167" s="52">
        <f>VLOOKUP(B167,'2174'!$A$182:$G$567,6,0)</f>
        <v>29735</v>
      </c>
      <c r="S167" s="52">
        <f t="shared" ref="S167:S178" si="127">R167*12/11</f>
        <v>32438.18181818182</v>
      </c>
      <c r="T167" s="52">
        <v>30000</v>
      </c>
      <c r="U167" s="52">
        <f>VLOOKUP(B167,'ביצוע 2019'!$A$3:$H$1103,7,0)</f>
        <v>0</v>
      </c>
      <c r="V167" s="52">
        <v>5175</v>
      </c>
      <c r="W167" s="52"/>
      <c r="X167" s="52"/>
      <c r="Y167" s="52"/>
      <c r="Z167" s="101">
        <f t="shared" si="101"/>
        <v>1</v>
      </c>
    </row>
    <row r="168" spans="1:26" s="101" customFormat="1" ht="15.75">
      <c r="A168" s="21">
        <v>19</v>
      </c>
      <c r="B168" s="51">
        <v>1812200431</v>
      </c>
      <c r="C168" s="50" t="str">
        <f t="shared" si="119"/>
        <v>431</v>
      </c>
      <c r="D168" s="50" t="str">
        <f t="shared" si="120"/>
        <v>812200</v>
      </c>
      <c r="E168" s="50" t="str">
        <f t="shared" si="121"/>
        <v>81</v>
      </c>
      <c r="F168" s="51" t="s">
        <v>142</v>
      </c>
      <c r="G168" s="52">
        <v>15000</v>
      </c>
      <c r="H168" s="52">
        <v>0</v>
      </c>
      <c r="I168" s="52">
        <v>15006</v>
      </c>
      <c r="J168" s="52">
        <v>0</v>
      </c>
      <c r="K168" s="52">
        <v>90000</v>
      </c>
      <c r="L168" s="52">
        <v>90000</v>
      </c>
      <c r="M168" s="52"/>
      <c r="N168" s="52">
        <f t="shared" si="125"/>
        <v>90000</v>
      </c>
      <c r="O168" s="52">
        <f>VLOOKUP(B:B,'דוח כספי 1-10.17'!A:D,4,0)</f>
        <v>21661.52</v>
      </c>
      <c r="P168" s="52">
        <f t="shared" si="99"/>
        <v>25993.824000000001</v>
      </c>
      <c r="Q168" s="52">
        <v>26000</v>
      </c>
      <c r="R168" s="52">
        <f>VLOOKUP(B168,'2174'!$A$182:$G$567,6,0)</f>
        <v>113848.5</v>
      </c>
      <c r="S168" s="52">
        <f t="shared" si="127"/>
        <v>124198.36363636363</v>
      </c>
      <c r="T168" s="52">
        <v>50000</v>
      </c>
      <c r="U168" s="52">
        <f>VLOOKUP(B168,'ביצוע 2019'!$A$3:$H$1103,7,0)</f>
        <v>203347.18</v>
      </c>
      <c r="V168" s="52">
        <f t="shared" ref="V168:V200" si="128">U168</f>
        <v>203347.18</v>
      </c>
      <c r="W168" s="52"/>
      <c r="X168" s="52"/>
      <c r="Y168" s="52"/>
      <c r="Z168" s="101">
        <f t="shared" si="101"/>
        <v>1</v>
      </c>
    </row>
    <row r="169" spans="1:26" s="101" customFormat="1" ht="15.75" hidden="1">
      <c r="A169" s="21">
        <v>19</v>
      </c>
      <c r="B169" s="51">
        <v>1812200432</v>
      </c>
      <c r="C169" s="50" t="str">
        <f t="shared" si="119"/>
        <v>432</v>
      </c>
      <c r="D169" s="50" t="str">
        <f t="shared" si="120"/>
        <v>812200</v>
      </c>
      <c r="E169" s="50" t="str">
        <f t="shared" si="121"/>
        <v>81</v>
      </c>
      <c r="F169" s="51" t="s">
        <v>143</v>
      </c>
      <c r="G169" s="52">
        <v>22000</v>
      </c>
      <c r="H169" s="52">
        <v>49188.800000000003</v>
      </c>
      <c r="I169" s="52">
        <v>-27184.799999999999</v>
      </c>
      <c r="J169" s="52">
        <v>50000</v>
      </c>
      <c r="K169" s="52">
        <v>50000</v>
      </c>
      <c r="L169" s="52">
        <v>50000</v>
      </c>
      <c r="M169" s="52"/>
      <c r="N169" s="52">
        <f t="shared" si="125"/>
        <v>50000</v>
      </c>
      <c r="O169" s="52">
        <f>VLOOKUP(B:B,'דוח כספי 1-10.17'!A:D,4,0)</f>
        <v>48794.1</v>
      </c>
      <c r="P169" s="52">
        <f t="shared" si="99"/>
        <v>58552.92</v>
      </c>
      <c r="Q169" s="52">
        <v>58000</v>
      </c>
      <c r="R169" s="52">
        <f>VLOOKUP(B169,'2174'!$A$182:$G$567,6,0)</f>
        <v>0</v>
      </c>
      <c r="S169" s="52">
        <f t="shared" si="127"/>
        <v>0</v>
      </c>
      <c r="T169" s="52">
        <v>0</v>
      </c>
      <c r="U169" s="52">
        <f>VLOOKUP(B169,'ביצוע 2019'!$A$3:$H$1103,7,0)</f>
        <v>0</v>
      </c>
      <c r="V169" s="52">
        <f t="shared" si="128"/>
        <v>0</v>
      </c>
      <c r="W169" s="52"/>
      <c r="X169" s="52"/>
      <c r="Y169" s="52"/>
      <c r="Z169" s="101">
        <f t="shared" si="101"/>
        <v>0</v>
      </c>
    </row>
    <row r="170" spans="1:26" s="101" customFormat="1" ht="15.75">
      <c r="A170" s="21">
        <v>19</v>
      </c>
      <c r="B170" s="51">
        <v>1812200433</v>
      </c>
      <c r="C170" s="50" t="str">
        <f t="shared" si="119"/>
        <v>433</v>
      </c>
      <c r="D170" s="50" t="str">
        <f t="shared" si="120"/>
        <v>812200</v>
      </c>
      <c r="E170" s="50" t="str">
        <f t="shared" si="121"/>
        <v>81</v>
      </c>
      <c r="F170" s="51" t="s">
        <v>144</v>
      </c>
      <c r="G170" s="52">
        <v>25000</v>
      </c>
      <c r="H170" s="52">
        <v>25364.28</v>
      </c>
      <c r="I170" s="52">
        <v>-358.28</v>
      </c>
      <c r="J170" s="52">
        <v>25000</v>
      </c>
      <c r="K170" s="52">
        <v>15000</v>
      </c>
      <c r="L170" s="52">
        <v>15000</v>
      </c>
      <c r="M170" s="52"/>
      <c r="N170" s="52">
        <f t="shared" si="125"/>
        <v>15000</v>
      </c>
      <c r="O170" s="52">
        <f>VLOOKUP(B:B,'דוח כספי 1-10.17'!A:D,4,0)</f>
        <v>0</v>
      </c>
      <c r="P170" s="52">
        <f t="shared" si="99"/>
        <v>0</v>
      </c>
      <c r="Q170" s="52">
        <f>P170</f>
        <v>0</v>
      </c>
      <c r="R170" s="52">
        <f>VLOOKUP(B170,'2174'!$A$182:$G$567,6,0)</f>
        <v>0</v>
      </c>
      <c r="S170" s="52">
        <f t="shared" si="127"/>
        <v>0</v>
      </c>
      <c r="T170" s="52">
        <v>70000</v>
      </c>
      <c r="U170" s="52">
        <f>VLOOKUP(B170,'ביצוע 2019'!$A$3:$H$1103,7,0)</f>
        <v>14640</v>
      </c>
      <c r="V170" s="52">
        <f t="shared" si="128"/>
        <v>14640</v>
      </c>
      <c r="W170" s="52"/>
      <c r="X170" s="52"/>
      <c r="Y170" s="52"/>
      <c r="Z170" s="101">
        <f t="shared" si="101"/>
        <v>1</v>
      </c>
    </row>
    <row r="171" spans="1:26" s="101" customFormat="1" ht="15.75">
      <c r="A171" s="21">
        <v>19</v>
      </c>
      <c r="B171" s="51">
        <v>1812200720</v>
      </c>
      <c r="C171" s="50" t="str">
        <f t="shared" si="119"/>
        <v>720</v>
      </c>
      <c r="D171" s="50" t="str">
        <f t="shared" si="120"/>
        <v>812200</v>
      </c>
      <c r="E171" s="50" t="str">
        <f t="shared" si="121"/>
        <v>81</v>
      </c>
      <c r="F171" s="51" t="s">
        <v>145</v>
      </c>
      <c r="G171" s="52">
        <v>20000</v>
      </c>
      <c r="H171" s="52">
        <v>3687</v>
      </c>
      <c r="I171" s="52">
        <v>16313</v>
      </c>
      <c r="J171" s="52">
        <v>10000</v>
      </c>
      <c r="K171" s="52">
        <v>10000</v>
      </c>
      <c r="L171" s="52">
        <v>10000</v>
      </c>
      <c r="M171" s="52"/>
      <c r="N171" s="52">
        <f t="shared" si="125"/>
        <v>10000</v>
      </c>
      <c r="O171" s="52">
        <f>VLOOKUP(B:B,'דוח כספי 1-10.17'!A:D,4,0)</f>
        <v>23976</v>
      </c>
      <c r="P171" s="52">
        <f t="shared" si="99"/>
        <v>28771.200000000001</v>
      </c>
      <c r="Q171" s="52">
        <v>28000</v>
      </c>
      <c r="R171" s="52">
        <f>VLOOKUP(B171,'2174'!$A$182:$G$567,6,0)</f>
        <v>9800</v>
      </c>
      <c r="S171" s="52">
        <f t="shared" si="127"/>
        <v>10690.90909090909</v>
      </c>
      <c r="T171" s="52">
        <v>0</v>
      </c>
      <c r="U171" s="52">
        <f>VLOOKUP(B171,'ביצוע 2019'!$A$3:$H$1103,7,0)</f>
        <v>7110</v>
      </c>
      <c r="V171" s="52">
        <f t="shared" si="128"/>
        <v>7110</v>
      </c>
      <c r="W171" s="52"/>
      <c r="X171" s="52"/>
      <c r="Y171" s="52"/>
      <c r="Z171" s="101">
        <f t="shared" si="101"/>
        <v>1</v>
      </c>
    </row>
    <row r="172" spans="1:26" s="101" customFormat="1" ht="15.75">
      <c r="A172" s="21">
        <v>19</v>
      </c>
      <c r="B172" s="51">
        <v>1812200740</v>
      </c>
      <c r="C172" s="50" t="str">
        <f t="shared" si="119"/>
        <v>740</v>
      </c>
      <c r="D172" s="50" t="str">
        <f t="shared" si="120"/>
        <v>812200</v>
      </c>
      <c r="E172" s="50" t="str">
        <f t="shared" si="121"/>
        <v>81</v>
      </c>
      <c r="F172" s="51" t="s">
        <v>33</v>
      </c>
      <c r="G172" s="52">
        <v>30000</v>
      </c>
      <c r="H172" s="52">
        <v>39009.199999999997</v>
      </c>
      <c r="I172" s="52">
        <v>-9009.2000000000007</v>
      </c>
      <c r="J172" s="52">
        <v>30000</v>
      </c>
      <c r="K172" s="52">
        <v>30000</v>
      </c>
      <c r="L172" s="52">
        <v>30000</v>
      </c>
      <c r="M172" s="52"/>
      <c r="N172" s="52">
        <f t="shared" si="125"/>
        <v>30000</v>
      </c>
      <c r="O172" s="52">
        <f>VLOOKUP(B:B,'דוח כספי 1-10.17'!A:D,4,0)</f>
        <v>9300</v>
      </c>
      <c r="P172" s="52">
        <f t="shared" si="99"/>
        <v>11160</v>
      </c>
      <c r="Q172" s="52">
        <v>11000</v>
      </c>
      <c r="R172" s="52">
        <f>VLOOKUP(B172,'2174'!$A$182:$G$567,6,0)</f>
        <v>112403</v>
      </c>
      <c r="S172" s="52">
        <f t="shared" si="127"/>
        <v>122621.45454545454</v>
      </c>
      <c r="T172" s="52">
        <v>45000</v>
      </c>
      <c r="U172" s="52">
        <f>VLOOKUP(B172,'ביצוע 2019'!$A$3:$H$1103,7,0)</f>
        <v>58770.12</v>
      </c>
      <c r="V172" s="52">
        <f t="shared" si="128"/>
        <v>58770.12</v>
      </c>
      <c r="W172" s="52"/>
      <c r="X172" s="52"/>
      <c r="Y172" s="52"/>
      <c r="Z172" s="101">
        <f t="shared" si="101"/>
        <v>1</v>
      </c>
    </row>
    <row r="173" spans="1:26" s="101" customFormat="1" ht="15.75">
      <c r="A173" s="21">
        <v>19</v>
      </c>
      <c r="B173" s="51">
        <v>1812200750</v>
      </c>
      <c r="C173" s="50" t="str">
        <f t="shared" si="119"/>
        <v>750</v>
      </c>
      <c r="D173" s="50" t="str">
        <f t="shared" si="120"/>
        <v>812200</v>
      </c>
      <c r="E173" s="50" t="str">
        <f t="shared" si="121"/>
        <v>81</v>
      </c>
      <c r="F173" s="51" t="s">
        <v>34</v>
      </c>
      <c r="G173" s="52">
        <v>25000</v>
      </c>
      <c r="H173" s="52">
        <v>21651</v>
      </c>
      <c r="I173" s="52">
        <v>3355</v>
      </c>
      <c r="J173" s="52">
        <v>10000</v>
      </c>
      <c r="K173" s="52">
        <v>10000</v>
      </c>
      <c r="L173" s="52">
        <v>25000</v>
      </c>
      <c r="M173" s="52"/>
      <c r="N173" s="52">
        <f t="shared" si="125"/>
        <v>25000</v>
      </c>
      <c r="O173" s="52">
        <f>VLOOKUP(B:B,'דוח כספי 1-10.17'!A:D,4,0)</f>
        <v>9300</v>
      </c>
      <c r="P173" s="52">
        <f t="shared" si="99"/>
        <v>11160</v>
      </c>
      <c r="Q173" s="52">
        <v>11000</v>
      </c>
      <c r="R173" s="52">
        <f>VLOOKUP(B173,'2174'!$A$182:$G$567,6,0)</f>
        <v>89298.75</v>
      </c>
      <c r="S173" s="52">
        <f t="shared" si="127"/>
        <v>97416.818181818177</v>
      </c>
      <c r="T173" s="52">
        <v>150000</v>
      </c>
      <c r="U173" s="52">
        <f>VLOOKUP(B173,'ביצוע 2019'!$A$3:$H$1103,7,0)</f>
        <v>129032.56</v>
      </c>
      <c r="V173" s="52">
        <f t="shared" si="128"/>
        <v>129032.56</v>
      </c>
      <c r="W173" s="52"/>
      <c r="X173" s="52"/>
      <c r="Y173" s="52"/>
      <c r="Z173" s="101">
        <f t="shared" si="101"/>
        <v>1</v>
      </c>
    </row>
    <row r="174" spans="1:26" s="101" customFormat="1" ht="15.75">
      <c r="A174" s="21">
        <v>19</v>
      </c>
      <c r="B174" s="51">
        <v>1812200751</v>
      </c>
      <c r="C174" s="50" t="str">
        <f t="shared" si="119"/>
        <v>751</v>
      </c>
      <c r="D174" s="50" t="str">
        <f t="shared" si="120"/>
        <v>812200</v>
      </c>
      <c r="E174" s="50" t="str">
        <f t="shared" si="121"/>
        <v>81</v>
      </c>
      <c r="F174" s="51" t="s">
        <v>2071</v>
      </c>
      <c r="G174" s="52"/>
      <c r="H174" s="52"/>
      <c r="I174" s="52"/>
      <c r="J174" s="52"/>
      <c r="K174" s="52"/>
      <c r="L174" s="52">
        <v>315000</v>
      </c>
      <c r="M174" s="52"/>
      <c r="N174" s="52">
        <f t="shared" si="125"/>
        <v>315000</v>
      </c>
      <c r="O174" s="52"/>
      <c r="P174" s="52">
        <v>0</v>
      </c>
      <c r="Q174" s="52">
        <v>0</v>
      </c>
      <c r="R174" s="52">
        <f>VLOOKUP(B174,'2174'!$A$182:$G$567,6,0)</f>
        <v>256910</v>
      </c>
      <c r="S174" s="52">
        <f t="shared" si="127"/>
        <v>280265.45454545453</v>
      </c>
      <c r="T174" s="52">
        <v>300000</v>
      </c>
      <c r="U174" s="52">
        <f>VLOOKUP(B174,'ביצוע 2019'!$A$3:$H$1103,7,0)</f>
        <v>21362</v>
      </c>
      <c r="V174" s="52"/>
      <c r="W174" s="52"/>
      <c r="X174" s="52"/>
      <c r="Y174" s="52"/>
      <c r="Z174" s="101">
        <f t="shared" si="101"/>
        <v>1</v>
      </c>
    </row>
    <row r="175" spans="1:26" s="101" customFormat="1" ht="15.75">
      <c r="A175" s="21">
        <v>19</v>
      </c>
      <c r="B175" s="51">
        <v>1812200760</v>
      </c>
      <c r="C175" s="50" t="str">
        <f t="shared" si="119"/>
        <v>760</v>
      </c>
      <c r="D175" s="50" t="str">
        <f t="shared" si="120"/>
        <v>812200</v>
      </c>
      <c r="E175" s="50" t="str">
        <f t="shared" si="121"/>
        <v>81</v>
      </c>
      <c r="F175" s="51" t="s">
        <v>1752</v>
      </c>
      <c r="G175" s="52"/>
      <c r="H175" s="52"/>
      <c r="I175" s="52"/>
      <c r="J175" s="52"/>
      <c r="K175" s="52"/>
      <c r="L175" s="52">
        <v>7092</v>
      </c>
      <c r="M175" s="52"/>
      <c r="N175" s="52">
        <f t="shared" si="125"/>
        <v>7092</v>
      </c>
      <c r="O175" s="52"/>
      <c r="P175" s="52">
        <v>0</v>
      </c>
      <c r="Q175" s="52">
        <v>0</v>
      </c>
      <c r="R175" s="52">
        <f>VLOOKUP(B175,'2174'!$A$182:$G$567,6,0)</f>
        <v>8649</v>
      </c>
      <c r="S175" s="52">
        <f t="shared" si="127"/>
        <v>9435.2727272727279</v>
      </c>
      <c r="T175" s="52">
        <v>30000</v>
      </c>
      <c r="U175" s="52">
        <f>VLOOKUP(B175,'ביצוע 2019'!$A$3:$H$1103,7,0)</f>
        <v>6985.99</v>
      </c>
      <c r="V175" s="52">
        <f t="shared" si="128"/>
        <v>6985.99</v>
      </c>
      <c r="W175" s="52"/>
      <c r="X175" s="52"/>
      <c r="Y175" s="52"/>
      <c r="Z175" s="101">
        <f t="shared" si="101"/>
        <v>1</v>
      </c>
    </row>
    <row r="176" spans="1:26" s="101" customFormat="1" ht="15.75">
      <c r="A176" s="21">
        <v>19</v>
      </c>
      <c r="B176" s="51">
        <v>1812200780</v>
      </c>
      <c r="C176" s="50">
        <v>780</v>
      </c>
      <c r="D176" s="50">
        <v>812200</v>
      </c>
      <c r="E176" s="50">
        <v>81</v>
      </c>
      <c r="F176" s="51" t="s">
        <v>1987</v>
      </c>
      <c r="G176" s="52"/>
      <c r="H176" s="52"/>
      <c r="I176" s="52"/>
      <c r="J176" s="52"/>
      <c r="K176" s="52"/>
      <c r="L176" s="52">
        <v>274175</v>
      </c>
      <c r="M176" s="52"/>
      <c r="N176" s="52">
        <f t="shared" si="125"/>
        <v>274175</v>
      </c>
      <c r="O176" s="52">
        <f>VLOOKUP(B:B,'דוח כספי 1-10.17'!A:D,4,0)</f>
        <v>46184.9</v>
      </c>
      <c r="P176" s="52">
        <f t="shared" si="99"/>
        <v>55421.880000000005</v>
      </c>
      <c r="Q176" s="52">
        <v>150000</v>
      </c>
      <c r="R176" s="52">
        <f>VLOOKUP(B176,'2174'!$A$182:$G$567,6,0)</f>
        <v>17000</v>
      </c>
      <c r="S176" s="52">
        <f t="shared" si="127"/>
        <v>18545.454545454544</v>
      </c>
      <c r="T176" s="52">
        <f>41870+25361+16800</f>
        <v>84031</v>
      </c>
      <c r="U176" s="52">
        <f>VLOOKUP(B176,'ביצוע 2019'!$A$3:$H$1103,7,0)</f>
        <v>16800</v>
      </c>
      <c r="V176" s="52">
        <f t="shared" si="128"/>
        <v>16800</v>
      </c>
      <c r="W176" s="52"/>
      <c r="X176" s="52"/>
      <c r="Y176" s="52"/>
      <c r="Z176" s="101">
        <f t="shared" si="101"/>
        <v>1</v>
      </c>
    </row>
    <row r="177" spans="1:26" s="101" customFormat="1" ht="15.75" hidden="1">
      <c r="A177" s="21">
        <v>19</v>
      </c>
      <c r="B177" s="51">
        <v>1812200810</v>
      </c>
      <c r="C177" s="50">
        <v>810</v>
      </c>
      <c r="D177" s="50">
        <v>812200</v>
      </c>
      <c r="E177" s="50">
        <v>81</v>
      </c>
      <c r="F177" s="51" t="s">
        <v>1647</v>
      </c>
      <c r="G177" s="52"/>
      <c r="H177" s="52"/>
      <c r="I177" s="52"/>
      <c r="J177" s="52"/>
      <c r="K177" s="52"/>
      <c r="L177" s="52">
        <v>40000</v>
      </c>
      <c r="M177" s="52"/>
      <c r="N177" s="52">
        <f t="shared" si="125"/>
        <v>40000</v>
      </c>
      <c r="O177" s="52">
        <f>VLOOKUP(B:B,'דוח כספי 1-10.17'!A:D,4,0)</f>
        <v>0</v>
      </c>
      <c r="P177" s="52">
        <f t="shared" si="99"/>
        <v>0</v>
      </c>
      <c r="Q177" s="52">
        <f>P177</f>
        <v>0</v>
      </c>
      <c r="R177" s="52">
        <f>VLOOKUP(B177,'2174'!$A$182:$G$567,6,0)</f>
        <v>0</v>
      </c>
      <c r="S177" s="52">
        <f t="shared" si="127"/>
        <v>0</v>
      </c>
      <c r="T177" s="52">
        <v>0</v>
      </c>
      <c r="U177" s="52">
        <f>VLOOKUP(B177,'ביצוע 2019'!$A$3:$H$1103,7,0)</f>
        <v>0</v>
      </c>
      <c r="V177" s="52">
        <f t="shared" si="128"/>
        <v>0</v>
      </c>
      <c r="W177" s="52"/>
      <c r="X177" s="52"/>
      <c r="Y177" s="52"/>
      <c r="Z177" s="101">
        <f t="shared" si="101"/>
        <v>0</v>
      </c>
    </row>
    <row r="178" spans="1:26" s="101" customFormat="1" ht="15.75" hidden="1">
      <c r="A178" s="21">
        <v>19</v>
      </c>
      <c r="B178" s="51">
        <v>1812200840</v>
      </c>
      <c r="C178" s="50">
        <v>840</v>
      </c>
      <c r="D178" s="50">
        <v>812200</v>
      </c>
      <c r="E178" s="50">
        <v>81</v>
      </c>
      <c r="F178" s="51" t="s">
        <v>1646</v>
      </c>
      <c r="G178" s="52"/>
      <c r="H178" s="52"/>
      <c r="I178" s="52"/>
      <c r="J178" s="52"/>
      <c r="K178" s="52"/>
      <c r="L178" s="52">
        <v>100000</v>
      </c>
      <c r="M178" s="52"/>
      <c r="N178" s="52">
        <f t="shared" si="125"/>
        <v>100000</v>
      </c>
      <c r="O178" s="52">
        <f>VLOOKUP(B:B,'דוח כספי 1-10.17'!A:D,4,0)</f>
        <v>0</v>
      </c>
      <c r="P178" s="52">
        <f t="shared" si="99"/>
        <v>0</v>
      </c>
      <c r="Q178" s="52">
        <f>P178</f>
        <v>0</v>
      </c>
      <c r="R178" s="52">
        <f>VLOOKUP(B178,'2174'!$A$182:$G$567,6,0)</f>
        <v>0</v>
      </c>
      <c r="S178" s="52">
        <f t="shared" si="127"/>
        <v>0</v>
      </c>
      <c r="T178" s="52">
        <v>0</v>
      </c>
      <c r="U178" s="52">
        <f>VLOOKUP(B178,'ביצוע 2019'!$A$3:$H$1103,7,0)</f>
        <v>0</v>
      </c>
      <c r="V178" s="52">
        <f t="shared" si="128"/>
        <v>0</v>
      </c>
      <c r="W178" s="52"/>
      <c r="X178" s="52"/>
      <c r="Y178" s="52"/>
      <c r="Z178" s="101">
        <f t="shared" si="101"/>
        <v>0</v>
      </c>
    </row>
    <row r="179" spans="1:26" s="101" customFormat="1" ht="15.75">
      <c r="A179" s="21">
        <v>20</v>
      </c>
      <c r="B179" s="51">
        <v>1812300110</v>
      </c>
      <c r="C179" s="50" t="str">
        <f t="shared" si="119"/>
        <v>110</v>
      </c>
      <c r="D179" s="50" t="str">
        <f t="shared" si="120"/>
        <v>812300</v>
      </c>
      <c r="E179" s="50" t="str">
        <f t="shared" si="121"/>
        <v>81</v>
      </c>
      <c r="F179" s="51" t="s">
        <v>146</v>
      </c>
      <c r="G179" s="52">
        <v>2100000</v>
      </c>
      <c r="H179" s="52">
        <v>2163772.9700000002</v>
      </c>
      <c r="I179" s="52">
        <v>-63772.97</v>
      </c>
      <c r="J179" s="52">
        <v>2278000</v>
      </c>
      <c r="K179" s="52">
        <v>3463000</v>
      </c>
      <c r="L179" s="52">
        <v>3560000</v>
      </c>
      <c r="M179" s="52"/>
      <c r="N179" s="52">
        <f t="shared" si="125"/>
        <v>3560000</v>
      </c>
      <c r="O179" s="52">
        <f>VLOOKUP(B:B,'דוח כספי 1-10.17'!A:D,4,0)</f>
        <v>2709193.89</v>
      </c>
      <c r="P179" s="52">
        <v>4500000</v>
      </c>
      <c r="Q179" s="52">
        <f>5890000-3600000</f>
        <v>2290000</v>
      </c>
      <c r="R179" s="52">
        <f>VLOOKUP(B179,'2174'!$A$182:$G$567,6,0)</f>
        <v>3893469.81</v>
      </c>
      <c r="S179" s="63">
        <f>VLOOKUP(B179,'2174'!$A$575:$D$697,4,0)</f>
        <v>5368547.3899999997</v>
      </c>
      <c r="T179" s="52">
        <v>5600000</v>
      </c>
      <c r="U179" s="52">
        <f>VLOOKUP(B179,'ביצוע 2019'!$A$3:$H$1103,7,0)</f>
        <v>5405830.1200000001</v>
      </c>
      <c r="V179" s="52">
        <v>5600000</v>
      </c>
      <c r="W179" s="63">
        <v>33.5</v>
      </c>
      <c r="X179" s="52"/>
      <c r="Y179" s="52"/>
      <c r="Z179" s="101">
        <f t="shared" si="101"/>
        <v>1</v>
      </c>
    </row>
    <row r="180" spans="1:26" s="101" customFormat="1" ht="15.75">
      <c r="A180" s="21">
        <v>19</v>
      </c>
      <c r="B180" s="51">
        <v>1812300410</v>
      </c>
      <c r="C180" s="50" t="str">
        <f t="shared" si="119"/>
        <v>410</v>
      </c>
      <c r="D180" s="50" t="str">
        <f t="shared" si="120"/>
        <v>812300</v>
      </c>
      <c r="E180" s="50" t="str">
        <f t="shared" si="121"/>
        <v>81</v>
      </c>
      <c r="F180" s="51" t="s">
        <v>148</v>
      </c>
      <c r="G180" s="52">
        <v>273000</v>
      </c>
      <c r="H180" s="52">
        <v>242568</v>
      </c>
      <c r="I180" s="52">
        <v>30433</v>
      </c>
      <c r="J180" s="52">
        <v>250000</v>
      </c>
      <c r="K180" s="52">
        <v>286000</v>
      </c>
      <c r="L180" s="52">
        <v>286000</v>
      </c>
      <c r="M180" s="52"/>
      <c r="N180" s="52">
        <f t="shared" si="125"/>
        <v>286000</v>
      </c>
      <c r="O180" s="52">
        <f>VLOOKUP(B:B,'דוח כספי 1-10.17'!A:D,4,0)</f>
        <v>126686</v>
      </c>
      <c r="P180" s="52">
        <f t="shared" ref="P180:P226" si="129">O180*12/10</f>
        <v>152023.20000000001</v>
      </c>
      <c r="Q180" s="52">
        <v>152000</v>
      </c>
      <c r="R180" s="52">
        <f>VLOOKUP(B180,'2174'!$A$182:$G$567,6,0)</f>
        <v>200293.8</v>
      </c>
      <c r="S180" s="52">
        <v>200000</v>
      </c>
      <c r="T180" s="52">
        <v>150000</v>
      </c>
      <c r="U180" s="52">
        <f>VLOOKUP(B180,'ביצוע 2019'!$A$3:$H$1103,7,0)</f>
        <v>305004</v>
      </c>
      <c r="V180" s="52">
        <f t="shared" si="128"/>
        <v>305004</v>
      </c>
      <c r="W180" s="52"/>
      <c r="X180" s="52"/>
      <c r="Y180" s="52"/>
      <c r="Z180" s="101">
        <f t="shared" si="101"/>
        <v>1</v>
      </c>
    </row>
    <row r="181" spans="1:26" s="101" customFormat="1" ht="15.75" hidden="1">
      <c r="A181" s="21">
        <v>19</v>
      </c>
      <c r="B181" s="51">
        <v>1812300411</v>
      </c>
      <c r="C181" s="50" t="str">
        <f t="shared" si="119"/>
        <v>411</v>
      </c>
      <c r="D181" s="50" t="str">
        <f t="shared" si="120"/>
        <v>812300</v>
      </c>
      <c r="E181" s="50" t="str">
        <f t="shared" si="121"/>
        <v>81</v>
      </c>
      <c r="F181" s="51" t="s">
        <v>149</v>
      </c>
      <c r="G181" s="52">
        <v>20000</v>
      </c>
      <c r="H181" s="52">
        <v>31500</v>
      </c>
      <c r="I181" s="52">
        <v>-11500</v>
      </c>
      <c r="J181" s="52">
        <v>20000</v>
      </c>
      <c r="K181" s="52"/>
      <c r="L181" s="52">
        <f>+K181</f>
        <v>0</v>
      </c>
      <c r="M181" s="52"/>
      <c r="N181" s="52">
        <f t="shared" si="125"/>
        <v>0</v>
      </c>
      <c r="O181" s="52">
        <f>VLOOKUP(B:B,'דוח כספי 1-10.17'!A:D,4,0)</f>
        <v>17673</v>
      </c>
      <c r="P181" s="52">
        <f t="shared" si="129"/>
        <v>21207.599999999999</v>
      </c>
      <c r="Q181" s="52">
        <v>21000</v>
      </c>
      <c r="R181" s="52"/>
      <c r="S181" s="52">
        <f t="shared" ref="S181:S200" si="130">R181*12/11</f>
        <v>0</v>
      </c>
      <c r="T181" s="52">
        <v>0</v>
      </c>
      <c r="U181" s="52">
        <f>VLOOKUP(B181,'ביצוע 2019'!$A$3:$H$1103,7,0)</f>
        <v>0</v>
      </c>
      <c r="V181" s="52">
        <f t="shared" si="128"/>
        <v>0</v>
      </c>
      <c r="W181" s="52"/>
      <c r="X181" s="52"/>
      <c r="Y181" s="52"/>
      <c r="Z181" s="101">
        <f t="shared" si="101"/>
        <v>0</v>
      </c>
    </row>
    <row r="182" spans="1:26" s="101" customFormat="1" ht="15.75">
      <c r="A182" s="21">
        <v>19</v>
      </c>
      <c r="B182" s="51">
        <v>1812300431</v>
      </c>
      <c r="C182" s="50" t="str">
        <f t="shared" si="119"/>
        <v>431</v>
      </c>
      <c r="D182" s="50" t="str">
        <f t="shared" si="120"/>
        <v>812300</v>
      </c>
      <c r="E182" s="50" t="str">
        <f t="shared" si="121"/>
        <v>81</v>
      </c>
      <c r="F182" s="51" t="s">
        <v>26</v>
      </c>
      <c r="G182" s="52">
        <v>60000</v>
      </c>
      <c r="H182" s="52">
        <v>77192.320000000007</v>
      </c>
      <c r="I182" s="52">
        <v>-17192.32</v>
      </c>
      <c r="J182" s="52">
        <v>77000</v>
      </c>
      <c r="K182" s="52">
        <v>122000</v>
      </c>
      <c r="L182" s="52">
        <v>122000</v>
      </c>
      <c r="M182" s="52"/>
      <c r="N182" s="52">
        <f t="shared" si="125"/>
        <v>122000</v>
      </c>
      <c r="O182" s="52">
        <f>VLOOKUP(B:B,'דוח כספי 1-10.17'!A:D,4,0)</f>
        <v>30605.62</v>
      </c>
      <c r="P182" s="52">
        <f t="shared" si="129"/>
        <v>36726.743999999999</v>
      </c>
      <c r="Q182" s="52">
        <v>36000</v>
      </c>
      <c r="R182" s="52">
        <f>VLOOKUP(B182,'2174'!$A$182:$G$567,6,0)</f>
        <v>16800</v>
      </c>
      <c r="S182" s="52">
        <f t="shared" si="130"/>
        <v>18327.272727272728</v>
      </c>
      <c r="T182" s="52">
        <v>25000</v>
      </c>
      <c r="U182" s="52">
        <f>VLOOKUP(B182,'ביצוע 2019'!$A$3:$H$1103,7,0)</f>
        <v>44325</v>
      </c>
      <c r="V182" s="52">
        <f t="shared" si="128"/>
        <v>44325</v>
      </c>
      <c r="W182" s="52"/>
      <c r="X182" s="52"/>
      <c r="Y182" s="52"/>
      <c r="Z182" s="101">
        <f t="shared" si="101"/>
        <v>1</v>
      </c>
    </row>
    <row r="183" spans="1:26" s="101" customFormat="1" ht="15.75" hidden="1">
      <c r="A183" s="21">
        <v>19</v>
      </c>
      <c r="B183" s="51">
        <v>1812300432</v>
      </c>
      <c r="C183" s="50" t="str">
        <f t="shared" si="119"/>
        <v>432</v>
      </c>
      <c r="D183" s="50" t="str">
        <f t="shared" si="120"/>
        <v>812300</v>
      </c>
      <c r="E183" s="50" t="str">
        <f t="shared" si="121"/>
        <v>81</v>
      </c>
      <c r="F183" s="51" t="s">
        <v>151</v>
      </c>
      <c r="G183" s="52">
        <v>26000</v>
      </c>
      <c r="H183" s="52">
        <v>32308.400000000001</v>
      </c>
      <c r="I183" s="52">
        <v>-6306.4</v>
      </c>
      <c r="J183" s="52">
        <v>30000</v>
      </c>
      <c r="K183" s="52"/>
      <c r="L183" s="52"/>
      <c r="M183" s="52"/>
      <c r="N183" s="52">
        <f t="shared" si="125"/>
        <v>0</v>
      </c>
      <c r="O183" s="52">
        <f>VLOOKUP(B:B,'דוח כספי 1-10.17'!A:D,4,0)</f>
        <v>11000</v>
      </c>
      <c r="P183" s="52">
        <f t="shared" si="129"/>
        <v>13200</v>
      </c>
      <c r="Q183" s="52">
        <v>13000</v>
      </c>
      <c r="R183" s="52"/>
      <c r="S183" s="52">
        <f t="shared" si="130"/>
        <v>0</v>
      </c>
      <c r="T183" s="52">
        <v>0</v>
      </c>
      <c r="U183" s="52">
        <f>VLOOKUP(B183,'ביצוע 2019'!$A$3:$H$1103,7,0)</f>
        <v>0</v>
      </c>
      <c r="V183" s="52">
        <f t="shared" si="128"/>
        <v>0</v>
      </c>
      <c r="W183" s="52"/>
      <c r="X183" s="52"/>
      <c r="Y183" s="52"/>
      <c r="Z183" s="101">
        <f t="shared" si="101"/>
        <v>0</v>
      </c>
    </row>
    <row r="184" spans="1:26" s="101" customFormat="1" ht="15.75">
      <c r="A184" s="21">
        <v>19</v>
      </c>
      <c r="B184" s="51">
        <v>1812300433</v>
      </c>
      <c r="C184" s="50" t="str">
        <f t="shared" si="119"/>
        <v>433</v>
      </c>
      <c r="D184" s="50" t="str">
        <f t="shared" si="120"/>
        <v>812300</v>
      </c>
      <c r="E184" s="50" t="str">
        <f t="shared" si="121"/>
        <v>81</v>
      </c>
      <c r="F184" s="51" t="s">
        <v>144</v>
      </c>
      <c r="G184" s="52">
        <v>10000</v>
      </c>
      <c r="H184" s="52">
        <v>45094.1</v>
      </c>
      <c r="I184" s="52">
        <v>-35094.1</v>
      </c>
      <c r="J184" s="52">
        <v>45000</v>
      </c>
      <c r="K184" s="52">
        <v>45000</v>
      </c>
      <c r="L184" s="52">
        <v>45000</v>
      </c>
      <c r="M184" s="52"/>
      <c r="N184" s="52">
        <f t="shared" si="125"/>
        <v>45000</v>
      </c>
      <c r="O184" s="52">
        <f>VLOOKUP(B:B,'דוח כספי 1-10.17'!A:D,4,0)</f>
        <v>17416</v>
      </c>
      <c r="P184" s="52">
        <f t="shared" si="129"/>
        <v>20899.2</v>
      </c>
      <c r="Q184" s="52">
        <v>21000</v>
      </c>
      <c r="R184" s="52">
        <f>VLOOKUP(B184,'2174'!$A$182:$G$567,6,0)</f>
        <v>21956</v>
      </c>
      <c r="S184" s="52">
        <f t="shared" si="130"/>
        <v>23952</v>
      </c>
      <c r="T184" s="52">
        <v>35000</v>
      </c>
      <c r="U184" s="52">
        <f>VLOOKUP(B184,'ביצוע 2019'!$A$3:$H$1103,7,0)</f>
        <v>27630</v>
      </c>
      <c r="V184" s="52">
        <f t="shared" si="128"/>
        <v>27630</v>
      </c>
      <c r="W184" s="52"/>
      <c r="X184" s="52"/>
      <c r="Y184" s="52"/>
      <c r="Z184" s="101">
        <f t="shared" si="101"/>
        <v>1</v>
      </c>
    </row>
    <row r="185" spans="1:26" s="101" customFormat="1" ht="15.75">
      <c r="A185" s="21">
        <v>19</v>
      </c>
      <c r="B185" s="51">
        <v>1812300521</v>
      </c>
      <c r="C185" s="50">
        <v>521</v>
      </c>
      <c r="D185" s="50">
        <v>812300</v>
      </c>
      <c r="E185" s="50">
        <v>81</v>
      </c>
      <c r="F185" s="160" t="s">
        <v>1642</v>
      </c>
      <c r="G185" s="52"/>
      <c r="H185" s="52"/>
      <c r="I185" s="52"/>
      <c r="J185" s="52"/>
      <c r="K185" s="52"/>
      <c r="L185" s="52">
        <v>2000</v>
      </c>
      <c r="M185" s="52"/>
      <c r="N185" s="52">
        <f t="shared" si="125"/>
        <v>2000</v>
      </c>
      <c r="O185" s="52">
        <f>VLOOKUP(B:B,'דוח כספי 1-10.17'!A:D,4,0)</f>
        <v>0</v>
      </c>
      <c r="P185" s="52">
        <f t="shared" si="129"/>
        <v>0</v>
      </c>
      <c r="Q185" s="52">
        <f>P185</f>
        <v>0</v>
      </c>
      <c r="R185" s="52">
        <f>VLOOKUP(B185,'2174'!$A$182:$G$567,6,0)</f>
        <v>0</v>
      </c>
      <c r="S185" s="52">
        <f t="shared" si="130"/>
        <v>0</v>
      </c>
      <c r="T185" s="52">
        <v>2000</v>
      </c>
      <c r="U185" s="52">
        <f>VLOOKUP(B185,'ביצוע 2019'!$A$3:$H$1103,7,0)</f>
        <v>0</v>
      </c>
      <c r="V185" s="52">
        <f t="shared" si="128"/>
        <v>0</v>
      </c>
      <c r="W185" s="52"/>
      <c r="X185" s="52"/>
      <c r="Y185" s="52"/>
      <c r="Z185" s="101">
        <f t="shared" si="101"/>
        <v>1</v>
      </c>
    </row>
    <row r="186" spans="1:26" s="101" customFormat="1" ht="15.75" hidden="1">
      <c r="A186" s="21">
        <v>19</v>
      </c>
      <c r="B186" s="51">
        <v>1812300540</v>
      </c>
      <c r="C186" s="50" t="str">
        <f t="shared" si="119"/>
        <v>540</v>
      </c>
      <c r="D186" s="50" t="str">
        <f t="shared" si="120"/>
        <v>812300</v>
      </c>
      <c r="E186" s="50" t="str">
        <f t="shared" si="121"/>
        <v>81</v>
      </c>
      <c r="F186" s="51" t="s">
        <v>152</v>
      </c>
      <c r="G186" s="52">
        <v>15000</v>
      </c>
      <c r="H186" s="52">
        <v>11391.76</v>
      </c>
      <c r="I186" s="52">
        <v>3614.24</v>
      </c>
      <c r="J186" s="52">
        <v>12000</v>
      </c>
      <c r="K186" s="52">
        <v>8000</v>
      </c>
      <c r="L186" s="52">
        <v>55000</v>
      </c>
      <c r="M186" s="52"/>
      <c r="N186" s="52">
        <f t="shared" si="125"/>
        <v>55000</v>
      </c>
      <c r="O186" s="52">
        <f>VLOOKUP(B:B,'דוח כספי 1-10.17'!A:D,4,0)</f>
        <v>4790</v>
      </c>
      <c r="P186" s="52">
        <f t="shared" si="129"/>
        <v>5748</v>
      </c>
      <c r="Q186" s="52">
        <v>6000</v>
      </c>
      <c r="R186" s="52">
        <f>VLOOKUP(B186,'2174'!$A$182:$G$567,6,0)</f>
        <v>850</v>
      </c>
      <c r="S186" s="52">
        <v>0</v>
      </c>
      <c r="T186" s="52">
        <v>0</v>
      </c>
      <c r="U186" s="52">
        <f>VLOOKUP(B186,'ביצוע 2019'!$A$3:$H$1103,7,0)</f>
        <v>0</v>
      </c>
      <c r="V186" s="52">
        <f t="shared" si="128"/>
        <v>0</v>
      </c>
      <c r="W186" s="52"/>
      <c r="X186" s="52"/>
      <c r="Y186" s="52"/>
      <c r="Z186" s="101">
        <f t="shared" si="101"/>
        <v>0</v>
      </c>
    </row>
    <row r="187" spans="1:26" s="101" customFormat="1" ht="15.75" hidden="1">
      <c r="A187" s="21">
        <v>19</v>
      </c>
      <c r="B187" s="51">
        <v>1812300560</v>
      </c>
      <c r="C187" s="50" t="str">
        <f t="shared" si="119"/>
        <v>560</v>
      </c>
      <c r="D187" s="50" t="str">
        <f t="shared" si="120"/>
        <v>812300</v>
      </c>
      <c r="E187" s="50" t="str">
        <f t="shared" si="121"/>
        <v>81</v>
      </c>
      <c r="F187" s="51" t="s">
        <v>153</v>
      </c>
      <c r="G187" s="52">
        <v>3000</v>
      </c>
      <c r="H187" s="52">
        <v>1113</v>
      </c>
      <c r="I187" s="52">
        <v>1888</v>
      </c>
      <c r="J187" s="52">
        <v>2000</v>
      </c>
      <c r="K187" s="52">
        <v>2000</v>
      </c>
      <c r="L187" s="52">
        <v>2000</v>
      </c>
      <c r="M187" s="52"/>
      <c r="N187" s="52">
        <f t="shared" si="125"/>
        <v>2000</v>
      </c>
      <c r="O187" s="52">
        <f>VLOOKUP(B:B,'דוח כספי 1-10.17'!A:D,4,0)</f>
        <v>0</v>
      </c>
      <c r="P187" s="52">
        <f t="shared" si="129"/>
        <v>0</v>
      </c>
      <c r="Q187" s="52">
        <f>P187</f>
        <v>0</v>
      </c>
      <c r="R187" s="52">
        <f>VLOOKUP(B187,'2174'!$A$182:$G$567,6,0)</f>
        <v>0</v>
      </c>
      <c r="S187" s="52">
        <f t="shared" si="130"/>
        <v>0</v>
      </c>
      <c r="T187" s="52">
        <v>0</v>
      </c>
      <c r="U187" s="52">
        <f>VLOOKUP(B187,'ביצוע 2019'!$A$3:$H$1103,7,0)</f>
        <v>0</v>
      </c>
      <c r="V187" s="52">
        <f t="shared" si="128"/>
        <v>0</v>
      </c>
      <c r="W187" s="52"/>
      <c r="X187" s="52"/>
      <c r="Y187" s="52"/>
      <c r="Z187" s="101">
        <f t="shared" si="101"/>
        <v>0</v>
      </c>
    </row>
    <row r="188" spans="1:26" s="101" customFormat="1" ht="15.75">
      <c r="A188" s="21">
        <v>19</v>
      </c>
      <c r="B188" s="51">
        <v>1812300720</v>
      </c>
      <c r="C188" s="50" t="str">
        <f t="shared" si="119"/>
        <v>720</v>
      </c>
      <c r="D188" s="50" t="str">
        <f t="shared" si="120"/>
        <v>812300</v>
      </c>
      <c r="E188" s="50" t="str">
        <f t="shared" si="121"/>
        <v>81</v>
      </c>
      <c r="F188" s="51" t="s">
        <v>154</v>
      </c>
      <c r="G188" s="52">
        <v>26000</v>
      </c>
      <c r="H188" s="52">
        <v>40325</v>
      </c>
      <c r="I188" s="52">
        <v>-14323</v>
      </c>
      <c r="J188" s="52">
        <v>30000</v>
      </c>
      <c r="K188" s="52">
        <v>30000</v>
      </c>
      <c r="L188" s="52">
        <v>30000</v>
      </c>
      <c r="M188" s="52"/>
      <c r="N188" s="52">
        <f t="shared" si="125"/>
        <v>30000</v>
      </c>
      <c r="O188" s="52">
        <f>VLOOKUP(B:B,'דוח כספי 1-10.17'!A:D,4,0)</f>
        <v>22428</v>
      </c>
      <c r="P188" s="52">
        <f t="shared" si="129"/>
        <v>26913.599999999999</v>
      </c>
      <c r="Q188" s="52">
        <v>27000</v>
      </c>
      <c r="R188" s="52">
        <f>VLOOKUP(B188,'2174'!$A$182:$G$567,6,0)</f>
        <v>29918.5</v>
      </c>
      <c r="S188" s="52">
        <f t="shared" si="130"/>
        <v>32638.363636363636</v>
      </c>
      <c r="T188" s="52">
        <v>0</v>
      </c>
      <c r="U188" s="52">
        <f>VLOOKUP(B188,'ביצוע 2019'!$A$3:$H$1103,7,0)</f>
        <v>20130</v>
      </c>
      <c r="V188" s="52">
        <f t="shared" si="128"/>
        <v>20130</v>
      </c>
      <c r="W188" s="52"/>
      <c r="X188" s="52"/>
      <c r="Y188" s="52"/>
      <c r="Z188" s="101">
        <f t="shared" si="101"/>
        <v>1</v>
      </c>
    </row>
    <row r="189" spans="1:26" s="101" customFormat="1" ht="15.75">
      <c r="A189" s="21">
        <v>19</v>
      </c>
      <c r="B189" s="51">
        <v>1812300740</v>
      </c>
      <c r="C189" s="50" t="str">
        <f t="shared" si="119"/>
        <v>740</v>
      </c>
      <c r="D189" s="50" t="str">
        <f t="shared" si="120"/>
        <v>812300</v>
      </c>
      <c r="E189" s="50" t="str">
        <f t="shared" si="121"/>
        <v>81</v>
      </c>
      <c r="F189" s="51" t="s">
        <v>155</v>
      </c>
      <c r="G189" s="52">
        <v>0</v>
      </c>
      <c r="H189" s="52">
        <v>0</v>
      </c>
      <c r="I189" s="52">
        <v>0</v>
      </c>
      <c r="J189" s="52">
        <v>0</v>
      </c>
      <c r="K189" s="52">
        <v>85000</v>
      </c>
      <c r="L189" s="52">
        <v>55000</v>
      </c>
      <c r="M189" s="52"/>
      <c r="N189" s="52">
        <f t="shared" si="125"/>
        <v>55000</v>
      </c>
      <c r="O189" s="52">
        <f>VLOOKUP(B:B,'דוח כספי 1-10.17'!A:D,4,0)</f>
        <v>0</v>
      </c>
      <c r="P189" s="52">
        <f t="shared" si="129"/>
        <v>0</v>
      </c>
      <c r="Q189" s="52">
        <f>P189</f>
        <v>0</v>
      </c>
      <c r="R189" s="52">
        <f>VLOOKUP(B189,'2174'!$A$182:$G$567,6,0)</f>
        <v>56280.45</v>
      </c>
      <c r="S189" s="52">
        <f t="shared" si="130"/>
        <v>61396.854545454538</v>
      </c>
      <c r="T189" s="52">
        <v>0</v>
      </c>
      <c r="U189" s="52">
        <f>VLOOKUP(B189,'ביצוע 2019'!$A$3:$H$1103,7,0)</f>
        <v>54797.3</v>
      </c>
      <c r="V189" s="52">
        <f t="shared" si="128"/>
        <v>54797.3</v>
      </c>
      <c r="W189" s="52"/>
      <c r="X189" s="52"/>
      <c r="Y189" s="52"/>
      <c r="Z189" s="101">
        <f t="shared" si="101"/>
        <v>1</v>
      </c>
    </row>
    <row r="190" spans="1:26" s="101" customFormat="1" ht="15.75" hidden="1">
      <c r="A190" s="21">
        <v>19</v>
      </c>
      <c r="B190" s="51">
        <v>1812300750</v>
      </c>
      <c r="C190" s="50" t="str">
        <f t="shared" si="119"/>
        <v>750</v>
      </c>
      <c r="D190" s="50" t="str">
        <f t="shared" si="120"/>
        <v>812300</v>
      </c>
      <c r="E190" s="50" t="str">
        <f t="shared" si="121"/>
        <v>81</v>
      </c>
      <c r="F190" s="51" t="s">
        <v>62</v>
      </c>
      <c r="G190" s="52">
        <v>15000</v>
      </c>
      <c r="H190" s="52">
        <v>6216</v>
      </c>
      <c r="I190" s="52">
        <v>8790</v>
      </c>
      <c r="J190" s="52">
        <v>7000</v>
      </c>
      <c r="K190" s="52">
        <v>1500</v>
      </c>
      <c r="L190" s="52">
        <v>0</v>
      </c>
      <c r="M190" s="52"/>
      <c r="N190" s="52">
        <f t="shared" si="125"/>
        <v>0</v>
      </c>
      <c r="O190" s="52">
        <f>VLOOKUP(B:B,'דוח כספי 1-10.17'!A:D,4,0)</f>
        <v>0</v>
      </c>
      <c r="P190" s="52">
        <f t="shared" si="129"/>
        <v>0</v>
      </c>
      <c r="Q190" s="52">
        <f>P190</f>
        <v>0</v>
      </c>
      <c r="R190" s="52"/>
      <c r="S190" s="52">
        <f t="shared" si="130"/>
        <v>0</v>
      </c>
      <c r="T190" s="52">
        <v>0</v>
      </c>
      <c r="U190" s="52">
        <f>VLOOKUP(B190,'ביצוע 2019'!$A$3:$H$1103,7,0)</f>
        <v>0</v>
      </c>
      <c r="V190" s="52">
        <f t="shared" si="128"/>
        <v>0</v>
      </c>
      <c r="W190" s="52"/>
      <c r="X190" s="52"/>
      <c r="Y190" s="52"/>
      <c r="Z190" s="101">
        <f t="shared" si="101"/>
        <v>0</v>
      </c>
    </row>
    <row r="191" spans="1:26" s="101" customFormat="1" ht="15.75">
      <c r="A191" s="21">
        <v>19</v>
      </c>
      <c r="B191" s="51">
        <v>1812300760</v>
      </c>
      <c r="C191" s="50" t="str">
        <f t="shared" si="119"/>
        <v>760</v>
      </c>
      <c r="D191" s="50" t="str">
        <f t="shared" si="120"/>
        <v>812300</v>
      </c>
      <c r="E191" s="50" t="str">
        <f t="shared" si="121"/>
        <v>81</v>
      </c>
      <c r="F191" s="51" t="s">
        <v>156</v>
      </c>
      <c r="G191" s="52">
        <v>2550000</v>
      </c>
      <c r="H191" s="52">
        <v>2522610.08</v>
      </c>
      <c r="I191" s="52">
        <v>27389.919999999998</v>
      </c>
      <c r="J191" s="52">
        <v>2550000</v>
      </c>
      <c r="K191" s="52">
        <v>2350000</v>
      </c>
      <c r="L191" s="52">
        <v>2350000</v>
      </c>
      <c r="M191" s="52"/>
      <c r="N191" s="52">
        <f t="shared" si="125"/>
        <v>2350000</v>
      </c>
      <c r="O191" s="52">
        <f>VLOOKUP(B:B,'דוח כספי 1-10.17'!A:D,4,0)</f>
        <v>2191827.61</v>
      </c>
      <c r="P191" s="52">
        <f t="shared" si="129"/>
        <v>2630193.1320000002</v>
      </c>
      <c r="Q191" s="52">
        <v>2630000</v>
      </c>
      <c r="R191" s="52">
        <f>VLOOKUP(B191,'2174'!$A$182:$G$567,6,0)</f>
        <v>2568958.85</v>
      </c>
      <c r="S191" s="52">
        <v>2790000</v>
      </c>
      <c r="T191" s="52">
        <v>2800000</v>
      </c>
      <c r="U191" s="52">
        <f>VLOOKUP(B191,'ביצוע 2019'!$A$3:$H$1103,7,0)</f>
        <v>2774569.42</v>
      </c>
      <c r="V191" s="52">
        <v>2500000</v>
      </c>
      <c r="W191" s="52"/>
      <c r="X191" s="52"/>
      <c r="Y191" s="52"/>
      <c r="Z191" s="101">
        <f t="shared" si="101"/>
        <v>1</v>
      </c>
    </row>
    <row r="192" spans="1:26" s="101" customFormat="1" ht="15.75">
      <c r="A192" s="21">
        <v>19</v>
      </c>
      <c r="B192" s="51">
        <v>1812300780</v>
      </c>
      <c r="C192" s="50" t="str">
        <f t="shared" si="119"/>
        <v>780</v>
      </c>
      <c r="D192" s="50" t="str">
        <f t="shared" si="120"/>
        <v>812300</v>
      </c>
      <c r="E192" s="50" t="str">
        <f t="shared" si="121"/>
        <v>81</v>
      </c>
      <c r="F192" s="51" t="s">
        <v>2072</v>
      </c>
      <c r="G192" s="52">
        <v>5000</v>
      </c>
      <c r="H192" s="52">
        <v>1510</v>
      </c>
      <c r="I192" s="52">
        <v>3496</v>
      </c>
      <c r="J192" s="52">
        <v>2000</v>
      </c>
      <c r="K192" s="52">
        <v>1600000</v>
      </c>
      <c r="L192" s="52">
        <v>1600000</v>
      </c>
      <c r="M192" s="52"/>
      <c r="N192" s="52">
        <f t="shared" si="125"/>
        <v>1600000</v>
      </c>
      <c r="O192" s="52">
        <f>VLOOKUP(B:B,'דוח כספי 1-10.17'!A:D,4,0)</f>
        <v>0</v>
      </c>
      <c r="P192" s="52">
        <f t="shared" si="129"/>
        <v>0</v>
      </c>
      <c r="Q192" s="52">
        <v>600000</v>
      </c>
      <c r="R192" s="52">
        <f>VLOOKUP(B192,'2174'!$A$182:$G$567,6,0)</f>
        <v>613792</v>
      </c>
      <c r="S192" s="52">
        <v>300000</v>
      </c>
      <c r="T192" s="52">
        <v>400000</v>
      </c>
      <c r="U192" s="52">
        <f>VLOOKUP(B192,'ביצוע 2019'!$A$3:$H$1103,7,0)</f>
        <v>455570.8</v>
      </c>
      <c r="V192" s="52">
        <v>400000</v>
      </c>
      <c r="W192" s="52"/>
      <c r="X192" s="52"/>
      <c r="Y192" s="52"/>
      <c r="Z192" s="101">
        <f t="shared" si="101"/>
        <v>1</v>
      </c>
    </row>
    <row r="193" spans="1:26" s="101" customFormat="1" ht="15.75" hidden="1">
      <c r="A193" s="21">
        <v>19</v>
      </c>
      <c r="B193" s="51">
        <v>1812300930</v>
      </c>
      <c r="C193" s="50" t="str">
        <f t="shared" si="119"/>
        <v>930</v>
      </c>
      <c r="D193" s="50" t="str">
        <f t="shared" si="120"/>
        <v>812300</v>
      </c>
      <c r="E193" s="50" t="str">
        <f t="shared" si="121"/>
        <v>81</v>
      </c>
      <c r="F193" s="51" t="s">
        <v>19</v>
      </c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>
        <f>VLOOKUP(B193,'2174'!$A$182:$G$567,6,0)</f>
        <v>2750</v>
      </c>
      <c r="S193" s="52">
        <v>0</v>
      </c>
      <c r="T193" s="52">
        <v>0</v>
      </c>
      <c r="U193" s="52">
        <f>VLOOKUP(B193,'ביצוע 2019'!$A$3:$H$1103,7,0)</f>
        <v>0</v>
      </c>
      <c r="V193" s="52">
        <f t="shared" si="128"/>
        <v>0</v>
      </c>
      <c r="W193" s="52"/>
      <c r="X193" s="52"/>
      <c r="Y193" s="52"/>
      <c r="Z193" s="101">
        <f t="shared" si="101"/>
        <v>0</v>
      </c>
    </row>
    <row r="194" spans="1:26" s="196" customFormat="1" ht="15.75" hidden="1">
      <c r="A194" s="197">
        <v>19</v>
      </c>
      <c r="B194" s="218">
        <v>1812310780</v>
      </c>
      <c r="C194" s="217" t="str">
        <f>RIGHT(B194,3)</f>
        <v>780</v>
      </c>
      <c r="D194" s="217" t="str">
        <f>MID(B194,2,6)</f>
        <v>812310</v>
      </c>
      <c r="E194" s="217" t="str">
        <f>LEFT(D194,2)</f>
        <v>81</v>
      </c>
      <c r="F194" s="218" t="s">
        <v>1935</v>
      </c>
      <c r="G194" s="220"/>
      <c r="H194" s="220"/>
      <c r="I194" s="220"/>
      <c r="J194" s="220"/>
      <c r="K194" s="220"/>
      <c r="L194" s="220"/>
      <c r="M194" s="220"/>
      <c r="N194" s="220"/>
      <c r="O194" s="220"/>
      <c r="P194" s="220">
        <f t="shared" si="129"/>
        <v>0</v>
      </c>
      <c r="Q194" s="220"/>
      <c r="R194" s="52"/>
      <c r="S194" s="52">
        <f t="shared" si="130"/>
        <v>0</v>
      </c>
      <c r="T194" s="52"/>
      <c r="U194" s="52">
        <v>0</v>
      </c>
      <c r="V194" s="52">
        <f t="shared" si="128"/>
        <v>0</v>
      </c>
      <c r="W194" s="193"/>
      <c r="X194" s="52"/>
      <c r="Y194" s="193"/>
      <c r="Z194" s="101">
        <f t="shared" si="101"/>
        <v>0</v>
      </c>
    </row>
    <row r="195" spans="1:26" s="101" customFormat="1" ht="15.75" hidden="1">
      <c r="A195" s="21">
        <v>20</v>
      </c>
      <c r="B195" s="51">
        <v>1812312110</v>
      </c>
      <c r="C195" s="50" t="str">
        <f>RIGHT(B195,3)</f>
        <v>110</v>
      </c>
      <c r="D195" s="50" t="str">
        <f>MID(B195,2,6)</f>
        <v>812312</v>
      </c>
      <c r="E195" s="50" t="str">
        <f>LEFT(D195,2)</f>
        <v>81</v>
      </c>
      <c r="F195" s="51" t="s">
        <v>1928</v>
      </c>
      <c r="G195" s="52"/>
      <c r="H195" s="52"/>
      <c r="I195" s="52"/>
      <c r="J195" s="52"/>
      <c r="K195" s="52"/>
      <c r="L195" s="52">
        <v>500000</v>
      </c>
      <c r="M195" s="52"/>
      <c r="N195" s="52"/>
      <c r="O195" s="184"/>
      <c r="P195" s="184"/>
      <c r="Q195" s="184">
        <v>3600000</v>
      </c>
      <c r="R195" s="52">
        <f>VLOOKUP(B195,'2174'!$A$182:$G$567,6,0)</f>
        <v>0</v>
      </c>
      <c r="S195" s="63">
        <f>VLOOKUP(B195,'2174'!$A$575:$D$697,4,0)</f>
        <v>0</v>
      </c>
      <c r="T195" s="52"/>
      <c r="U195" s="52">
        <f>VLOOKUP(B195,'ביצוע 2019'!$A$3:$H$1103,7,0)</f>
        <v>0</v>
      </c>
      <c r="V195" s="52">
        <f t="shared" si="128"/>
        <v>0</v>
      </c>
      <c r="W195" s="52"/>
      <c r="X195" s="52"/>
      <c r="Y195" s="52"/>
      <c r="Z195" s="101">
        <f t="shared" si="101"/>
        <v>0</v>
      </c>
    </row>
    <row r="196" spans="1:26" s="101" customFormat="1" ht="15.75" hidden="1">
      <c r="A196" s="21">
        <v>20</v>
      </c>
      <c r="B196" s="51">
        <v>1812400110</v>
      </c>
      <c r="C196" s="50" t="str">
        <f t="shared" si="119"/>
        <v>110</v>
      </c>
      <c r="D196" s="50" t="str">
        <f t="shared" si="120"/>
        <v>812400</v>
      </c>
      <c r="E196" s="50" t="str">
        <f t="shared" si="121"/>
        <v>81</v>
      </c>
      <c r="F196" s="51" t="s">
        <v>1934</v>
      </c>
      <c r="G196" s="52">
        <v>0</v>
      </c>
      <c r="H196" s="52">
        <v>0</v>
      </c>
      <c r="I196" s="52">
        <v>0</v>
      </c>
      <c r="J196" s="52">
        <v>0</v>
      </c>
      <c r="K196" s="52">
        <f>+J196</f>
        <v>0</v>
      </c>
      <c r="L196" s="52">
        <f>+K196</f>
        <v>0</v>
      </c>
      <c r="M196" s="52"/>
      <c r="N196" s="52">
        <f t="shared" si="125"/>
        <v>0</v>
      </c>
      <c r="O196" s="52">
        <f>VLOOKUP(B:B,'דוח כספי 1-10.17'!A:D,4,0)</f>
        <v>43727.05</v>
      </c>
      <c r="P196" s="52">
        <v>53000</v>
      </c>
      <c r="Q196" s="52">
        <v>60000</v>
      </c>
      <c r="R196" s="52">
        <f>VLOOKUP(B196,'2174'!$A$182:$G$567,6,0)</f>
        <v>32631.83</v>
      </c>
      <c r="S196" s="63">
        <f>VLOOKUP(B196,'2174'!$A$575:$D$697,4,0)</f>
        <v>32631.83</v>
      </c>
      <c r="T196" s="52">
        <v>0</v>
      </c>
      <c r="U196" s="52"/>
      <c r="V196" s="52">
        <f t="shared" si="128"/>
        <v>0</v>
      </c>
      <c r="W196" s="52"/>
      <c r="X196" s="52"/>
      <c r="Y196" s="52"/>
      <c r="Z196" s="101">
        <f t="shared" si="101"/>
        <v>0</v>
      </c>
    </row>
    <row r="197" spans="1:26" s="101" customFormat="1" ht="15.75">
      <c r="A197" s="21">
        <v>20</v>
      </c>
      <c r="B197" s="51">
        <v>1812500110</v>
      </c>
      <c r="C197" s="50" t="str">
        <f t="shared" si="119"/>
        <v>110</v>
      </c>
      <c r="D197" s="50" t="str">
        <f t="shared" si="120"/>
        <v>812500</v>
      </c>
      <c r="E197" s="50" t="str">
        <f t="shared" si="121"/>
        <v>81</v>
      </c>
      <c r="F197" s="51" t="s">
        <v>162</v>
      </c>
      <c r="G197" s="52">
        <v>115000</v>
      </c>
      <c r="H197" s="52">
        <v>115009.38</v>
      </c>
      <c r="I197" s="52">
        <v>-3.38</v>
      </c>
      <c r="J197" s="52">
        <v>120000</v>
      </c>
      <c r="K197" s="52">
        <f>81000+13000</f>
        <v>94000</v>
      </c>
      <c r="L197" s="52">
        <f>85000+13000</f>
        <v>98000</v>
      </c>
      <c r="M197" s="52"/>
      <c r="N197" s="52">
        <f t="shared" si="125"/>
        <v>98000</v>
      </c>
      <c r="O197" s="52">
        <f>VLOOKUP(B:B,'דוח כספי 1-10.17'!A:D,4,0)</f>
        <v>101783.25</v>
      </c>
      <c r="P197" s="52">
        <v>128000</v>
      </c>
      <c r="Q197" s="52">
        <v>132000</v>
      </c>
      <c r="R197" s="52">
        <f>VLOOKUP(B197,'2174'!$A$182:$G$567,6,0)</f>
        <v>106103.96</v>
      </c>
      <c r="S197" s="63">
        <f>VLOOKUP(B197,'2174'!$A$575:$D$697,4,0)</f>
        <v>140498.69</v>
      </c>
      <c r="T197" s="52">
        <f t="shared" ref="T197" si="131">S197*1.0217</f>
        <v>143547.511573</v>
      </c>
      <c r="U197" s="52">
        <f>VLOOKUP(B197,'ביצוע 2019'!$A$3:$H$1103,7,0)</f>
        <v>148019.85999999999</v>
      </c>
      <c r="V197" s="52">
        <v>153000</v>
      </c>
      <c r="W197" s="52">
        <v>1</v>
      </c>
      <c r="X197" s="52"/>
      <c r="Y197" s="52"/>
      <c r="Z197" s="101">
        <f t="shared" ref="Z197:Z260" si="132">IF((V197+U197+T197)&lt;&gt;0,1,0)</f>
        <v>1</v>
      </c>
    </row>
    <row r="198" spans="1:26" s="101" customFormat="1" ht="15.75" hidden="1">
      <c r="A198" s="21">
        <v>19</v>
      </c>
      <c r="B198" s="51">
        <v>1812500410</v>
      </c>
      <c r="C198" s="50" t="str">
        <f t="shared" si="119"/>
        <v>410</v>
      </c>
      <c r="D198" s="50" t="str">
        <f t="shared" si="120"/>
        <v>812500</v>
      </c>
      <c r="E198" s="50" t="str">
        <f t="shared" si="121"/>
        <v>81</v>
      </c>
      <c r="F198" s="51" t="s">
        <v>163</v>
      </c>
      <c r="G198" s="52">
        <v>57000</v>
      </c>
      <c r="H198" s="52">
        <v>41021.35</v>
      </c>
      <c r="I198" s="52">
        <v>15977.65</v>
      </c>
      <c r="J198" s="52">
        <v>42000</v>
      </c>
      <c r="K198" s="52">
        <v>42000</v>
      </c>
      <c r="L198" s="52">
        <v>42000</v>
      </c>
      <c r="M198" s="52"/>
      <c r="N198" s="52">
        <f t="shared" si="125"/>
        <v>42000</v>
      </c>
      <c r="O198" s="52">
        <f>VLOOKUP(B:B,'דוח כספי 1-10.17'!A:D,4,0)</f>
        <v>8190</v>
      </c>
      <c r="P198" s="52">
        <f t="shared" si="129"/>
        <v>9828</v>
      </c>
      <c r="Q198" s="52">
        <v>0</v>
      </c>
      <c r="R198" s="52">
        <f>VLOOKUP(B198,'2174'!$A$182:$G$567,6,0)</f>
        <v>0</v>
      </c>
      <c r="S198" s="52">
        <f t="shared" si="130"/>
        <v>0</v>
      </c>
      <c r="T198" s="52">
        <v>0</v>
      </c>
      <c r="U198" s="52">
        <f>VLOOKUP(B198,'ביצוע 2019'!$A$3:$H$1103,7,0)</f>
        <v>0</v>
      </c>
      <c r="V198" s="52">
        <f t="shared" si="128"/>
        <v>0</v>
      </c>
      <c r="W198" s="52"/>
      <c r="X198" s="52"/>
      <c r="Y198" s="52"/>
      <c r="Z198" s="101">
        <f t="shared" si="132"/>
        <v>0</v>
      </c>
    </row>
    <row r="199" spans="1:26" s="101" customFormat="1" ht="15.75" hidden="1">
      <c r="A199" s="21">
        <v>19</v>
      </c>
      <c r="B199" s="51">
        <v>1812500431</v>
      </c>
      <c r="C199" s="50" t="str">
        <f t="shared" si="119"/>
        <v>431</v>
      </c>
      <c r="D199" s="50" t="str">
        <f t="shared" si="120"/>
        <v>812500</v>
      </c>
      <c r="E199" s="50" t="str">
        <f t="shared" si="121"/>
        <v>81</v>
      </c>
      <c r="F199" s="51" t="s">
        <v>26</v>
      </c>
      <c r="G199" s="52">
        <v>7000</v>
      </c>
      <c r="H199" s="52">
        <v>3600</v>
      </c>
      <c r="I199" s="52">
        <v>3399</v>
      </c>
      <c r="J199" s="52">
        <v>4000</v>
      </c>
      <c r="K199" s="52">
        <v>4000</v>
      </c>
      <c r="L199" s="52">
        <v>4000</v>
      </c>
      <c r="M199" s="52"/>
      <c r="N199" s="52">
        <f t="shared" si="125"/>
        <v>4000</v>
      </c>
      <c r="O199" s="52">
        <f>VLOOKUP(B:B,'דוח כספי 1-10.17'!A:D,4,0)</f>
        <v>0</v>
      </c>
      <c r="P199" s="52">
        <f t="shared" si="129"/>
        <v>0</v>
      </c>
      <c r="Q199" s="52">
        <f>P199</f>
        <v>0</v>
      </c>
      <c r="R199" s="52">
        <f>VLOOKUP(B199,'2174'!$A$182:$G$567,6,0)</f>
        <v>0</v>
      </c>
      <c r="S199" s="52">
        <f t="shared" si="130"/>
        <v>0</v>
      </c>
      <c r="T199" s="52">
        <v>0</v>
      </c>
      <c r="U199" s="52">
        <f>VLOOKUP(B199,'ביצוע 2019'!$A$3:$H$1103,7,0)</f>
        <v>0</v>
      </c>
      <c r="V199" s="52">
        <f t="shared" si="128"/>
        <v>0</v>
      </c>
      <c r="W199" s="52"/>
      <c r="X199" s="52"/>
      <c r="Y199" s="52"/>
      <c r="Z199" s="101">
        <f t="shared" si="132"/>
        <v>0</v>
      </c>
    </row>
    <row r="200" spans="1:26" s="101" customFormat="1" ht="15.75">
      <c r="A200" s="21">
        <v>19</v>
      </c>
      <c r="B200" s="51">
        <v>1812500432</v>
      </c>
      <c r="C200" s="50" t="str">
        <f t="shared" si="119"/>
        <v>432</v>
      </c>
      <c r="D200" s="50" t="str">
        <f t="shared" si="120"/>
        <v>812500</v>
      </c>
      <c r="E200" s="50" t="str">
        <f t="shared" si="121"/>
        <v>81</v>
      </c>
      <c r="F200" s="51" t="s">
        <v>165</v>
      </c>
      <c r="G200" s="52">
        <v>0</v>
      </c>
      <c r="H200" s="52">
        <v>0</v>
      </c>
      <c r="I200" s="52">
        <v>0</v>
      </c>
      <c r="J200" s="52">
        <v>0</v>
      </c>
      <c r="K200" s="52">
        <f>+J200</f>
        <v>0</v>
      </c>
      <c r="L200" s="52">
        <v>45000</v>
      </c>
      <c r="M200" s="52"/>
      <c r="N200" s="52">
        <f t="shared" si="125"/>
        <v>45000</v>
      </c>
      <c r="O200" s="52">
        <f>VLOOKUP(B:B,'דוח כספי 1-10.17'!A:D,4,0)</f>
        <v>44893.5</v>
      </c>
      <c r="P200" s="52">
        <f t="shared" si="129"/>
        <v>53872.2</v>
      </c>
      <c r="Q200" s="52">
        <v>70000</v>
      </c>
      <c r="R200" s="52"/>
      <c r="S200" s="52">
        <f t="shared" si="130"/>
        <v>0</v>
      </c>
      <c r="T200" s="52">
        <v>30000</v>
      </c>
      <c r="U200" s="52">
        <f>VLOOKUP(B200,'ביצוע 2019'!$A$3:$H$1103,7,0)</f>
        <v>0</v>
      </c>
      <c r="V200" s="52">
        <f t="shared" si="128"/>
        <v>0</v>
      </c>
      <c r="W200" s="52"/>
      <c r="X200" s="52"/>
      <c r="Y200" s="52"/>
      <c r="Z200" s="101">
        <f t="shared" si="132"/>
        <v>1</v>
      </c>
    </row>
    <row r="201" spans="1:26" s="101" customFormat="1" ht="15.75">
      <c r="A201" s="21"/>
      <c r="B201" s="234"/>
      <c r="C201" s="235"/>
      <c r="D201" s="235"/>
      <c r="E201" s="235"/>
      <c r="F201" s="234" t="s">
        <v>1968</v>
      </c>
      <c r="G201" s="236"/>
      <c r="H201" s="236"/>
      <c r="I201" s="236"/>
      <c r="J201" s="236"/>
      <c r="K201" s="236"/>
      <c r="L201" s="236">
        <f>SUM(L166:L200)</f>
        <v>11287267</v>
      </c>
      <c r="M201" s="236"/>
      <c r="N201" s="236">
        <f t="shared" ref="N201:W201" si="133">SUM(N166:N200)</f>
        <v>10787267</v>
      </c>
      <c r="O201" s="236">
        <f t="shared" si="133"/>
        <v>6673182.6800000006</v>
      </c>
      <c r="P201" s="236">
        <f t="shared" si="133"/>
        <v>9736927.2599999979</v>
      </c>
      <c r="Q201" s="236">
        <f t="shared" si="133"/>
        <v>11886000</v>
      </c>
      <c r="R201" s="236">
        <f t="shared" si="133"/>
        <v>9614231.9500000011</v>
      </c>
      <c r="S201" s="236">
        <f t="shared" si="133"/>
        <v>11566798.879999999</v>
      </c>
      <c r="T201" s="236">
        <f t="shared" si="133"/>
        <v>11994578.511573</v>
      </c>
      <c r="U201" s="236">
        <f t="shared" si="133"/>
        <v>11896786.260000002</v>
      </c>
      <c r="V201" s="236">
        <f t="shared" si="133"/>
        <v>11821747.150000002</v>
      </c>
      <c r="W201" s="236">
        <f t="shared" si="133"/>
        <v>50.5</v>
      </c>
      <c r="X201" s="52"/>
      <c r="Y201" s="52"/>
      <c r="Z201" s="101">
        <f t="shared" si="132"/>
        <v>1</v>
      </c>
    </row>
    <row r="202" spans="1:26" s="101" customFormat="1" ht="15.75">
      <c r="A202" s="21">
        <v>20</v>
      </c>
      <c r="B202" s="51">
        <v>1813200110</v>
      </c>
      <c r="C202" s="50" t="str">
        <f t="shared" si="119"/>
        <v>110</v>
      </c>
      <c r="D202" s="50" t="str">
        <f t="shared" si="120"/>
        <v>813200</v>
      </c>
      <c r="E202" s="50" t="str">
        <f t="shared" si="121"/>
        <v>81</v>
      </c>
      <c r="F202" s="51" t="s">
        <v>589</v>
      </c>
      <c r="G202" s="52">
        <v>136000</v>
      </c>
      <c r="H202" s="52">
        <v>327561.55</v>
      </c>
      <c r="I202" s="52">
        <v>-191559.55</v>
      </c>
      <c r="J202" s="52">
        <v>1300000</v>
      </c>
      <c r="K202" s="52">
        <v>71000</v>
      </c>
      <c r="L202" s="52">
        <v>165000</v>
      </c>
      <c r="M202" s="52"/>
      <c r="N202" s="52">
        <f t="shared" si="125"/>
        <v>165000</v>
      </c>
      <c r="O202" s="52">
        <f>VLOOKUP(B:B,'דוח כספי 1-10.17'!A:D,4,0)</f>
        <v>145233.22</v>
      </c>
      <c r="P202" s="52">
        <v>170000</v>
      </c>
      <c r="Q202" s="52">
        <v>175000</v>
      </c>
      <c r="R202" s="52">
        <f>VLOOKUP(B202,'2174'!$A$182:$G$567,6,0)</f>
        <v>151131.5</v>
      </c>
      <c r="S202" s="63">
        <f>VLOOKUP(B202,'2174'!$A$575:$D$697,4,0)</f>
        <v>195574.04</v>
      </c>
      <c r="T202" s="52">
        <f>S202*1.0217</f>
        <v>199817.99666800001</v>
      </c>
      <c r="U202" s="52">
        <f>VLOOKUP(B202,'ביצוע 2019'!$A$3:$H$1103,7,0)</f>
        <v>198461.11</v>
      </c>
      <c r="V202" s="52">
        <v>205000</v>
      </c>
      <c r="W202" s="52">
        <v>1</v>
      </c>
      <c r="X202" s="52"/>
      <c r="Y202" s="52"/>
      <c r="Z202" s="101">
        <f t="shared" si="132"/>
        <v>1</v>
      </c>
    </row>
    <row r="203" spans="1:26" s="101" customFormat="1" ht="15.75">
      <c r="A203" s="21">
        <v>19</v>
      </c>
      <c r="B203" s="51">
        <v>1813200750</v>
      </c>
      <c r="C203" s="50">
        <v>750</v>
      </c>
      <c r="D203" s="50">
        <v>813200</v>
      </c>
      <c r="E203" s="50">
        <v>81</v>
      </c>
      <c r="F203" s="51" t="s">
        <v>1651</v>
      </c>
      <c r="G203" s="52"/>
      <c r="H203" s="52"/>
      <c r="I203" s="52"/>
      <c r="J203" s="52"/>
      <c r="K203" s="52"/>
      <c r="L203" s="52">
        <f>10000+54000+10000</f>
        <v>74000</v>
      </c>
      <c r="M203" s="52"/>
      <c r="N203" s="52">
        <f t="shared" si="125"/>
        <v>74000</v>
      </c>
      <c r="O203" s="52">
        <f>VLOOKUP(B:B,'דוח כספי 1-10.17'!A:D,4,0)</f>
        <v>9360</v>
      </c>
      <c r="P203" s="52">
        <f t="shared" si="129"/>
        <v>11232</v>
      </c>
      <c r="Q203" s="52">
        <v>0</v>
      </c>
      <c r="R203" s="52">
        <f>VLOOKUP(B203,'2174'!$A$182:$G$567,6,0)</f>
        <v>23700</v>
      </c>
      <c r="S203" s="52">
        <f t="shared" ref="S203:S207" si="134">R203*12/11</f>
        <v>25854.545454545456</v>
      </c>
      <c r="T203" s="52">
        <v>25000</v>
      </c>
      <c r="U203" s="52">
        <f>VLOOKUP(B203,'ביצוע 2019'!$A$3:$H$1103,7,0)</f>
        <v>2988</v>
      </c>
      <c r="V203" s="52">
        <f t="shared" ref="V203:V239" si="135">U203</f>
        <v>2988</v>
      </c>
      <c r="W203" s="52"/>
      <c r="X203" s="52"/>
      <c r="Y203" s="52"/>
      <c r="Z203" s="101">
        <f t="shared" si="132"/>
        <v>1</v>
      </c>
    </row>
    <row r="204" spans="1:26" s="101" customFormat="1" ht="15.75">
      <c r="A204" s="21">
        <v>19</v>
      </c>
      <c r="B204" s="51">
        <v>1813200760</v>
      </c>
      <c r="C204" s="50" t="str">
        <f t="shared" si="119"/>
        <v>760</v>
      </c>
      <c r="D204" s="50" t="str">
        <f t="shared" si="120"/>
        <v>813200</v>
      </c>
      <c r="E204" s="50" t="str">
        <f t="shared" si="121"/>
        <v>81</v>
      </c>
      <c r="F204" s="51" t="s">
        <v>166</v>
      </c>
      <c r="G204" s="52">
        <v>0</v>
      </c>
      <c r="H204" s="52">
        <v>537107.16</v>
      </c>
      <c r="I204" s="52">
        <v>-537107.16</v>
      </c>
      <c r="J204" s="52">
        <v>442000</v>
      </c>
      <c r="K204" s="52">
        <v>450000</v>
      </c>
      <c r="L204" s="52">
        <v>536000</v>
      </c>
      <c r="M204" s="52"/>
      <c r="N204" s="52">
        <f t="shared" si="125"/>
        <v>536000</v>
      </c>
      <c r="O204" s="52">
        <f>VLOOKUP(B:B,'דוח כספי 1-10.17'!A:D,4,0)</f>
        <v>536263.38</v>
      </c>
      <c r="P204" s="52">
        <f t="shared" si="129"/>
        <v>643516.0560000001</v>
      </c>
      <c r="Q204" s="52">
        <v>644000</v>
      </c>
      <c r="R204" s="52">
        <f>VLOOKUP(B204,'2174'!$A$182:$G$567,6,0)</f>
        <v>283000</v>
      </c>
      <c r="S204" s="52">
        <v>644000</v>
      </c>
      <c r="T204" s="52">
        <v>700000</v>
      </c>
      <c r="U204" s="52">
        <f>VLOOKUP(B204,'ביצוע 2019'!$A$3:$H$1103,7,0)</f>
        <v>1040821</v>
      </c>
      <c r="V204" s="52">
        <v>500000</v>
      </c>
      <c r="W204" s="52"/>
      <c r="X204" s="52"/>
      <c r="Y204" s="52"/>
      <c r="Z204" s="101">
        <f t="shared" si="132"/>
        <v>1</v>
      </c>
    </row>
    <row r="205" spans="1:26" s="101" customFormat="1" ht="15.75">
      <c r="A205" s="21">
        <v>19</v>
      </c>
      <c r="B205" s="51">
        <v>1813200780</v>
      </c>
      <c r="C205" s="50" t="str">
        <f t="shared" si="119"/>
        <v>780</v>
      </c>
      <c r="D205" s="50" t="str">
        <f t="shared" si="120"/>
        <v>813200</v>
      </c>
      <c r="E205" s="50" t="str">
        <f t="shared" si="121"/>
        <v>81</v>
      </c>
      <c r="F205" s="51" t="s">
        <v>167</v>
      </c>
      <c r="G205" s="52">
        <v>0</v>
      </c>
      <c r="H205" s="52">
        <v>36913.85</v>
      </c>
      <c r="I205" s="52">
        <v>-36913.85</v>
      </c>
      <c r="J205" s="52">
        <v>0</v>
      </c>
      <c r="K205" s="52">
        <v>275000</v>
      </c>
      <c r="L205" s="52">
        <v>321000</v>
      </c>
      <c r="M205" s="52"/>
      <c r="N205" s="52">
        <f t="shared" si="125"/>
        <v>321000</v>
      </c>
      <c r="O205" s="52">
        <f>VLOOKUP(B:B,'דוח כספי 1-10.17'!A:D,4,0)</f>
        <v>330225.03000000003</v>
      </c>
      <c r="P205" s="52">
        <f t="shared" si="129"/>
        <v>396270.03600000002</v>
      </c>
      <c r="Q205" s="52">
        <v>396000</v>
      </c>
      <c r="R205" s="52">
        <f>VLOOKUP(B205,'2174'!$A$182:$G$567,6,0)</f>
        <v>530074.62</v>
      </c>
      <c r="S205" s="52">
        <f t="shared" si="134"/>
        <v>578263.2218181818</v>
      </c>
      <c r="T205" s="52">
        <v>578263.2218181818</v>
      </c>
      <c r="U205" s="52">
        <f>VLOOKUP(B205,'ביצוע 2019'!$A$3:$H$1103,7,0)</f>
        <v>552024.29</v>
      </c>
      <c r="V205" s="52">
        <f t="shared" si="135"/>
        <v>552024.29</v>
      </c>
      <c r="W205" s="52"/>
      <c r="X205" s="52"/>
      <c r="Y205" s="52"/>
      <c r="Z205" s="101">
        <f t="shared" si="132"/>
        <v>1</v>
      </c>
    </row>
    <row r="206" spans="1:26" s="101" customFormat="1" ht="15.75" hidden="1">
      <c r="A206" s="21">
        <v>19</v>
      </c>
      <c r="B206" s="51">
        <v>1813200931</v>
      </c>
      <c r="C206" s="50" t="str">
        <f t="shared" ref="C206" si="136">RIGHT(B206,3)</f>
        <v>931</v>
      </c>
      <c r="D206" s="50" t="str">
        <f t="shared" ref="D206" si="137">MID(B206,2,6)</f>
        <v>813200</v>
      </c>
      <c r="E206" s="50" t="str">
        <f t="shared" ref="E206" si="138">LEFT(D206,2)</f>
        <v>81</v>
      </c>
      <c r="F206" s="51" t="s">
        <v>2036</v>
      </c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>
        <f>VLOOKUP(B206,'2174'!$A$182:$G$567,6,0)</f>
        <v>0</v>
      </c>
      <c r="S206" s="52">
        <v>0</v>
      </c>
      <c r="T206" s="52">
        <v>0</v>
      </c>
      <c r="U206" s="52">
        <f>VLOOKUP(B206,'ביצוע 2019'!$A$3:$H$1103,7,0)</f>
        <v>0</v>
      </c>
      <c r="V206" s="52">
        <f t="shared" si="135"/>
        <v>0</v>
      </c>
      <c r="W206" s="52"/>
      <c r="X206" s="52"/>
      <c r="Y206" s="52"/>
      <c r="Z206" s="101">
        <f t="shared" si="132"/>
        <v>0</v>
      </c>
    </row>
    <row r="207" spans="1:26" s="101" customFormat="1" ht="15.75">
      <c r="A207" s="21">
        <v>19</v>
      </c>
      <c r="B207" s="51">
        <v>1813201750</v>
      </c>
      <c r="C207" s="50" t="str">
        <f t="shared" si="119"/>
        <v>750</v>
      </c>
      <c r="D207" s="50" t="str">
        <f t="shared" si="120"/>
        <v>813201</v>
      </c>
      <c r="E207" s="50" t="str">
        <f t="shared" si="121"/>
        <v>81</v>
      </c>
      <c r="F207" s="51" t="s">
        <v>1999</v>
      </c>
      <c r="G207" s="52"/>
      <c r="H207" s="52"/>
      <c r="I207" s="52"/>
      <c r="J207" s="52"/>
      <c r="K207" s="52"/>
      <c r="L207" s="52">
        <v>25000</v>
      </c>
      <c r="M207" s="52"/>
      <c r="N207" s="52">
        <f t="shared" si="125"/>
        <v>25000</v>
      </c>
      <c r="O207" s="52"/>
      <c r="P207" s="52">
        <v>0</v>
      </c>
      <c r="Q207" s="52">
        <v>0</v>
      </c>
      <c r="R207" s="52">
        <f>VLOOKUP(B207,'2174'!$A$182:$G$567,6,0)</f>
        <v>25000</v>
      </c>
      <c r="S207" s="52">
        <f t="shared" si="134"/>
        <v>27272.727272727272</v>
      </c>
      <c r="T207" s="52">
        <v>27272.727272727272</v>
      </c>
      <c r="U207" s="52">
        <f>VLOOKUP(B207,'ביצוע 2019'!$A$3:$H$1103,7,0)</f>
        <v>0</v>
      </c>
      <c r="V207" s="52">
        <f t="shared" si="135"/>
        <v>0</v>
      </c>
      <c r="W207" s="52"/>
      <c r="X207" s="52"/>
      <c r="Y207" s="52"/>
      <c r="Z207" s="101">
        <f t="shared" si="132"/>
        <v>1</v>
      </c>
    </row>
    <row r="208" spans="1:26" s="101" customFormat="1" ht="15.75">
      <c r="A208" s="21">
        <v>20</v>
      </c>
      <c r="B208" s="51">
        <v>1813210110</v>
      </c>
      <c r="C208" s="50" t="str">
        <f t="shared" si="119"/>
        <v>110</v>
      </c>
      <c r="D208" s="50" t="str">
        <f t="shared" si="120"/>
        <v>813210</v>
      </c>
      <c r="E208" s="50" t="str">
        <f t="shared" si="121"/>
        <v>81</v>
      </c>
      <c r="F208" s="51" t="s">
        <v>168</v>
      </c>
      <c r="G208" s="52">
        <v>383000</v>
      </c>
      <c r="H208" s="52">
        <v>622643.21</v>
      </c>
      <c r="I208" s="52">
        <v>-239642.21</v>
      </c>
      <c r="J208" s="52">
        <v>10000</v>
      </c>
      <c r="K208" s="52">
        <v>682000</v>
      </c>
      <c r="L208" s="52">
        <v>700000</v>
      </c>
      <c r="M208" s="52"/>
      <c r="N208" s="52">
        <f t="shared" si="125"/>
        <v>700000</v>
      </c>
      <c r="O208" s="52">
        <f>VLOOKUP(B:B,'דוח כספי 1-10.17'!A:D,4,0)</f>
        <v>523923.59</v>
      </c>
      <c r="P208" s="52">
        <v>625000</v>
      </c>
      <c r="Q208" s="52">
        <v>630000</v>
      </c>
      <c r="R208" s="52">
        <f>VLOOKUP(B208,'2174'!$A$182:$G$567,6,0)</f>
        <v>524102.33</v>
      </c>
      <c r="S208" s="63">
        <f>VLOOKUP(B208,'2174'!$A$575:$D$697,4,0)</f>
        <v>669345.5</v>
      </c>
      <c r="T208" s="52">
        <f>S208*1.0217</f>
        <v>683870.29735000001</v>
      </c>
      <c r="U208" s="52">
        <f>VLOOKUP(B208,'ביצוע 2019'!$A$3:$H$1103,7,0)</f>
        <v>623732.09</v>
      </c>
      <c r="V208" s="52">
        <v>670000</v>
      </c>
      <c r="W208" s="63">
        <v>4.5</v>
      </c>
      <c r="X208" s="52"/>
      <c r="Y208" s="52"/>
      <c r="Z208" s="101">
        <f t="shared" si="132"/>
        <v>1</v>
      </c>
    </row>
    <row r="209" spans="1:26" s="101" customFormat="1" ht="15.75" hidden="1">
      <c r="A209" s="21">
        <v>19</v>
      </c>
      <c r="B209" s="51">
        <v>1813210420</v>
      </c>
      <c r="C209" s="50" t="str">
        <f t="shared" si="119"/>
        <v>420</v>
      </c>
      <c r="D209" s="50" t="str">
        <f t="shared" si="120"/>
        <v>813210</v>
      </c>
      <c r="E209" s="50" t="str">
        <f t="shared" si="121"/>
        <v>81</v>
      </c>
      <c r="F209" s="51" t="s">
        <v>169</v>
      </c>
      <c r="G209" s="52">
        <v>0</v>
      </c>
      <c r="H209" s="52">
        <v>18762</v>
      </c>
      <c r="I209" s="52">
        <v>-18762</v>
      </c>
      <c r="J209" s="52">
        <v>0</v>
      </c>
      <c r="K209" s="52">
        <f>+J209</f>
        <v>0</v>
      </c>
      <c r="L209" s="52">
        <f>+K209</f>
        <v>0</v>
      </c>
      <c r="M209" s="52"/>
      <c r="N209" s="52">
        <f t="shared" si="125"/>
        <v>0</v>
      </c>
      <c r="O209" s="52">
        <f>VLOOKUP(B:B,'דוח כספי 1-10.17'!A:D,4,0)</f>
        <v>0</v>
      </c>
      <c r="P209" s="52">
        <f t="shared" si="129"/>
        <v>0</v>
      </c>
      <c r="Q209" s="52">
        <f>P209</f>
        <v>0</v>
      </c>
      <c r="R209" s="52"/>
      <c r="S209" s="52"/>
      <c r="T209" s="52"/>
      <c r="U209" s="52">
        <f>VLOOKUP(B209,'ביצוע 2019'!$A$3:$H$1103,7,0)</f>
        <v>0</v>
      </c>
      <c r="V209" s="52">
        <f t="shared" si="135"/>
        <v>0</v>
      </c>
      <c r="W209" s="52"/>
      <c r="X209" s="52"/>
      <c r="Y209" s="52"/>
      <c r="Z209" s="101">
        <f t="shared" si="132"/>
        <v>0</v>
      </c>
    </row>
    <row r="210" spans="1:26" s="101" customFormat="1" ht="15.75">
      <c r="A210" s="21">
        <v>19</v>
      </c>
      <c r="B210" s="51">
        <v>1813210431</v>
      </c>
      <c r="C210" s="50" t="str">
        <f t="shared" si="119"/>
        <v>431</v>
      </c>
      <c r="D210" s="50" t="str">
        <f t="shared" si="120"/>
        <v>813210</v>
      </c>
      <c r="E210" s="50" t="str">
        <f t="shared" si="121"/>
        <v>81</v>
      </c>
      <c r="F210" s="51" t="s">
        <v>170</v>
      </c>
      <c r="G210" s="52">
        <v>0</v>
      </c>
      <c r="H210" s="52">
        <v>166652.10999999999</v>
      </c>
      <c r="I210" s="52">
        <v>-166652.10999999999</v>
      </c>
      <c r="J210" s="52">
        <v>100000</v>
      </c>
      <c r="K210" s="52">
        <v>100000</v>
      </c>
      <c r="L210" s="52">
        <v>150000</v>
      </c>
      <c r="M210" s="52"/>
      <c r="N210" s="52">
        <f t="shared" si="125"/>
        <v>150000</v>
      </c>
      <c r="O210" s="52">
        <f>VLOOKUP(B:B,'דוח כספי 1-10.17'!A:D,4,0)</f>
        <v>149326.93</v>
      </c>
      <c r="P210" s="52">
        <f t="shared" si="129"/>
        <v>179192.31599999999</v>
      </c>
      <c r="Q210" s="52">
        <v>179000</v>
      </c>
      <c r="R210" s="52">
        <f>VLOOKUP(B210,'2174'!$A$182:$G$567,6,0)</f>
        <v>15101.32</v>
      </c>
      <c r="S210" s="52">
        <f t="shared" ref="S210:S215" si="139">R210*12/11</f>
        <v>16474.167272727271</v>
      </c>
      <c r="T210" s="52">
        <v>16474.167272727271</v>
      </c>
      <c r="U210" s="52">
        <f>VLOOKUP(B210,'ביצוע 2019'!$A$3:$H$1103,7,0)</f>
        <v>139556.53</v>
      </c>
      <c r="V210" s="52">
        <v>50000</v>
      </c>
      <c r="W210" s="52"/>
      <c r="X210" s="52"/>
      <c r="Y210" s="52"/>
      <c r="Z210" s="101">
        <f t="shared" si="132"/>
        <v>1</v>
      </c>
    </row>
    <row r="211" spans="1:26" s="101" customFormat="1" ht="15.75" hidden="1">
      <c r="A211" s="21">
        <v>19</v>
      </c>
      <c r="B211" s="51">
        <v>1813210432</v>
      </c>
      <c r="C211" s="50" t="str">
        <f t="shared" si="119"/>
        <v>432</v>
      </c>
      <c r="D211" s="50" t="str">
        <f t="shared" si="120"/>
        <v>813210</v>
      </c>
      <c r="E211" s="50" t="str">
        <f t="shared" si="121"/>
        <v>81</v>
      </c>
      <c r="F211" s="51" t="s">
        <v>171</v>
      </c>
      <c r="G211" s="52">
        <v>0</v>
      </c>
      <c r="H211" s="52">
        <v>176870.6</v>
      </c>
      <c r="I211" s="52">
        <v>-176870.6</v>
      </c>
      <c r="J211" s="52">
        <v>150000</v>
      </c>
      <c r="K211" s="52">
        <v>150000</v>
      </c>
      <c r="L211" s="52">
        <v>150000</v>
      </c>
      <c r="M211" s="52"/>
      <c r="N211" s="52">
        <f t="shared" si="125"/>
        <v>150000</v>
      </c>
      <c r="O211" s="52">
        <f>VLOOKUP(B:B,'דוח כספי 1-10.17'!A:D,4,0)</f>
        <v>13742.5</v>
      </c>
      <c r="P211" s="52">
        <f t="shared" si="129"/>
        <v>16491</v>
      </c>
      <c r="Q211" s="52">
        <v>16500</v>
      </c>
      <c r="R211" s="52">
        <f>VLOOKUP(B211,'2174'!$A$182:$G$567,6,0)</f>
        <v>0</v>
      </c>
      <c r="S211" s="52">
        <f t="shared" si="139"/>
        <v>0</v>
      </c>
      <c r="T211" s="52">
        <v>0</v>
      </c>
      <c r="U211" s="52">
        <f>VLOOKUP(B211,'ביצוע 2019'!$A$3:$H$1103,7,0)</f>
        <v>0</v>
      </c>
      <c r="V211" s="52">
        <f t="shared" si="135"/>
        <v>0</v>
      </c>
      <c r="W211" s="52"/>
      <c r="X211" s="52"/>
      <c r="Y211" s="52"/>
      <c r="Z211" s="101">
        <f t="shared" si="132"/>
        <v>0</v>
      </c>
    </row>
    <row r="212" spans="1:26" s="101" customFormat="1" ht="15.75" hidden="1">
      <c r="A212" s="21">
        <v>19</v>
      </c>
      <c r="B212" s="51">
        <v>1813210540</v>
      </c>
      <c r="C212" s="50" t="str">
        <f t="shared" si="119"/>
        <v>540</v>
      </c>
      <c r="D212" s="50" t="str">
        <f t="shared" si="120"/>
        <v>813210</v>
      </c>
      <c r="E212" s="50" t="str">
        <f t="shared" si="121"/>
        <v>81</v>
      </c>
      <c r="F212" s="51" t="s">
        <v>174</v>
      </c>
      <c r="G212" s="52">
        <v>0</v>
      </c>
      <c r="H212" s="52">
        <v>19557.29</v>
      </c>
      <c r="I212" s="52">
        <v>-19557.29</v>
      </c>
      <c r="J212" s="52">
        <v>20000</v>
      </c>
      <c r="K212" s="52">
        <v>20000</v>
      </c>
      <c r="L212" s="52">
        <v>20000</v>
      </c>
      <c r="M212" s="52"/>
      <c r="N212" s="52">
        <f t="shared" si="125"/>
        <v>20000</v>
      </c>
      <c r="O212" s="52">
        <f>VLOOKUP(B:B,'דוח כספי 1-10.17'!A:D,4,0)</f>
        <v>0</v>
      </c>
      <c r="P212" s="52">
        <f t="shared" si="129"/>
        <v>0</v>
      </c>
      <c r="Q212" s="52">
        <f>P212</f>
        <v>0</v>
      </c>
      <c r="R212" s="52">
        <f>VLOOKUP(B212,'2174'!$A$182:$G$567,6,0)</f>
        <v>0</v>
      </c>
      <c r="S212" s="52">
        <f t="shared" si="139"/>
        <v>0</v>
      </c>
      <c r="T212" s="52">
        <v>0</v>
      </c>
      <c r="U212" s="52">
        <f>VLOOKUP(B212,'ביצוע 2019'!$A$3:$H$1103,7,0)</f>
        <v>0</v>
      </c>
      <c r="V212" s="52">
        <f t="shared" si="135"/>
        <v>0</v>
      </c>
      <c r="W212" s="52"/>
      <c r="X212" s="52"/>
      <c r="Y212" s="52"/>
      <c r="Z212" s="101">
        <f t="shared" si="132"/>
        <v>0</v>
      </c>
    </row>
    <row r="213" spans="1:26" s="101" customFormat="1" ht="15.75" hidden="1">
      <c r="A213" s="21">
        <v>19</v>
      </c>
      <c r="B213" s="51">
        <v>1813210720</v>
      </c>
      <c r="C213" s="50" t="str">
        <f t="shared" si="119"/>
        <v>720</v>
      </c>
      <c r="D213" s="50" t="str">
        <f t="shared" si="120"/>
        <v>813210</v>
      </c>
      <c r="E213" s="50" t="str">
        <f t="shared" si="121"/>
        <v>81</v>
      </c>
      <c r="F213" s="51" t="s">
        <v>1993</v>
      </c>
      <c r="G213" s="52"/>
      <c r="H213" s="52"/>
      <c r="I213" s="52"/>
      <c r="J213" s="52"/>
      <c r="K213" s="52"/>
      <c r="L213" s="52">
        <v>55000</v>
      </c>
      <c r="M213" s="52"/>
      <c r="N213" s="52">
        <f t="shared" si="125"/>
        <v>55000</v>
      </c>
      <c r="O213" s="52"/>
      <c r="P213" s="52">
        <v>0</v>
      </c>
      <c r="Q213" s="52">
        <v>0</v>
      </c>
      <c r="R213" s="52"/>
      <c r="S213" s="52">
        <f t="shared" si="139"/>
        <v>0</v>
      </c>
      <c r="T213" s="52">
        <v>0</v>
      </c>
      <c r="U213" s="52">
        <f>VLOOKUP(B213,'ביצוע 2019'!$A$3:$H$1103,7,0)</f>
        <v>0</v>
      </c>
      <c r="V213" s="52">
        <f t="shared" si="135"/>
        <v>0</v>
      </c>
      <c r="W213" s="52"/>
      <c r="X213" s="52"/>
      <c r="Y213" s="52"/>
      <c r="Z213" s="101">
        <f t="shared" si="132"/>
        <v>0</v>
      </c>
    </row>
    <row r="214" spans="1:26" s="101" customFormat="1" ht="15.75">
      <c r="A214" s="21">
        <v>19</v>
      </c>
      <c r="B214" s="51">
        <v>1813210750</v>
      </c>
      <c r="C214" s="50" t="str">
        <f t="shared" ref="C214:C249" si="140">RIGHT(B214,3)</f>
        <v>750</v>
      </c>
      <c r="D214" s="50" t="str">
        <f t="shared" ref="D214:D249" si="141">MID(B214,2,6)</f>
        <v>813210</v>
      </c>
      <c r="E214" s="50" t="str">
        <f t="shared" ref="E214:E249" si="142">LEFT(D214,2)</f>
        <v>81</v>
      </c>
      <c r="F214" s="51" t="s">
        <v>177</v>
      </c>
      <c r="G214" s="52">
        <v>180000</v>
      </c>
      <c r="H214" s="52">
        <v>224427.53</v>
      </c>
      <c r="I214" s="52">
        <v>-44427.53</v>
      </c>
      <c r="J214" s="52">
        <v>225000</v>
      </c>
      <c r="K214" s="52">
        <v>260000</v>
      </c>
      <c r="L214" s="52">
        <v>925000</v>
      </c>
      <c r="M214" s="52"/>
      <c r="N214" s="52">
        <f t="shared" si="125"/>
        <v>925000</v>
      </c>
      <c r="O214" s="52">
        <f>VLOOKUP(B:B,'דוח כספי 1-10.17'!A:D,4,0)</f>
        <v>919470.18</v>
      </c>
      <c r="P214" s="52">
        <f t="shared" si="129"/>
        <v>1103364.216</v>
      </c>
      <c r="Q214" s="52">
        <v>1100000</v>
      </c>
      <c r="R214" s="52">
        <f>VLOOKUP(B214,'2174'!$A$182:$G$567,6,0)</f>
        <v>7850</v>
      </c>
      <c r="S214" s="52">
        <v>0</v>
      </c>
      <c r="T214" s="52">
        <v>0</v>
      </c>
      <c r="U214" s="52">
        <f>VLOOKUP(B214,'ביצוע 2019'!$A$3:$H$1103,7,0)</f>
        <v>25639</v>
      </c>
      <c r="V214" s="52">
        <f t="shared" si="135"/>
        <v>25639</v>
      </c>
      <c r="W214" s="52"/>
      <c r="X214" s="52"/>
      <c r="Y214" s="52"/>
      <c r="Z214" s="101">
        <f t="shared" si="132"/>
        <v>1</v>
      </c>
    </row>
    <row r="215" spans="1:26" s="101" customFormat="1" ht="15.75">
      <c r="A215" s="21">
        <v>19</v>
      </c>
      <c r="B215" s="51">
        <v>1813210871</v>
      </c>
      <c r="C215" s="50" t="str">
        <f t="shared" si="140"/>
        <v>871</v>
      </c>
      <c r="D215" s="50" t="str">
        <f t="shared" si="141"/>
        <v>813210</v>
      </c>
      <c r="E215" s="50" t="str">
        <f t="shared" si="142"/>
        <v>81</v>
      </c>
      <c r="F215" s="51" t="s">
        <v>180</v>
      </c>
      <c r="G215" s="52">
        <v>240000</v>
      </c>
      <c r="H215" s="52">
        <v>220567</v>
      </c>
      <c r="I215" s="52">
        <v>19433</v>
      </c>
      <c r="J215" s="52">
        <v>240000</v>
      </c>
      <c r="K215" s="52">
        <v>170000</v>
      </c>
      <c r="L215" s="52">
        <v>170000</v>
      </c>
      <c r="M215" s="52"/>
      <c r="N215" s="52">
        <f t="shared" si="125"/>
        <v>170000</v>
      </c>
      <c r="O215" s="52">
        <f>VLOOKUP(B:B,'דוח כספי 1-10.17'!A:D,4,0)</f>
        <v>154591.25</v>
      </c>
      <c r="P215" s="52">
        <f t="shared" si="129"/>
        <v>185509.5</v>
      </c>
      <c r="Q215" s="52">
        <v>186000</v>
      </c>
      <c r="R215" s="52">
        <f>VLOOKUP(B215,'2174'!$A$182:$G$567,6,0)</f>
        <v>199093.75</v>
      </c>
      <c r="S215" s="52">
        <f t="shared" si="139"/>
        <v>217193.18181818182</v>
      </c>
      <c r="T215" s="52">
        <v>217193.18181818182</v>
      </c>
      <c r="U215" s="52">
        <f>VLOOKUP(B215,'ביצוע 2019'!$A$3:$H$1103,7,0)</f>
        <v>178659.75</v>
      </c>
      <c r="V215" s="52">
        <f t="shared" si="135"/>
        <v>178659.75</v>
      </c>
      <c r="W215" s="52"/>
      <c r="X215" s="52"/>
      <c r="Y215" s="52"/>
      <c r="Z215" s="101">
        <f t="shared" si="132"/>
        <v>1</v>
      </c>
    </row>
    <row r="216" spans="1:26" s="101" customFormat="1" ht="15.75" hidden="1">
      <c r="A216" s="21">
        <v>19</v>
      </c>
      <c r="B216" s="51">
        <v>1813210930</v>
      </c>
      <c r="C216" s="50" t="str">
        <f t="shared" si="140"/>
        <v>930</v>
      </c>
      <c r="D216" s="50" t="str">
        <f t="shared" si="141"/>
        <v>813210</v>
      </c>
      <c r="E216" s="50" t="str">
        <f t="shared" si="142"/>
        <v>81</v>
      </c>
      <c r="F216" s="51" t="s">
        <v>181</v>
      </c>
      <c r="G216" s="52">
        <v>0</v>
      </c>
      <c r="H216" s="52">
        <v>0</v>
      </c>
      <c r="I216" s="52">
        <v>0</v>
      </c>
      <c r="J216" s="52">
        <v>0</v>
      </c>
      <c r="K216" s="52">
        <f>+J216</f>
        <v>0</v>
      </c>
      <c r="L216" s="52">
        <f>+K216</f>
        <v>0</v>
      </c>
      <c r="M216" s="52"/>
      <c r="N216" s="52">
        <f t="shared" si="125"/>
        <v>0</v>
      </c>
      <c r="O216" s="52">
        <f>VLOOKUP(B:B,'דוח כספי 1-10.17'!A:D,4,0)</f>
        <v>0</v>
      </c>
      <c r="P216" s="52">
        <f t="shared" si="129"/>
        <v>0</v>
      </c>
      <c r="Q216" s="52">
        <f>P216</f>
        <v>0</v>
      </c>
      <c r="R216" s="52"/>
      <c r="S216" s="52"/>
      <c r="T216" s="52"/>
      <c r="U216" s="52">
        <f>VLOOKUP(B216,'ביצוע 2019'!$A$3:$H$1103,7,0)</f>
        <v>0</v>
      </c>
      <c r="V216" s="52">
        <f t="shared" si="135"/>
        <v>0</v>
      </c>
      <c r="W216" s="52"/>
      <c r="X216" s="52"/>
      <c r="Y216" s="52"/>
      <c r="Z216" s="101">
        <f t="shared" si="132"/>
        <v>0</v>
      </c>
    </row>
    <row r="217" spans="1:26" s="101" customFormat="1" ht="15.75">
      <c r="A217" s="21">
        <v>20</v>
      </c>
      <c r="B217" s="51">
        <v>1813220110</v>
      </c>
      <c r="C217" s="50" t="str">
        <f t="shared" si="140"/>
        <v>110</v>
      </c>
      <c r="D217" s="50" t="str">
        <f t="shared" si="141"/>
        <v>813220</v>
      </c>
      <c r="E217" s="50" t="str">
        <f t="shared" si="142"/>
        <v>81</v>
      </c>
      <c r="F217" s="51" t="s">
        <v>182</v>
      </c>
      <c r="G217" s="52">
        <v>249000</v>
      </c>
      <c r="H217" s="52">
        <v>477475.2</v>
      </c>
      <c r="I217" s="52">
        <v>-228472.2</v>
      </c>
      <c r="J217" s="52">
        <f>280000+200000</f>
        <v>480000</v>
      </c>
      <c r="K217" s="52">
        <v>445000</v>
      </c>
      <c r="L217" s="52">
        <v>457000</v>
      </c>
      <c r="M217" s="52"/>
      <c r="N217" s="52">
        <f t="shared" si="125"/>
        <v>457000</v>
      </c>
      <c r="O217" s="52">
        <f>VLOOKUP(B:B,'דוח כספי 1-10.17'!A:D,4,0)</f>
        <v>362440.44</v>
      </c>
      <c r="P217" s="52">
        <v>425000</v>
      </c>
      <c r="Q217" s="52">
        <v>431000</v>
      </c>
      <c r="R217" s="52">
        <f>VLOOKUP(B217,'2174'!$A$182:$G$567,6,0)</f>
        <v>390466.46</v>
      </c>
      <c r="S217" s="63">
        <f>VLOOKUP(B217,'2174'!$A$575:$D$697,4,0)</f>
        <v>514203.23</v>
      </c>
      <c r="T217" s="52">
        <f>S217*1.0217</f>
        <v>525361.44009100005</v>
      </c>
      <c r="U217" s="52">
        <f>VLOOKUP(B217,'ביצוע 2019'!$A$3:$H$1103,7,0)</f>
        <v>589211.19999999995</v>
      </c>
      <c r="V217" s="52">
        <v>650000</v>
      </c>
      <c r="W217" s="63">
        <v>3</v>
      </c>
      <c r="X217" s="52"/>
      <c r="Y217" s="52"/>
      <c r="Z217" s="101">
        <f t="shared" si="132"/>
        <v>1</v>
      </c>
    </row>
    <row r="218" spans="1:26" s="101" customFormat="1" ht="15.75">
      <c r="A218" s="21">
        <v>19</v>
      </c>
      <c r="B218" s="51">
        <v>1813220431</v>
      </c>
      <c r="C218" s="50" t="str">
        <f t="shared" si="140"/>
        <v>431</v>
      </c>
      <c r="D218" s="50" t="str">
        <f t="shared" si="141"/>
        <v>813220</v>
      </c>
      <c r="E218" s="50" t="str">
        <f t="shared" si="142"/>
        <v>81</v>
      </c>
      <c r="F218" s="51" t="s">
        <v>185</v>
      </c>
      <c r="G218" s="52">
        <v>0</v>
      </c>
      <c r="H218" s="52">
        <v>35101.1</v>
      </c>
      <c r="I218" s="52">
        <v>-35101.1</v>
      </c>
      <c r="J218" s="52">
        <v>35000</v>
      </c>
      <c r="K218" s="52">
        <v>42000</v>
      </c>
      <c r="L218" s="52">
        <v>40000</v>
      </c>
      <c r="M218" s="52"/>
      <c r="N218" s="52">
        <f t="shared" ref="N218:N264" si="143">M218+L218</f>
        <v>40000</v>
      </c>
      <c r="O218" s="52">
        <f>VLOOKUP(B:B,'דוח כספי 1-10.17'!A:D,4,0)</f>
        <v>14472.64</v>
      </c>
      <c r="P218" s="52">
        <f t="shared" si="129"/>
        <v>17367.167999999998</v>
      </c>
      <c r="Q218" s="52">
        <v>17000</v>
      </c>
      <c r="R218" s="52">
        <f>VLOOKUP(B218,'2174'!$A$182:$G$567,6,0)</f>
        <v>72040.19</v>
      </c>
      <c r="S218" s="52">
        <f t="shared" ref="S218:S223" si="144">R218*12/11</f>
        <v>78589.298181818187</v>
      </c>
      <c r="T218" s="52">
        <v>78589.298181818187</v>
      </c>
      <c r="U218" s="52">
        <f>VLOOKUP(B218,'ביצוע 2019'!$A$3:$H$1103,7,0)</f>
        <v>100525.13</v>
      </c>
      <c r="V218" s="52">
        <v>50000</v>
      </c>
      <c r="W218" s="52"/>
      <c r="X218" s="52"/>
      <c r="Y218" s="52"/>
      <c r="Z218" s="101">
        <f t="shared" si="132"/>
        <v>1</v>
      </c>
    </row>
    <row r="219" spans="1:26" s="101" customFormat="1" ht="15.75" hidden="1">
      <c r="A219" s="21">
        <v>19</v>
      </c>
      <c r="B219" s="51">
        <v>1813220432</v>
      </c>
      <c r="C219" s="50" t="str">
        <f t="shared" si="140"/>
        <v>432</v>
      </c>
      <c r="D219" s="50" t="str">
        <f t="shared" si="141"/>
        <v>813220</v>
      </c>
      <c r="E219" s="50" t="str">
        <f t="shared" si="142"/>
        <v>81</v>
      </c>
      <c r="F219" s="51" t="s">
        <v>186</v>
      </c>
      <c r="G219" s="52">
        <v>0</v>
      </c>
      <c r="H219" s="52">
        <v>53760.5</v>
      </c>
      <c r="I219" s="52">
        <v>-53760.5</v>
      </c>
      <c r="J219" s="52">
        <v>40000</v>
      </c>
      <c r="K219" s="52">
        <v>40000</v>
      </c>
      <c r="L219" s="52">
        <v>40000</v>
      </c>
      <c r="M219" s="52"/>
      <c r="N219" s="52">
        <f t="shared" si="143"/>
        <v>40000</v>
      </c>
      <c r="O219" s="52">
        <f>VLOOKUP(B:B,'דוח כספי 1-10.17'!A:D,4,0)</f>
        <v>36175.9</v>
      </c>
      <c r="P219" s="52">
        <f t="shared" si="129"/>
        <v>43411.08</v>
      </c>
      <c r="Q219" s="52">
        <v>43000</v>
      </c>
      <c r="R219" s="52">
        <f>VLOOKUP(B219,'2174'!$A$182:$G$567,6,0)</f>
        <v>0</v>
      </c>
      <c r="S219" s="52">
        <f t="shared" si="144"/>
        <v>0</v>
      </c>
      <c r="T219" s="52">
        <v>0</v>
      </c>
      <c r="U219" s="52">
        <f>VLOOKUP(B219,'ביצוע 2019'!$A$3:$H$1103,7,0)</f>
        <v>0</v>
      </c>
      <c r="V219" s="52">
        <f t="shared" si="135"/>
        <v>0</v>
      </c>
      <c r="W219" s="52"/>
      <c r="X219" s="52"/>
      <c r="Y219" s="52"/>
      <c r="Z219" s="101">
        <f t="shared" si="132"/>
        <v>0</v>
      </c>
    </row>
    <row r="220" spans="1:26" s="101" customFormat="1" ht="15.75" hidden="1">
      <c r="A220" s="21">
        <v>19</v>
      </c>
      <c r="B220" s="51">
        <v>1813220540</v>
      </c>
      <c r="C220" s="50" t="str">
        <f t="shared" si="140"/>
        <v>540</v>
      </c>
      <c r="D220" s="50" t="str">
        <f t="shared" si="141"/>
        <v>813220</v>
      </c>
      <c r="E220" s="50" t="str">
        <f t="shared" si="142"/>
        <v>81</v>
      </c>
      <c r="F220" s="51" t="s">
        <v>188</v>
      </c>
      <c r="G220" s="52">
        <v>0</v>
      </c>
      <c r="H220" s="52">
        <v>5264.48</v>
      </c>
      <c r="I220" s="52">
        <v>-5264.48</v>
      </c>
      <c r="J220" s="52">
        <v>0</v>
      </c>
      <c r="K220" s="52">
        <v>1500</v>
      </c>
      <c r="L220" s="52">
        <v>1500</v>
      </c>
      <c r="M220" s="52"/>
      <c r="N220" s="52">
        <f t="shared" si="143"/>
        <v>1500</v>
      </c>
      <c r="O220" s="52">
        <f>VLOOKUP(B:B,'דוח כספי 1-10.17'!A:D,4,0)</f>
        <v>0</v>
      </c>
      <c r="P220" s="52">
        <f t="shared" si="129"/>
        <v>0</v>
      </c>
      <c r="Q220" s="52">
        <f>P220</f>
        <v>0</v>
      </c>
      <c r="R220" s="52">
        <f>VLOOKUP(B220,'2174'!$A$182:$G$567,6,0)</f>
        <v>0</v>
      </c>
      <c r="S220" s="52">
        <f t="shared" si="144"/>
        <v>0</v>
      </c>
      <c r="T220" s="52">
        <v>0</v>
      </c>
      <c r="U220" s="52">
        <f>VLOOKUP(B220,'ביצוע 2019'!$A$3:$H$1103,7,0)</f>
        <v>0</v>
      </c>
      <c r="V220" s="52">
        <f t="shared" si="135"/>
        <v>0</v>
      </c>
      <c r="W220" s="52"/>
      <c r="X220" s="52"/>
      <c r="Y220" s="52"/>
      <c r="Z220" s="101">
        <f t="shared" si="132"/>
        <v>0</v>
      </c>
    </row>
    <row r="221" spans="1:26" s="101" customFormat="1" ht="15.75" hidden="1">
      <c r="A221" s="21">
        <v>19</v>
      </c>
      <c r="B221" s="51">
        <v>1813220720</v>
      </c>
      <c r="C221" s="50" t="str">
        <f t="shared" ref="C221" si="145">RIGHT(B221,3)</f>
        <v>720</v>
      </c>
      <c r="D221" s="50" t="str">
        <f t="shared" ref="D221" si="146">MID(B221,2,6)</f>
        <v>813220</v>
      </c>
      <c r="E221" s="50">
        <v>81</v>
      </c>
      <c r="F221" s="51" t="s">
        <v>1994</v>
      </c>
      <c r="G221" s="52"/>
      <c r="H221" s="52"/>
      <c r="I221" s="52"/>
      <c r="J221" s="52"/>
      <c r="K221" s="52"/>
      <c r="L221" s="52">
        <v>74000</v>
      </c>
      <c r="M221" s="52"/>
      <c r="N221" s="52"/>
      <c r="O221" s="52"/>
      <c r="P221" s="52">
        <v>0</v>
      </c>
      <c r="Q221" s="52">
        <v>0</v>
      </c>
      <c r="R221" s="52"/>
      <c r="S221" s="52">
        <f t="shared" si="144"/>
        <v>0</v>
      </c>
      <c r="T221" s="52">
        <v>0</v>
      </c>
      <c r="U221" s="52">
        <f>VLOOKUP(B221,'ביצוע 2019'!$A$3:$H$1103,7,0)</f>
        <v>0</v>
      </c>
      <c r="V221" s="52">
        <f t="shared" si="135"/>
        <v>0</v>
      </c>
      <c r="W221" s="52"/>
      <c r="X221" s="52"/>
      <c r="Y221" s="52"/>
      <c r="Z221" s="101">
        <f t="shared" si="132"/>
        <v>0</v>
      </c>
    </row>
    <row r="222" spans="1:26" s="101" customFormat="1" ht="15.75">
      <c r="A222" s="21">
        <v>19</v>
      </c>
      <c r="B222" s="51">
        <v>1813220750</v>
      </c>
      <c r="C222" s="50" t="str">
        <f t="shared" si="140"/>
        <v>750</v>
      </c>
      <c r="D222" s="50" t="str">
        <f t="shared" si="141"/>
        <v>813220</v>
      </c>
      <c r="E222" s="50" t="str">
        <f t="shared" si="142"/>
        <v>81</v>
      </c>
      <c r="F222" s="51" t="s">
        <v>191</v>
      </c>
      <c r="G222" s="52">
        <v>180000</v>
      </c>
      <c r="H222" s="52">
        <v>181328.87</v>
      </c>
      <c r="I222" s="52">
        <v>-1328.87</v>
      </c>
      <c r="J222" s="52">
        <v>180000</v>
      </c>
      <c r="K222" s="52">
        <v>80000</v>
      </c>
      <c r="L222" s="52">
        <v>100000</v>
      </c>
      <c r="M222" s="52"/>
      <c r="N222" s="52">
        <f t="shared" si="143"/>
        <v>100000</v>
      </c>
      <c r="O222" s="52">
        <f>VLOOKUP(B:B,'דוח כספי 1-10.17'!A:D,4,0)</f>
        <v>0</v>
      </c>
      <c r="P222" s="52">
        <f t="shared" si="129"/>
        <v>0</v>
      </c>
      <c r="Q222" s="52">
        <f>P222</f>
        <v>0</v>
      </c>
      <c r="R222" s="52">
        <f>VLOOKUP(B222,'2174'!$A$182:$G$567,6,0)</f>
        <v>26470</v>
      </c>
      <c r="S222" s="52">
        <v>0</v>
      </c>
      <c r="T222" s="52">
        <v>0</v>
      </c>
      <c r="U222" s="52">
        <f>VLOOKUP(B222,'ביצוע 2019'!$A$3:$H$1103,7,0)</f>
        <v>64700.61</v>
      </c>
      <c r="V222" s="52">
        <f t="shared" si="135"/>
        <v>64700.61</v>
      </c>
      <c r="W222" s="52"/>
      <c r="X222" s="52"/>
      <c r="Y222" s="52"/>
      <c r="Z222" s="101">
        <f t="shared" si="132"/>
        <v>1</v>
      </c>
    </row>
    <row r="223" spans="1:26" s="101" customFormat="1" ht="15.75">
      <c r="A223" s="21">
        <v>19</v>
      </c>
      <c r="B223" s="51">
        <v>1813220871</v>
      </c>
      <c r="C223" s="50" t="str">
        <f t="shared" si="140"/>
        <v>871</v>
      </c>
      <c r="D223" s="50" t="str">
        <f t="shared" si="141"/>
        <v>813220</v>
      </c>
      <c r="E223" s="50" t="str">
        <f t="shared" si="142"/>
        <v>81</v>
      </c>
      <c r="F223" s="51" t="s">
        <v>194</v>
      </c>
      <c r="G223" s="52">
        <v>320000</v>
      </c>
      <c r="H223" s="52">
        <v>230196</v>
      </c>
      <c r="I223" s="52">
        <v>89804</v>
      </c>
      <c r="J223" s="52">
        <v>320000</v>
      </c>
      <c r="K223" s="52">
        <v>220000</v>
      </c>
      <c r="L223" s="52">
        <v>220000</v>
      </c>
      <c r="M223" s="52"/>
      <c r="N223" s="52">
        <f t="shared" si="143"/>
        <v>220000</v>
      </c>
      <c r="O223" s="52">
        <f>VLOOKUP(B:B,'דוח כספי 1-10.17'!A:D,4,0)</f>
        <v>197231.17</v>
      </c>
      <c r="P223" s="52">
        <f t="shared" si="129"/>
        <v>236677.40400000001</v>
      </c>
      <c r="Q223" s="52">
        <v>236000</v>
      </c>
      <c r="R223" s="52">
        <f>VLOOKUP(B223,'2174'!$A$182:$G$567,6,0)</f>
        <v>268764.61</v>
      </c>
      <c r="S223" s="52">
        <f t="shared" si="144"/>
        <v>293197.75636363635</v>
      </c>
      <c r="T223" s="52">
        <v>293197.75636363635</v>
      </c>
      <c r="U223" s="52">
        <f>VLOOKUP(B223,'ביצוע 2019'!$A$3:$H$1103,7,0)</f>
        <v>264946.42</v>
      </c>
      <c r="V223" s="52">
        <f t="shared" si="135"/>
        <v>264946.42</v>
      </c>
      <c r="W223" s="52"/>
      <c r="X223" s="52"/>
      <c r="Y223" s="52"/>
      <c r="Z223" s="101">
        <f t="shared" si="132"/>
        <v>1</v>
      </c>
    </row>
    <row r="224" spans="1:26" s="101" customFormat="1" ht="15.75" hidden="1">
      <c r="A224" s="21">
        <v>19</v>
      </c>
      <c r="B224" s="51">
        <v>1813220930</v>
      </c>
      <c r="C224" s="50" t="str">
        <f t="shared" si="140"/>
        <v>930</v>
      </c>
      <c r="D224" s="50" t="str">
        <f t="shared" si="141"/>
        <v>813220</v>
      </c>
      <c r="E224" s="50" t="str">
        <f t="shared" si="142"/>
        <v>81</v>
      </c>
      <c r="F224" s="51" t="s">
        <v>195</v>
      </c>
      <c r="G224" s="52">
        <v>0</v>
      </c>
      <c r="H224" s="52">
        <v>0</v>
      </c>
      <c r="I224" s="52">
        <v>0</v>
      </c>
      <c r="J224" s="52">
        <v>0</v>
      </c>
      <c r="K224" s="52">
        <f>+J224</f>
        <v>0</v>
      </c>
      <c r="L224" s="52">
        <f>+K224</f>
        <v>0</v>
      </c>
      <c r="M224" s="52"/>
      <c r="N224" s="52">
        <f t="shared" si="143"/>
        <v>0</v>
      </c>
      <c r="O224" s="52">
        <f>VLOOKUP(B:B,'דוח כספי 1-10.17'!A:D,4,0)</f>
        <v>0</v>
      </c>
      <c r="P224" s="52">
        <f t="shared" si="129"/>
        <v>0</v>
      </c>
      <c r="Q224" s="52">
        <f>P224</f>
        <v>0</v>
      </c>
      <c r="R224" s="52"/>
      <c r="S224" s="52"/>
      <c r="T224" s="52"/>
      <c r="U224" s="52">
        <f>VLOOKUP(B224,'ביצוע 2019'!$A$3:$H$1103,7,0)</f>
        <v>0</v>
      </c>
      <c r="V224" s="52">
        <f t="shared" si="135"/>
        <v>0</v>
      </c>
      <c r="W224" s="52"/>
      <c r="X224" s="52"/>
      <c r="Y224" s="52"/>
      <c r="Z224" s="101">
        <f t="shared" si="132"/>
        <v>0</v>
      </c>
    </row>
    <row r="225" spans="1:26" s="101" customFormat="1" ht="15.75">
      <c r="A225" s="21">
        <v>20</v>
      </c>
      <c r="B225" s="51">
        <v>1813230110</v>
      </c>
      <c r="C225" s="50" t="str">
        <f t="shared" si="140"/>
        <v>110</v>
      </c>
      <c r="D225" s="50" t="str">
        <f t="shared" si="141"/>
        <v>813230</v>
      </c>
      <c r="E225" s="50" t="str">
        <f t="shared" si="142"/>
        <v>81</v>
      </c>
      <c r="F225" s="51" t="s">
        <v>196</v>
      </c>
      <c r="G225" s="52">
        <v>288000</v>
      </c>
      <c r="H225" s="52">
        <v>414084.74</v>
      </c>
      <c r="I225" s="52">
        <v>-126088.74</v>
      </c>
      <c r="J225" s="52">
        <v>20000</v>
      </c>
      <c r="K225" s="52">
        <v>515000</v>
      </c>
      <c r="L225" s="52">
        <v>525000</v>
      </c>
      <c r="M225" s="52"/>
      <c r="N225" s="52">
        <f t="shared" si="143"/>
        <v>525000</v>
      </c>
      <c r="O225" s="52">
        <f>VLOOKUP(B:B,'דוח כספי 1-10.17'!A:D,4,0)</f>
        <v>405369.7</v>
      </c>
      <c r="P225" s="52">
        <v>525000</v>
      </c>
      <c r="Q225" s="52">
        <v>532000</v>
      </c>
      <c r="R225" s="52">
        <f>VLOOKUP(B225,'2174'!$A$182:$G$567,6,0)</f>
        <v>436601.3</v>
      </c>
      <c r="S225" s="63">
        <f>VLOOKUP(B225,'2174'!$A$575:$D$697,4,0)</f>
        <v>583236.43999999994</v>
      </c>
      <c r="T225" s="52">
        <f>S225*1.0217</f>
        <v>595892.67074799992</v>
      </c>
      <c r="U225" s="52">
        <f>VLOOKUP(B225,'ביצוע 2019'!$A$3:$H$1103,7,0)</f>
        <v>605198.41</v>
      </c>
      <c r="V225" s="52">
        <v>670000</v>
      </c>
      <c r="W225" s="63">
        <v>3.5</v>
      </c>
      <c r="X225" s="52"/>
      <c r="Y225" s="52"/>
      <c r="Z225" s="101">
        <f t="shared" si="132"/>
        <v>1</v>
      </c>
    </row>
    <row r="226" spans="1:26" s="101" customFormat="1" ht="15.75">
      <c r="A226" s="21">
        <v>19</v>
      </c>
      <c r="B226" s="51">
        <v>1813230431</v>
      </c>
      <c r="C226" s="50" t="str">
        <f t="shared" si="140"/>
        <v>431</v>
      </c>
      <c r="D226" s="50" t="str">
        <f t="shared" si="141"/>
        <v>813230</v>
      </c>
      <c r="E226" s="50" t="str">
        <f t="shared" si="142"/>
        <v>81</v>
      </c>
      <c r="F226" s="51" t="s">
        <v>198</v>
      </c>
      <c r="G226" s="52">
        <v>0</v>
      </c>
      <c r="H226" s="52">
        <v>22564.93</v>
      </c>
      <c r="I226" s="52">
        <v>-22564.93</v>
      </c>
      <c r="J226" s="52">
        <v>25000</v>
      </c>
      <c r="K226" s="52">
        <v>60000</v>
      </c>
      <c r="L226" s="52">
        <v>70000</v>
      </c>
      <c r="M226" s="52"/>
      <c r="N226" s="52">
        <f t="shared" si="143"/>
        <v>70000</v>
      </c>
      <c r="O226" s="52">
        <f>VLOOKUP(B:B,'דוח כספי 1-10.17'!A:D,4,0)</f>
        <v>64616.17</v>
      </c>
      <c r="P226" s="52">
        <f t="shared" si="129"/>
        <v>77539.40400000001</v>
      </c>
      <c r="Q226" s="52">
        <v>77000</v>
      </c>
      <c r="R226" s="52">
        <f>VLOOKUP(B226,'2174'!$A$182:$G$567,6,0)</f>
        <v>16793.61</v>
      </c>
      <c r="S226" s="52">
        <f t="shared" ref="S226:S229" si="147">R226*12/11</f>
        <v>18320.301818181819</v>
      </c>
      <c r="T226" s="52">
        <v>18320.301818181819</v>
      </c>
      <c r="U226" s="52">
        <f>VLOOKUP(B226,'ביצוע 2019'!$A$3:$H$1103,7,0)</f>
        <v>0</v>
      </c>
      <c r="V226" s="52">
        <f t="shared" si="135"/>
        <v>0</v>
      </c>
      <c r="W226" s="52"/>
      <c r="X226" s="52"/>
      <c r="Y226" s="52"/>
      <c r="Z226" s="101">
        <f t="shared" si="132"/>
        <v>1</v>
      </c>
    </row>
    <row r="227" spans="1:26" s="101" customFormat="1" ht="15.75" hidden="1">
      <c r="A227" s="21">
        <v>19</v>
      </c>
      <c r="B227" s="51">
        <v>1813230540</v>
      </c>
      <c r="C227" s="50" t="str">
        <f t="shared" si="140"/>
        <v>540</v>
      </c>
      <c r="D227" s="50" t="str">
        <f t="shared" si="141"/>
        <v>813230</v>
      </c>
      <c r="E227" s="50" t="str">
        <f t="shared" si="142"/>
        <v>81</v>
      </c>
      <c r="F227" s="51" t="s">
        <v>201</v>
      </c>
      <c r="G227" s="52">
        <v>0</v>
      </c>
      <c r="H227" s="52">
        <v>5468.81</v>
      </c>
      <c r="I227" s="52">
        <v>-5468.81</v>
      </c>
      <c r="J227" s="52">
        <v>5000</v>
      </c>
      <c r="K227" s="52">
        <v>1500</v>
      </c>
      <c r="L227" s="52">
        <v>1500</v>
      </c>
      <c r="M227" s="52"/>
      <c r="N227" s="52">
        <f t="shared" si="143"/>
        <v>1500</v>
      </c>
      <c r="O227" s="52">
        <f>VLOOKUP(B:B,'דוח כספי 1-10.17'!A:D,4,0)</f>
        <v>0</v>
      </c>
      <c r="P227" s="52">
        <f t="shared" ref="P227:P280" si="148">O227*12/10</f>
        <v>0</v>
      </c>
      <c r="Q227" s="52">
        <f>P227</f>
        <v>0</v>
      </c>
      <c r="R227" s="52">
        <f>VLOOKUP(B227,'2174'!$A$182:$G$567,6,0)</f>
        <v>0</v>
      </c>
      <c r="S227" s="52">
        <f t="shared" si="147"/>
        <v>0</v>
      </c>
      <c r="T227" s="52">
        <v>0</v>
      </c>
      <c r="U227" s="52">
        <f>VLOOKUP(B227,'ביצוע 2019'!$A$3:$H$1103,7,0)</f>
        <v>0</v>
      </c>
      <c r="V227" s="52">
        <f t="shared" si="135"/>
        <v>0</v>
      </c>
      <c r="W227" s="52"/>
      <c r="X227" s="52"/>
      <c r="Y227" s="52"/>
      <c r="Z227" s="101">
        <f t="shared" si="132"/>
        <v>0</v>
      </c>
    </row>
    <row r="228" spans="1:26" s="101" customFormat="1" ht="15.75">
      <c r="A228" s="21">
        <v>19</v>
      </c>
      <c r="B228" s="51">
        <v>1813230720</v>
      </c>
      <c r="C228" s="50" t="str">
        <f t="shared" si="140"/>
        <v>720</v>
      </c>
      <c r="D228" s="50" t="str">
        <f t="shared" si="141"/>
        <v>813230</v>
      </c>
      <c r="E228" s="50" t="str">
        <f t="shared" si="142"/>
        <v>81</v>
      </c>
      <c r="F228" s="51" t="s">
        <v>1995</v>
      </c>
      <c r="G228" s="52"/>
      <c r="H228" s="52"/>
      <c r="I228" s="52"/>
      <c r="J228" s="52"/>
      <c r="K228" s="52"/>
      <c r="L228" s="52">
        <v>108000</v>
      </c>
      <c r="M228" s="52"/>
      <c r="N228" s="52">
        <f t="shared" si="143"/>
        <v>108000</v>
      </c>
      <c r="O228" s="52"/>
      <c r="P228" s="52">
        <v>0</v>
      </c>
      <c r="Q228" s="52">
        <v>0</v>
      </c>
      <c r="R228" s="52">
        <f>VLOOKUP(B228,'2174'!$A$182:$G$567,6,0)</f>
        <v>35697.919999999998</v>
      </c>
      <c r="S228" s="52">
        <f t="shared" si="147"/>
        <v>38943.185454545455</v>
      </c>
      <c r="T228" s="52">
        <v>0</v>
      </c>
      <c r="U228" s="52">
        <f>VLOOKUP(B228,'ביצוע 2019'!$A$3:$H$1103,7,0)</f>
        <v>92070.99</v>
      </c>
      <c r="V228" s="52">
        <f t="shared" si="135"/>
        <v>92070.99</v>
      </c>
      <c r="W228" s="52"/>
      <c r="X228" s="52"/>
      <c r="Y228" s="52"/>
      <c r="Z228" s="101">
        <f t="shared" si="132"/>
        <v>1</v>
      </c>
    </row>
    <row r="229" spans="1:26" s="101" customFormat="1" ht="15.75">
      <c r="A229" s="21">
        <v>19</v>
      </c>
      <c r="B229" s="51">
        <v>1813230750</v>
      </c>
      <c r="C229" s="50" t="str">
        <f t="shared" si="140"/>
        <v>750</v>
      </c>
      <c r="D229" s="50" t="str">
        <f t="shared" si="141"/>
        <v>813230</v>
      </c>
      <c r="E229" s="50" t="str">
        <f t="shared" si="142"/>
        <v>81</v>
      </c>
      <c r="F229" s="51" t="s">
        <v>205</v>
      </c>
      <c r="G229" s="52">
        <v>201000</v>
      </c>
      <c r="H229" s="52">
        <v>181461.86</v>
      </c>
      <c r="I229" s="52">
        <v>19535.14</v>
      </c>
      <c r="J229" s="52">
        <v>200000</v>
      </c>
      <c r="K229" s="52">
        <v>100000</v>
      </c>
      <c r="L229" s="52">
        <v>100000</v>
      </c>
      <c r="M229" s="52"/>
      <c r="N229" s="52">
        <f t="shared" si="143"/>
        <v>100000</v>
      </c>
      <c r="O229" s="52">
        <f>VLOOKUP(B:B,'דוח כספי 1-10.17'!A:D,4,0)</f>
        <v>56862</v>
      </c>
      <c r="P229" s="52">
        <f t="shared" si="148"/>
        <v>68234.399999999994</v>
      </c>
      <c r="Q229" s="52">
        <v>68000</v>
      </c>
      <c r="R229" s="52">
        <f>VLOOKUP(B229,'2174'!$A$182:$G$567,6,0)</f>
        <v>4510</v>
      </c>
      <c r="S229" s="52">
        <f t="shared" si="147"/>
        <v>4920</v>
      </c>
      <c r="T229" s="52">
        <v>0</v>
      </c>
      <c r="U229" s="52">
        <f>VLOOKUP(B229,'ביצוע 2019'!$A$3:$H$1103,7,0)</f>
        <v>51135.32</v>
      </c>
      <c r="V229" s="52">
        <f t="shared" si="135"/>
        <v>51135.32</v>
      </c>
      <c r="W229" s="52"/>
      <c r="X229" s="52"/>
      <c r="Y229" s="52"/>
      <c r="Z229" s="101">
        <f t="shared" si="132"/>
        <v>1</v>
      </c>
    </row>
    <row r="230" spans="1:26" s="101" customFormat="1" ht="15.75" hidden="1">
      <c r="A230" s="21">
        <v>19</v>
      </c>
      <c r="B230" s="51">
        <v>1813230780</v>
      </c>
      <c r="C230" s="50" t="str">
        <f t="shared" si="140"/>
        <v>780</v>
      </c>
      <c r="D230" s="50" t="str">
        <f t="shared" si="141"/>
        <v>813230</v>
      </c>
      <c r="E230" s="50" t="str">
        <f t="shared" si="142"/>
        <v>81</v>
      </c>
      <c r="F230" s="51" t="s">
        <v>18</v>
      </c>
      <c r="G230" s="52">
        <v>0</v>
      </c>
      <c r="H230" s="52">
        <v>0</v>
      </c>
      <c r="I230" s="52">
        <v>0</v>
      </c>
      <c r="J230" s="52">
        <v>0</v>
      </c>
      <c r="K230" s="52">
        <f>+J230</f>
        <v>0</v>
      </c>
      <c r="L230" s="52">
        <f>+K230</f>
        <v>0</v>
      </c>
      <c r="M230" s="52"/>
      <c r="N230" s="52">
        <f t="shared" si="143"/>
        <v>0</v>
      </c>
      <c r="O230" s="52">
        <f>VLOOKUP(B:B,'דוח כספי 1-10.17'!A:D,4,0)</f>
        <v>0</v>
      </c>
      <c r="P230" s="52">
        <f t="shared" si="148"/>
        <v>0</v>
      </c>
      <c r="Q230" s="52">
        <f>P230</f>
        <v>0</v>
      </c>
      <c r="R230" s="52"/>
      <c r="S230" s="52"/>
      <c r="T230" s="52"/>
      <c r="U230" s="52">
        <f>VLOOKUP(B230,'ביצוע 2019'!$A$3:$H$1103,7,0)</f>
        <v>0</v>
      </c>
      <c r="V230" s="52">
        <f t="shared" si="135"/>
        <v>0</v>
      </c>
      <c r="W230" s="52"/>
      <c r="X230" s="52"/>
      <c r="Y230" s="52"/>
      <c r="Z230" s="101">
        <f t="shared" si="132"/>
        <v>0</v>
      </c>
    </row>
    <row r="231" spans="1:26" s="101" customFormat="1" ht="15.75">
      <c r="A231" s="21">
        <v>19</v>
      </c>
      <c r="B231" s="51">
        <v>1813230870</v>
      </c>
      <c r="C231" s="50" t="str">
        <f t="shared" si="140"/>
        <v>870</v>
      </c>
      <c r="D231" s="50" t="str">
        <f t="shared" si="141"/>
        <v>813230</v>
      </c>
      <c r="E231" s="50" t="str">
        <f t="shared" si="142"/>
        <v>81</v>
      </c>
      <c r="F231" s="51" t="s">
        <v>206</v>
      </c>
      <c r="G231" s="52">
        <v>0</v>
      </c>
      <c r="H231" s="52">
        <v>0</v>
      </c>
      <c r="I231" s="52">
        <v>0</v>
      </c>
      <c r="J231" s="52">
        <v>0</v>
      </c>
      <c r="K231" s="52">
        <f>+J231</f>
        <v>0</v>
      </c>
      <c r="L231" s="52">
        <f>+K231</f>
        <v>0</v>
      </c>
      <c r="M231" s="52"/>
      <c r="N231" s="52">
        <f t="shared" si="143"/>
        <v>0</v>
      </c>
      <c r="O231" s="52">
        <f>VLOOKUP(B:B,'דוח כספי 1-10.17'!A:D,4,0)</f>
        <v>10000</v>
      </c>
      <c r="P231" s="52">
        <f t="shared" si="148"/>
        <v>12000</v>
      </c>
      <c r="Q231" s="52">
        <f>P231</f>
        <v>12000</v>
      </c>
      <c r="R231" s="52">
        <f>VLOOKUP(B231,'2174'!$A$182:$G$567,6,0)</f>
        <v>15000</v>
      </c>
      <c r="S231" s="52">
        <f t="shared" ref="S231:S232" si="149">R231*12/11</f>
        <v>16363.636363636364</v>
      </c>
      <c r="T231" s="52">
        <v>16363.636363636364</v>
      </c>
      <c r="U231" s="52">
        <f>VLOOKUP(B231,'ביצוע 2019'!$A$3:$H$1103,7,0)</f>
        <v>89975.14</v>
      </c>
      <c r="V231" s="52">
        <f t="shared" si="135"/>
        <v>89975.14</v>
      </c>
      <c r="W231" s="52"/>
      <c r="X231" s="52"/>
      <c r="Y231" s="52"/>
      <c r="Z231" s="101">
        <f t="shared" si="132"/>
        <v>1</v>
      </c>
    </row>
    <row r="232" spans="1:26" s="101" customFormat="1" ht="15.75">
      <c r="A232" s="21">
        <v>19</v>
      </c>
      <c r="B232" s="51">
        <v>1813230871</v>
      </c>
      <c r="C232" s="50" t="str">
        <f t="shared" si="140"/>
        <v>871</v>
      </c>
      <c r="D232" s="50" t="str">
        <f t="shared" si="141"/>
        <v>813230</v>
      </c>
      <c r="E232" s="50" t="str">
        <f t="shared" si="142"/>
        <v>81</v>
      </c>
      <c r="F232" s="51" t="s">
        <v>207</v>
      </c>
      <c r="G232" s="52">
        <v>340000</v>
      </c>
      <c r="H232" s="52">
        <v>244008</v>
      </c>
      <c r="I232" s="52">
        <v>95992</v>
      </c>
      <c r="J232" s="52">
        <v>340000</v>
      </c>
      <c r="K232" s="52">
        <v>285000</v>
      </c>
      <c r="L232" s="52">
        <v>285000</v>
      </c>
      <c r="M232" s="52"/>
      <c r="N232" s="52">
        <f t="shared" si="143"/>
        <v>285000</v>
      </c>
      <c r="O232" s="52">
        <f>VLOOKUP(B:B,'דוח כספי 1-10.17'!A:D,4,0)</f>
        <v>331352.92</v>
      </c>
      <c r="P232" s="52">
        <f t="shared" si="148"/>
        <v>397623.50400000002</v>
      </c>
      <c r="Q232" s="52">
        <v>398000</v>
      </c>
      <c r="R232" s="52">
        <f>VLOOKUP(B232,'2174'!$A$182:$G$567,6,0)</f>
        <v>337716.68</v>
      </c>
      <c r="S232" s="52">
        <f t="shared" si="149"/>
        <v>368418.19636363635</v>
      </c>
      <c r="T232" s="52">
        <v>368418.19636363635</v>
      </c>
      <c r="U232" s="52">
        <f>VLOOKUP(B232,'ביצוע 2019'!$A$3:$H$1103,7,0)</f>
        <v>193274.58</v>
      </c>
      <c r="V232" s="52">
        <f t="shared" si="135"/>
        <v>193274.58</v>
      </c>
      <c r="W232" s="52"/>
      <c r="X232" s="52"/>
      <c r="Y232" s="52"/>
      <c r="Z232" s="101">
        <f t="shared" si="132"/>
        <v>1</v>
      </c>
    </row>
    <row r="233" spans="1:26" s="101" customFormat="1" ht="15.75" hidden="1">
      <c r="A233" s="21">
        <v>19</v>
      </c>
      <c r="B233" s="51">
        <v>1813230930</v>
      </c>
      <c r="C233" s="50" t="str">
        <f t="shared" si="140"/>
        <v>930</v>
      </c>
      <c r="D233" s="50" t="str">
        <f t="shared" si="141"/>
        <v>813230</v>
      </c>
      <c r="E233" s="50" t="str">
        <f t="shared" si="142"/>
        <v>81</v>
      </c>
      <c r="F233" s="51" t="s">
        <v>208</v>
      </c>
      <c r="G233" s="52">
        <v>0</v>
      </c>
      <c r="H233" s="52">
        <v>0</v>
      </c>
      <c r="I233" s="52">
        <v>0</v>
      </c>
      <c r="J233" s="52">
        <v>0</v>
      </c>
      <c r="K233" s="52">
        <f>+J233</f>
        <v>0</v>
      </c>
      <c r="L233" s="52">
        <f>+K233</f>
        <v>0</v>
      </c>
      <c r="M233" s="52"/>
      <c r="N233" s="52">
        <f t="shared" si="143"/>
        <v>0</v>
      </c>
      <c r="O233" s="52">
        <f>VLOOKUP(B:B,'דוח כספי 1-10.17'!A:D,4,0)</f>
        <v>0</v>
      </c>
      <c r="P233" s="52">
        <f t="shared" si="148"/>
        <v>0</v>
      </c>
      <c r="Q233" s="52">
        <f>P233</f>
        <v>0</v>
      </c>
      <c r="R233" s="52"/>
      <c r="S233" s="52"/>
      <c r="T233" s="52"/>
      <c r="U233" s="52">
        <f>VLOOKUP(B233,'ביצוע 2019'!$A$3:$H$1103,7,0)</f>
        <v>0</v>
      </c>
      <c r="V233" s="52">
        <f t="shared" si="135"/>
        <v>0</v>
      </c>
      <c r="W233" s="52"/>
      <c r="X233" s="52"/>
      <c r="Y233" s="52"/>
      <c r="Z233" s="101">
        <f t="shared" si="132"/>
        <v>0</v>
      </c>
    </row>
    <row r="234" spans="1:26" s="101" customFormat="1" ht="15.75">
      <c r="A234" s="21">
        <v>20</v>
      </c>
      <c r="B234" s="51">
        <v>1813240110</v>
      </c>
      <c r="C234" s="50" t="str">
        <f t="shared" si="140"/>
        <v>110</v>
      </c>
      <c r="D234" s="50" t="str">
        <f t="shared" si="141"/>
        <v>813240</v>
      </c>
      <c r="E234" s="50" t="str">
        <f t="shared" si="142"/>
        <v>81</v>
      </c>
      <c r="F234" s="51" t="s">
        <v>209</v>
      </c>
      <c r="G234" s="52">
        <v>93000</v>
      </c>
      <c r="H234" s="52">
        <v>0</v>
      </c>
      <c r="I234" s="52">
        <v>93001</v>
      </c>
      <c r="J234" s="52">
        <v>0</v>
      </c>
      <c r="K234" s="52">
        <v>350000</v>
      </c>
      <c r="L234" s="52">
        <v>380000</v>
      </c>
      <c r="M234" s="52"/>
      <c r="N234" s="52">
        <f t="shared" si="143"/>
        <v>380000</v>
      </c>
      <c r="O234" s="52">
        <f>VLOOKUP(B:B,'דוח כספי 1-10.17'!A:D,4,0)</f>
        <v>166196.96</v>
      </c>
      <c r="P234" s="52">
        <v>395000</v>
      </c>
      <c r="Q234" s="52">
        <v>401000</v>
      </c>
      <c r="R234" s="52">
        <f>VLOOKUP(B234,'2174'!$A$182:$G$567,6,0)</f>
        <v>246002.44</v>
      </c>
      <c r="S234" s="63">
        <f>VLOOKUP(B234,'2174'!$A$575:$D$697,4,0)</f>
        <v>310241.32</v>
      </c>
      <c r="T234" s="52">
        <f>S234*1.0217</f>
        <v>316973.556644</v>
      </c>
      <c r="U234" s="52">
        <f>VLOOKUP(B234,'ביצוע 2019'!$A$3:$H$1103,7,0)</f>
        <v>277775.28999999998</v>
      </c>
      <c r="V234" s="52">
        <v>287000</v>
      </c>
      <c r="W234" s="63">
        <v>4.7</v>
      </c>
      <c r="X234" s="52"/>
      <c r="Y234" s="52"/>
      <c r="Z234" s="101">
        <f t="shared" si="132"/>
        <v>1</v>
      </c>
    </row>
    <row r="235" spans="1:26" s="101" customFormat="1" ht="15.75">
      <c r="A235" s="21">
        <v>19</v>
      </c>
      <c r="B235" s="51">
        <v>1813240431</v>
      </c>
      <c r="C235" s="50" t="str">
        <f t="shared" si="140"/>
        <v>431</v>
      </c>
      <c r="D235" s="50" t="str">
        <f t="shared" si="141"/>
        <v>813240</v>
      </c>
      <c r="E235" s="50" t="str">
        <f t="shared" si="142"/>
        <v>81</v>
      </c>
      <c r="F235" s="51" t="s">
        <v>210</v>
      </c>
      <c r="G235" s="52">
        <v>0</v>
      </c>
      <c r="H235" s="52">
        <v>0</v>
      </c>
      <c r="I235" s="52">
        <v>0</v>
      </c>
      <c r="J235" s="52">
        <v>0</v>
      </c>
      <c r="K235" s="52">
        <f t="shared" ref="K235:L237" si="150">+J235</f>
        <v>0</v>
      </c>
      <c r="L235" s="52">
        <f t="shared" si="150"/>
        <v>0</v>
      </c>
      <c r="M235" s="52"/>
      <c r="N235" s="52">
        <f t="shared" si="143"/>
        <v>0</v>
      </c>
      <c r="O235" s="52">
        <f>VLOOKUP(B:B,'דוח כספי 1-10.17'!A:D,4,0)</f>
        <v>0</v>
      </c>
      <c r="P235" s="52">
        <f t="shared" si="148"/>
        <v>0</v>
      </c>
      <c r="Q235" s="52">
        <f>P235</f>
        <v>0</v>
      </c>
      <c r="R235" s="52"/>
      <c r="S235" s="52"/>
      <c r="T235" s="52"/>
      <c r="U235" s="52">
        <f>VLOOKUP(B235,'ביצוע 2019'!$A$3:$H$1103,7,0)</f>
        <v>16955.77</v>
      </c>
      <c r="V235" s="52">
        <f t="shared" si="135"/>
        <v>16955.77</v>
      </c>
      <c r="W235" s="52"/>
      <c r="X235" s="52"/>
      <c r="Y235" s="52"/>
      <c r="Z235" s="101">
        <f t="shared" si="132"/>
        <v>1</v>
      </c>
    </row>
    <row r="236" spans="1:26" s="101" customFormat="1" ht="15.75" hidden="1">
      <c r="A236" s="21">
        <v>19</v>
      </c>
      <c r="B236" s="51">
        <v>1813240432</v>
      </c>
      <c r="C236" s="50" t="str">
        <f t="shared" si="140"/>
        <v>432</v>
      </c>
      <c r="D236" s="50" t="str">
        <f t="shared" si="141"/>
        <v>813240</v>
      </c>
      <c r="E236" s="50" t="str">
        <f t="shared" si="142"/>
        <v>81</v>
      </c>
      <c r="F236" s="51" t="s">
        <v>211</v>
      </c>
      <c r="G236" s="52">
        <v>0</v>
      </c>
      <c r="H236" s="52">
        <v>0</v>
      </c>
      <c r="I236" s="52">
        <v>0</v>
      </c>
      <c r="J236" s="52">
        <v>0</v>
      </c>
      <c r="K236" s="52">
        <f t="shared" si="150"/>
        <v>0</v>
      </c>
      <c r="L236" s="52">
        <f t="shared" si="150"/>
        <v>0</v>
      </c>
      <c r="M236" s="52"/>
      <c r="N236" s="52">
        <f t="shared" si="143"/>
        <v>0</v>
      </c>
      <c r="O236" s="52">
        <f>VLOOKUP(B:B,'דוח כספי 1-10.17'!A:D,4,0)</f>
        <v>24739.599999999999</v>
      </c>
      <c r="P236" s="52">
        <f t="shared" si="148"/>
        <v>29687.519999999997</v>
      </c>
      <c r="Q236" s="52">
        <f>P236</f>
        <v>29687.519999999997</v>
      </c>
      <c r="R236" s="52"/>
      <c r="S236" s="52">
        <f>R236*12/11</f>
        <v>0</v>
      </c>
      <c r="T236" s="52">
        <v>0</v>
      </c>
      <c r="U236" s="52">
        <f>VLOOKUP(B236,'ביצוע 2019'!$A$3:$H$1103,7,0)</f>
        <v>0</v>
      </c>
      <c r="V236" s="52">
        <f t="shared" si="135"/>
        <v>0</v>
      </c>
      <c r="W236" s="52"/>
      <c r="X236" s="52"/>
      <c r="Y236" s="52"/>
      <c r="Z236" s="101">
        <f t="shared" si="132"/>
        <v>0</v>
      </c>
    </row>
    <row r="237" spans="1:26" s="101" customFormat="1" ht="15.75" hidden="1">
      <c r="A237" s="21">
        <v>19</v>
      </c>
      <c r="B237" s="51">
        <v>1813240540</v>
      </c>
      <c r="C237" s="50" t="str">
        <f t="shared" si="140"/>
        <v>540</v>
      </c>
      <c r="D237" s="50" t="str">
        <f t="shared" si="141"/>
        <v>813240</v>
      </c>
      <c r="E237" s="50" t="str">
        <f t="shared" si="142"/>
        <v>81</v>
      </c>
      <c r="F237" s="51" t="s">
        <v>212</v>
      </c>
      <c r="G237" s="52">
        <v>0</v>
      </c>
      <c r="H237" s="52">
        <v>0</v>
      </c>
      <c r="I237" s="52">
        <v>0</v>
      </c>
      <c r="J237" s="52">
        <v>0</v>
      </c>
      <c r="K237" s="52">
        <f t="shared" si="150"/>
        <v>0</v>
      </c>
      <c r="L237" s="52">
        <f t="shared" si="150"/>
        <v>0</v>
      </c>
      <c r="M237" s="52"/>
      <c r="N237" s="52">
        <f t="shared" si="143"/>
        <v>0</v>
      </c>
      <c r="O237" s="52">
        <f>VLOOKUP(B:B,'דוח כספי 1-10.17'!A:D,4,0)</f>
        <v>0</v>
      </c>
      <c r="P237" s="52">
        <f t="shared" si="148"/>
        <v>0</v>
      </c>
      <c r="Q237" s="52">
        <f>P237</f>
        <v>0</v>
      </c>
      <c r="R237" s="52"/>
      <c r="S237" s="52"/>
      <c r="T237" s="52"/>
      <c r="U237" s="52">
        <f>VLOOKUP(B237,'ביצוע 2019'!$A$3:$H$1103,7,0)</f>
        <v>0</v>
      </c>
      <c r="V237" s="52">
        <f t="shared" si="135"/>
        <v>0</v>
      </c>
      <c r="W237" s="52"/>
      <c r="X237" s="52"/>
      <c r="Y237" s="52"/>
      <c r="Z237" s="101">
        <f t="shared" si="132"/>
        <v>0</v>
      </c>
    </row>
    <row r="238" spans="1:26" s="101" customFormat="1" ht="15.75">
      <c r="A238" s="21">
        <v>19</v>
      </c>
      <c r="B238" s="51">
        <v>1813240750</v>
      </c>
      <c r="C238" s="50" t="str">
        <f t="shared" si="140"/>
        <v>750</v>
      </c>
      <c r="D238" s="50" t="str">
        <f t="shared" si="141"/>
        <v>813240</v>
      </c>
      <c r="E238" s="50" t="str">
        <f t="shared" si="142"/>
        <v>81</v>
      </c>
      <c r="F238" s="51" t="s">
        <v>213</v>
      </c>
      <c r="G238" s="52">
        <v>114000</v>
      </c>
      <c r="H238" s="52">
        <v>252070.03</v>
      </c>
      <c r="I238" s="52">
        <v>-138072.03</v>
      </c>
      <c r="J238" s="52">
        <v>200000</v>
      </c>
      <c r="K238" s="52">
        <v>100000</v>
      </c>
      <c r="L238" s="52">
        <v>100000</v>
      </c>
      <c r="M238" s="52"/>
      <c r="N238" s="52">
        <f t="shared" si="143"/>
        <v>100000</v>
      </c>
      <c r="O238" s="52">
        <f>VLOOKUP(B:B,'דוח כספי 1-10.17'!A:D,4,0)</f>
        <v>43524</v>
      </c>
      <c r="P238" s="52">
        <f t="shared" si="148"/>
        <v>52228.800000000003</v>
      </c>
      <c r="Q238" s="52">
        <v>52000</v>
      </c>
      <c r="R238" s="52">
        <f>VLOOKUP(B238,'2174'!$A$182:$G$567,6,0)</f>
        <v>25322</v>
      </c>
      <c r="S238" s="52">
        <f t="shared" ref="S238:S239" si="151">R238*12/11</f>
        <v>27624</v>
      </c>
      <c r="T238" s="52">
        <v>0</v>
      </c>
      <c r="U238" s="52">
        <f>VLOOKUP(B238,'ביצוע 2019'!$A$3:$H$1103,7,0)</f>
        <v>26703.16</v>
      </c>
      <c r="V238" s="52">
        <f t="shared" si="135"/>
        <v>26703.16</v>
      </c>
      <c r="W238" s="52"/>
      <c r="X238" s="52"/>
      <c r="Y238" s="52"/>
      <c r="Z238" s="101">
        <f t="shared" si="132"/>
        <v>1</v>
      </c>
    </row>
    <row r="239" spans="1:26" s="101" customFormat="1" ht="15.75">
      <c r="A239" s="21">
        <v>19</v>
      </c>
      <c r="B239" s="51">
        <v>1813240870</v>
      </c>
      <c r="C239" s="50" t="str">
        <f t="shared" si="140"/>
        <v>870</v>
      </c>
      <c r="D239" s="50" t="str">
        <f t="shared" si="141"/>
        <v>813240</v>
      </c>
      <c r="E239" s="50" t="str">
        <f t="shared" si="142"/>
        <v>81</v>
      </c>
      <c r="F239" s="51" t="s">
        <v>214</v>
      </c>
      <c r="G239" s="52">
        <v>210000</v>
      </c>
      <c r="H239" s="52">
        <v>151848</v>
      </c>
      <c r="I239" s="52">
        <v>58152</v>
      </c>
      <c r="J239" s="52">
        <v>210000</v>
      </c>
      <c r="K239" s="52">
        <v>180000</v>
      </c>
      <c r="L239" s="52">
        <v>180000</v>
      </c>
      <c r="M239" s="52"/>
      <c r="N239" s="52">
        <f t="shared" si="143"/>
        <v>180000</v>
      </c>
      <c r="O239" s="52">
        <f>VLOOKUP(B:B,'דוח כספי 1-10.17'!A:D,4,0)</f>
        <v>139374.17000000001</v>
      </c>
      <c r="P239" s="52">
        <f t="shared" si="148"/>
        <v>167249.00400000002</v>
      </c>
      <c r="Q239" s="52">
        <v>167000</v>
      </c>
      <c r="R239" s="52">
        <f>VLOOKUP(B239,'2174'!$A$182:$G$567,6,0)</f>
        <v>161814.59</v>
      </c>
      <c r="S239" s="52">
        <f t="shared" si="151"/>
        <v>176525.00727272729</v>
      </c>
      <c r="T239" s="52">
        <v>176525.00727272729</v>
      </c>
      <c r="U239" s="52">
        <f>VLOOKUP(B239,'ביצוע 2019'!$A$3:$H$1103,7,0)</f>
        <v>203009.42</v>
      </c>
      <c r="V239" s="52">
        <f t="shared" si="135"/>
        <v>203009.42</v>
      </c>
      <c r="W239" s="52"/>
      <c r="X239" s="52"/>
      <c r="Y239" s="52"/>
      <c r="Z239" s="101">
        <f t="shared" si="132"/>
        <v>1</v>
      </c>
    </row>
    <row r="240" spans="1:26" s="101" customFormat="1" ht="15.75">
      <c r="A240" s="21">
        <v>20</v>
      </c>
      <c r="B240" s="51">
        <v>1813250110</v>
      </c>
      <c r="C240" s="50" t="str">
        <f t="shared" si="140"/>
        <v>110</v>
      </c>
      <c r="D240" s="50" t="str">
        <f t="shared" si="141"/>
        <v>813250</v>
      </c>
      <c r="E240" s="50" t="str">
        <f t="shared" si="142"/>
        <v>81</v>
      </c>
      <c r="F240" s="51" t="s">
        <v>590</v>
      </c>
      <c r="G240" s="52">
        <v>16000</v>
      </c>
      <c r="H240" s="52">
        <v>9193.48</v>
      </c>
      <c r="I240" s="52">
        <v>6808.52</v>
      </c>
      <c r="J240" s="52">
        <v>10000</v>
      </c>
      <c r="K240" s="52"/>
      <c r="L240" s="52"/>
      <c r="M240" s="52"/>
      <c r="N240" s="52">
        <f t="shared" si="143"/>
        <v>0</v>
      </c>
      <c r="O240" s="52">
        <f>VLOOKUP(B:B,'דוח כספי 1-10.17'!A:D,4,0)</f>
        <v>13008.04</v>
      </c>
      <c r="P240" s="52">
        <v>35000</v>
      </c>
      <c r="Q240" s="52">
        <v>81000</v>
      </c>
      <c r="R240" s="52">
        <f>VLOOKUP(B240,'2174'!$A$182:$G$567,6,0)</f>
        <v>66101.039999999994</v>
      </c>
      <c r="S240" s="63">
        <f>VLOOKUP(B240,'2174'!$A$575:$D$697,4,0)</f>
        <v>91115.85</v>
      </c>
      <c r="T240" s="52">
        <f>S240*1.0217</f>
        <v>93093.063945000016</v>
      </c>
      <c r="U240" s="52">
        <f>VLOOKUP(B240,'ביצוע 2019'!$A$3:$H$1103,7,0)</f>
        <v>137753.1</v>
      </c>
      <c r="V240" s="52">
        <v>140000</v>
      </c>
      <c r="W240" s="52"/>
      <c r="X240" s="52"/>
      <c r="Y240" s="52"/>
      <c r="Z240" s="101">
        <f t="shared" si="132"/>
        <v>1</v>
      </c>
    </row>
    <row r="241" spans="1:26" s="101" customFormat="1" ht="15.75">
      <c r="A241" s="21"/>
      <c r="B241" s="234"/>
      <c r="C241" s="235"/>
      <c r="D241" s="235"/>
      <c r="E241" s="235"/>
      <c r="F241" s="234" t="s">
        <v>1969</v>
      </c>
      <c r="G241" s="236"/>
      <c r="H241" s="236"/>
      <c r="I241" s="236"/>
      <c r="J241" s="236"/>
      <c r="K241" s="236"/>
      <c r="L241" s="236">
        <f>SUM(L202:L240)</f>
        <v>5973000</v>
      </c>
      <c r="M241" s="236"/>
      <c r="N241" s="236">
        <f t="shared" ref="N241:W241" si="152">SUM(N202:N240)</f>
        <v>5899000</v>
      </c>
      <c r="O241" s="236">
        <f t="shared" si="152"/>
        <v>4647499.79</v>
      </c>
      <c r="P241" s="236">
        <f t="shared" si="152"/>
        <v>5812593.4079999998</v>
      </c>
      <c r="Q241" s="236">
        <f t="shared" si="152"/>
        <v>5871187.5199999996</v>
      </c>
      <c r="R241" s="236">
        <f t="shared" si="152"/>
        <v>3862354.3599999994</v>
      </c>
      <c r="S241" s="236">
        <f t="shared" si="152"/>
        <v>4895675.6054545445</v>
      </c>
      <c r="T241" s="236">
        <f t="shared" si="152"/>
        <v>4930626.5199914547</v>
      </c>
      <c r="U241" s="236">
        <f t="shared" si="152"/>
        <v>5475116.3099999987</v>
      </c>
      <c r="V241" s="236">
        <f t="shared" si="152"/>
        <v>4984082.4499999993</v>
      </c>
      <c r="W241" s="236">
        <f t="shared" si="152"/>
        <v>16.7</v>
      </c>
      <c r="X241" s="52"/>
      <c r="Y241" s="52"/>
      <c r="Z241" s="101">
        <f t="shared" si="132"/>
        <v>1</v>
      </c>
    </row>
    <row r="242" spans="1:26" s="101" customFormat="1" ht="15.75">
      <c r="A242" s="21">
        <v>20</v>
      </c>
      <c r="B242" s="51">
        <v>1813300110</v>
      </c>
      <c r="C242" s="181" t="str">
        <f t="shared" si="140"/>
        <v>110</v>
      </c>
      <c r="D242" s="181" t="str">
        <f t="shared" si="141"/>
        <v>813300</v>
      </c>
      <c r="E242" s="181" t="str">
        <f t="shared" si="142"/>
        <v>81</v>
      </c>
      <c r="F242" s="182" t="s">
        <v>2061</v>
      </c>
      <c r="G242" s="183">
        <v>1141000</v>
      </c>
      <c r="H242" s="183">
        <v>1195040.67</v>
      </c>
      <c r="I242" s="183">
        <v>-54043.67</v>
      </c>
      <c r="J242" s="183">
        <v>1340000</v>
      </c>
      <c r="K242" s="183">
        <f>1230000+300000</f>
        <v>1530000</v>
      </c>
      <c r="L242" s="183">
        <v>1265000</v>
      </c>
      <c r="M242" s="183"/>
      <c r="N242" s="183">
        <f t="shared" si="143"/>
        <v>1265000</v>
      </c>
      <c r="O242" s="183">
        <f>VLOOKUP(B:B,'דוח כספי 1-10.17'!A:D,4,0)</f>
        <v>988881.23</v>
      </c>
      <c r="P242" s="183">
        <v>1280000</v>
      </c>
      <c r="Q242" s="183">
        <v>1269000</v>
      </c>
      <c r="R242" s="52">
        <f>VLOOKUP(B242,'2174'!$A$182:$G$567,6,0)</f>
        <v>1065245.1599999999</v>
      </c>
      <c r="S242" s="63">
        <f>VLOOKUP(B242,'2174'!$A$575:$D$697,4,0)</f>
        <v>1412849.12</v>
      </c>
      <c r="T242" s="52">
        <f>S242*1.0217</f>
        <v>1443507.9459040002</v>
      </c>
      <c r="U242" s="52">
        <f>VLOOKUP(B242,'ביצוע 2019'!$A$3:$H$1103,7,0)</f>
        <v>1443631.57</v>
      </c>
      <c r="V242" s="52">
        <v>1485000</v>
      </c>
      <c r="W242" s="52">
        <v>11</v>
      </c>
      <c r="X242" s="52"/>
      <c r="Y242" s="158"/>
      <c r="Z242" s="101">
        <f t="shared" si="132"/>
        <v>1</v>
      </c>
    </row>
    <row r="243" spans="1:26" s="101" customFormat="1" ht="15.75">
      <c r="A243" s="21">
        <v>19</v>
      </c>
      <c r="B243" s="51">
        <v>1813300431</v>
      </c>
      <c r="C243" s="50" t="str">
        <f t="shared" ref="C243" si="153">RIGHT(B243,3)</f>
        <v>431</v>
      </c>
      <c r="D243" s="50" t="str">
        <f t="shared" ref="D243" si="154">MID(B243,2,6)</f>
        <v>813300</v>
      </c>
      <c r="E243" s="50">
        <v>81</v>
      </c>
      <c r="F243" s="51" t="s">
        <v>1763</v>
      </c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>
        <f>VLOOKUP(B243,'2174'!$A$182:$G$567,6,0)</f>
        <v>33059.870000000003</v>
      </c>
      <c r="S243" s="52">
        <f>R243*12/11</f>
        <v>36065.312727272736</v>
      </c>
      <c r="T243" s="52">
        <v>40000</v>
      </c>
      <c r="U243" s="52">
        <f>VLOOKUP(B243,'ביצוע 2019'!$A$3:$H$1103,7,0)</f>
        <v>4937.8100000000004</v>
      </c>
      <c r="V243" s="52">
        <f t="shared" ref="V243:V250" si="155">U243</f>
        <v>4937.8100000000004</v>
      </c>
      <c r="W243" s="52"/>
      <c r="X243" s="52"/>
      <c r="Y243" s="52"/>
      <c r="Z243" s="101">
        <f t="shared" si="132"/>
        <v>1</v>
      </c>
    </row>
    <row r="244" spans="1:26" s="101" customFormat="1" ht="15.75">
      <c r="A244" s="21">
        <v>19</v>
      </c>
      <c r="B244" s="51">
        <v>1813300540</v>
      </c>
      <c r="C244" s="50" t="str">
        <f t="shared" si="140"/>
        <v>540</v>
      </c>
      <c r="D244" s="50" t="str">
        <f t="shared" si="141"/>
        <v>813300</v>
      </c>
      <c r="E244" s="50" t="str">
        <f t="shared" si="142"/>
        <v>81</v>
      </c>
      <c r="F244" s="51" t="s">
        <v>217</v>
      </c>
      <c r="G244" s="52">
        <v>14000</v>
      </c>
      <c r="H244" s="52">
        <v>13217.87</v>
      </c>
      <c r="I244" s="52">
        <v>780.13</v>
      </c>
      <c r="J244" s="52">
        <v>14000</v>
      </c>
      <c r="K244" s="52">
        <v>14000</v>
      </c>
      <c r="L244" s="52">
        <v>14000</v>
      </c>
      <c r="M244" s="52"/>
      <c r="N244" s="52">
        <f t="shared" si="143"/>
        <v>14000</v>
      </c>
      <c r="O244" s="52">
        <f>VLOOKUP(B:B,'דוח כספי 1-10.17'!A:D,4,0)</f>
        <v>25824.6</v>
      </c>
      <c r="P244" s="52">
        <f t="shared" si="148"/>
        <v>30989.519999999997</v>
      </c>
      <c r="Q244" s="52">
        <f>P244</f>
        <v>30989.519999999997</v>
      </c>
      <c r="R244" s="52">
        <f>VLOOKUP(B244,'2174'!$A$182:$G$567,6,0)</f>
        <v>0</v>
      </c>
      <c r="S244" s="52">
        <f t="shared" ref="S244:S250" si="156">R244*12/11</f>
        <v>0</v>
      </c>
      <c r="T244" s="52">
        <v>0</v>
      </c>
      <c r="U244" s="52">
        <f>VLOOKUP(B244,'ביצוע 2019'!$A$3:$H$1103,7,0)</f>
        <v>138770.75</v>
      </c>
      <c r="V244" s="52">
        <f t="shared" si="155"/>
        <v>138770.75</v>
      </c>
      <c r="W244" s="52"/>
      <c r="X244" s="52"/>
      <c r="Y244" s="52"/>
      <c r="Z244" s="101">
        <f t="shared" si="132"/>
        <v>1</v>
      </c>
    </row>
    <row r="245" spans="1:26" s="101" customFormat="1" ht="15.75" hidden="1">
      <c r="A245" s="21">
        <v>19</v>
      </c>
      <c r="B245" s="51">
        <v>1813300560</v>
      </c>
      <c r="C245" s="50" t="str">
        <f t="shared" si="140"/>
        <v>560</v>
      </c>
      <c r="D245" s="50" t="str">
        <f t="shared" si="141"/>
        <v>813300</v>
      </c>
      <c r="E245" s="50" t="str">
        <f t="shared" si="142"/>
        <v>81</v>
      </c>
      <c r="F245" s="51" t="s">
        <v>52</v>
      </c>
      <c r="G245" s="52">
        <v>1000</v>
      </c>
      <c r="H245" s="52">
        <v>2891</v>
      </c>
      <c r="I245" s="52">
        <v>-1894</v>
      </c>
      <c r="J245" s="52">
        <v>2000</v>
      </c>
      <c r="K245" s="52">
        <v>2000</v>
      </c>
      <c r="L245" s="52">
        <v>2000</v>
      </c>
      <c r="M245" s="52"/>
      <c r="N245" s="52">
        <f t="shared" si="143"/>
        <v>2000</v>
      </c>
      <c r="O245" s="52">
        <f>VLOOKUP(B:B,'דוח כספי 1-10.17'!A:D,4,0)</f>
        <v>0</v>
      </c>
      <c r="P245" s="52">
        <f t="shared" si="148"/>
        <v>0</v>
      </c>
      <c r="Q245" s="52"/>
      <c r="R245" s="52">
        <f>VLOOKUP(B245,'2174'!$A$182:$G$567,6,0)</f>
        <v>0</v>
      </c>
      <c r="S245" s="52">
        <f t="shared" si="156"/>
        <v>0</v>
      </c>
      <c r="T245" s="52">
        <v>0</v>
      </c>
      <c r="U245" s="52">
        <f>VLOOKUP(B245,'ביצוע 2019'!$A$3:$H$1103,7,0)</f>
        <v>0</v>
      </c>
      <c r="V245" s="52">
        <f t="shared" si="155"/>
        <v>0</v>
      </c>
      <c r="W245" s="52"/>
      <c r="X245" s="52"/>
      <c r="Y245" s="52"/>
      <c r="Z245" s="101">
        <f t="shared" si="132"/>
        <v>0</v>
      </c>
    </row>
    <row r="246" spans="1:26" s="101" customFormat="1" ht="15.75" hidden="1">
      <c r="A246" s="21">
        <v>19</v>
      </c>
      <c r="B246" s="51">
        <v>1813300720</v>
      </c>
      <c r="C246" s="50" t="str">
        <f t="shared" si="140"/>
        <v>720</v>
      </c>
      <c r="D246" s="50" t="str">
        <f t="shared" si="141"/>
        <v>813300</v>
      </c>
      <c r="E246" s="50" t="str">
        <f t="shared" si="142"/>
        <v>81</v>
      </c>
      <c r="F246" s="51" t="s">
        <v>32</v>
      </c>
      <c r="G246" s="52">
        <v>0</v>
      </c>
      <c r="H246" s="52">
        <v>2500</v>
      </c>
      <c r="I246" s="52">
        <v>-2500</v>
      </c>
      <c r="J246" s="52">
        <v>3000</v>
      </c>
      <c r="K246" s="52">
        <v>3000</v>
      </c>
      <c r="L246" s="52">
        <v>3000</v>
      </c>
      <c r="M246" s="52"/>
      <c r="N246" s="52">
        <f t="shared" si="143"/>
        <v>3000</v>
      </c>
      <c r="O246" s="52">
        <f>VLOOKUP(B:B,'דוח כספי 1-10.17'!A:D,4,0)</f>
        <v>2000</v>
      </c>
      <c r="P246" s="52">
        <f t="shared" si="148"/>
        <v>2400</v>
      </c>
      <c r="Q246" s="52">
        <f>P246</f>
        <v>2400</v>
      </c>
      <c r="R246" s="52">
        <f>VLOOKUP(B246,'2174'!$A$182:$G$567,6,0)</f>
        <v>0</v>
      </c>
      <c r="S246" s="52">
        <f t="shared" si="156"/>
        <v>0</v>
      </c>
      <c r="T246" s="52">
        <v>0</v>
      </c>
      <c r="U246" s="52">
        <f>VLOOKUP(B246,'ביצוע 2019'!$A$3:$H$1103,7,0)</f>
        <v>0</v>
      </c>
      <c r="V246" s="52">
        <f t="shared" si="155"/>
        <v>0</v>
      </c>
      <c r="W246" s="52"/>
      <c r="X246" s="52"/>
      <c r="Y246" s="52"/>
      <c r="Z246" s="101">
        <f t="shared" si="132"/>
        <v>0</v>
      </c>
    </row>
    <row r="247" spans="1:26" s="101" customFormat="1" ht="15.75">
      <c r="A247" s="21">
        <v>19</v>
      </c>
      <c r="B247" s="51">
        <v>1813300721</v>
      </c>
      <c r="C247" s="50" t="str">
        <f t="shared" si="140"/>
        <v>721</v>
      </c>
      <c r="D247" s="50" t="str">
        <f t="shared" si="141"/>
        <v>813300</v>
      </c>
      <c r="E247" s="50" t="str">
        <f t="shared" si="142"/>
        <v>81</v>
      </c>
      <c r="F247" s="51" t="s">
        <v>218</v>
      </c>
      <c r="G247" s="52">
        <v>130000</v>
      </c>
      <c r="H247" s="52">
        <v>151735</v>
      </c>
      <c r="I247" s="52">
        <v>-21735</v>
      </c>
      <c r="J247" s="52">
        <v>150000</v>
      </c>
      <c r="K247" s="52">
        <v>250000</v>
      </c>
      <c r="L247" s="52">
        <v>250000</v>
      </c>
      <c r="M247" s="52"/>
      <c r="N247" s="52">
        <f t="shared" si="143"/>
        <v>250000</v>
      </c>
      <c r="O247" s="52">
        <f>VLOOKUP(B:B,'דוח כספי 1-10.17'!A:D,4,0)</f>
        <v>173335.05</v>
      </c>
      <c r="P247" s="52">
        <f t="shared" si="148"/>
        <v>208002.06</v>
      </c>
      <c r="Q247" s="52">
        <f>P247</f>
        <v>208002.06</v>
      </c>
      <c r="R247" s="52">
        <f>VLOOKUP(B247,'2174'!$A$182:$G$567,6,0)</f>
        <v>61016.21</v>
      </c>
      <c r="S247" s="52">
        <f t="shared" si="156"/>
        <v>66563.138181818184</v>
      </c>
      <c r="T247" s="52">
        <v>66563.138181818184</v>
      </c>
      <c r="U247" s="52">
        <f>VLOOKUP(B247,'ביצוע 2019'!$A$3:$H$1103,7,0)</f>
        <v>217793.65</v>
      </c>
      <c r="V247" s="52">
        <f t="shared" si="155"/>
        <v>217793.65</v>
      </c>
      <c r="W247" s="52"/>
      <c r="X247" s="52"/>
      <c r="Y247" s="52"/>
      <c r="Z247" s="101">
        <f t="shared" si="132"/>
        <v>1</v>
      </c>
    </row>
    <row r="248" spans="1:26" s="101" customFormat="1" ht="15.75">
      <c r="A248" s="21">
        <v>19</v>
      </c>
      <c r="B248" s="51">
        <v>1813300750</v>
      </c>
      <c r="C248" s="50" t="str">
        <f t="shared" si="140"/>
        <v>750</v>
      </c>
      <c r="D248" s="50" t="str">
        <f t="shared" si="141"/>
        <v>813300</v>
      </c>
      <c r="E248" s="50" t="str">
        <f t="shared" si="142"/>
        <v>81</v>
      </c>
      <c r="F248" s="51" t="s">
        <v>34</v>
      </c>
      <c r="G248" s="52">
        <v>0</v>
      </c>
      <c r="H248" s="52">
        <v>0</v>
      </c>
      <c r="I248" s="52">
        <v>0</v>
      </c>
      <c r="J248" s="52">
        <v>0</v>
      </c>
      <c r="K248" s="52">
        <v>8000</v>
      </c>
      <c r="L248" s="52">
        <v>8000</v>
      </c>
      <c r="M248" s="52"/>
      <c r="N248" s="52">
        <f t="shared" si="143"/>
        <v>8000</v>
      </c>
      <c r="O248" s="52">
        <f>VLOOKUP(B:B,'דוח כספי 1-10.17'!A:D,4,0)</f>
        <v>9010</v>
      </c>
      <c r="P248" s="52">
        <f t="shared" si="148"/>
        <v>10812</v>
      </c>
      <c r="Q248" s="52">
        <f>P248</f>
        <v>10812</v>
      </c>
      <c r="R248" s="52">
        <f>VLOOKUP(B248,'2174'!$A$182:$G$567,6,0)</f>
        <v>10307</v>
      </c>
      <c r="S248" s="52">
        <f t="shared" si="156"/>
        <v>11244</v>
      </c>
      <c r="T248" s="52">
        <v>0</v>
      </c>
      <c r="U248" s="52">
        <f>VLOOKUP(B248,'ביצוע 2019'!$A$3:$H$1103,7,0)</f>
        <v>10812</v>
      </c>
      <c r="V248" s="52">
        <f t="shared" si="155"/>
        <v>10812</v>
      </c>
      <c r="W248" s="52"/>
      <c r="X248" s="52"/>
      <c r="Y248" s="52"/>
      <c r="Z248" s="101">
        <f t="shared" si="132"/>
        <v>1</v>
      </c>
    </row>
    <row r="249" spans="1:26" s="101" customFormat="1" ht="15.75">
      <c r="A249" s="21">
        <v>19</v>
      </c>
      <c r="B249" s="51">
        <v>1813300780</v>
      </c>
      <c r="C249" s="50" t="str">
        <f t="shared" si="140"/>
        <v>780</v>
      </c>
      <c r="D249" s="50" t="str">
        <f t="shared" si="141"/>
        <v>813300</v>
      </c>
      <c r="E249" s="50" t="str">
        <f t="shared" si="142"/>
        <v>81</v>
      </c>
      <c r="F249" s="51" t="s">
        <v>18</v>
      </c>
      <c r="G249" s="52">
        <v>36000</v>
      </c>
      <c r="H249" s="52">
        <v>88657.8</v>
      </c>
      <c r="I249" s="52">
        <v>-52655.8</v>
      </c>
      <c r="J249" s="52">
        <v>90000</v>
      </c>
      <c r="K249" s="52">
        <v>150000</v>
      </c>
      <c r="L249" s="52">
        <v>95000</v>
      </c>
      <c r="M249" s="52"/>
      <c r="N249" s="52">
        <f t="shared" si="143"/>
        <v>95000</v>
      </c>
      <c r="O249" s="52">
        <f>VLOOKUP(B:B,'דוח כספי 1-10.17'!A:D,4,0)</f>
        <v>22242</v>
      </c>
      <c r="P249" s="52">
        <f t="shared" si="148"/>
        <v>26690.400000000001</v>
      </c>
      <c r="Q249" s="52">
        <f>P249</f>
        <v>26690.400000000001</v>
      </c>
      <c r="R249" s="52">
        <f>VLOOKUP(B249,'2174'!$A$182:$G$567,6,0)</f>
        <v>0</v>
      </c>
      <c r="S249" s="52">
        <f t="shared" si="156"/>
        <v>0</v>
      </c>
      <c r="T249" s="52">
        <v>0</v>
      </c>
      <c r="U249" s="52">
        <f>VLOOKUP(B249,'ביצוע 2019'!$A$3:$H$1103,7,0)</f>
        <v>29920</v>
      </c>
      <c r="V249" s="52">
        <f t="shared" si="155"/>
        <v>29920</v>
      </c>
      <c r="W249" s="52"/>
      <c r="X249" s="52"/>
      <c r="Y249" s="52"/>
      <c r="Z249" s="101">
        <f t="shared" si="132"/>
        <v>1</v>
      </c>
    </row>
    <row r="250" spans="1:26" s="101" customFormat="1" ht="15.75" hidden="1">
      <c r="A250" s="21">
        <v>19</v>
      </c>
      <c r="B250" s="51">
        <v>1813303760</v>
      </c>
      <c r="C250" s="50" t="str">
        <f t="shared" ref="C250:C297" si="157">RIGHT(B250,3)</f>
        <v>760</v>
      </c>
      <c r="D250" s="50" t="str">
        <f t="shared" ref="D250:D297" si="158">MID(B250,2,6)</f>
        <v>813303</v>
      </c>
      <c r="E250" s="50" t="str">
        <f t="shared" ref="E250:E297" si="159">LEFT(D250,2)</f>
        <v>81</v>
      </c>
      <c r="F250" s="51" t="s">
        <v>221</v>
      </c>
      <c r="G250" s="52">
        <v>350000</v>
      </c>
      <c r="H250" s="52">
        <v>321673.03000000003</v>
      </c>
      <c r="I250" s="52">
        <v>28326.97</v>
      </c>
      <c r="J250" s="52">
        <v>350000</v>
      </c>
      <c r="K250" s="52">
        <v>1000000</v>
      </c>
      <c r="L250" s="52">
        <v>750000</v>
      </c>
      <c r="M250" s="52"/>
      <c r="N250" s="52">
        <f t="shared" si="143"/>
        <v>750000</v>
      </c>
      <c r="O250" s="52">
        <f>VLOOKUP(B:B,'דוח כספי 1-10.17'!A:D,4,0)</f>
        <v>962140</v>
      </c>
      <c r="P250" s="52">
        <f t="shared" si="148"/>
        <v>1154568</v>
      </c>
      <c r="Q250" s="52">
        <f>P250</f>
        <v>1154568</v>
      </c>
      <c r="R250" s="52">
        <f>VLOOKUP(B250,'2174'!$A$182:$G$567,6,0)</f>
        <v>0</v>
      </c>
      <c r="S250" s="52">
        <f t="shared" si="156"/>
        <v>0</v>
      </c>
      <c r="T250" s="52">
        <v>0</v>
      </c>
      <c r="U250" s="52">
        <f>VLOOKUP(B250,'ביצוע 2019'!$A$3:$H$1103,7,0)</f>
        <v>0</v>
      </c>
      <c r="V250" s="52">
        <f t="shared" si="155"/>
        <v>0</v>
      </c>
      <c r="W250" s="52"/>
      <c r="X250" s="52"/>
      <c r="Y250" s="52"/>
      <c r="Z250" s="101">
        <f t="shared" si="132"/>
        <v>0</v>
      </c>
    </row>
    <row r="251" spans="1:26" s="101" customFormat="1" ht="15.75">
      <c r="A251" s="21">
        <v>19</v>
      </c>
      <c r="B251" s="51">
        <v>1813300870</v>
      </c>
      <c r="C251" s="50" t="str">
        <f t="shared" ref="C251" si="160">RIGHT(B251,3)</f>
        <v>870</v>
      </c>
      <c r="D251" s="50" t="str">
        <f t="shared" ref="D251" si="161">MID(B251,2,6)</f>
        <v>813300</v>
      </c>
      <c r="E251" s="50" t="str">
        <f t="shared" ref="E251" si="162">LEFT(D251,2)</f>
        <v>81</v>
      </c>
      <c r="F251" s="51" t="s">
        <v>220</v>
      </c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>
        <f>VLOOKUP(B251,'ביצוע 2019'!$A$3:$H$1103,7,0)</f>
        <v>463529</v>
      </c>
      <c r="V251" s="52"/>
      <c r="W251" s="52"/>
      <c r="X251" s="52"/>
      <c r="Y251" s="52"/>
      <c r="Z251" s="101">
        <f t="shared" si="132"/>
        <v>1</v>
      </c>
    </row>
    <row r="252" spans="1:26" s="101" customFormat="1" ht="15.75">
      <c r="A252" s="21"/>
      <c r="B252" s="234"/>
      <c r="C252" s="235"/>
      <c r="D252" s="235"/>
      <c r="E252" s="235"/>
      <c r="F252" s="234" t="s">
        <v>1970</v>
      </c>
      <c r="G252" s="236"/>
      <c r="H252" s="236"/>
      <c r="I252" s="236"/>
      <c r="J252" s="236"/>
      <c r="K252" s="236"/>
      <c r="L252" s="236">
        <f>SUM(L242:L250)</f>
        <v>2387000</v>
      </c>
      <c r="M252" s="236"/>
      <c r="N252" s="236">
        <f>SUM(N242:N250)</f>
        <v>2387000</v>
      </c>
      <c r="O252" s="236">
        <f>SUM(O242:O250)</f>
        <v>2183432.88</v>
      </c>
      <c r="P252" s="236">
        <f>SUM(P242:P250)</f>
        <v>2713461.98</v>
      </c>
      <c r="Q252" s="236">
        <f>SUM(Q242:Q250)</f>
        <v>2702461.98</v>
      </c>
      <c r="R252" s="236">
        <f t="shared" ref="R252:S252" si="163">SUM(R242:R250)</f>
        <v>1169628.24</v>
      </c>
      <c r="S252" s="236">
        <f t="shared" si="163"/>
        <v>1526721.570909091</v>
      </c>
      <c r="T252" s="236">
        <f>SUM(T242:T251)</f>
        <v>1550071.0840858184</v>
      </c>
      <c r="U252" s="236">
        <f t="shared" ref="U252:W252" si="164">SUM(U242:U251)</f>
        <v>2309394.7800000003</v>
      </c>
      <c r="V252" s="236">
        <f t="shared" si="164"/>
        <v>1887234.21</v>
      </c>
      <c r="W252" s="236">
        <f t="shared" si="164"/>
        <v>11</v>
      </c>
      <c r="X252" s="236">
        <f t="shared" ref="X252" si="165">SUM(X242:X251)</f>
        <v>0</v>
      </c>
      <c r="Y252" s="52"/>
      <c r="Z252" s="101">
        <f t="shared" si="132"/>
        <v>1</v>
      </c>
    </row>
    <row r="253" spans="1:26" s="101" customFormat="1" ht="15.75">
      <c r="A253" s="21">
        <v>20</v>
      </c>
      <c r="B253" s="51">
        <v>1813800110</v>
      </c>
      <c r="C253" s="50" t="str">
        <f t="shared" si="157"/>
        <v>110</v>
      </c>
      <c r="D253" s="50" t="str">
        <f t="shared" si="158"/>
        <v>813800</v>
      </c>
      <c r="E253" s="50">
        <v>81</v>
      </c>
      <c r="F253" s="51" t="s">
        <v>2037</v>
      </c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>
        <f>VLOOKUP(B253,'2174'!$A$182:$G$567,6,0)</f>
        <v>152504.98000000001</v>
      </c>
      <c r="S253" s="63">
        <f>VLOOKUP(B253,'2174'!$A$575:$D$697,4,0)</f>
        <v>152504.98000000001</v>
      </c>
      <c r="T253" s="52">
        <f t="shared" ref="T253:T254" si="166">S253</f>
        <v>152504.98000000001</v>
      </c>
      <c r="U253" s="52"/>
      <c r="V253" s="52">
        <f t="shared" ref="V253:V254" si="167">U253</f>
        <v>0</v>
      </c>
      <c r="W253" s="52"/>
      <c r="X253" s="52"/>
      <c r="Y253" s="52" t="s">
        <v>2063</v>
      </c>
      <c r="Z253" s="101">
        <f t="shared" si="132"/>
        <v>1</v>
      </c>
    </row>
    <row r="254" spans="1:26" s="101" customFormat="1" ht="15.75">
      <c r="A254" s="21">
        <v>20</v>
      </c>
      <c r="B254" s="51">
        <v>1813810110</v>
      </c>
      <c r="C254" s="50" t="str">
        <f t="shared" si="157"/>
        <v>110</v>
      </c>
      <c r="D254" s="50" t="str">
        <f t="shared" si="158"/>
        <v>813810</v>
      </c>
      <c r="E254" s="50">
        <v>81</v>
      </c>
      <c r="F254" s="51" t="s">
        <v>2038</v>
      </c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>
        <f>VLOOKUP(B254,'2174'!$A$182:$G$567,6,0)</f>
        <v>94618.2</v>
      </c>
      <c r="S254" s="63">
        <f>VLOOKUP(B254,'2174'!$A$575:$D$697,4,0)</f>
        <v>94618.2</v>
      </c>
      <c r="T254" s="52">
        <f t="shared" si="166"/>
        <v>94618.2</v>
      </c>
      <c r="U254" s="52"/>
      <c r="V254" s="52">
        <f t="shared" si="167"/>
        <v>0</v>
      </c>
      <c r="W254" s="63"/>
      <c r="X254" s="52"/>
      <c r="Y254" s="52" t="s">
        <v>2063</v>
      </c>
      <c r="Z254" s="101">
        <f t="shared" si="132"/>
        <v>1</v>
      </c>
    </row>
    <row r="255" spans="1:26" s="101" customFormat="1" ht="15.75">
      <c r="A255" s="21"/>
      <c r="B255" s="234"/>
      <c r="C255" s="235"/>
      <c r="D255" s="235"/>
      <c r="E255" s="235"/>
      <c r="F255" s="234"/>
      <c r="G255" s="236"/>
      <c r="H255" s="236"/>
      <c r="I255" s="236"/>
      <c r="J255" s="236"/>
      <c r="K255" s="236"/>
      <c r="L255" s="236">
        <f>SUM(L253:L254)</f>
        <v>0</v>
      </c>
      <c r="M255" s="236">
        <f t="shared" ref="M255:W255" si="168">SUM(M253:M254)</f>
        <v>0</v>
      </c>
      <c r="N255" s="236">
        <f t="shared" si="168"/>
        <v>0</v>
      </c>
      <c r="O255" s="236">
        <f t="shared" si="168"/>
        <v>0</v>
      </c>
      <c r="P255" s="236">
        <f t="shared" si="168"/>
        <v>0</v>
      </c>
      <c r="Q255" s="236">
        <f t="shared" si="168"/>
        <v>0</v>
      </c>
      <c r="R255" s="236">
        <f t="shared" si="168"/>
        <v>247123.18</v>
      </c>
      <c r="S255" s="236">
        <f t="shared" si="168"/>
        <v>247123.18</v>
      </c>
      <c r="T255" s="236">
        <f t="shared" si="168"/>
        <v>247123.18</v>
      </c>
      <c r="U255" s="236">
        <f t="shared" si="168"/>
        <v>0</v>
      </c>
      <c r="V255" s="236">
        <f t="shared" si="168"/>
        <v>0</v>
      </c>
      <c r="W255" s="236">
        <f t="shared" si="168"/>
        <v>0</v>
      </c>
      <c r="X255" s="52"/>
      <c r="Y255" s="52"/>
      <c r="Z255" s="101">
        <f t="shared" si="132"/>
        <v>1</v>
      </c>
    </row>
    <row r="256" spans="1:26" s="101" customFormat="1" ht="15.75">
      <c r="A256" s="21">
        <v>20</v>
      </c>
      <c r="B256" s="51">
        <v>1814000110</v>
      </c>
      <c r="C256" s="50" t="str">
        <f t="shared" si="157"/>
        <v>110</v>
      </c>
      <c r="D256" s="50" t="str">
        <f t="shared" si="158"/>
        <v>814000</v>
      </c>
      <c r="E256" s="50" t="str">
        <f t="shared" si="159"/>
        <v>81</v>
      </c>
      <c r="F256" s="51" t="s">
        <v>222</v>
      </c>
      <c r="G256" s="52">
        <v>443000</v>
      </c>
      <c r="H256" s="52">
        <v>441870.56</v>
      </c>
      <c r="I256" s="52">
        <v>1130.44</v>
      </c>
      <c r="J256" s="52">
        <v>600000</v>
      </c>
      <c r="K256" s="52">
        <v>630000</v>
      </c>
      <c r="L256" s="52">
        <v>705000</v>
      </c>
      <c r="M256" s="52"/>
      <c r="N256" s="52">
        <f t="shared" si="143"/>
        <v>705000</v>
      </c>
      <c r="O256" s="52">
        <f>VLOOKUP(B:B,'דוח כספי 1-10.17'!A:D,4,0)</f>
        <v>695749.57</v>
      </c>
      <c r="P256" s="52">
        <v>860000</v>
      </c>
      <c r="Q256" s="52">
        <f>870000-34084</f>
        <v>835916</v>
      </c>
      <c r="R256" s="52">
        <f>VLOOKUP(B256,'2174'!$A$182:$G$567,6,0)</f>
        <v>669631.36</v>
      </c>
      <c r="S256" s="63">
        <f>VLOOKUP(B256,'2174'!$A$575:$D$697,4,0)+134443</f>
        <v>1016728.43</v>
      </c>
      <c r="T256" s="52">
        <f>S256*1.0217</f>
        <v>1038791.4369310001</v>
      </c>
      <c r="U256" s="52">
        <f>VLOOKUP(B256,'ביצוע 2019'!$A$3:$H$1103,7,0)</f>
        <v>1016368.19</v>
      </c>
      <c r="V256" s="52">
        <v>1050000</v>
      </c>
      <c r="W256" s="63">
        <v>7.98</v>
      </c>
      <c r="X256" s="52"/>
      <c r="Y256" s="52"/>
      <c r="Z256" s="101">
        <f t="shared" si="132"/>
        <v>1</v>
      </c>
    </row>
    <row r="257" spans="1:26" s="101" customFormat="1" ht="15.75" hidden="1">
      <c r="A257" s="21">
        <v>20</v>
      </c>
      <c r="B257" s="51">
        <v>1814000320</v>
      </c>
      <c r="C257" s="54" t="str">
        <f t="shared" ref="C257" si="169">RIGHT(B257,3)</f>
        <v>320</v>
      </c>
      <c r="D257" s="54" t="str">
        <f t="shared" ref="D257" si="170">MID(B257,2,6)</f>
        <v>814000</v>
      </c>
      <c r="E257" s="54" t="str">
        <f t="shared" ref="E257" si="171">LEFT(D257,2)</f>
        <v>81</v>
      </c>
      <c r="F257" s="55" t="s">
        <v>2125</v>
      </c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63"/>
      <c r="T257" s="56"/>
      <c r="U257" s="56"/>
      <c r="V257" s="56"/>
      <c r="W257" s="64"/>
      <c r="X257" s="52"/>
      <c r="Y257" s="52"/>
      <c r="Z257" s="101">
        <f t="shared" si="132"/>
        <v>0</v>
      </c>
    </row>
    <row r="258" spans="1:26" s="101" customFormat="1" ht="15.75">
      <c r="A258" s="21">
        <v>19</v>
      </c>
      <c r="B258" s="51">
        <v>1814000431</v>
      </c>
      <c r="C258" s="50" t="str">
        <f t="shared" ref="C258" si="172">RIGHT(B258,3)</f>
        <v>431</v>
      </c>
      <c r="D258" s="50" t="str">
        <f t="shared" ref="D258" si="173">MID(B258,2,6)</f>
        <v>814000</v>
      </c>
      <c r="E258" s="50" t="str">
        <f t="shared" ref="E258" si="174">LEFT(D258,2)</f>
        <v>81</v>
      </c>
      <c r="F258" s="51" t="s">
        <v>224</v>
      </c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>
        <f>VLOOKUP(B258,'2174'!$A$182:$G$567,6,0)</f>
        <v>142038.78</v>
      </c>
      <c r="S258" s="52">
        <v>150000</v>
      </c>
      <c r="T258" s="52">
        <v>150000</v>
      </c>
      <c r="U258" s="52">
        <f>VLOOKUP(B258,'ביצוע 2019'!$A$3:$H$1103,7,0)</f>
        <v>309527.3</v>
      </c>
      <c r="V258" s="52">
        <f t="shared" ref="V258:V266" si="175">U258</f>
        <v>309527.3</v>
      </c>
      <c r="W258" s="63"/>
      <c r="X258" s="52"/>
      <c r="Y258" s="52"/>
      <c r="Z258" s="101">
        <f t="shared" si="132"/>
        <v>1</v>
      </c>
    </row>
    <row r="259" spans="1:26" s="101" customFormat="1" ht="15.75" hidden="1">
      <c r="A259" s="21">
        <v>19</v>
      </c>
      <c r="B259" s="51">
        <v>1814000432</v>
      </c>
      <c r="C259" s="50" t="str">
        <f t="shared" si="157"/>
        <v>432</v>
      </c>
      <c r="D259" s="50" t="str">
        <f t="shared" si="158"/>
        <v>814000</v>
      </c>
      <c r="E259" s="50" t="str">
        <f t="shared" si="159"/>
        <v>81</v>
      </c>
      <c r="F259" s="51" t="s">
        <v>225</v>
      </c>
      <c r="G259" s="52">
        <v>40000</v>
      </c>
      <c r="H259" s="52">
        <v>89329.8</v>
      </c>
      <c r="I259" s="52">
        <v>-49329.8</v>
      </c>
      <c r="J259" s="52">
        <v>40000</v>
      </c>
      <c r="K259" s="52">
        <v>40000</v>
      </c>
      <c r="L259" s="52">
        <v>40000</v>
      </c>
      <c r="M259" s="52"/>
      <c r="N259" s="52">
        <f t="shared" si="143"/>
        <v>40000</v>
      </c>
      <c r="O259" s="52">
        <f>VLOOKUP(B:B,'דוח כספי 1-10.17'!A:D,4,0)</f>
        <v>48931.6</v>
      </c>
      <c r="P259" s="52">
        <f t="shared" si="148"/>
        <v>58717.919999999998</v>
      </c>
      <c r="Q259" s="52">
        <v>58000</v>
      </c>
      <c r="R259" s="52">
        <f>VLOOKUP(B259,'2174'!$A$182:$G$567,6,0)</f>
        <v>0</v>
      </c>
      <c r="S259" s="52">
        <f t="shared" ref="S259:S264" si="176">R259*12/11</f>
        <v>0</v>
      </c>
      <c r="T259" s="52">
        <v>0</v>
      </c>
      <c r="U259" s="52">
        <f>VLOOKUP(B259,'ביצוע 2019'!$A$3:$H$1103,7,0)</f>
        <v>0</v>
      </c>
      <c r="V259" s="52">
        <f t="shared" si="175"/>
        <v>0</v>
      </c>
      <c r="W259" s="52"/>
      <c r="X259" s="52"/>
      <c r="Y259" s="52"/>
      <c r="Z259" s="101">
        <f t="shared" si="132"/>
        <v>0</v>
      </c>
    </row>
    <row r="260" spans="1:26" s="101" customFormat="1" ht="15.75" hidden="1">
      <c r="A260" s="21">
        <v>19</v>
      </c>
      <c r="B260" s="51">
        <v>1814000540</v>
      </c>
      <c r="C260" s="50" t="str">
        <f t="shared" si="157"/>
        <v>540</v>
      </c>
      <c r="D260" s="50" t="str">
        <f t="shared" si="158"/>
        <v>814000</v>
      </c>
      <c r="E260" s="50" t="str">
        <f t="shared" si="159"/>
        <v>81</v>
      </c>
      <c r="F260" s="51" t="s">
        <v>227</v>
      </c>
      <c r="G260" s="52">
        <v>3000</v>
      </c>
      <c r="H260" s="52">
        <v>524.24</v>
      </c>
      <c r="I260" s="52">
        <v>2476.7600000000002</v>
      </c>
      <c r="J260" s="52">
        <v>3000</v>
      </c>
      <c r="K260" s="52">
        <v>3000</v>
      </c>
      <c r="L260" s="52">
        <v>3000</v>
      </c>
      <c r="M260" s="52"/>
      <c r="N260" s="52">
        <f t="shared" si="143"/>
        <v>3000</v>
      </c>
      <c r="O260" s="52">
        <f>VLOOKUP(B:B,'דוח כספי 1-10.17'!A:D,4,0)</f>
        <v>0</v>
      </c>
      <c r="P260" s="52">
        <f t="shared" si="148"/>
        <v>0</v>
      </c>
      <c r="Q260" s="52">
        <f>P260</f>
        <v>0</v>
      </c>
      <c r="R260" s="52">
        <f>VLOOKUP(B260,'2174'!$A$182:$G$567,6,0)</f>
        <v>0</v>
      </c>
      <c r="S260" s="52">
        <f t="shared" si="176"/>
        <v>0</v>
      </c>
      <c r="T260" s="52">
        <v>0</v>
      </c>
      <c r="U260" s="52">
        <f>VLOOKUP(B260,'ביצוע 2019'!$A$3:$H$1103,7,0)</f>
        <v>0</v>
      </c>
      <c r="V260" s="52">
        <f t="shared" si="175"/>
        <v>0</v>
      </c>
      <c r="W260" s="52"/>
      <c r="X260" s="52"/>
      <c r="Y260" s="52"/>
      <c r="Z260" s="101">
        <f t="shared" si="132"/>
        <v>0</v>
      </c>
    </row>
    <row r="261" spans="1:26" s="101" customFormat="1" ht="15.75">
      <c r="A261" s="21">
        <v>19</v>
      </c>
      <c r="B261" s="51">
        <v>1814000560</v>
      </c>
      <c r="C261" s="50" t="str">
        <f t="shared" si="157"/>
        <v>560</v>
      </c>
      <c r="D261" s="50" t="str">
        <f t="shared" si="158"/>
        <v>814000</v>
      </c>
      <c r="E261" s="50" t="str">
        <f t="shared" si="159"/>
        <v>81</v>
      </c>
      <c r="F261" s="51" t="s">
        <v>228</v>
      </c>
      <c r="G261" s="52">
        <v>5000</v>
      </c>
      <c r="H261" s="52">
        <v>965</v>
      </c>
      <c r="I261" s="52">
        <v>4041</v>
      </c>
      <c r="J261" s="52">
        <v>5000</v>
      </c>
      <c r="K261" s="52">
        <v>5000</v>
      </c>
      <c r="L261" s="52">
        <v>5000</v>
      </c>
      <c r="M261" s="52"/>
      <c r="N261" s="52">
        <f t="shared" si="143"/>
        <v>5000</v>
      </c>
      <c r="O261" s="52">
        <f>VLOOKUP(B:B,'דוח כספי 1-10.17'!A:D,4,0)</f>
        <v>0</v>
      </c>
      <c r="P261" s="52">
        <f t="shared" si="148"/>
        <v>0</v>
      </c>
      <c r="Q261" s="52">
        <f>P261</f>
        <v>0</v>
      </c>
      <c r="R261" s="52">
        <f>VLOOKUP(B261,'2174'!$A$182:$G$567,6,0)</f>
        <v>12330.5</v>
      </c>
      <c r="S261" s="52">
        <f t="shared" si="176"/>
        <v>13451.454545454546</v>
      </c>
      <c r="T261" s="52">
        <v>13451.454545454546</v>
      </c>
      <c r="U261" s="52">
        <f>VLOOKUP(B261,'ביצוע 2019'!$A$3:$H$1103,7,0)</f>
        <v>8360.82</v>
      </c>
      <c r="V261" s="52">
        <f t="shared" si="175"/>
        <v>8360.82</v>
      </c>
      <c r="W261" s="52"/>
      <c r="X261" s="52"/>
      <c r="Y261" s="52"/>
      <c r="Z261" s="101">
        <f t="shared" ref="Z261:Z324" si="177">IF((V261+U261+T261)&lt;&gt;0,1,0)</f>
        <v>1</v>
      </c>
    </row>
    <row r="262" spans="1:26" s="101" customFormat="1" ht="15.75">
      <c r="A262" s="21">
        <v>19</v>
      </c>
      <c r="B262" s="51">
        <v>1814000750</v>
      </c>
      <c r="C262" s="50" t="str">
        <f t="shared" si="157"/>
        <v>750</v>
      </c>
      <c r="D262" s="50" t="str">
        <f t="shared" si="158"/>
        <v>814000</v>
      </c>
      <c r="E262" s="50" t="str">
        <f t="shared" si="159"/>
        <v>81</v>
      </c>
      <c r="F262" s="51" t="s">
        <v>231</v>
      </c>
      <c r="G262" s="52">
        <v>230000</v>
      </c>
      <c r="H262" s="52">
        <v>249330.13</v>
      </c>
      <c r="I262" s="52">
        <v>-19330.13</v>
      </c>
      <c r="J262" s="52">
        <v>250000</v>
      </c>
      <c r="K262" s="52">
        <v>100000</v>
      </c>
      <c r="L262" s="52">
        <v>135000</v>
      </c>
      <c r="M262" s="52"/>
      <c r="N262" s="52">
        <f t="shared" si="143"/>
        <v>135000</v>
      </c>
      <c r="O262" s="52">
        <f>VLOOKUP(B:B,'דוח כספי 1-10.17'!A:D,4,0)</f>
        <v>98835.3</v>
      </c>
      <c r="P262" s="52">
        <f t="shared" si="148"/>
        <v>118602.36000000002</v>
      </c>
      <c r="Q262" s="52">
        <v>119000</v>
      </c>
      <c r="R262" s="52">
        <f>VLOOKUP(B262,'2174'!$A$182:$G$567,6,0)</f>
        <v>78343</v>
      </c>
      <c r="S262" s="52">
        <f t="shared" si="176"/>
        <v>85465.090909090912</v>
      </c>
      <c r="T262" s="52">
        <v>85465.090909090912</v>
      </c>
      <c r="U262" s="52">
        <f>VLOOKUP(B262,'ביצוע 2019'!$A$3:$H$1103,7,0)</f>
        <v>83563.8</v>
      </c>
      <c r="V262" s="52">
        <f t="shared" si="175"/>
        <v>83563.8</v>
      </c>
      <c r="W262" s="52"/>
      <c r="X262" s="52"/>
      <c r="Y262" s="52"/>
      <c r="Z262" s="101">
        <f t="shared" si="177"/>
        <v>1</v>
      </c>
    </row>
    <row r="263" spans="1:26" s="101" customFormat="1" ht="15.75">
      <c r="A263" s="21">
        <v>19</v>
      </c>
      <c r="B263" s="51">
        <v>1814000780</v>
      </c>
      <c r="C263" s="50" t="str">
        <f t="shared" si="157"/>
        <v>780</v>
      </c>
      <c r="D263" s="50" t="str">
        <f t="shared" si="158"/>
        <v>814000</v>
      </c>
      <c r="E263" s="50" t="str">
        <f t="shared" si="159"/>
        <v>81</v>
      </c>
      <c r="F263" s="51" t="s">
        <v>58</v>
      </c>
      <c r="G263" s="52">
        <v>0</v>
      </c>
      <c r="H263" s="52">
        <v>0</v>
      </c>
      <c r="I263" s="52">
        <v>0</v>
      </c>
      <c r="J263" s="52">
        <v>0</v>
      </c>
      <c r="K263" s="52">
        <v>20000</v>
      </c>
      <c r="L263" s="52">
        <v>10000</v>
      </c>
      <c r="M263" s="52"/>
      <c r="N263" s="52">
        <f t="shared" si="143"/>
        <v>10000</v>
      </c>
      <c r="O263" s="52">
        <f>VLOOKUP(B:B,'דוח כספי 1-10.17'!A:D,4,0)</f>
        <v>0</v>
      </c>
      <c r="P263" s="52">
        <f t="shared" si="148"/>
        <v>0</v>
      </c>
      <c r="Q263" s="52">
        <v>0</v>
      </c>
      <c r="R263" s="52">
        <f>VLOOKUP(B263,'2174'!$A$182:$G$567,6,0)</f>
        <v>12647.3</v>
      </c>
      <c r="S263" s="52">
        <f t="shared" si="176"/>
        <v>13797.054545454543</v>
      </c>
      <c r="T263" s="52">
        <v>20000</v>
      </c>
      <c r="U263" s="52">
        <f>VLOOKUP(B263,'ביצוע 2019'!$A$3:$H$1103,7,0)</f>
        <v>19429</v>
      </c>
      <c r="V263" s="52">
        <f t="shared" si="175"/>
        <v>19429</v>
      </c>
      <c r="W263" s="52"/>
      <c r="X263" s="52"/>
      <c r="Y263" s="52"/>
      <c r="Z263" s="101">
        <f t="shared" si="177"/>
        <v>1</v>
      </c>
    </row>
    <row r="264" spans="1:26" s="101" customFormat="1" ht="15.75">
      <c r="A264" s="21">
        <v>19</v>
      </c>
      <c r="B264" s="51">
        <v>1814000870</v>
      </c>
      <c r="C264" s="50" t="str">
        <f t="shared" si="157"/>
        <v>870</v>
      </c>
      <c r="D264" s="50" t="str">
        <f t="shared" si="158"/>
        <v>814000</v>
      </c>
      <c r="E264" s="50" t="str">
        <f t="shared" si="159"/>
        <v>81</v>
      </c>
      <c r="F264" s="51" t="s">
        <v>232</v>
      </c>
      <c r="G264" s="52">
        <v>0</v>
      </c>
      <c r="H264" s="52">
        <v>44160</v>
      </c>
      <c r="I264" s="52">
        <v>-44160</v>
      </c>
      <c r="J264" s="52">
        <v>0</v>
      </c>
      <c r="K264" s="52">
        <f>+J264</f>
        <v>0</v>
      </c>
      <c r="L264" s="52">
        <v>25000</v>
      </c>
      <c r="M264" s="52"/>
      <c r="N264" s="52">
        <f t="shared" si="143"/>
        <v>25000</v>
      </c>
      <c r="O264" s="52">
        <f>VLOOKUP(B:B,'דוח כספי 1-10.17'!A:D,4,0)</f>
        <v>25000</v>
      </c>
      <c r="P264" s="52">
        <f t="shared" si="148"/>
        <v>30000</v>
      </c>
      <c r="Q264" s="52">
        <f>P264</f>
        <v>30000</v>
      </c>
      <c r="R264" s="52">
        <f>VLOOKUP(B264,'2174'!$A$182:$G$567,6,0)</f>
        <v>10000</v>
      </c>
      <c r="S264" s="52">
        <f t="shared" si="176"/>
        <v>10909.09090909091</v>
      </c>
      <c r="T264" s="52">
        <v>10909.09090909091</v>
      </c>
      <c r="U264" s="52">
        <f>VLOOKUP(B264,'ביצוע 2019'!$A$3:$H$1103,7,0)</f>
        <v>69953.33</v>
      </c>
      <c r="V264" s="52">
        <f t="shared" si="175"/>
        <v>69953.33</v>
      </c>
      <c r="W264" s="52"/>
      <c r="X264" s="52"/>
      <c r="Y264" s="52"/>
      <c r="Z264" s="101">
        <f t="shared" si="177"/>
        <v>1</v>
      </c>
    </row>
    <row r="265" spans="1:26" s="101" customFormat="1" ht="15.75" hidden="1">
      <c r="A265" s="21">
        <v>19</v>
      </c>
      <c r="B265" s="51">
        <v>1814001780</v>
      </c>
      <c r="C265" s="50" t="str">
        <f t="shared" si="157"/>
        <v>780</v>
      </c>
      <c r="D265" s="50" t="str">
        <f t="shared" si="158"/>
        <v>814001</v>
      </c>
      <c r="E265" s="50" t="str">
        <f t="shared" si="159"/>
        <v>81</v>
      </c>
      <c r="F265" s="51" t="s">
        <v>2008</v>
      </c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>
        <f>VLOOKUP(B265,'2174'!$A$182:$G$567,6,0)</f>
        <v>98853</v>
      </c>
      <c r="S265" s="52">
        <v>100000</v>
      </c>
      <c r="T265" s="52">
        <v>0</v>
      </c>
      <c r="U265" s="52">
        <f>VLOOKUP(B265,'ביצוע 2019'!$A$3:$H$1103,7,0)</f>
        <v>0</v>
      </c>
      <c r="V265" s="52">
        <f t="shared" si="175"/>
        <v>0</v>
      </c>
      <c r="W265" s="52"/>
      <c r="X265" s="52"/>
      <c r="Y265" s="52"/>
      <c r="Z265" s="101">
        <f t="shared" si="177"/>
        <v>0</v>
      </c>
    </row>
    <row r="266" spans="1:26" s="101" customFormat="1" ht="15.75" hidden="1">
      <c r="A266" s="21">
        <v>19</v>
      </c>
      <c r="B266" s="51">
        <v>1814002780</v>
      </c>
      <c r="C266" s="50" t="str">
        <f t="shared" si="157"/>
        <v>780</v>
      </c>
      <c r="D266" s="50" t="str">
        <f t="shared" si="158"/>
        <v>814002</v>
      </c>
      <c r="E266" s="50" t="str">
        <f t="shared" si="159"/>
        <v>81</v>
      </c>
      <c r="F266" s="51" t="s">
        <v>2039</v>
      </c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>
        <f>VLOOKUP(B266,'2174'!$A$182:$G$567,6,0)</f>
        <v>0</v>
      </c>
      <c r="S266" s="52">
        <v>0</v>
      </c>
      <c r="T266" s="52">
        <v>0</v>
      </c>
      <c r="U266" s="52">
        <f>VLOOKUP(B266,'ביצוע 2019'!$A$3:$H$1103,7,0)</f>
        <v>0</v>
      </c>
      <c r="V266" s="52">
        <f t="shared" si="175"/>
        <v>0</v>
      </c>
      <c r="W266" s="52"/>
      <c r="X266" s="52"/>
      <c r="Y266" s="52"/>
      <c r="Z266" s="101">
        <f t="shared" si="177"/>
        <v>0</v>
      </c>
    </row>
    <row r="267" spans="1:26" s="101" customFormat="1" ht="15.75">
      <c r="A267" s="21"/>
      <c r="B267" s="234"/>
      <c r="C267" s="235"/>
      <c r="D267" s="235"/>
      <c r="E267" s="235"/>
      <c r="F267" s="234" t="s">
        <v>1971</v>
      </c>
      <c r="G267" s="236"/>
      <c r="H267" s="236"/>
      <c r="I267" s="236"/>
      <c r="J267" s="236"/>
      <c r="K267" s="236"/>
      <c r="L267" s="236">
        <f t="shared" ref="L267:S267" si="178">SUM(L256:L265)</f>
        <v>923000</v>
      </c>
      <c r="M267" s="236">
        <f t="shared" si="178"/>
        <v>0</v>
      </c>
      <c r="N267" s="236">
        <f t="shared" si="178"/>
        <v>923000</v>
      </c>
      <c r="O267" s="236">
        <f t="shared" si="178"/>
        <v>868516.47</v>
      </c>
      <c r="P267" s="236">
        <f t="shared" si="178"/>
        <v>1067320.28</v>
      </c>
      <c r="Q267" s="236">
        <f t="shared" si="178"/>
        <v>1042916</v>
      </c>
      <c r="R267" s="236">
        <f t="shared" si="178"/>
        <v>1023843.9400000001</v>
      </c>
      <c r="S267" s="236">
        <f t="shared" si="178"/>
        <v>1390351.1209090909</v>
      </c>
      <c r="T267" s="236">
        <f>SUM(T256:T266)</f>
        <v>1318617.0732946363</v>
      </c>
      <c r="U267" s="236">
        <f>SUM(U256:U266)</f>
        <v>1507202.4400000002</v>
      </c>
      <c r="V267" s="236">
        <f>SUM(V256:V266)</f>
        <v>1540834.2500000002</v>
      </c>
      <c r="W267" s="236">
        <f>SUM(W256:W266)</f>
        <v>7.98</v>
      </c>
      <c r="X267" s="52"/>
      <c r="Y267" s="52"/>
      <c r="Z267" s="101">
        <f t="shared" si="177"/>
        <v>1</v>
      </c>
    </row>
    <row r="268" spans="1:26" s="101" customFormat="1" ht="15.75">
      <c r="A268" s="21">
        <v>20</v>
      </c>
      <c r="B268" s="51">
        <v>1815200110</v>
      </c>
      <c r="C268" s="54" t="str">
        <f t="shared" si="157"/>
        <v>110</v>
      </c>
      <c r="D268" s="54" t="str">
        <f t="shared" si="158"/>
        <v>815200</v>
      </c>
      <c r="E268" s="54" t="str">
        <f t="shared" si="159"/>
        <v>81</v>
      </c>
      <c r="F268" s="55" t="s">
        <v>233</v>
      </c>
      <c r="G268" s="52">
        <v>5930000</v>
      </c>
      <c r="H268" s="52">
        <v>6323764.0199999996</v>
      </c>
      <c r="I268" s="52">
        <v>-393764.02</v>
      </c>
      <c r="J268" s="52">
        <v>7400000</v>
      </c>
      <c r="K268" s="52">
        <f>7314000+225000</f>
        <v>7539000</v>
      </c>
      <c r="L268" s="52">
        <f>7460000+230000+200000</f>
        <v>7890000</v>
      </c>
      <c r="M268" s="52"/>
      <c r="N268" s="52">
        <f t="shared" ref="N268:N339" si="179">M268+L268</f>
        <v>7890000</v>
      </c>
      <c r="O268" s="52">
        <f>VLOOKUP(B:B,'דוח כספי 1-10.17'!A:D,4,0)</f>
        <v>5811565.3099999996</v>
      </c>
      <c r="P268" s="52">
        <v>8100000</v>
      </c>
      <c r="Q268" s="52">
        <v>10069000</v>
      </c>
      <c r="R268" s="52">
        <f>VLOOKUP(B268,'2174'!$A$182:$G$567,6,0)</f>
        <v>6775529.96</v>
      </c>
      <c r="S268" s="63">
        <f>VLOOKUP(B268,'2174'!$A$575:$D$697,4,0)</f>
        <v>9028580.1999999993</v>
      </c>
      <c r="T268" s="56">
        <v>9180000</v>
      </c>
      <c r="U268" s="56">
        <f>VLOOKUP(B268,'ביצוע 2019'!$A$3:$H$1103,7,0)</f>
        <v>10615580.380000001</v>
      </c>
      <c r="V268" s="56">
        <v>12080000</v>
      </c>
      <c r="W268" s="64">
        <v>48.5</v>
      </c>
      <c r="X268" s="52"/>
      <c r="Y268" s="158"/>
      <c r="Z268" s="101">
        <f t="shared" si="177"/>
        <v>1</v>
      </c>
    </row>
    <row r="269" spans="1:26" s="101" customFormat="1" ht="15.75" hidden="1">
      <c r="A269" s="21">
        <v>20</v>
      </c>
      <c r="B269" s="51">
        <v>1815200320</v>
      </c>
      <c r="C269" s="54" t="str">
        <f t="shared" si="157"/>
        <v>320</v>
      </c>
      <c r="D269" s="54" t="str">
        <f t="shared" si="158"/>
        <v>815200</v>
      </c>
      <c r="E269" s="54" t="str">
        <f t="shared" si="159"/>
        <v>81</v>
      </c>
      <c r="F269" s="55" t="s">
        <v>25</v>
      </c>
      <c r="G269" s="52">
        <v>0</v>
      </c>
      <c r="H269" s="52">
        <v>33671</v>
      </c>
      <c r="I269" s="52">
        <v>-33671</v>
      </c>
      <c r="J269" s="52">
        <v>0</v>
      </c>
      <c r="K269" s="52">
        <f>+J269</f>
        <v>0</v>
      </c>
      <c r="L269" s="56">
        <v>228500</v>
      </c>
      <c r="M269" s="52"/>
      <c r="N269" s="52">
        <f t="shared" si="179"/>
        <v>228500</v>
      </c>
      <c r="O269" s="52">
        <f>VLOOKUP(B:B,'דוח כספי 1-10.17'!A:D,4,0)</f>
        <v>228444</v>
      </c>
      <c r="P269" s="56">
        <f t="shared" si="148"/>
        <v>274132.8</v>
      </c>
      <c r="Q269" s="56">
        <v>0</v>
      </c>
      <c r="R269" s="56">
        <f>VLOOKUP(B269,'2174'!$A$182:$G$567,6,0)</f>
        <v>2098</v>
      </c>
      <c r="S269" s="56">
        <f>VLOOKUP(B269,'2174'!$A$575:$D$697,4,0)</f>
        <v>2098</v>
      </c>
      <c r="T269" s="56">
        <v>0</v>
      </c>
      <c r="U269" s="56"/>
      <c r="V269" s="56"/>
      <c r="W269" s="56"/>
      <c r="X269" s="52"/>
      <c r="Y269" s="52"/>
      <c r="Z269" s="101">
        <f t="shared" si="177"/>
        <v>0</v>
      </c>
    </row>
    <row r="270" spans="1:26" s="101" customFormat="1" ht="15.75" hidden="1">
      <c r="A270" s="21">
        <v>19</v>
      </c>
      <c r="B270" s="51">
        <v>1815200420</v>
      </c>
      <c r="C270" s="50" t="str">
        <f t="shared" si="157"/>
        <v>420</v>
      </c>
      <c r="D270" s="50" t="str">
        <f t="shared" si="158"/>
        <v>815200</v>
      </c>
      <c r="E270" s="50" t="str">
        <f t="shared" si="159"/>
        <v>81</v>
      </c>
      <c r="F270" s="51" t="s">
        <v>234</v>
      </c>
      <c r="G270" s="52">
        <v>0</v>
      </c>
      <c r="H270" s="52">
        <v>0</v>
      </c>
      <c r="I270" s="52">
        <v>0</v>
      </c>
      <c r="J270" s="52">
        <v>0</v>
      </c>
      <c r="K270" s="52">
        <f>+J270</f>
        <v>0</v>
      </c>
      <c r="L270" s="52">
        <f>+K270</f>
        <v>0</v>
      </c>
      <c r="M270" s="52"/>
      <c r="N270" s="52">
        <f t="shared" si="179"/>
        <v>0</v>
      </c>
      <c r="O270" s="52">
        <f>VLOOKUP(B:B,'דוח כספי 1-10.17'!A:D,4,0)</f>
        <v>0</v>
      </c>
      <c r="P270" s="52">
        <f t="shared" si="148"/>
        <v>0</v>
      </c>
      <c r="Q270" s="52">
        <f>P270</f>
        <v>0</v>
      </c>
      <c r="R270" s="52"/>
      <c r="S270" s="52"/>
      <c r="T270" s="52"/>
      <c r="U270" s="52">
        <f>VLOOKUP(B270,'ביצוע 2019'!$A$3:$H$1103,7,0)</f>
        <v>0</v>
      </c>
      <c r="V270" s="52">
        <f t="shared" ref="V270:V281" si="180">U270</f>
        <v>0</v>
      </c>
      <c r="W270" s="52"/>
      <c r="X270" s="52"/>
      <c r="Y270" s="52"/>
      <c r="Z270" s="101">
        <f t="shared" si="177"/>
        <v>0</v>
      </c>
    </row>
    <row r="271" spans="1:26" s="101" customFormat="1" ht="15.75">
      <c r="A271" s="21">
        <v>19</v>
      </c>
      <c r="B271" s="51">
        <v>1815200431</v>
      </c>
      <c r="C271" s="50" t="str">
        <f t="shared" si="157"/>
        <v>431</v>
      </c>
      <c r="D271" s="50" t="str">
        <f t="shared" si="158"/>
        <v>815200</v>
      </c>
      <c r="E271" s="50" t="str">
        <f t="shared" si="159"/>
        <v>81</v>
      </c>
      <c r="F271" s="51" t="s">
        <v>235</v>
      </c>
      <c r="G271" s="52">
        <v>46000</v>
      </c>
      <c r="H271" s="52">
        <v>0</v>
      </c>
      <c r="I271" s="52">
        <v>46002</v>
      </c>
      <c r="J271" s="52">
        <v>50000</v>
      </c>
      <c r="K271" s="52">
        <v>50000</v>
      </c>
      <c r="L271" s="52">
        <v>50000</v>
      </c>
      <c r="M271" s="52"/>
      <c r="N271" s="52">
        <f t="shared" si="179"/>
        <v>50000</v>
      </c>
      <c r="O271" s="52">
        <f>VLOOKUP(B:B,'דוח כספי 1-10.17'!A:D,4,0)</f>
        <v>10917.8</v>
      </c>
      <c r="P271" s="52">
        <f t="shared" si="148"/>
        <v>13101.359999999999</v>
      </c>
      <c r="Q271" s="52">
        <v>13000</v>
      </c>
      <c r="R271" s="52">
        <f>VLOOKUP(B271,'2174'!$A$182:$G$567,6,0)</f>
        <v>39462.089999999997</v>
      </c>
      <c r="S271" s="52">
        <f t="shared" ref="S271:S280" si="181">R271*12/11</f>
        <v>43049.552727272727</v>
      </c>
      <c r="T271" s="52">
        <v>43049.552727272727</v>
      </c>
      <c r="U271" s="52">
        <f>VLOOKUP(B271,'ביצוע 2019'!$A$3:$H$1103,7,0)</f>
        <v>0</v>
      </c>
      <c r="V271" s="52">
        <f t="shared" si="180"/>
        <v>0</v>
      </c>
      <c r="W271" s="52"/>
      <c r="X271" s="52"/>
      <c r="Y271" s="52"/>
      <c r="Z271" s="101">
        <f t="shared" si="177"/>
        <v>1</v>
      </c>
    </row>
    <row r="272" spans="1:26" s="101" customFormat="1" ht="15.75" hidden="1">
      <c r="A272" s="21">
        <v>19</v>
      </c>
      <c r="B272" s="51">
        <v>1815200432</v>
      </c>
      <c r="C272" s="50" t="str">
        <f t="shared" si="157"/>
        <v>432</v>
      </c>
      <c r="D272" s="50" t="str">
        <f t="shared" si="158"/>
        <v>815200</v>
      </c>
      <c r="E272" s="50" t="str">
        <f t="shared" si="159"/>
        <v>81</v>
      </c>
      <c r="F272" s="51" t="s">
        <v>236</v>
      </c>
      <c r="G272" s="52">
        <v>50000</v>
      </c>
      <c r="H272" s="52">
        <v>90756</v>
      </c>
      <c r="I272" s="52">
        <v>-40756</v>
      </c>
      <c r="J272" s="52">
        <v>50000</v>
      </c>
      <c r="K272" s="52">
        <v>50000</v>
      </c>
      <c r="L272" s="52">
        <v>50000</v>
      </c>
      <c r="M272" s="52"/>
      <c r="N272" s="52">
        <f t="shared" si="179"/>
        <v>50000</v>
      </c>
      <c r="O272" s="52">
        <f>VLOOKUP(B:B,'דוח כספי 1-10.17'!A:D,4,0)</f>
        <v>45553.1</v>
      </c>
      <c r="P272" s="52">
        <f t="shared" si="148"/>
        <v>54663.719999999994</v>
      </c>
      <c r="Q272" s="52">
        <v>55000</v>
      </c>
      <c r="R272" s="52">
        <f>VLOOKUP(B272,'2174'!$A$182:$G$567,6,0)</f>
        <v>0</v>
      </c>
      <c r="S272" s="52">
        <f t="shared" si="181"/>
        <v>0</v>
      </c>
      <c r="T272" s="52">
        <v>0</v>
      </c>
      <c r="U272" s="52">
        <f>VLOOKUP(B272,'ביצוע 2019'!$A$3:$H$1103,7,0)</f>
        <v>0</v>
      </c>
      <c r="V272" s="52">
        <f t="shared" si="180"/>
        <v>0</v>
      </c>
      <c r="W272" s="52"/>
      <c r="X272" s="52"/>
      <c r="Y272" s="52"/>
      <c r="Z272" s="101">
        <f t="shared" si="177"/>
        <v>0</v>
      </c>
    </row>
    <row r="273" spans="1:26" s="101" customFormat="1" ht="15.75">
      <c r="A273" s="21">
        <v>19</v>
      </c>
      <c r="B273" s="51">
        <v>1815200434</v>
      </c>
      <c r="C273" s="50" t="str">
        <f t="shared" si="157"/>
        <v>434</v>
      </c>
      <c r="D273" s="50" t="str">
        <f t="shared" si="158"/>
        <v>815200</v>
      </c>
      <c r="E273" s="50" t="str">
        <f t="shared" si="159"/>
        <v>81</v>
      </c>
      <c r="F273" s="51" t="s">
        <v>2065</v>
      </c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>
        <v>1800000</v>
      </c>
      <c r="U273" s="52">
        <f>VLOOKUP(B273,'ביצוע 2019'!$A$3:$H$1103,7,0)</f>
        <v>0</v>
      </c>
      <c r="V273" s="52">
        <v>2000000</v>
      </c>
      <c r="W273" s="52"/>
      <c r="X273" s="52"/>
      <c r="Y273" s="52"/>
      <c r="Z273" s="101">
        <f t="shared" si="177"/>
        <v>1</v>
      </c>
    </row>
    <row r="274" spans="1:26" s="101" customFormat="1" ht="15.75" hidden="1">
      <c r="A274" s="21">
        <v>19</v>
      </c>
      <c r="B274" s="51">
        <v>1815200540</v>
      </c>
      <c r="C274" s="50" t="str">
        <f t="shared" si="157"/>
        <v>540</v>
      </c>
      <c r="D274" s="50" t="str">
        <f t="shared" si="158"/>
        <v>815200</v>
      </c>
      <c r="E274" s="50" t="str">
        <f t="shared" si="159"/>
        <v>81</v>
      </c>
      <c r="F274" s="51" t="s">
        <v>239</v>
      </c>
      <c r="G274" s="52">
        <v>12000</v>
      </c>
      <c r="H274" s="52">
        <v>20844.68</v>
      </c>
      <c r="I274" s="52">
        <v>-8840.68</v>
      </c>
      <c r="J274" s="52">
        <v>20000</v>
      </c>
      <c r="K274" s="52">
        <v>20000</v>
      </c>
      <c r="L274" s="52">
        <v>20000</v>
      </c>
      <c r="M274" s="52"/>
      <c r="N274" s="52">
        <f t="shared" si="179"/>
        <v>20000</v>
      </c>
      <c r="O274" s="52">
        <f>VLOOKUP(B:B,'דוח כספי 1-10.17'!A:D,4,0)</f>
        <v>0</v>
      </c>
      <c r="P274" s="52">
        <f t="shared" si="148"/>
        <v>0</v>
      </c>
      <c r="Q274" s="52">
        <f>P274</f>
        <v>0</v>
      </c>
      <c r="R274" s="52">
        <f>VLOOKUP(B274,'2174'!$A$182:$G$567,6,0)</f>
        <v>0</v>
      </c>
      <c r="S274" s="52">
        <f t="shared" si="181"/>
        <v>0</v>
      </c>
      <c r="T274" s="52">
        <v>0</v>
      </c>
      <c r="U274" s="52">
        <f>VLOOKUP(B274,'ביצוע 2019'!$A$3:$H$1103,7,0)</f>
        <v>0</v>
      </c>
      <c r="V274" s="52">
        <f t="shared" si="180"/>
        <v>0</v>
      </c>
      <c r="W274" s="52"/>
      <c r="X274" s="52"/>
      <c r="Y274" s="52"/>
      <c r="Z274" s="101">
        <f t="shared" si="177"/>
        <v>0</v>
      </c>
    </row>
    <row r="275" spans="1:26" s="101" customFormat="1" ht="15.75">
      <c r="A275" s="21">
        <v>19</v>
      </c>
      <c r="B275" s="51">
        <v>1815200560</v>
      </c>
      <c r="C275" s="50" t="str">
        <f t="shared" si="157"/>
        <v>560</v>
      </c>
      <c r="D275" s="50" t="str">
        <f t="shared" si="158"/>
        <v>815200</v>
      </c>
      <c r="E275" s="50" t="str">
        <f t="shared" si="159"/>
        <v>81</v>
      </c>
      <c r="F275" s="51" t="s">
        <v>240</v>
      </c>
      <c r="G275" s="52">
        <v>2000</v>
      </c>
      <c r="H275" s="52">
        <v>7817</v>
      </c>
      <c r="I275" s="52">
        <v>-5813</v>
      </c>
      <c r="J275" s="52">
        <v>2000</v>
      </c>
      <c r="K275" s="52">
        <v>5000</v>
      </c>
      <c r="L275" s="52">
        <v>5000</v>
      </c>
      <c r="M275" s="52"/>
      <c r="N275" s="52">
        <f t="shared" si="179"/>
        <v>5000</v>
      </c>
      <c r="O275" s="52">
        <f>VLOOKUP(B:B,'דוח כספי 1-10.17'!A:D,4,0)</f>
        <v>2960</v>
      </c>
      <c r="P275" s="52">
        <f t="shared" si="148"/>
        <v>3552</v>
      </c>
      <c r="Q275" s="52">
        <v>3000</v>
      </c>
      <c r="R275" s="52">
        <f>VLOOKUP(B275,'2174'!$A$182:$G$567,6,0)</f>
        <v>4212</v>
      </c>
      <c r="S275" s="52">
        <f t="shared" si="181"/>
        <v>4594.909090909091</v>
      </c>
      <c r="T275" s="52">
        <v>4594.909090909091</v>
      </c>
      <c r="U275" s="52">
        <f>VLOOKUP(B275,'ביצוע 2019'!$A$3:$H$1103,7,0)</f>
        <v>1830</v>
      </c>
      <c r="V275" s="52">
        <f t="shared" si="180"/>
        <v>1830</v>
      </c>
      <c r="W275" s="52"/>
      <c r="X275" s="52"/>
      <c r="Y275" s="52"/>
      <c r="Z275" s="101">
        <f t="shared" si="177"/>
        <v>1</v>
      </c>
    </row>
    <row r="276" spans="1:26" s="101" customFormat="1" ht="15.75">
      <c r="A276" s="21">
        <v>19</v>
      </c>
      <c r="B276" s="51">
        <v>1815200720</v>
      </c>
      <c r="C276" s="50" t="str">
        <f t="shared" si="157"/>
        <v>720</v>
      </c>
      <c r="D276" s="50" t="str">
        <f t="shared" si="158"/>
        <v>815200</v>
      </c>
      <c r="E276" s="50" t="str">
        <f t="shared" si="159"/>
        <v>81</v>
      </c>
      <c r="F276" s="51" t="s">
        <v>1996</v>
      </c>
      <c r="G276" s="52"/>
      <c r="H276" s="52"/>
      <c r="I276" s="52"/>
      <c r="J276" s="52"/>
      <c r="K276" s="52"/>
      <c r="L276" s="52">
        <v>58000</v>
      </c>
      <c r="M276" s="52"/>
      <c r="N276" s="52">
        <f t="shared" si="179"/>
        <v>58000</v>
      </c>
      <c r="O276" s="52"/>
      <c r="P276" s="52">
        <v>0</v>
      </c>
      <c r="Q276" s="52">
        <v>0</v>
      </c>
      <c r="R276" s="52">
        <f>VLOOKUP(B276,'2174'!$A$182:$G$567,6,0)</f>
        <v>65197.51</v>
      </c>
      <c r="S276" s="52">
        <f t="shared" si="181"/>
        <v>71124.556363636366</v>
      </c>
      <c r="T276" s="52">
        <v>71124.556363636366</v>
      </c>
      <c r="U276" s="52">
        <f>VLOOKUP(B276,'ביצוע 2019'!$A$3:$H$1103,7,0)</f>
        <v>0</v>
      </c>
      <c r="V276" s="52">
        <f t="shared" si="180"/>
        <v>0</v>
      </c>
      <c r="W276" s="52"/>
      <c r="X276" s="52"/>
      <c r="Y276" s="52"/>
      <c r="Z276" s="101">
        <f t="shared" si="177"/>
        <v>1</v>
      </c>
    </row>
    <row r="277" spans="1:26" s="101" customFormat="1" ht="15.75">
      <c r="A277" s="21">
        <v>19</v>
      </c>
      <c r="B277" s="51">
        <v>1815200750</v>
      </c>
      <c r="C277" s="50" t="str">
        <f t="shared" si="157"/>
        <v>750</v>
      </c>
      <c r="D277" s="50" t="str">
        <f t="shared" si="158"/>
        <v>815200</v>
      </c>
      <c r="E277" s="50" t="str">
        <f t="shared" si="159"/>
        <v>81</v>
      </c>
      <c r="F277" s="51" t="s">
        <v>2064</v>
      </c>
      <c r="G277" s="52">
        <v>270000</v>
      </c>
      <c r="H277" s="52">
        <v>371685.82</v>
      </c>
      <c r="I277" s="52">
        <v>-101685.82</v>
      </c>
      <c r="J277" s="52">
        <v>961000</v>
      </c>
      <c r="K277" s="52">
        <v>1150000</v>
      </c>
      <c r="L277" s="52">
        <v>1150000</v>
      </c>
      <c r="M277" s="52"/>
      <c r="N277" s="52">
        <f t="shared" si="179"/>
        <v>1150000</v>
      </c>
      <c r="O277" s="52">
        <f>VLOOKUP(B:B,'דוח כספי 1-10.17'!A:D,4,0)</f>
        <v>768125.14</v>
      </c>
      <c r="P277" s="52">
        <f t="shared" si="148"/>
        <v>921750.16799999995</v>
      </c>
      <c r="Q277" s="52">
        <v>921000</v>
      </c>
      <c r="R277" s="52">
        <f>VLOOKUP(B277,'2174'!$A$182:$G$567,6,0)</f>
        <v>3312466.38</v>
      </c>
      <c r="S277" s="52">
        <f t="shared" si="181"/>
        <v>3613599.6872727275</v>
      </c>
      <c r="T277" s="52">
        <v>850000</v>
      </c>
      <c r="U277" s="52">
        <f>VLOOKUP(B277,'ביצוע 2019'!$A$3:$H$1103,7,0)</f>
        <v>3307942.95</v>
      </c>
      <c r="V277" s="52">
        <v>850000</v>
      </c>
      <c r="W277" s="52"/>
      <c r="X277" s="52"/>
      <c r="Y277" s="52"/>
      <c r="Z277" s="101">
        <f t="shared" si="177"/>
        <v>1</v>
      </c>
    </row>
    <row r="278" spans="1:26" s="101" customFormat="1" ht="15.75">
      <c r="A278" s="21">
        <v>19</v>
      </c>
      <c r="B278" s="51">
        <v>1815200760</v>
      </c>
      <c r="C278" s="50" t="str">
        <f t="shared" si="157"/>
        <v>760</v>
      </c>
      <c r="D278" s="50" t="str">
        <f t="shared" si="158"/>
        <v>815200</v>
      </c>
      <c r="E278" s="50" t="str">
        <f t="shared" si="159"/>
        <v>81</v>
      </c>
      <c r="F278" s="51" t="s">
        <v>244</v>
      </c>
      <c r="G278" s="52">
        <v>100000</v>
      </c>
      <c r="H278" s="52">
        <v>2160</v>
      </c>
      <c r="I278" s="52">
        <v>97840</v>
      </c>
      <c r="J278" s="52">
        <v>70000</v>
      </c>
      <c r="K278" s="52"/>
      <c r="L278" s="52">
        <v>56000</v>
      </c>
      <c r="M278" s="52"/>
      <c r="N278" s="52">
        <f t="shared" si="179"/>
        <v>56000</v>
      </c>
      <c r="O278" s="52">
        <f>VLOOKUP(B:B,'דוח כספי 1-10.17'!A:D,4,0)</f>
        <v>56160</v>
      </c>
      <c r="P278" s="52">
        <f t="shared" si="148"/>
        <v>67392</v>
      </c>
      <c r="Q278" s="52">
        <v>67000</v>
      </c>
      <c r="R278" s="52">
        <f>VLOOKUP(B278,'2174'!$A$182:$G$567,6,0)</f>
        <v>40800</v>
      </c>
      <c r="S278" s="52">
        <f t="shared" si="181"/>
        <v>44509.090909090912</v>
      </c>
      <c r="T278" s="52">
        <v>72000</v>
      </c>
      <c r="U278" s="52">
        <f>VLOOKUP(B278,'ביצוע 2019'!$A$3:$H$1103,7,0)</f>
        <v>66072</v>
      </c>
      <c r="V278" s="52">
        <f t="shared" si="180"/>
        <v>66072</v>
      </c>
      <c r="W278" s="52"/>
      <c r="X278" s="52"/>
      <c r="Y278" s="52"/>
      <c r="Z278" s="101">
        <f t="shared" si="177"/>
        <v>1</v>
      </c>
    </row>
    <row r="279" spans="1:26" s="101" customFormat="1" ht="15.75">
      <c r="A279" s="21">
        <v>19</v>
      </c>
      <c r="B279" s="51">
        <v>1815200780</v>
      </c>
      <c r="C279" s="50" t="str">
        <f t="shared" si="157"/>
        <v>780</v>
      </c>
      <c r="D279" s="50" t="str">
        <f t="shared" si="158"/>
        <v>815200</v>
      </c>
      <c r="E279" s="50" t="str">
        <f t="shared" si="159"/>
        <v>81</v>
      </c>
      <c r="F279" s="51" t="s">
        <v>245</v>
      </c>
      <c r="G279" s="52">
        <v>0</v>
      </c>
      <c r="H279" s="52">
        <v>0</v>
      </c>
      <c r="I279" s="52">
        <v>0</v>
      </c>
      <c r="J279" s="52">
        <v>0</v>
      </c>
      <c r="K279" s="52">
        <v>18000</v>
      </c>
      <c r="L279" s="52">
        <v>15000</v>
      </c>
      <c r="M279" s="52"/>
      <c r="N279" s="52">
        <f t="shared" si="179"/>
        <v>15000</v>
      </c>
      <c r="O279" s="52">
        <f>VLOOKUP(B:B,'דוח כספי 1-10.17'!A:D,4,0)</f>
        <v>0</v>
      </c>
      <c r="P279" s="52">
        <f t="shared" si="148"/>
        <v>0</v>
      </c>
      <c r="Q279" s="52">
        <f>P279</f>
        <v>0</v>
      </c>
      <c r="R279" s="52">
        <f>VLOOKUP(B279,'2174'!$A$182:$G$567,6,0)</f>
        <v>0</v>
      </c>
      <c r="S279" s="52">
        <f t="shared" si="181"/>
        <v>0</v>
      </c>
      <c r="T279" s="52">
        <v>0</v>
      </c>
      <c r="U279" s="52">
        <f>VLOOKUP(B279,'ביצוע 2019'!$A$3:$H$1103,7,0)</f>
        <v>22000</v>
      </c>
      <c r="V279" s="52">
        <f t="shared" si="180"/>
        <v>22000</v>
      </c>
      <c r="W279" s="52"/>
      <c r="X279" s="52"/>
      <c r="Y279" s="52"/>
      <c r="Z279" s="101">
        <f t="shared" si="177"/>
        <v>1</v>
      </c>
    </row>
    <row r="280" spans="1:26" s="101" customFormat="1" ht="15.75">
      <c r="A280" s="21">
        <v>19</v>
      </c>
      <c r="B280" s="51">
        <v>1815200870</v>
      </c>
      <c r="C280" s="50" t="str">
        <f t="shared" si="157"/>
        <v>870</v>
      </c>
      <c r="D280" s="50" t="str">
        <f t="shared" si="158"/>
        <v>815200</v>
      </c>
      <c r="E280" s="50" t="str">
        <f t="shared" si="159"/>
        <v>81</v>
      </c>
      <c r="F280" s="51" t="s">
        <v>246</v>
      </c>
      <c r="G280" s="52">
        <v>0</v>
      </c>
      <c r="H280" s="52">
        <v>50000</v>
      </c>
      <c r="I280" s="52">
        <v>-50000</v>
      </c>
      <c r="J280" s="52">
        <v>25000</v>
      </c>
      <c r="K280" s="52">
        <v>18000</v>
      </c>
      <c r="L280" s="52">
        <v>25000</v>
      </c>
      <c r="M280" s="52"/>
      <c r="N280" s="52">
        <f t="shared" si="179"/>
        <v>25000</v>
      </c>
      <c r="O280" s="52">
        <f>VLOOKUP(B:B,'דוח כספי 1-10.17'!A:D,4,0)</f>
        <v>25000</v>
      </c>
      <c r="P280" s="52">
        <f t="shared" si="148"/>
        <v>30000</v>
      </c>
      <c r="Q280" s="52">
        <f>P280</f>
        <v>30000</v>
      </c>
      <c r="R280" s="52">
        <f>VLOOKUP(B280,'2174'!$A$182:$G$567,6,0)</f>
        <v>20000</v>
      </c>
      <c r="S280" s="52">
        <f t="shared" si="181"/>
        <v>21818.18181818182</v>
      </c>
      <c r="T280" s="52">
        <v>20000</v>
      </c>
      <c r="U280" s="52">
        <f>VLOOKUP(B280,'ביצוע 2019'!$A$3:$H$1103,7,0)</f>
        <v>0</v>
      </c>
      <c r="V280" s="52">
        <f t="shared" si="180"/>
        <v>0</v>
      </c>
      <c r="W280" s="52"/>
      <c r="X280" s="52"/>
      <c r="Y280" s="52"/>
      <c r="Z280" s="101">
        <f t="shared" si="177"/>
        <v>1</v>
      </c>
    </row>
    <row r="281" spans="1:26" s="101" customFormat="1" ht="15.75">
      <c r="A281" s="21">
        <v>19</v>
      </c>
      <c r="B281" s="51">
        <v>1815300760</v>
      </c>
      <c r="C281" s="50" t="str">
        <f t="shared" si="157"/>
        <v>760</v>
      </c>
      <c r="D281" s="50" t="str">
        <f t="shared" si="158"/>
        <v>815300</v>
      </c>
      <c r="E281" s="50" t="str">
        <f t="shared" si="159"/>
        <v>81</v>
      </c>
      <c r="F281" s="51" t="s">
        <v>2048</v>
      </c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>
        <f>VLOOKUP(B281,'2174'!$A$182:$G$567,6,0)</f>
        <v>9131</v>
      </c>
      <c r="S281" s="52">
        <v>9131</v>
      </c>
      <c r="T281" s="52">
        <v>9131</v>
      </c>
      <c r="U281" s="52">
        <f>VLOOKUP(B281,'ביצוע 2019'!$A$3:$H$1103,7,0)</f>
        <v>8921.08</v>
      </c>
      <c r="V281" s="52">
        <f t="shared" si="180"/>
        <v>8921.08</v>
      </c>
      <c r="W281" s="52"/>
      <c r="X281" s="52"/>
      <c r="Y281" s="52"/>
      <c r="Z281" s="101">
        <f t="shared" si="177"/>
        <v>1</v>
      </c>
    </row>
    <row r="282" spans="1:26" s="101" customFormat="1" ht="15.75">
      <c r="A282" s="21">
        <v>19</v>
      </c>
      <c r="B282" s="51">
        <v>1815700760</v>
      </c>
      <c r="C282" s="50" t="str">
        <f t="shared" si="157"/>
        <v>760</v>
      </c>
      <c r="D282" s="50" t="str">
        <f t="shared" si="158"/>
        <v>815700</v>
      </c>
      <c r="E282" s="50" t="str">
        <f t="shared" si="159"/>
        <v>81</v>
      </c>
      <c r="F282" s="51" t="s">
        <v>1771</v>
      </c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>
        <f>VLOOKUP(B282,'2174'!$A$182:$G$567,6,0)</f>
        <v>310021</v>
      </c>
      <c r="S282" s="52">
        <v>310021</v>
      </c>
      <c r="T282" s="52">
        <v>40000</v>
      </c>
      <c r="U282" s="52">
        <f>VLOOKUP(B282,'ביצוע 2019'!$A$3:$H$1103,7,0)</f>
        <v>899411</v>
      </c>
      <c r="V282" s="52">
        <v>50000</v>
      </c>
      <c r="W282" s="52"/>
      <c r="X282" s="52"/>
      <c r="Y282" s="52"/>
      <c r="Z282" s="101">
        <f t="shared" si="177"/>
        <v>1</v>
      </c>
    </row>
    <row r="283" spans="1:26" s="101" customFormat="1" ht="15.75">
      <c r="A283" s="21"/>
      <c r="B283" s="234"/>
      <c r="C283" s="235"/>
      <c r="D283" s="235"/>
      <c r="E283" s="235"/>
      <c r="F283" s="234" t="s">
        <v>1972</v>
      </c>
      <c r="G283" s="236"/>
      <c r="H283" s="236"/>
      <c r="I283" s="236"/>
      <c r="J283" s="236"/>
      <c r="K283" s="236"/>
      <c r="L283" s="236">
        <f t="shared" ref="L283:W283" si="182">SUM(L268:L282)</f>
        <v>9547500</v>
      </c>
      <c r="M283" s="236">
        <f t="shared" si="182"/>
        <v>0</v>
      </c>
      <c r="N283" s="236">
        <f t="shared" si="182"/>
        <v>9547500</v>
      </c>
      <c r="O283" s="236">
        <f t="shared" si="182"/>
        <v>6948725.3499999987</v>
      </c>
      <c r="P283" s="236">
        <f t="shared" si="182"/>
        <v>9464592.0480000004</v>
      </c>
      <c r="Q283" s="236">
        <f t="shared" si="182"/>
        <v>11158000</v>
      </c>
      <c r="R283" s="236">
        <f t="shared" si="182"/>
        <v>10578917.939999999</v>
      </c>
      <c r="S283" s="236">
        <f t="shared" si="182"/>
        <v>13148526.178181818</v>
      </c>
      <c r="T283" s="236">
        <f t="shared" si="182"/>
        <v>12089900.018181818</v>
      </c>
      <c r="U283" s="236">
        <f t="shared" si="182"/>
        <v>14921757.410000002</v>
      </c>
      <c r="V283" s="236">
        <f t="shared" si="182"/>
        <v>15078823.08</v>
      </c>
      <c r="W283" s="236">
        <f t="shared" si="182"/>
        <v>48.5</v>
      </c>
      <c r="X283" s="52"/>
      <c r="Y283" s="52"/>
      <c r="Z283" s="101">
        <f t="shared" si="177"/>
        <v>1</v>
      </c>
    </row>
    <row r="284" spans="1:26" s="101" customFormat="1" ht="15.75">
      <c r="A284" s="21">
        <v>20</v>
      </c>
      <c r="B284" s="51">
        <v>1817300110</v>
      </c>
      <c r="C284" s="54" t="str">
        <f t="shared" si="157"/>
        <v>110</v>
      </c>
      <c r="D284" s="54" t="str">
        <f t="shared" si="158"/>
        <v>817300</v>
      </c>
      <c r="E284" s="54" t="str">
        <f t="shared" si="159"/>
        <v>81</v>
      </c>
      <c r="F284" s="55" t="s">
        <v>247</v>
      </c>
      <c r="G284" s="52">
        <v>508000</v>
      </c>
      <c r="H284" s="52">
        <v>556388.25</v>
      </c>
      <c r="I284" s="52">
        <v>-48392.25</v>
      </c>
      <c r="J284" s="52">
        <v>650000</v>
      </c>
      <c r="K284" s="52">
        <f>678000+12000</f>
        <v>690000</v>
      </c>
      <c r="L284" s="52">
        <v>697000</v>
      </c>
      <c r="M284" s="52"/>
      <c r="N284" s="52">
        <f t="shared" si="179"/>
        <v>697000</v>
      </c>
      <c r="O284" s="52">
        <f>VLOOKUP(B:B,'דוח כספי 1-10.17'!A:D,4,0)</f>
        <v>521462.69</v>
      </c>
      <c r="P284" s="52">
        <v>720000</v>
      </c>
      <c r="Q284" s="52">
        <f>855000-12781-27000-27000</f>
        <v>788219</v>
      </c>
      <c r="R284" s="52">
        <f>VLOOKUP(B284,'2174'!$A$182:$G$567,6,0)</f>
        <v>524762.6</v>
      </c>
      <c r="S284" s="63">
        <f>VLOOKUP(B284,'2174'!$A$575:$D$697,4,0)</f>
        <v>665873.89</v>
      </c>
      <c r="T284" s="56">
        <f>S284*1.0217</f>
        <v>680323.353413</v>
      </c>
      <c r="U284" s="56">
        <f>VLOOKUP(B284,'ביצוע 2019'!$A$3:$H$1103,7,0)</f>
        <v>641443.98</v>
      </c>
      <c r="V284" s="56">
        <v>750000</v>
      </c>
      <c r="W284" s="64">
        <v>4</v>
      </c>
      <c r="X284" s="52"/>
      <c r="Y284" s="52"/>
      <c r="Z284" s="101">
        <f t="shared" si="177"/>
        <v>1</v>
      </c>
    </row>
    <row r="285" spans="1:26" s="101" customFormat="1" ht="15.75" hidden="1">
      <c r="A285" s="21">
        <v>20</v>
      </c>
      <c r="B285" s="51">
        <v>1817300320</v>
      </c>
      <c r="C285" s="54" t="str">
        <f t="shared" si="157"/>
        <v>320</v>
      </c>
      <c r="D285" s="54" t="str">
        <f t="shared" si="158"/>
        <v>817300</v>
      </c>
      <c r="E285" s="54" t="str">
        <f t="shared" si="159"/>
        <v>81</v>
      </c>
      <c r="F285" s="55" t="s">
        <v>248</v>
      </c>
      <c r="G285" s="52">
        <v>0</v>
      </c>
      <c r="H285" s="52">
        <v>0</v>
      </c>
      <c r="I285" s="52">
        <v>0</v>
      </c>
      <c r="J285" s="56">
        <v>0</v>
      </c>
      <c r="K285" s="56">
        <v>0</v>
      </c>
      <c r="L285" s="56">
        <v>0</v>
      </c>
      <c r="M285" s="56"/>
      <c r="N285" s="56">
        <f t="shared" si="179"/>
        <v>0</v>
      </c>
      <c r="O285" s="52">
        <f>VLOOKUP(B:B,'דוח כספי 1-10.17'!A:D,4,0)</f>
        <v>0</v>
      </c>
      <c r="P285" s="56">
        <f>O285*12/10</f>
        <v>0</v>
      </c>
      <c r="Q285" s="56">
        <f>P285</f>
        <v>0</v>
      </c>
      <c r="R285" s="56"/>
      <c r="S285" s="56">
        <f>VLOOKUP(B285,'2174'!$A$575:$D$697,4,0)</f>
        <v>11199</v>
      </c>
      <c r="T285" s="56">
        <v>0</v>
      </c>
      <c r="U285" s="56"/>
      <c r="V285" s="56"/>
      <c r="W285" s="56"/>
      <c r="X285" s="52"/>
      <c r="Y285" s="52"/>
      <c r="Z285" s="101">
        <f t="shared" si="177"/>
        <v>0</v>
      </c>
    </row>
    <row r="286" spans="1:26" s="101" customFormat="1" ht="15.75">
      <c r="A286" s="21">
        <v>19</v>
      </c>
      <c r="B286" s="51">
        <v>1817300521</v>
      </c>
      <c r="C286" s="50" t="str">
        <f t="shared" si="157"/>
        <v>521</v>
      </c>
      <c r="D286" s="50" t="str">
        <f t="shared" si="158"/>
        <v>817300</v>
      </c>
      <c r="E286" s="50" t="str">
        <f t="shared" si="159"/>
        <v>81</v>
      </c>
      <c r="F286" s="51" t="s">
        <v>249</v>
      </c>
      <c r="G286" s="52">
        <v>0</v>
      </c>
      <c r="H286" s="52">
        <v>0</v>
      </c>
      <c r="I286" s="52">
        <v>0</v>
      </c>
      <c r="J286" s="52">
        <v>5000</v>
      </c>
      <c r="K286" s="52">
        <v>5000</v>
      </c>
      <c r="L286" s="52">
        <v>5000</v>
      </c>
      <c r="M286" s="52"/>
      <c r="N286" s="52">
        <f t="shared" si="179"/>
        <v>5000</v>
      </c>
      <c r="O286" s="52">
        <f>VLOOKUP(B:B,'דוח כספי 1-10.17'!A:D,4,0)</f>
        <v>0</v>
      </c>
      <c r="P286" s="52">
        <f>O286*12/10</f>
        <v>0</v>
      </c>
      <c r="Q286" s="52">
        <f>P286</f>
        <v>0</v>
      </c>
      <c r="R286" s="52">
        <f>VLOOKUP(B286,'2174'!$A$182:$G$567,6,0)</f>
        <v>0</v>
      </c>
      <c r="S286" s="52">
        <f t="shared" ref="S286:S288" si="183">R286*12/11</f>
        <v>0</v>
      </c>
      <c r="T286" s="52">
        <v>0</v>
      </c>
      <c r="U286" s="52">
        <f>VLOOKUP(B286,'ביצוע 2019'!$A$3:$H$1103,7,0)</f>
        <v>1600</v>
      </c>
      <c r="V286" s="52">
        <f t="shared" ref="V286:V288" si="184">U286</f>
        <v>1600</v>
      </c>
      <c r="W286" s="52"/>
      <c r="X286" s="52"/>
      <c r="Y286" s="52"/>
      <c r="Z286" s="101">
        <f t="shared" si="177"/>
        <v>1</v>
      </c>
    </row>
    <row r="287" spans="1:26" s="101" customFormat="1" ht="15.75" hidden="1">
      <c r="A287" s="21">
        <v>19</v>
      </c>
      <c r="B287" s="51">
        <v>1817300930</v>
      </c>
      <c r="C287" s="50" t="str">
        <f t="shared" si="157"/>
        <v>930</v>
      </c>
      <c r="D287" s="50" t="str">
        <f t="shared" si="158"/>
        <v>817300</v>
      </c>
      <c r="E287" s="50" t="str">
        <f t="shared" si="159"/>
        <v>81</v>
      </c>
      <c r="F287" s="51" t="s">
        <v>250</v>
      </c>
      <c r="G287" s="52">
        <v>1000</v>
      </c>
      <c r="H287" s="52">
        <v>17711.689999999999</v>
      </c>
      <c r="I287" s="52">
        <v>-16714.689999999999</v>
      </c>
      <c r="J287" s="52">
        <v>2000</v>
      </c>
      <c r="K287" s="52">
        <v>2000</v>
      </c>
      <c r="L287" s="52">
        <v>2000</v>
      </c>
      <c r="M287" s="52"/>
      <c r="N287" s="52">
        <f t="shared" si="179"/>
        <v>2000</v>
      </c>
      <c r="O287" s="52">
        <f>VLOOKUP(B:B,'דוח כספי 1-10.17'!A:D,4,0)</f>
        <v>0</v>
      </c>
      <c r="P287" s="52">
        <f>O287*12/10</f>
        <v>0</v>
      </c>
      <c r="Q287" s="52">
        <f>P287</f>
        <v>0</v>
      </c>
      <c r="R287" s="52">
        <f>VLOOKUP(B287,'2174'!$A$182:$G$567,6,0)</f>
        <v>0</v>
      </c>
      <c r="S287" s="52">
        <f t="shared" si="183"/>
        <v>0</v>
      </c>
      <c r="T287" s="52">
        <v>0</v>
      </c>
      <c r="U287" s="52">
        <f>VLOOKUP(B287,'ביצוע 2019'!$A$3:$H$1103,7,0)</f>
        <v>0</v>
      </c>
      <c r="V287" s="52">
        <f t="shared" si="184"/>
        <v>0</v>
      </c>
      <c r="W287" s="52"/>
      <c r="X287" s="52"/>
      <c r="Y287" s="52"/>
      <c r="Z287" s="101">
        <f t="shared" si="177"/>
        <v>0</v>
      </c>
    </row>
    <row r="288" spans="1:26" s="101" customFormat="1" ht="15.75">
      <c r="A288" s="21">
        <v>19</v>
      </c>
      <c r="B288" s="51">
        <v>1817301750</v>
      </c>
      <c r="C288" s="50" t="str">
        <f t="shared" si="157"/>
        <v>750</v>
      </c>
      <c r="D288" s="50" t="str">
        <f t="shared" si="158"/>
        <v>817301</v>
      </c>
      <c r="E288" s="50" t="str">
        <f t="shared" si="159"/>
        <v>81</v>
      </c>
      <c r="F288" s="51" t="s">
        <v>1997</v>
      </c>
      <c r="G288" s="52"/>
      <c r="H288" s="52"/>
      <c r="I288" s="52"/>
      <c r="J288" s="52"/>
      <c r="K288" s="52"/>
      <c r="L288" s="52">
        <v>46000</v>
      </c>
      <c r="M288" s="52"/>
      <c r="N288" s="52">
        <f t="shared" si="179"/>
        <v>46000</v>
      </c>
      <c r="O288" s="52"/>
      <c r="P288" s="52">
        <v>25200</v>
      </c>
      <c r="Q288" s="52">
        <v>25000</v>
      </c>
      <c r="R288" s="52">
        <f>VLOOKUP(B288,'2174'!$A$182:$G$567,6,0)</f>
        <v>21000</v>
      </c>
      <c r="S288" s="52">
        <f t="shared" si="183"/>
        <v>22909.090909090908</v>
      </c>
      <c r="T288" s="52">
        <v>22909.090909090908</v>
      </c>
      <c r="U288" s="52">
        <f>VLOOKUP(B288,'ביצוע 2019'!$A$3:$H$1103,7,0)</f>
        <v>42570</v>
      </c>
      <c r="V288" s="52">
        <f t="shared" si="184"/>
        <v>42570</v>
      </c>
      <c r="W288" s="52"/>
      <c r="X288" s="52"/>
      <c r="Y288" s="52"/>
      <c r="Z288" s="101">
        <f t="shared" si="177"/>
        <v>1</v>
      </c>
    </row>
    <row r="289" spans="1:26" s="101" customFormat="1" ht="15.75">
      <c r="A289" s="21"/>
      <c r="B289" s="234"/>
      <c r="C289" s="235"/>
      <c r="D289" s="235"/>
      <c r="E289" s="235"/>
      <c r="F289" s="234" t="s">
        <v>1973</v>
      </c>
      <c r="G289" s="236"/>
      <c r="H289" s="236"/>
      <c r="I289" s="236"/>
      <c r="J289" s="236"/>
      <c r="K289" s="236"/>
      <c r="L289" s="236">
        <f>SUM(L284:L288)</f>
        <v>750000</v>
      </c>
      <c r="M289" s="236"/>
      <c r="N289" s="236">
        <f>SUM(N284:N288)</f>
        <v>750000</v>
      </c>
      <c r="O289" s="236">
        <f>SUM(O284:O288)</f>
        <v>521462.69</v>
      </c>
      <c r="P289" s="236">
        <f>SUM(P284:P288)</f>
        <v>745200</v>
      </c>
      <c r="Q289" s="236">
        <f>SUM(Q284:Q288)</f>
        <v>813219</v>
      </c>
      <c r="R289" s="236">
        <f t="shared" ref="R289:W289" si="185">SUM(R284:R288)</f>
        <v>545762.6</v>
      </c>
      <c r="S289" s="236">
        <f t="shared" si="185"/>
        <v>699981.98090909095</v>
      </c>
      <c r="T289" s="236">
        <f t="shared" si="185"/>
        <v>703232.44432209095</v>
      </c>
      <c r="U289" s="236">
        <f t="shared" si="185"/>
        <v>685613.98</v>
      </c>
      <c r="V289" s="236">
        <f t="shared" si="185"/>
        <v>794170</v>
      </c>
      <c r="W289" s="236">
        <f t="shared" si="185"/>
        <v>4</v>
      </c>
      <c r="X289" s="52"/>
      <c r="Y289" s="52"/>
      <c r="Z289" s="101">
        <f t="shared" si="177"/>
        <v>1</v>
      </c>
    </row>
    <row r="290" spans="1:26" s="101" customFormat="1" ht="15.75">
      <c r="A290" s="21">
        <v>19</v>
      </c>
      <c r="B290" s="51">
        <v>1817500441</v>
      </c>
      <c r="C290" s="50" t="str">
        <f t="shared" si="157"/>
        <v>441</v>
      </c>
      <c r="D290" s="50" t="str">
        <f t="shared" si="158"/>
        <v>817500</v>
      </c>
      <c r="E290" s="50" t="str">
        <f t="shared" si="159"/>
        <v>81</v>
      </c>
      <c r="F290" s="51" t="s">
        <v>254</v>
      </c>
      <c r="G290" s="52">
        <v>180000</v>
      </c>
      <c r="H290" s="52">
        <v>153860</v>
      </c>
      <c r="I290" s="52">
        <v>26140</v>
      </c>
      <c r="J290" s="52">
        <v>230000</v>
      </c>
      <c r="K290" s="52">
        <f>+J290</f>
        <v>230000</v>
      </c>
      <c r="L290" s="52">
        <v>304000</v>
      </c>
      <c r="M290" s="52"/>
      <c r="N290" s="52">
        <f t="shared" si="179"/>
        <v>304000</v>
      </c>
      <c r="O290" s="52">
        <f>VLOOKUP(B:B,'דוח כספי 1-10.17'!A:D,4,0)</f>
        <v>303800</v>
      </c>
      <c r="P290" s="52">
        <f>O290*12/10</f>
        <v>364560</v>
      </c>
      <c r="Q290" s="52">
        <v>230000</v>
      </c>
      <c r="R290" s="52">
        <f>VLOOKUP(B290,'2174'!$A$182:$G$567,6,0)</f>
        <v>214865</v>
      </c>
      <c r="S290" s="52">
        <v>214865</v>
      </c>
      <c r="T290" s="52">
        <v>214865</v>
      </c>
      <c r="U290" s="52">
        <f>VLOOKUP(B290,'ביצוע 2019'!$A$3:$H$1103,7,0)</f>
        <v>214865</v>
      </c>
      <c r="V290" s="52">
        <f t="shared" ref="V290:V323" si="186">U290</f>
        <v>214865</v>
      </c>
      <c r="W290" s="52"/>
      <c r="X290" s="52"/>
      <c r="Y290" s="52"/>
      <c r="Z290" s="101">
        <f t="shared" si="177"/>
        <v>1</v>
      </c>
    </row>
    <row r="291" spans="1:26" s="101" customFormat="1" ht="15.75">
      <c r="A291" s="21">
        <v>20</v>
      </c>
      <c r="B291" s="51">
        <v>1817600110</v>
      </c>
      <c r="C291" s="50" t="str">
        <f t="shared" si="157"/>
        <v>110</v>
      </c>
      <c r="D291" s="50" t="str">
        <f t="shared" si="158"/>
        <v>817600</v>
      </c>
      <c r="E291" s="50" t="str">
        <f t="shared" si="159"/>
        <v>81</v>
      </c>
      <c r="F291" s="51" t="s">
        <v>2051</v>
      </c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63">
        <f>VLOOKUP(B291,'2174'!$A$575:$D$697,4,0)</f>
        <v>0</v>
      </c>
      <c r="T291" s="52">
        <v>90000</v>
      </c>
      <c r="U291" s="52">
        <f>VLOOKUP(B291,'ביצוע 2019'!$A$3:$H$1103,7,0)</f>
        <v>179650.42</v>
      </c>
      <c r="V291" s="52">
        <v>185000</v>
      </c>
      <c r="W291" s="52"/>
      <c r="X291" s="52"/>
      <c r="Y291" s="52"/>
      <c r="Z291" s="101">
        <f t="shared" si="177"/>
        <v>1</v>
      </c>
    </row>
    <row r="292" spans="1:26" s="101" customFormat="1" ht="15.75">
      <c r="A292" s="21">
        <v>19</v>
      </c>
      <c r="B292" s="51">
        <v>1817600431</v>
      </c>
      <c r="C292" s="50" t="str">
        <f t="shared" ref="C292" si="187">RIGHT(B292,3)</f>
        <v>431</v>
      </c>
      <c r="D292" s="50" t="str">
        <f t="shared" ref="D292" si="188">MID(B292,2,6)</f>
        <v>817600</v>
      </c>
      <c r="E292" s="50" t="str">
        <f t="shared" ref="E292" si="189">LEFT(D292,2)</f>
        <v>81</v>
      </c>
      <c r="F292" s="51" t="s">
        <v>26</v>
      </c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63"/>
      <c r="T292" s="52"/>
      <c r="U292" s="52">
        <f>VLOOKUP(B292,'ביצוע 2019'!$A$3:$H$1103,7,0)</f>
        <v>38959.93</v>
      </c>
      <c r="V292" s="52">
        <f t="shared" si="186"/>
        <v>38959.93</v>
      </c>
      <c r="W292" s="52"/>
      <c r="X292" s="52"/>
      <c r="Y292" s="52"/>
      <c r="Z292" s="101">
        <f t="shared" si="177"/>
        <v>1</v>
      </c>
    </row>
    <row r="293" spans="1:26" s="101" customFormat="1" ht="15.75" hidden="1">
      <c r="A293" s="21">
        <v>19</v>
      </c>
      <c r="B293" s="51">
        <v>1817600780</v>
      </c>
      <c r="C293" s="50" t="str">
        <f t="shared" si="157"/>
        <v>780</v>
      </c>
      <c r="D293" s="50" t="str">
        <f t="shared" si="158"/>
        <v>817600</v>
      </c>
      <c r="E293" s="50" t="str">
        <f t="shared" si="159"/>
        <v>81</v>
      </c>
      <c r="F293" s="51" t="s">
        <v>2052</v>
      </c>
      <c r="G293" s="52">
        <v>80000</v>
      </c>
      <c r="H293" s="52">
        <v>56416.84</v>
      </c>
      <c r="I293" s="52">
        <v>23583.16</v>
      </c>
      <c r="J293" s="52">
        <v>80000</v>
      </c>
      <c r="K293" s="52">
        <v>80000</v>
      </c>
      <c r="L293" s="52">
        <v>0</v>
      </c>
      <c r="M293" s="52"/>
      <c r="N293" s="52">
        <f t="shared" si="179"/>
        <v>0</v>
      </c>
      <c r="O293" s="52">
        <f>VLOOKUP(B:B,'דוח כספי 1-10.17'!A:D,4,0)</f>
        <v>48000</v>
      </c>
      <c r="P293" s="52">
        <f>O293*12/10</f>
        <v>57600</v>
      </c>
      <c r="Q293" s="52">
        <v>100000</v>
      </c>
      <c r="R293" s="52">
        <f>VLOOKUP(B293,'2174'!$A$182:$G$567,6,0)</f>
        <v>0</v>
      </c>
      <c r="S293" s="52">
        <f t="shared" ref="S293:S302" si="190">R293*12/11</f>
        <v>0</v>
      </c>
      <c r="T293" s="52">
        <v>0</v>
      </c>
      <c r="U293" s="52">
        <f>VLOOKUP(B293,'ביצוע 2019'!$A$3:$H$1103,7,0)</f>
        <v>0</v>
      </c>
      <c r="V293" s="52">
        <f t="shared" si="186"/>
        <v>0</v>
      </c>
      <c r="W293" s="52"/>
      <c r="X293" s="52"/>
      <c r="Y293" s="52"/>
      <c r="Z293" s="101">
        <f t="shared" si="177"/>
        <v>0</v>
      </c>
    </row>
    <row r="294" spans="1:26" s="101" customFormat="1" ht="15.75" hidden="1">
      <c r="A294" s="21">
        <v>19</v>
      </c>
      <c r="B294" s="218">
        <v>1817600930</v>
      </c>
      <c r="C294" s="217" t="str">
        <f t="shared" si="157"/>
        <v>930</v>
      </c>
      <c r="D294" s="217" t="str">
        <f t="shared" si="158"/>
        <v>817600</v>
      </c>
      <c r="E294" s="217" t="str">
        <f t="shared" si="159"/>
        <v>81</v>
      </c>
      <c r="F294" s="218" t="s">
        <v>2053</v>
      </c>
      <c r="G294" s="220">
        <v>0</v>
      </c>
      <c r="H294" s="220">
        <v>0</v>
      </c>
      <c r="I294" s="220">
        <v>0</v>
      </c>
      <c r="J294" s="220">
        <v>0</v>
      </c>
      <c r="K294" s="220">
        <f>+J294</f>
        <v>0</v>
      </c>
      <c r="L294" s="220">
        <v>8000</v>
      </c>
      <c r="M294" s="220"/>
      <c r="N294" s="220">
        <f t="shared" si="179"/>
        <v>8000</v>
      </c>
      <c r="O294" s="220">
        <f>VLOOKUP(B:B,'דוח כספי 1-10.17'!A:D,4,0)</f>
        <v>0</v>
      </c>
      <c r="P294" s="220">
        <f>O294*12/10</f>
        <v>0</v>
      </c>
      <c r="Q294" s="220">
        <v>3000</v>
      </c>
      <c r="R294" s="52">
        <f>VLOOKUP(B294,'2174'!$A$182:$G$567,6,0)</f>
        <v>61537.440000000002</v>
      </c>
      <c r="S294" s="52">
        <f t="shared" si="190"/>
        <v>67131.752727272731</v>
      </c>
      <c r="T294" s="52">
        <v>0</v>
      </c>
      <c r="U294" s="52">
        <f>VLOOKUP(B294,'ביצוע 2019'!$A$3:$H$1103,7,0)</f>
        <v>0</v>
      </c>
      <c r="V294" s="52">
        <f t="shared" si="186"/>
        <v>0</v>
      </c>
      <c r="W294" s="193"/>
      <c r="X294" s="52"/>
      <c r="Y294" s="52"/>
      <c r="Z294" s="101">
        <f t="shared" si="177"/>
        <v>0</v>
      </c>
    </row>
    <row r="295" spans="1:26" s="101" customFormat="1" ht="15.75" hidden="1">
      <c r="A295" s="21">
        <v>20</v>
      </c>
      <c r="B295" s="51">
        <v>1817610110</v>
      </c>
      <c r="C295" s="217" t="str">
        <f t="shared" ref="C295" si="191">RIGHT(B295,3)</f>
        <v>110</v>
      </c>
      <c r="D295" s="217" t="str">
        <f t="shared" ref="D295" si="192">MID(B295,2,6)</f>
        <v>817610</v>
      </c>
      <c r="E295" s="217" t="str">
        <f t="shared" ref="E295" si="193">LEFT(D295,2)</f>
        <v>81</v>
      </c>
      <c r="F295" s="218" t="s">
        <v>2056</v>
      </c>
      <c r="G295" s="220"/>
      <c r="H295" s="220"/>
      <c r="I295" s="220"/>
      <c r="J295" s="220"/>
      <c r="K295" s="220"/>
      <c r="L295" s="220"/>
      <c r="M295" s="220"/>
      <c r="N295" s="220"/>
      <c r="O295" s="220"/>
      <c r="P295" s="220"/>
      <c r="Q295" s="220"/>
      <c r="R295" s="52"/>
      <c r="S295" s="52"/>
      <c r="T295" s="52"/>
      <c r="U295" s="52"/>
      <c r="V295" s="52"/>
      <c r="W295" s="193"/>
      <c r="X295" s="52"/>
      <c r="Y295" s="52"/>
      <c r="Z295" s="101">
        <f t="shared" si="177"/>
        <v>0</v>
      </c>
    </row>
    <row r="296" spans="1:26" s="101" customFormat="1" ht="15.75">
      <c r="A296" s="21">
        <v>20</v>
      </c>
      <c r="B296" s="218">
        <v>1817630110</v>
      </c>
      <c r="C296" s="50" t="str">
        <f t="shared" ref="C296" si="194">RIGHT(B296,3)</f>
        <v>110</v>
      </c>
      <c r="D296" s="50" t="str">
        <f t="shared" ref="D296" si="195">MID(B296,2,6)</f>
        <v>817630</v>
      </c>
      <c r="E296" s="50" t="str">
        <f t="shared" ref="E296" si="196">LEFT(D296,2)</f>
        <v>81</v>
      </c>
      <c r="F296" s="51" t="s">
        <v>2057</v>
      </c>
      <c r="G296" s="220"/>
      <c r="H296" s="220"/>
      <c r="I296" s="220"/>
      <c r="J296" s="220"/>
      <c r="K296" s="220"/>
      <c r="L296" s="220"/>
      <c r="M296" s="220"/>
      <c r="N296" s="220"/>
      <c r="O296" s="220"/>
      <c r="P296" s="220"/>
      <c r="Q296" s="220"/>
      <c r="R296" s="52">
        <f>VLOOKUP(B296,'2174'!$A$182:$G$567,6,0)</f>
        <v>45944.73</v>
      </c>
      <c r="S296" s="63">
        <f>VLOOKUP(B296,'2174'!$A$575:$D$697,4,0)</f>
        <v>62975.96</v>
      </c>
      <c r="T296" s="52"/>
      <c r="U296" s="52">
        <f>VLOOKUP(B296,'ביצוע 2019'!$A$3:$H$1103,7,0)</f>
        <v>62146.64</v>
      </c>
      <c r="V296" s="52">
        <v>65000</v>
      </c>
      <c r="W296" s="193"/>
      <c r="X296" s="52"/>
      <c r="Y296" s="52"/>
      <c r="Z296" s="101">
        <f t="shared" si="177"/>
        <v>1</v>
      </c>
    </row>
    <row r="297" spans="1:26" s="101" customFormat="1" ht="15.75" hidden="1">
      <c r="A297" s="21">
        <v>20</v>
      </c>
      <c r="B297" s="51">
        <v>1817700110</v>
      </c>
      <c r="C297" s="50" t="str">
        <f t="shared" si="157"/>
        <v>110</v>
      </c>
      <c r="D297" s="50" t="str">
        <f t="shared" si="158"/>
        <v>817700</v>
      </c>
      <c r="E297" s="50" t="str">
        <f t="shared" si="159"/>
        <v>81</v>
      </c>
      <c r="F297" s="51" t="s">
        <v>261</v>
      </c>
      <c r="G297" s="52">
        <v>200000</v>
      </c>
      <c r="H297" s="52">
        <v>0</v>
      </c>
      <c r="I297" s="52">
        <v>200000</v>
      </c>
      <c r="J297" s="52">
        <v>0</v>
      </c>
      <c r="K297" s="52">
        <v>292000</v>
      </c>
      <c r="L297" s="52">
        <v>300000</v>
      </c>
      <c r="M297" s="52"/>
      <c r="N297" s="52">
        <f t="shared" si="179"/>
        <v>300000</v>
      </c>
      <c r="O297" s="52">
        <f>VLOOKUP(B:B,'דוח כספי 1-10.17'!A:D,4,0)</f>
        <v>0</v>
      </c>
      <c r="P297" s="52">
        <v>300000</v>
      </c>
      <c r="Q297" s="52">
        <v>370000</v>
      </c>
      <c r="R297" s="52">
        <f>VLOOKUP(B297,'2174'!$A$182:$G$567,6,0)</f>
        <v>0</v>
      </c>
      <c r="S297" s="63">
        <f>VLOOKUP(B297,'2174'!$A$575:$D$697,4,0)</f>
        <v>0</v>
      </c>
      <c r="T297" s="52">
        <f>S297*1.0217</f>
        <v>0</v>
      </c>
      <c r="U297" s="52">
        <f>VLOOKUP(B297,'ביצוע 2019'!$A$3:$H$1103,7,0)</f>
        <v>0</v>
      </c>
      <c r="V297" s="52">
        <f t="shared" si="186"/>
        <v>0</v>
      </c>
      <c r="W297" s="63">
        <v>0</v>
      </c>
      <c r="X297" s="52"/>
      <c r="Y297" s="52"/>
      <c r="Z297" s="101">
        <f t="shared" si="177"/>
        <v>0</v>
      </c>
    </row>
    <row r="298" spans="1:26" s="101" customFormat="1" ht="15.75" hidden="1">
      <c r="A298" s="21">
        <v>19</v>
      </c>
      <c r="B298" s="51">
        <v>1817710720</v>
      </c>
      <c r="C298" s="50" t="str">
        <f>RIGHT(B298,3)</f>
        <v>720</v>
      </c>
      <c r="D298" s="50" t="str">
        <f>MID(B298,2,6)</f>
        <v>817710</v>
      </c>
      <c r="E298" s="50" t="str">
        <f>LEFT(D298,2)</f>
        <v>81</v>
      </c>
      <c r="F298" s="51" t="s">
        <v>266</v>
      </c>
      <c r="G298" s="52">
        <v>0</v>
      </c>
      <c r="H298" s="52">
        <v>0</v>
      </c>
      <c r="I298" s="52">
        <v>0</v>
      </c>
      <c r="J298" s="52">
        <v>2000</v>
      </c>
      <c r="K298" s="52">
        <v>2000</v>
      </c>
      <c r="L298" s="52">
        <v>2000</v>
      </c>
      <c r="M298" s="52"/>
      <c r="N298" s="52">
        <f t="shared" si="179"/>
        <v>2000</v>
      </c>
      <c r="O298" s="52">
        <f>VLOOKUP(B:B,'דוח כספי 1-10.17'!A:D,4,0)</f>
        <v>0</v>
      </c>
      <c r="P298" s="52">
        <f>O298*12/10</f>
        <v>0</v>
      </c>
      <c r="Q298" s="52">
        <f>P298</f>
        <v>0</v>
      </c>
      <c r="R298" s="52">
        <f>VLOOKUP(B298,'2174'!$A$182:$G$567,6,0)</f>
        <v>0</v>
      </c>
      <c r="S298" s="52">
        <f t="shared" si="190"/>
        <v>0</v>
      </c>
      <c r="T298" s="52">
        <v>0</v>
      </c>
      <c r="U298" s="52">
        <f>VLOOKUP(B298,'ביצוע 2019'!$A$3:$H$1103,7,0)</f>
        <v>0</v>
      </c>
      <c r="V298" s="52">
        <f t="shared" si="186"/>
        <v>0</v>
      </c>
      <c r="W298" s="52"/>
      <c r="X298" s="52"/>
      <c r="Y298" s="52"/>
      <c r="Z298" s="101">
        <f t="shared" si="177"/>
        <v>0</v>
      </c>
    </row>
    <row r="299" spans="1:26" s="101" customFormat="1" ht="15.75">
      <c r="A299" s="21">
        <v>19</v>
      </c>
      <c r="B299" s="51">
        <v>1817710780</v>
      </c>
      <c r="C299" s="50" t="str">
        <f>RIGHT(B299,3)</f>
        <v>780</v>
      </c>
      <c r="D299" s="50" t="str">
        <f>MID(B299,2,6)</f>
        <v>817710</v>
      </c>
      <c r="E299" s="50" t="str">
        <f>LEFT(D299,2)</f>
        <v>81</v>
      </c>
      <c r="F299" s="51" t="s">
        <v>267</v>
      </c>
      <c r="G299" s="52">
        <v>0</v>
      </c>
      <c r="H299" s="52">
        <v>0</v>
      </c>
      <c r="I299" s="52">
        <v>0</v>
      </c>
      <c r="J299" s="52">
        <v>5000</v>
      </c>
      <c r="K299" s="52">
        <v>5000</v>
      </c>
      <c r="L299" s="52">
        <v>5000</v>
      </c>
      <c r="M299" s="52"/>
      <c r="N299" s="52">
        <f t="shared" si="179"/>
        <v>5000</v>
      </c>
      <c r="O299" s="52">
        <f>VLOOKUP(B:B,'דוח כספי 1-10.17'!A:D,4,0)</f>
        <v>0</v>
      </c>
      <c r="P299" s="52">
        <f>O299*12/10</f>
        <v>0</v>
      </c>
      <c r="Q299" s="52">
        <f>P299</f>
        <v>0</v>
      </c>
      <c r="R299" s="52">
        <f>VLOOKUP(B299,'2174'!$A$182:$G$567,6,0)</f>
        <v>1941</v>
      </c>
      <c r="S299" s="52">
        <f t="shared" si="190"/>
        <v>2117.4545454545455</v>
      </c>
      <c r="T299" s="52">
        <v>0</v>
      </c>
      <c r="U299" s="52">
        <f>VLOOKUP(B299,'ביצוע 2019'!$A$3:$H$1103,7,0)</f>
        <v>1563.74</v>
      </c>
      <c r="V299" s="52">
        <f t="shared" si="186"/>
        <v>1563.74</v>
      </c>
      <c r="W299" s="52"/>
      <c r="X299" s="52"/>
      <c r="Y299" s="52"/>
      <c r="Z299" s="101">
        <f t="shared" si="177"/>
        <v>1</v>
      </c>
    </row>
    <row r="300" spans="1:26" s="101" customFormat="1" ht="15.75">
      <c r="A300" s="21">
        <v>19</v>
      </c>
      <c r="B300" s="51">
        <v>1817720720</v>
      </c>
      <c r="C300" s="50" t="str">
        <f>RIGHT(B300,3)</f>
        <v>720</v>
      </c>
      <c r="D300" s="50" t="str">
        <f>MID(B300,2,6)</f>
        <v>817720</v>
      </c>
      <c r="E300" s="50">
        <v>81</v>
      </c>
      <c r="F300" s="51" t="s">
        <v>1998</v>
      </c>
      <c r="G300" s="52"/>
      <c r="H300" s="52"/>
      <c r="I300" s="52"/>
      <c r="J300" s="52"/>
      <c r="K300" s="52"/>
      <c r="L300" s="52">
        <v>41728</v>
      </c>
      <c r="M300" s="52"/>
      <c r="N300" s="52"/>
      <c r="O300" s="52"/>
      <c r="P300" s="52"/>
      <c r="Q300" s="52"/>
      <c r="R300" s="52">
        <f>VLOOKUP(B300,'2174'!$A$182:$G$567,6,0)</f>
        <v>14210</v>
      </c>
      <c r="S300" s="52">
        <f t="shared" si="190"/>
        <v>15501.818181818182</v>
      </c>
      <c r="T300" s="52">
        <v>68000</v>
      </c>
      <c r="U300" s="52">
        <f>VLOOKUP(B300,'ביצוע 2019'!$A$3:$H$1103,7,0)</f>
        <v>0</v>
      </c>
      <c r="V300" s="52">
        <f t="shared" si="186"/>
        <v>0</v>
      </c>
      <c r="W300" s="52"/>
      <c r="X300" s="52"/>
      <c r="Y300" s="52"/>
      <c r="Z300" s="101">
        <f t="shared" si="177"/>
        <v>1</v>
      </c>
    </row>
    <row r="301" spans="1:26" s="101" customFormat="1" ht="15.75">
      <c r="A301" s="21">
        <v>20</v>
      </c>
      <c r="B301" s="51">
        <v>1817800110</v>
      </c>
      <c r="C301" s="50" t="str">
        <f>RIGHT(B301,3)</f>
        <v>110</v>
      </c>
      <c r="D301" s="50" t="str">
        <f>MID(B301,2,6)</f>
        <v>817800</v>
      </c>
      <c r="E301" s="50" t="str">
        <f>LEFT(D301,2)</f>
        <v>81</v>
      </c>
      <c r="F301" s="51" t="s">
        <v>268</v>
      </c>
      <c r="G301" s="52">
        <v>333000</v>
      </c>
      <c r="H301" s="52">
        <v>522142.67</v>
      </c>
      <c r="I301" s="52">
        <v>-189141.67</v>
      </c>
      <c r="J301" s="52">
        <v>700000</v>
      </c>
      <c r="K301" s="52">
        <v>424000</v>
      </c>
      <c r="L301" s="52">
        <v>650000</v>
      </c>
      <c r="M301" s="52"/>
      <c r="N301" s="52">
        <f t="shared" si="179"/>
        <v>650000</v>
      </c>
      <c r="O301" s="52">
        <f>VLOOKUP(B:B,'דוח כספי 1-10.17'!A:D,4,0)</f>
        <v>617516.06000000006</v>
      </c>
      <c r="P301" s="52">
        <v>500000</v>
      </c>
      <c r="Q301" s="52">
        <v>414000</v>
      </c>
      <c r="R301" s="52">
        <f>VLOOKUP(B301,'2174'!$A$182:$G$567,6,0)</f>
        <v>630313.14</v>
      </c>
      <c r="S301" s="63">
        <f>VLOOKUP(B301,'2174'!$A$575:$D$697,4,0)</f>
        <v>829151.33</v>
      </c>
      <c r="T301" s="52">
        <f>S301*1.0217</f>
        <v>847143.91386099998</v>
      </c>
      <c r="U301" s="52">
        <f>VLOOKUP(B301,'ביצוע 2019'!$A$3:$H$1103,7,0)</f>
        <v>982339.69</v>
      </c>
      <c r="V301" s="52">
        <v>430000</v>
      </c>
      <c r="W301" s="52">
        <v>0</v>
      </c>
      <c r="X301" s="52"/>
      <c r="Y301" s="52"/>
      <c r="Z301" s="101">
        <f t="shared" si="177"/>
        <v>1</v>
      </c>
    </row>
    <row r="302" spans="1:26" s="101" customFormat="1" ht="15.75">
      <c r="A302" s="21">
        <v>19</v>
      </c>
      <c r="B302" s="51">
        <v>1817800710</v>
      </c>
      <c r="C302" s="50" t="str">
        <f>RIGHT(B302,3)</f>
        <v>710</v>
      </c>
      <c r="D302" s="50" t="str">
        <f>MID(B302,2,6)</f>
        <v>817800</v>
      </c>
      <c r="E302" s="50" t="str">
        <f>LEFT(D302,2)</f>
        <v>81</v>
      </c>
      <c r="F302" s="51" t="s">
        <v>269</v>
      </c>
      <c r="G302" s="52">
        <v>1650000</v>
      </c>
      <c r="H302" s="52">
        <v>1828764.83</v>
      </c>
      <c r="I302" s="52">
        <v>-178764.83</v>
      </c>
      <c r="J302" s="52">
        <v>2000000</v>
      </c>
      <c r="K302" s="52">
        <v>2100000</v>
      </c>
      <c r="L302" s="52">
        <v>2100000</v>
      </c>
      <c r="M302" s="52"/>
      <c r="N302" s="52">
        <f t="shared" si="179"/>
        <v>2100000</v>
      </c>
      <c r="O302" s="52">
        <f>VLOOKUP(B:B,'דוח כספי 1-10.17'!A:D,4,0)</f>
        <v>1764293.39</v>
      </c>
      <c r="P302" s="52">
        <f>O302*12/10</f>
        <v>2117152.068</v>
      </c>
      <c r="Q302" s="52">
        <v>2120000</v>
      </c>
      <c r="R302" s="52">
        <f>VLOOKUP(B302,'2174'!$A$182:$G$567,6,0)</f>
        <v>2411650.89</v>
      </c>
      <c r="S302" s="52">
        <f t="shared" si="190"/>
        <v>2630891.88</v>
      </c>
      <c r="T302" s="52">
        <v>2400000</v>
      </c>
      <c r="U302" s="52">
        <f>VLOOKUP(B302,'ביצוע 2019'!$A$3:$H$1103,7,0)</f>
        <v>2475438.1</v>
      </c>
      <c r="V302" s="52">
        <f t="shared" si="186"/>
        <v>2475438.1</v>
      </c>
      <c r="W302" s="52"/>
      <c r="X302" s="52"/>
      <c r="Y302" s="52"/>
      <c r="Z302" s="101">
        <f t="shared" si="177"/>
        <v>1</v>
      </c>
    </row>
    <row r="303" spans="1:26" s="101" customFormat="1" ht="15.75">
      <c r="A303" s="21">
        <v>20</v>
      </c>
      <c r="B303" s="51">
        <v>1817900110</v>
      </c>
      <c r="C303" s="50" t="str">
        <f t="shared" ref="C303:C323" si="197">RIGHT(B303,3)</f>
        <v>110</v>
      </c>
      <c r="D303" s="50" t="str">
        <f t="shared" ref="D303:D323" si="198">MID(B303,2,6)</f>
        <v>817900</v>
      </c>
      <c r="E303" s="50" t="str">
        <f t="shared" ref="E303:E323" si="199">LEFT(D303,2)</f>
        <v>81</v>
      </c>
      <c r="F303" s="51" t="s">
        <v>2049</v>
      </c>
      <c r="G303" s="52">
        <v>156000</v>
      </c>
      <c r="H303" s="52">
        <v>1077.4000000000001</v>
      </c>
      <c r="I303" s="52">
        <v>154924.6</v>
      </c>
      <c r="J303" s="52">
        <v>120000</v>
      </c>
      <c r="K303" s="52">
        <v>75000</v>
      </c>
      <c r="L303" s="52">
        <v>76000</v>
      </c>
      <c r="M303" s="52"/>
      <c r="N303" s="52">
        <f t="shared" si="179"/>
        <v>76000</v>
      </c>
      <c r="O303" s="52">
        <f>VLOOKUP(B:B,'דוח כספי 1-10.17'!A:D,4,0)</f>
        <v>65087.95</v>
      </c>
      <c r="P303" s="52">
        <v>88000</v>
      </c>
      <c r="Q303" s="52">
        <v>89000</v>
      </c>
      <c r="R303" s="52">
        <f>VLOOKUP(B303,'2174'!$A$182:$G$567,6,0)</f>
        <v>92061.46</v>
      </c>
      <c r="S303" s="63">
        <f>VLOOKUP(B303,'2174'!$A$575:$D$697,4,0)</f>
        <v>117177.27</v>
      </c>
      <c r="T303" s="52">
        <f t="shared" ref="T303" si="200">S303*1.0217</f>
        <v>119720.01675900001</v>
      </c>
      <c r="U303" s="52">
        <f>VLOOKUP(B303,'ביצוע 2019'!$A$3:$H$1103,7,0)</f>
        <v>21903.34</v>
      </c>
      <c r="V303" s="52">
        <v>600000</v>
      </c>
      <c r="W303" s="63">
        <v>4</v>
      </c>
      <c r="X303" s="52"/>
      <c r="Y303" s="52"/>
      <c r="Z303" s="101">
        <f t="shared" si="177"/>
        <v>1</v>
      </c>
    </row>
    <row r="304" spans="1:26" s="101" customFormat="1" ht="15.75">
      <c r="A304" s="21">
        <v>19</v>
      </c>
      <c r="B304" s="51">
        <v>1817901780</v>
      </c>
      <c r="C304" s="50" t="str">
        <f t="shared" ref="C304" si="201">RIGHT(B304,3)</f>
        <v>780</v>
      </c>
      <c r="D304" s="50" t="str">
        <f t="shared" ref="D304" si="202">MID(B304,2,6)</f>
        <v>817901</v>
      </c>
      <c r="E304" s="50" t="str">
        <f t="shared" ref="E304" si="203">LEFT(D304,2)</f>
        <v>81</v>
      </c>
      <c r="F304" s="51" t="s">
        <v>2121</v>
      </c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63"/>
      <c r="T304" s="52"/>
      <c r="U304" s="52">
        <f>VLOOKUP(B304,'ביצוע 2019'!$A$3:$H$1103,7,0)</f>
        <v>9715.2199999999993</v>
      </c>
      <c r="V304" s="52">
        <f t="shared" si="186"/>
        <v>9715.2199999999993</v>
      </c>
      <c r="W304" s="63"/>
      <c r="X304" s="52"/>
      <c r="Y304" s="52"/>
      <c r="Z304" s="101">
        <f t="shared" si="177"/>
        <v>1</v>
      </c>
    </row>
    <row r="305" spans="1:26" s="101" customFormat="1" ht="15.75">
      <c r="A305" s="21">
        <v>20</v>
      </c>
      <c r="B305" s="51">
        <v>1817910110</v>
      </c>
      <c r="C305" s="50" t="str">
        <f t="shared" si="197"/>
        <v>110</v>
      </c>
      <c r="D305" s="50" t="str">
        <f t="shared" si="198"/>
        <v>817910</v>
      </c>
      <c r="E305" s="50" t="str">
        <f t="shared" si="199"/>
        <v>81</v>
      </c>
      <c r="F305" s="51" t="s">
        <v>592</v>
      </c>
      <c r="G305" s="52">
        <v>35000</v>
      </c>
      <c r="H305" s="52">
        <v>81226.289999999994</v>
      </c>
      <c r="I305" s="52">
        <v>-46220.29</v>
      </c>
      <c r="J305" s="52">
        <v>150000</v>
      </c>
      <c r="K305" s="52">
        <v>260000</v>
      </c>
      <c r="L305" s="52">
        <v>270000</v>
      </c>
      <c r="M305" s="52"/>
      <c r="N305" s="52">
        <f t="shared" si="179"/>
        <v>270000</v>
      </c>
      <c r="O305" s="52">
        <f>VLOOKUP(B:B,'דוח כספי 1-10.17'!A:D,4,0)</f>
        <v>233657.69</v>
      </c>
      <c r="P305" s="52">
        <v>350000</v>
      </c>
      <c r="Q305" s="52">
        <f>420000-15906-39903-12781-60000-77682-51126</f>
        <v>162602</v>
      </c>
      <c r="R305" s="52">
        <f>VLOOKUP(B305,'2174'!$A$182:$G$567,6,0)</f>
        <v>361958.31</v>
      </c>
      <c r="S305" s="63">
        <f>VLOOKUP(B305,'2174'!$A$575:$D$697,4,0)</f>
        <v>422109.19</v>
      </c>
      <c r="T305" s="52">
        <v>260000</v>
      </c>
      <c r="U305" s="52">
        <f>VLOOKUP(B305,'ביצוע 2019'!$A$3:$H$1103,7,0)</f>
        <v>551201.21</v>
      </c>
      <c r="V305" s="52">
        <v>560000</v>
      </c>
      <c r="W305" s="52"/>
      <c r="X305" s="52"/>
      <c r="Y305" s="52"/>
      <c r="Z305" s="101">
        <f t="shared" si="177"/>
        <v>1</v>
      </c>
    </row>
    <row r="306" spans="1:26" s="101" customFormat="1" ht="15.75" hidden="1">
      <c r="A306" s="21">
        <v>19</v>
      </c>
      <c r="B306" s="51">
        <v>1817910710</v>
      </c>
      <c r="C306" s="50" t="str">
        <f t="shared" si="197"/>
        <v>710</v>
      </c>
      <c r="D306" s="50" t="str">
        <f t="shared" si="198"/>
        <v>817910</v>
      </c>
      <c r="E306" s="50" t="str">
        <f t="shared" si="199"/>
        <v>81</v>
      </c>
      <c r="F306" s="51" t="s">
        <v>271</v>
      </c>
      <c r="G306" s="52">
        <v>0</v>
      </c>
      <c r="H306" s="52">
        <v>0</v>
      </c>
      <c r="I306" s="52">
        <v>0</v>
      </c>
      <c r="J306" s="52">
        <v>0</v>
      </c>
      <c r="K306" s="52">
        <f>+J306</f>
        <v>0</v>
      </c>
      <c r="L306" s="52">
        <f>+K306</f>
        <v>0</v>
      </c>
      <c r="M306" s="52"/>
      <c r="N306" s="52">
        <f t="shared" si="179"/>
        <v>0</v>
      </c>
      <c r="O306" s="52">
        <f>VLOOKUP(B:B,'דוח כספי 1-10.17'!A:D,4,0)</f>
        <v>0</v>
      </c>
      <c r="P306" s="52">
        <f>O306*12/10</f>
        <v>0</v>
      </c>
      <c r="Q306" s="52">
        <f>P306</f>
        <v>0</v>
      </c>
      <c r="R306" s="52"/>
      <c r="S306" s="52"/>
      <c r="T306" s="52"/>
      <c r="U306" s="52">
        <f>VLOOKUP(B306,'ביצוע 2019'!$A$3:$H$1103,7,0)</f>
        <v>0</v>
      </c>
      <c r="V306" s="52">
        <f t="shared" si="186"/>
        <v>0</v>
      </c>
      <c r="W306" s="52"/>
      <c r="X306" s="52"/>
      <c r="Y306" s="52"/>
      <c r="Z306" s="101">
        <f t="shared" si="177"/>
        <v>0</v>
      </c>
    </row>
    <row r="307" spans="1:26" s="101" customFormat="1" ht="15.75">
      <c r="A307" s="21">
        <v>19</v>
      </c>
      <c r="B307" s="51">
        <v>1817910780</v>
      </c>
      <c r="C307" s="50" t="str">
        <f t="shared" si="197"/>
        <v>780</v>
      </c>
      <c r="D307" s="50" t="str">
        <f t="shared" si="198"/>
        <v>817910</v>
      </c>
      <c r="E307" s="50" t="str">
        <f t="shared" si="199"/>
        <v>81</v>
      </c>
      <c r="F307" s="160" t="s">
        <v>1986</v>
      </c>
      <c r="G307" s="52">
        <v>40000</v>
      </c>
      <c r="H307" s="52">
        <v>0</v>
      </c>
      <c r="I307" s="52">
        <v>40000</v>
      </c>
      <c r="J307" s="52">
        <f>40000+400000</f>
        <v>440000</v>
      </c>
      <c r="K307" s="52">
        <v>160000</v>
      </c>
      <c r="L307" s="52">
        <v>0</v>
      </c>
      <c r="M307" s="52"/>
      <c r="N307" s="52">
        <f t="shared" si="179"/>
        <v>0</v>
      </c>
      <c r="O307" s="52">
        <f>VLOOKUP(B:B,'דוח כספי 1-10.17'!A:D,4,0)</f>
        <v>23840</v>
      </c>
      <c r="P307" s="52">
        <f>O307*12/10</f>
        <v>28608</v>
      </c>
      <c r="Q307" s="52">
        <v>85000</v>
      </c>
      <c r="R307" s="52">
        <f>VLOOKUP(B307,'2174'!$A$182:$G$567,6,0)</f>
        <v>76000</v>
      </c>
      <c r="S307" s="52">
        <f t="shared" ref="S307:S319" si="204">R307*12/11</f>
        <v>82909.090909090912</v>
      </c>
      <c r="T307" s="52">
        <v>120000</v>
      </c>
      <c r="U307" s="52">
        <f>VLOOKUP(B307,'ביצוע 2019'!$A$3:$H$1103,7,0)</f>
        <v>15000</v>
      </c>
      <c r="V307" s="52">
        <f t="shared" si="186"/>
        <v>15000</v>
      </c>
      <c r="W307" s="52"/>
      <c r="X307" s="52"/>
      <c r="Y307" s="52"/>
      <c r="Z307" s="101">
        <f t="shared" si="177"/>
        <v>1</v>
      </c>
    </row>
    <row r="308" spans="1:26" s="101" customFormat="1" ht="15.75">
      <c r="A308" s="21">
        <v>15</v>
      </c>
      <c r="B308" s="51">
        <v>1817910810</v>
      </c>
      <c r="C308" s="50" t="str">
        <f t="shared" si="197"/>
        <v>810</v>
      </c>
      <c r="D308" s="50" t="str">
        <f t="shared" si="198"/>
        <v>817910</v>
      </c>
      <c r="E308" s="50" t="str">
        <f t="shared" si="199"/>
        <v>81</v>
      </c>
      <c r="F308" s="51" t="s">
        <v>273</v>
      </c>
      <c r="G308" s="52">
        <v>440000</v>
      </c>
      <c r="H308" s="52">
        <v>1108175.3500000001</v>
      </c>
      <c r="I308" s="52">
        <v>-668175.35</v>
      </c>
      <c r="J308" s="52">
        <v>1330000</v>
      </c>
      <c r="K308" s="52">
        <v>1330000</v>
      </c>
      <c r="L308" s="52">
        <f>1330000-120000</f>
        <v>1210000</v>
      </c>
      <c r="M308" s="52"/>
      <c r="N308" s="52">
        <f t="shared" si="179"/>
        <v>1210000</v>
      </c>
      <c r="O308" s="52">
        <f>VLOOKUP(B:B,'דוח כספי 1-10.17'!A:D,4,0)</f>
        <v>337548.75</v>
      </c>
      <c r="P308" s="52">
        <v>1210000</v>
      </c>
      <c r="Q308" s="52">
        <v>1180000</v>
      </c>
      <c r="R308" s="52">
        <f>VLOOKUP(B308,'2174'!$A$182:$G$567,6,0)</f>
        <v>347099</v>
      </c>
      <c r="S308" s="52">
        <v>1200000</v>
      </c>
      <c r="T308" s="52">
        <v>2000000</v>
      </c>
      <c r="U308" s="52">
        <v>2500000</v>
      </c>
      <c r="V308" s="52">
        <v>2500000</v>
      </c>
      <c r="W308" s="52"/>
      <c r="X308" s="52"/>
      <c r="Y308" s="52"/>
      <c r="Z308" s="101">
        <f t="shared" si="177"/>
        <v>1</v>
      </c>
    </row>
    <row r="309" spans="1:26" s="196" customFormat="1" ht="15.75">
      <c r="A309" s="197">
        <v>19</v>
      </c>
      <c r="B309" s="218">
        <v>1817911750</v>
      </c>
      <c r="C309" s="217" t="str">
        <f t="shared" si="197"/>
        <v>750</v>
      </c>
      <c r="D309" s="217" t="str">
        <f t="shared" si="198"/>
        <v>817911</v>
      </c>
      <c r="E309" s="217" t="str">
        <f t="shared" si="199"/>
        <v>81</v>
      </c>
      <c r="F309" s="218" t="s">
        <v>1652</v>
      </c>
      <c r="G309" s="220"/>
      <c r="H309" s="220"/>
      <c r="I309" s="220"/>
      <c r="J309" s="220"/>
      <c r="K309" s="220"/>
      <c r="L309" s="220">
        <v>45000</v>
      </c>
      <c r="M309" s="220"/>
      <c r="N309" s="220">
        <f t="shared" si="179"/>
        <v>45000</v>
      </c>
      <c r="O309" s="220">
        <f>VLOOKUP(B:B,'דוח כספי 1-10.17'!A:D,4,0)</f>
        <v>12555</v>
      </c>
      <c r="P309" s="220">
        <f>O309*12/10</f>
        <v>15066</v>
      </c>
      <c r="Q309" s="220">
        <v>0</v>
      </c>
      <c r="R309" s="52">
        <f>VLOOKUP(B309,'2174'!$A$182:$G$567,6,0)</f>
        <v>39291</v>
      </c>
      <c r="S309" s="52">
        <f t="shared" si="204"/>
        <v>42862.909090909088</v>
      </c>
      <c r="T309" s="52">
        <v>42862.909090909088</v>
      </c>
      <c r="U309" s="52">
        <f>VLOOKUP(B309,'ביצוע 2019'!$A$3:$H$1103,7,0)</f>
        <v>42755</v>
      </c>
      <c r="V309" s="52">
        <f t="shared" si="186"/>
        <v>42755</v>
      </c>
      <c r="W309" s="193"/>
      <c r="X309" s="52"/>
      <c r="Y309" s="193"/>
      <c r="Z309" s="101">
        <f t="shared" si="177"/>
        <v>1</v>
      </c>
    </row>
    <row r="310" spans="1:26" s="196" customFormat="1" ht="15.75">
      <c r="A310" s="197">
        <v>20</v>
      </c>
      <c r="B310" s="218">
        <v>1817912110</v>
      </c>
      <c r="C310" s="217" t="str">
        <f t="shared" ref="C310" si="205">RIGHT(B310,3)</f>
        <v>110</v>
      </c>
      <c r="D310" s="217" t="str">
        <f t="shared" ref="D310" si="206">MID(B310,2,6)</f>
        <v>817912</v>
      </c>
      <c r="E310" s="217" t="str">
        <f t="shared" ref="E310" si="207">LEFT(D310,2)</f>
        <v>81</v>
      </c>
      <c r="F310" s="218" t="s">
        <v>1788</v>
      </c>
      <c r="G310" s="220"/>
      <c r="H310" s="220"/>
      <c r="I310" s="220"/>
      <c r="J310" s="220"/>
      <c r="K310" s="220"/>
      <c r="L310" s="220"/>
      <c r="M310" s="220"/>
      <c r="N310" s="220"/>
      <c r="O310" s="220"/>
      <c r="P310" s="220"/>
      <c r="Q310" s="220"/>
      <c r="R310" s="52"/>
      <c r="S310" s="52"/>
      <c r="T310" s="52"/>
      <c r="U310" s="56">
        <f>VLOOKUP(B310,'ביצוע 2019'!$A$3:$H$1103,7,0)</f>
        <v>110827.26</v>
      </c>
      <c r="V310" s="56">
        <v>113000</v>
      </c>
      <c r="W310" s="193"/>
      <c r="X310" s="52"/>
      <c r="Y310" s="193"/>
      <c r="Z310" s="101">
        <f t="shared" si="177"/>
        <v>1</v>
      </c>
    </row>
    <row r="311" spans="1:26" s="196" customFormat="1" ht="15.75">
      <c r="A311" s="197">
        <v>19</v>
      </c>
      <c r="B311" s="218">
        <v>1817912750</v>
      </c>
      <c r="C311" s="217" t="str">
        <f t="shared" si="197"/>
        <v>750</v>
      </c>
      <c r="D311" s="217" t="str">
        <f t="shared" si="198"/>
        <v>817912</v>
      </c>
      <c r="E311" s="217" t="str">
        <f t="shared" si="199"/>
        <v>81</v>
      </c>
      <c r="F311" s="218" t="s">
        <v>2078</v>
      </c>
      <c r="G311" s="220"/>
      <c r="H311" s="220"/>
      <c r="I311" s="220"/>
      <c r="J311" s="220"/>
      <c r="K311" s="220"/>
      <c r="L311" s="220">
        <v>45000</v>
      </c>
      <c r="M311" s="220"/>
      <c r="N311" s="220">
        <f t="shared" si="179"/>
        <v>45000</v>
      </c>
      <c r="O311" s="220">
        <f>VLOOKUP(B:B,'דוח כספי 1-10.17'!A:D,4,0)</f>
        <v>7102</v>
      </c>
      <c r="P311" s="220">
        <f>O311*12/10</f>
        <v>8522.4</v>
      </c>
      <c r="Q311" s="220">
        <v>0</v>
      </c>
      <c r="R311" s="52">
        <f>VLOOKUP(B311,'2174'!$A$182:$G$567,6,0)</f>
        <v>59660</v>
      </c>
      <c r="S311" s="52">
        <f t="shared" si="204"/>
        <v>65083.63636363636</v>
      </c>
      <c r="T311" s="52">
        <f>260000-187000</f>
        <v>73000</v>
      </c>
      <c r="U311" s="52">
        <f>VLOOKUP(B311,'ביצוע 2019'!$A$3:$H$1103,7,0)</f>
        <v>72647</v>
      </c>
      <c r="V311" s="52">
        <f t="shared" si="186"/>
        <v>72647</v>
      </c>
      <c r="W311" s="193"/>
      <c r="X311" s="52"/>
      <c r="Y311" s="193"/>
      <c r="Z311" s="101">
        <f t="shared" si="177"/>
        <v>1</v>
      </c>
    </row>
    <row r="312" spans="1:26" s="196" customFormat="1" ht="15.75" hidden="1">
      <c r="A312" s="197">
        <v>19</v>
      </c>
      <c r="B312" s="218">
        <v>1817913750</v>
      </c>
      <c r="C312" s="217" t="str">
        <f t="shared" si="197"/>
        <v>750</v>
      </c>
      <c r="D312" s="217" t="str">
        <f t="shared" si="198"/>
        <v>817913</v>
      </c>
      <c r="E312" s="217" t="str">
        <f t="shared" si="199"/>
        <v>81</v>
      </c>
      <c r="F312" s="218" t="s">
        <v>1929</v>
      </c>
      <c r="G312" s="220"/>
      <c r="H312" s="220"/>
      <c r="I312" s="220"/>
      <c r="J312" s="220"/>
      <c r="K312" s="220"/>
      <c r="L312" s="220"/>
      <c r="M312" s="220"/>
      <c r="N312" s="220"/>
      <c r="O312" s="220"/>
      <c r="P312" s="220"/>
      <c r="Q312" s="220">
        <v>5000</v>
      </c>
      <c r="R312" s="52">
        <f>VLOOKUP(B312,'2174'!$A$182:$G$567,6,0)</f>
        <v>0</v>
      </c>
      <c r="S312" s="52">
        <f t="shared" si="204"/>
        <v>0</v>
      </c>
      <c r="T312" s="52">
        <v>0</v>
      </c>
      <c r="U312" s="52">
        <f>VLOOKUP(B312,'ביצוע 2019'!$A$3:$H$1103,7,0)</f>
        <v>0</v>
      </c>
      <c r="V312" s="52">
        <f t="shared" si="186"/>
        <v>0</v>
      </c>
      <c r="W312" s="193"/>
      <c r="X312" s="52"/>
      <c r="Y312" s="193"/>
      <c r="Z312" s="101">
        <f t="shared" si="177"/>
        <v>0</v>
      </c>
    </row>
    <row r="313" spans="1:26" s="196" customFormat="1" ht="15.75">
      <c r="A313" s="197">
        <v>19</v>
      </c>
      <c r="B313" s="218">
        <v>1817914750</v>
      </c>
      <c r="C313" s="217" t="str">
        <f t="shared" si="197"/>
        <v>750</v>
      </c>
      <c r="D313" s="217" t="str">
        <f t="shared" si="198"/>
        <v>817914</v>
      </c>
      <c r="E313" s="217" t="str">
        <f t="shared" si="199"/>
        <v>81</v>
      </c>
      <c r="F313" s="218" t="s">
        <v>1925</v>
      </c>
      <c r="G313" s="220"/>
      <c r="H313" s="220"/>
      <c r="I313" s="220"/>
      <c r="J313" s="220"/>
      <c r="K313" s="220"/>
      <c r="L313" s="220"/>
      <c r="M313" s="220"/>
      <c r="N313" s="220"/>
      <c r="O313" s="220"/>
      <c r="P313" s="220"/>
      <c r="Q313" s="220">
        <v>10000</v>
      </c>
      <c r="R313" s="52">
        <f>VLOOKUP(B313,'2174'!$A$182:$G$567,6,0)</f>
        <v>14601</v>
      </c>
      <c r="S313" s="52">
        <f t="shared" si="204"/>
        <v>15928.363636363636</v>
      </c>
      <c r="T313" s="52">
        <v>255800</v>
      </c>
      <c r="U313" s="52">
        <f>VLOOKUP(B313,'ביצוע 2019'!$A$3:$H$1103,7,0)</f>
        <v>38450</v>
      </c>
      <c r="V313" s="52">
        <f t="shared" si="186"/>
        <v>38450</v>
      </c>
      <c r="W313" s="193"/>
      <c r="X313" s="52"/>
      <c r="Y313" s="193"/>
      <c r="Z313" s="101">
        <f t="shared" si="177"/>
        <v>1</v>
      </c>
    </row>
    <row r="314" spans="1:26" s="196" customFormat="1" ht="15.75" hidden="1">
      <c r="A314" s="197">
        <v>19</v>
      </c>
      <c r="B314" s="218">
        <v>1817915750</v>
      </c>
      <c r="C314" s="217" t="str">
        <f>RIGHT(B314,3)</f>
        <v>750</v>
      </c>
      <c r="D314" s="217" t="str">
        <f t="shared" ref="D314:D318" si="208">MID(B314,2,6)</f>
        <v>817915</v>
      </c>
      <c r="E314" s="217" t="str">
        <f t="shared" ref="E314:E318" si="209">LEFT(D314,2)</f>
        <v>81</v>
      </c>
      <c r="F314" s="218" t="s">
        <v>1926</v>
      </c>
      <c r="G314" s="220"/>
      <c r="H314" s="220"/>
      <c r="I314" s="220"/>
      <c r="J314" s="220"/>
      <c r="K314" s="220"/>
      <c r="L314" s="220"/>
      <c r="M314" s="220"/>
      <c r="N314" s="220"/>
      <c r="O314" s="220"/>
      <c r="P314" s="220"/>
      <c r="Q314" s="220">
        <v>5000</v>
      </c>
      <c r="R314" s="52">
        <f>VLOOKUP(B314,'2174'!$A$182:$G$567,6,0)</f>
        <v>0</v>
      </c>
      <c r="S314" s="52">
        <f t="shared" si="204"/>
        <v>0</v>
      </c>
      <c r="T314" s="52">
        <v>0</v>
      </c>
      <c r="U314" s="52">
        <f>VLOOKUP(B314,'ביצוע 2019'!$A$3:$H$1103,7,0)</f>
        <v>0</v>
      </c>
      <c r="V314" s="52">
        <f t="shared" si="186"/>
        <v>0</v>
      </c>
      <c r="W314" s="193"/>
      <c r="X314" s="52"/>
      <c r="Y314" s="193"/>
      <c r="Z314" s="101">
        <f t="shared" si="177"/>
        <v>0</v>
      </c>
    </row>
    <row r="315" spans="1:26" s="196" customFormat="1" ht="15.75" hidden="1">
      <c r="A315" s="197">
        <v>20</v>
      </c>
      <c r="B315" s="218">
        <v>1817916110</v>
      </c>
      <c r="C315" s="54">
        <v>110</v>
      </c>
      <c r="D315" s="54" t="str">
        <f t="shared" si="208"/>
        <v>817916</v>
      </c>
      <c r="E315" s="246" t="str">
        <f t="shared" si="209"/>
        <v>81</v>
      </c>
      <c r="F315" s="247" t="s">
        <v>1932</v>
      </c>
      <c r="G315" s="220"/>
      <c r="H315" s="220"/>
      <c r="I315" s="220"/>
      <c r="J315" s="220"/>
      <c r="K315" s="220"/>
      <c r="L315" s="248"/>
      <c r="M315" s="220"/>
      <c r="N315" s="220"/>
      <c r="O315" s="220"/>
      <c r="P315" s="248"/>
      <c r="Q315" s="248">
        <v>187000</v>
      </c>
      <c r="R315" s="248"/>
      <c r="S315" s="248">
        <v>0</v>
      </c>
      <c r="T315" s="248">
        <f t="shared" ref="T315:T318" si="210">S315*1.0217</f>
        <v>0</v>
      </c>
      <c r="U315" s="56">
        <v>0</v>
      </c>
      <c r="V315" s="56">
        <f t="shared" si="186"/>
        <v>0</v>
      </c>
      <c r="W315" s="248">
        <v>0</v>
      </c>
      <c r="X315" s="52"/>
      <c r="Y315" s="193"/>
      <c r="Z315" s="101">
        <f t="shared" si="177"/>
        <v>0</v>
      </c>
    </row>
    <row r="316" spans="1:26" s="196" customFormat="1" ht="15.75">
      <c r="A316" s="197">
        <v>20</v>
      </c>
      <c r="B316" s="218">
        <v>1817917110</v>
      </c>
      <c r="C316" s="217" t="str">
        <f>RIGHT(B316,3)</f>
        <v>110</v>
      </c>
      <c r="D316" s="217" t="str">
        <f t="shared" si="208"/>
        <v>817917</v>
      </c>
      <c r="E316" s="217" t="str">
        <f t="shared" si="209"/>
        <v>81</v>
      </c>
      <c r="F316" s="218" t="s">
        <v>1931</v>
      </c>
      <c r="G316" s="220"/>
      <c r="H316" s="220"/>
      <c r="I316" s="220"/>
      <c r="J316" s="220"/>
      <c r="K316" s="220"/>
      <c r="L316" s="220">
        <v>7800</v>
      </c>
      <c r="M316" s="220"/>
      <c r="N316" s="220"/>
      <c r="O316" s="220"/>
      <c r="P316" s="220"/>
      <c r="Q316" s="220">
        <v>150000</v>
      </c>
      <c r="R316" s="52">
        <f>VLOOKUP(B316,'2174'!$A$182:$G$567,6,0)</f>
        <v>38336.76</v>
      </c>
      <c r="S316" s="63">
        <f>VLOOKUP(B316,'2174'!$A$575:$D$697,4,0)</f>
        <v>72291.81</v>
      </c>
      <c r="T316" s="52">
        <f t="shared" si="210"/>
        <v>73860.542277</v>
      </c>
      <c r="U316" s="56">
        <f>VLOOKUP(B316,'ביצוע 2019'!$A$3:$H$1103,7,0)</f>
        <v>301429.27</v>
      </c>
      <c r="V316" s="56">
        <v>310000</v>
      </c>
      <c r="W316" s="220">
        <v>0</v>
      </c>
      <c r="X316" s="52"/>
      <c r="Y316" s="193"/>
      <c r="Z316" s="101">
        <f t="shared" si="177"/>
        <v>1</v>
      </c>
    </row>
    <row r="317" spans="1:26" s="196" customFormat="1" ht="15.75">
      <c r="A317" s="197">
        <v>20</v>
      </c>
      <c r="B317" s="218">
        <v>1817918110</v>
      </c>
      <c r="C317" s="217" t="str">
        <f>RIGHT(B317,3)</f>
        <v>110</v>
      </c>
      <c r="D317" s="217" t="str">
        <f t="shared" si="208"/>
        <v>817918</v>
      </c>
      <c r="E317" s="217" t="str">
        <f t="shared" si="209"/>
        <v>81</v>
      </c>
      <c r="F317" s="218" t="s">
        <v>1925</v>
      </c>
      <c r="G317" s="220"/>
      <c r="H317" s="220"/>
      <c r="I317" s="220"/>
      <c r="J317" s="220"/>
      <c r="K317" s="220"/>
      <c r="L317" s="220"/>
      <c r="M317" s="220"/>
      <c r="N317" s="220"/>
      <c r="O317" s="220"/>
      <c r="P317" s="220"/>
      <c r="Q317" s="220"/>
      <c r="R317" s="52">
        <f>VLOOKUP(B317,'2174'!$A$182:$G$567,6,0)</f>
        <v>17225.5</v>
      </c>
      <c r="S317" s="63">
        <f>VLOOKUP(B317,'2174'!$A$575:$D$697,4,0)</f>
        <v>107238.57</v>
      </c>
      <c r="T317" s="52">
        <f t="shared" si="210"/>
        <v>109565.64696900001</v>
      </c>
      <c r="U317" s="56">
        <f>VLOOKUP(B317,'ביצוע 2019'!$A$3:$H$1103,7,0)</f>
        <v>380991.39</v>
      </c>
      <c r="V317" s="56">
        <v>392000</v>
      </c>
      <c r="W317" s="220"/>
      <c r="X317" s="52"/>
      <c r="Y317" s="193"/>
      <c r="Z317" s="101">
        <f t="shared" si="177"/>
        <v>1</v>
      </c>
    </row>
    <row r="318" spans="1:26" s="196" customFormat="1" ht="15.75">
      <c r="A318" s="197">
        <v>20</v>
      </c>
      <c r="B318" s="218">
        <v>1817919110</v>
      </c>
      <c r="C318" s="217" t="str">
        <f>RIGHT(B318,3)</f>
        <v>110</v>
      </c>
      <c r="D318" s="217" t="str">
        <f t="shared" si="208"/>
        <v>817919</v>
      </c>
      <c r="E318" s="217" t="str">
        <f t="shared" si="209"/>
        <v>81</v>
      </c>
      <c r="F318" s="218" t="s">
        <v>2055</v>
      </c>
      <c r="G318" s="220"/>
      <c r="H318" s="220"/>
      <c r="I318" s="220"/>
      <c r="J318" s="220"/>
      <c r="K318" s="220"/>
      <c r="L318" s="220"/>
      <c r="M318" s="220"/>
      <c r="N318" s="220"/>
      <c r="O318" s="220"/>
      <c r="P318" s="220"/>
      <c r="Q318" s="220">
        <v>108000</v>
      </c>
      <c r="R318" s="52">
        <f>VLOOKUP(B318,'2174'!$A$182:$G$567,6,0)</f>
        <v>6799.05</v>
      </c>
      <c r="S318" s="63">
        <f>VLOOKUP(B318,'2174'!$A$575:$D$697,4,0)</f>
        <v>39574.129999999997</v>
      </c>
      <c r="T318" s="52">
        <f t="shared" si="210"/>
        <v>40432.888620999998</v>
      </c>
      <c r="U318" s="56">
        <f>VLOOKUP(B318,'ביצוע 2019'!$A$3:$H$1103,7,0)</f>
        <v>141944.81</v>
      </c>
      <c r="V318" s="56">
        <v>146000</v>
      </c>
      <c r="W318" s="193"/>
      <c r="X318" s="52"/>
      <c r="Y318" s="193"/>
      <c r="Z318" s="101">
        <f t="shared" si="177"/>
        <v>1</v>
      </c>
    </row>
    <row r="319" spans="1:26" s="101" customFormat="1" ht="15.75" hidden="1">
      <c r="A319" s="21">
        <v>19</v>
      </c>
      <c r="B319" s="51">
        <v>1817400930</v>
      </c>
      <c r="C319" s="50" t="str">
        <f t="shared" si="197"/>
        <v>930</v>
      </c>
      <c r="D319" s="50" t="str">
        <f t="shared" si="198"/>
        <v>817400</v>
      </c>
      <c r="E319" s="50" t="str">
        <f t="shared" si="199"/>
        <v>81</v>
      </c>
      <c r="F319" s="106" t="s">
        <v>1777</v>
      </c>
      <c r="G319" s="52"/>
      <c r="H319" s="52"/>
      <c r="I319" s="52"/>
      <c r="J319" s="52"/>
      <c r="K319" s="52"/>
      <c r="L319" s="52">
        <v>113000</v>
      </c>
      <c r="M319" s="52"/>
      <c r="N319" s="52">
        <f t="shared" ref="N319:N322" si="211">M319+L319</f>
        <v>113000</v>
      </c>
      <c r="O319" s="52">
        <f>VLOOKUP(B:B,'דוח כספי 1-10.17'!A:D,4,0)</f>
        <v>112656</v>
      </c>
      <c r="P319" s="52">
        <f>O319*12/10</f>
        <v>135187.20000000001</v>
      </c>
      <c r="Q319" s="52">
        <v>135000</v>
      </c>
      <c r="R319" s="52"/>
      <c r="S319" s="52">
        <f t="shared" si="204"/>
        <v>0</v>
      </c>
      <c r="T319" s="52">
        <v>0</v>
      </c>
      <c r="U319" s="52">
        <f>VLOOKUP(B319,'ביצוע 2019'!$A$3:$H$1103,7,0)</f>
        <v>0</v>
      </c>
      <c r="V319" s="52">
        <f t="shared" si="186"/>
        <v>0</v>
      </c>
      <c r="W319" s="52"/>
      <c r="X319" s="52"/>
      <c r="Y319" s="52"/>
      <c r="Z319" s="101">
        <f t="shared" si="177"/>
        <v>0</v>
      </c>
    </row>
    <row r="320" spans="1:26" s="101" customFormat="1" ht="15.75" hidden="1">
      <c r="A320" s="21">
        <v>19</v>
      </c>
      <c r="B320" s="51">
        <v>1817800320</v>
      </c>
      <c r="C320" s="54" t="str">
        <f t="shared" si="197"/>
        <v>320</v>
      </c>
      <c r="D320" s="54" t="str">
        <f t="shared" si="198"/>
        <v>817800</v>
      </c>
      <c r="E320" s="54" t="str">
        <f t="shared" si="199"/>
        <v>81</v>
      </c>
      <c r="F320" s="245" t="s">
        <v>159</v>
      </c>
      <c r="G320" s="52"/>
      <c r="H320" s="52"/>
      <c r="I320" s="52"/>
      <c r="J320" s="52"/>
      <c r="K320" s="52"/>
      <c r="L320" s="56">
        <v>1230</v>
      </c>
      <c r="M320" s="52"/>
      <c r="N320" s="52">
        <f t="shared" si="211"/>
        <v>1230</v>
      </c>
      <c r="O320" s="52">
        <f>VLOOKUP(B:B,'דוח כספי 1-10.17'!A:D,4,0)</f>
        <v>1263</v>
      </c>
      <c r="P320" s="56">
        <v>0</v>
      </c>
      <c r="Q320" s="56">
        <v>0</v>
      </c>
      <c r="R320" s="56">
        <f>VLOOKUP(B320,'2174'!$A$182:$G$567,6,0)</f>
        <v>1337</v>
      </c>
      <c r="S320" s="56">
        <v>0</v>
      </c>
      <c r="T320" s="56">
        <v>0</v>
      </c>
      <c r="U320" s="56">
        <f>VLOOKUP(B320,'ביצוע 2019'!$A$3:$H$1103,7,0)</f>
        <v>0</v>
      </c>
      <c r="V320" s="56">
        <f t="shared" si="186"/>
        <v>0</v>
      </c>
      <c r="W320" s="56"/>
      <c r="X320" s="52"/>
      <c r="Y320" s="52"/>
      <c r="Z320" s="101">
        <f t="shared" si="177"/>
        <v>0</v>
      </c>
    </row>
    <row r="321" spans="1:26" s="101" customFormat="1" ht="15.75" hidden="1">
      <c r="A321" s="21">
        <v>19</v>
      </c>
      <c r="B321" s="51">
        <v>1817910320</v>
      </c>
      <c r="C321" s="54" t="str">
        <f t="shared" si="197"/>
        <v>320</v>
      </c>
      <c r="D321" s="54" t="str">
        <f t="shared" si="198"/>
        <v>817910</v>
      </c>
      <c r="E321" s="54" t="str">
        <f t="shared" si="199"/>
        <v>81</v>
      </c>
      <c r="F321" s="245" t="s">
        <v>1785</v>
      </c>
      <c r="G321" s="52"/>
      <c r="H321" s="52"/>
      <c r="I321" s="52"/>
      <c r="J321" s="52"/>
      <c r="K321" s="52"/>
      <c r="L321" s="56">
        <v>1142</v>
      </c>
      <c r="M321" s="52"/>
      <c r="N321" s="52">
        <f t="shared" si="211"/>
        <v>1142</v>
      </c>
      <c r="O321" s="52">
        <f>VLOOKUP(B:B,'דוח כספי 1-10.17'!A:D,4,0)</f>
        <v>1142</v>
      </c>
      <c r="P321" s="56">
        <v>0</v>
      </c>
      <c r="Q321" s="56">
        <v>0</v>
      </c>
      <c r="R321" s="56"/>
      <c r="S321" s="56">
        <f t="shared" ref="S321:S322" si="212">R321*12/11</f>
        <v>0</v>
      </c>
      <c r="T321" s="56">
        <v>0</v>
      </c>
      <c r="U321" s="56">
        <v>0</v>
      </c>
      <c r="V321" s="56"/>
      <c r="W321" s="56"/>
      <c r="X321" s="52"/>
      <c r="Y321" s="52"/>
      <c r="Z321" s="101">
        <f t="shared" si="177"/>
        <v>0</v>
      </c>
    </row>
    <row r="322" spans="1:26" s="101" customFormat="1" ht="15.75">
      <c r="A322" s="21">
        <v>19</v>
      </c>
      <c r="B322" s="51">
        <v>1817911110</v>
      </c>
      <c r="C322" s="50" t="str">
        <f t="shared" si="197"/>
        <v>110</v>
      </c>
      <c r="D322" s="50" t="str">
        <f t="shared" si="198"/>
        <v>817911</v>
      </c>
      <c r="E322" s="50" t="str">
        <f t="shared" si="199"/>
        <v>81</v>
      </c>
      <c r="F322" s="106" t="s">
        <v>1786</v>
      </c>
      <c r="G322" s="52"/>
      <c r="H322" s="52"/>
      <c r="I322" s="52"/>
      <c r="J322" s="52"/>
      <c r="K322" s="52"/>
      <c r="L322" s="52">
        <v>85000</v>
      </c>
      <c r="M322" s="52"/>
      <c r="N322" s="52">
        <f t="shared" si="211"/>
        <v>85000</v>
      </c>
      <c r="O322" s="52">
        <f>VLOOKUP(B:B,'דוח כספי 1-10.17'!A:D,4,0)</f>
        <v>0</v>
      </c>
      <c r="P322" s="52">
        <f>O322*12/10</f>
        <v>0</v>
      </c>
      <c r="Q322" s="52">
        <f>P322</f>
        <v>0</v>
      </c>
      <c r="R322" s="52">
        <f>VLOOKUP(B322,'2174'!$A$182:$G$567,6,0)</f>
        <v>0</v>
      </c>
      <c r="S322" s="52">
        <f t="shared" si="212"/>
        <v>0</v>
      </c>
      <c r="T322" s="52">
        <v>0</v>
      </c>
      <c r="U322" s="52">
        <f>VLOOKUP(B322,'ביצוע 2019'!$A$3:$H$1103,7,0)</f>
        <v>45036.57</v>
      </c>
      <c r="V322" s="52">
        <f t="shared" si="186"/>
        <v>45036.57</v>
      </c>
      <c r="W322" s="52"/>
      <c r="X322" s="52"/>
      <c r="Y322" s="52"/>
      <c r="Z322" s="101">
        <f t="shared" si="177"/>
        <v>1</v>
      </c>
    </row>
    <row r="323" spans="1:26" s="101" customFormat="1" ht="15.75" hidden="1">
      <c r="A323" s="21">
        <v>19</v>
      </c>
      <c r="B323" s="51">
        <v>1817913110</v>
      </c>
      <c r="C323" s="50" t="str">
        <f t="shared" si="197"/>
        <v>110</v>
      </c>
      <c r="D323" s="50" t="str">
        <f t="shared" si="198"/>
        <v>817913</v>
      </c>
      <c r="E323" s="50" t="str">
        <f t="shared" si="199"/>
        <v>81</v>
      </c>
      <c r="F323" s="160" t="s">
        <v>1653</v>
      </c>
      <c r="G323" s="52"/>
      <c r="H323" s="52"/>
      <c r="I323" s="52"/>
      <c r="J323" s="52"/>
      <c r="K323" s="52"/>
      <c r="L323" s="52">
        <v>3500</v>
      </c>
      <c r="M323" s="52"/>
      <c r="N323" s="52">
        <f t="shared" si="179"/>
        <v>3500</v>
      </c>
      <c r="O323" s="52"/>
      <c r="P323" s="52">
        <f>O323*12/10</f>
        <v>0</v>
      </c>
      <c r="Q323" s="52">
        <f>P323</f>
        <v>0</v>
      </c>
      <c r="R323" s="52">
        <f>VLOOKUP(B323,'2174'!$A$182:$G$567,6,0)</f>
        <v>0</v>
      </c>
      <c r="S323" s="52">
        <f>R323*12/11</f>
        <v>0</v>
      </c>
      <c r="T323" s="52">
        <v>0</v>
      </c>
      <c r="U323" s="52">
        <f>VLOOKUP(B323,'ביצוע 2019'!$A$3:$H$1103,7,0)</f>
        <v>0</v>
      </c>
      <c r="V323" s="52">
        <f t="shared" si="186"/>
        <v>0</v>
      </c>
      <c r="W323" s="52"/>
      <c r="X323" s="52"/>
      <c r="Y323" s="158"/>
      <c r="Z323" s="101">
        <f t="shared" si="177"/>
        <v>0</v>
      </c>
    </row>
    <row r="324" spans="1:26" s="101" customFormat="1" ht="15.75">
      <c r="A324" s="21"/>
      <c r="B324" s="234"/>
      <c r="C324" s="235"/>
      <c r="D324" s="235"/>
      <c r="E324" s="235"/>
      <c r="F324" s="234" t="s">
        <v>1974</v>
      </c>
      <c r="G324" s="236"/>
      <c r="H324" s="236"/>
      <c r="I324" s="236"/>
      <c r="J324" s="236"/>
      <c r="K324" s="236"/>
      <c r="L324" s="236">
        <f>SUM(L290:L323)</f>
        <v>5268400</v>
      </c>
      <c r="M324" s="236"/>
      <c r="N324" s="236">
        <f t="shared" ref="N324:W324" si="213">SUM(N290:N323)</f>
        <v>5218872</v>
      </c>
      <c r="O324" s="236">
        <f t="shared" si="213"/>
        <v>3528461.8400000003</v>
      </c>
      <c r="P324" s="236">
        <f t="shared" si="213"/>
        <v>5174695.6680000005</v>
      </c>
      <c r="Q324" s="236">
        <f t="shared" si="213"/>
        <v>5353602</v>
      </c>
      <c r="R324" s="236">
        <f t="shared" si="213"/>
        <v>4434831.28</v>
      </c>
      <c r="S324" s="236">
        <f t="shared" si="213"/>
        <v>5987810.1654545451</v>
      </c>
      <c r="T324" s="236">
        <f t="shared" si="213"/>
        <v>6715250.9175779084</v>
      </c>
      <c r="U324" s="236">
        <f t="shared" si="213"/>
        <v>8186864.5899999999</v>
      </c>
      <c r="V324" s="236">
        <f t="shared" si="213"/>
        <v>8255430.5600000005</v>
      </c>
      <c r="W324" s="236">
        <f t="shared" si="213"/>
        <v>4</v>
      </c>
      <c r="X324" s="52"/>
      <c r="Y324" s="158"/>
      <c r="Z324" s="101">
        <f t="shared" si="177"/>
        <v>1</v>
      </c>
    </row>
    <row r="325" spans="1:26" s="105" customFormat="1" ht="15.75">
      <c r="A325" s="102"/>
      <c r="B325" s="237"/>
      <c r="C325" s="238"/>
      <c r="D325" s="226"/>
      <c r="E325" s="226"/>
      <c r="F325" s="239" t="s">
        <v>705</v>
      </c>
      <c r="G325" s="228">
        <f>SUM(G157:G308)</f>
        <v>23021000</v>
      </c>
      <c r="H325" s="228">
        <f>SUM(H157:H308)</f>
        <v>26260994.609999999</v>
      </c>
      <c r="I325" s="228">
        <f>SUM(I157:I308)</f>
        <v>-3239916.6100000003</v>
      </c>
      <c r="J325" s="228">
        <f>SUM(J157:J308)</f>
        <v>29542000</v>
      </c>
      <c r="K325" s="228">
        <f>SUM(K157:K308)</f>
        <v>33672500</v>
      </c>
      <c r="L325" s="228">
        <f t="shared" ref="L325:Q325" si="214">L165+L201+L241+L252+L267+L283+L289+L324</f>
        <v>37236167</v>
      </c>
      <c r="M325" s="228">
        <f t="shared" si="214"/>
        <v>0</v>
      </c>
      <c r="N325" s="228">
        <f t="shared" si="214"/>
        <v>36612639</v>
      </c>
      <c r="O325" s="228">
        <f t="shared" si="214"/>
        <v>25944407.190000001</v>
      </c>
      <c r="P325" s="228">
        <f t="shared" si="214"/>
        <v>35683268.644000001</v>
      </c>
      <c r="Q325" s="228">
        <f t="shared" si="214"/>
        <v>39631096.5</v>
      </c>
      <c r="R325" s="228">
        <f t="shared" ref="R325:W325" si="215">R165+R201+R241+R252+R267+R283+R289+R324+R255</f>
        <v>32416455.410000004</v>
      </c>
      <c r="S325" s="228">
        <f t="shared" si="215"/>
        <v>40612751.036363639</v>
      </c>
      <c r="T325" s="228">
        <f t="shared" si="215"/>
        <v>40470399.749026731</v>
      </c>
      <c r="U325" s="228">
        <f t="shared" si="215"/>
        <v>46100216.430000007</v>
      </c>
      <c r="V325" s="228">
        <f t="shared" si="215"/>
        <v>45535000.300000004</v>
      </c>
      <c r="W325" s="228">
        <f t="shared" si="215"/>
        <v>146.68</v>
      </c>
      <c r="X325" s="52"/>
      <c r="Y325" s="104"/>
      <c r="Z325" s="101">
        <f t="shared" ref="Z325:Z388" si="216">IF((V325+U325+T325)&lt;&gt;0,1,0)</f>
        <v>1</v>
      </c>
    </row>
    <row r="326" spans="1:26" s="105" customFormat="1" ht="15.75" hidden="1">
      <c r="A326" s="102"/>
      <c r="B326" s="103"/>
      <c r="C326" s="100" t="s">
        <v>706</v>
      </c>
      <c r="D326" s="50"/>
      <c r="E326" s="50"/>
      <c r="F326" s="51"/>
      <c r="G326" s="52"/>
      <c r="H326" s="52"/>
      <c r="I326" s="52"/>
      <c r="J326" s="52"/>
      <c r="K326" s="52">
        <f>+J326</f>
        <v>0</v>
      </c>
      <c r="L326" s="52"/>
      <c r="M326" s="52"/>
      <c r="N326" s="52"/>
      <c r="O326" s="52"/>
      <c r="P326" s="52">
        <f>O326*12/10</f>
        <v>0</v>
      </c>
      <c r="Q326" s="52">
        <f>P326</f>
        <v>0</v>
      </c>
      <c r="R326" s="52"/>
      <c r="S326" s="52"/>
      <c r="T326" s="52"/>
      <c r="U326" s="52"/>
      <c r="V326" s="52"/>
      <c r="W326" s="52"/>
      <c r="X326" s="52"/>
      <c r="Y326" s="52"/>
      <c r="Z326" s="101">
        <f t="shared" si="216"/>
        <v>0</v>
      </c>
    </row>
    <row r="327" spans="1:26" s="105" customFormat="1" ht="15.75">
      <c r="A327" s="250">
        <v>15</v>
      </c>
      <c r="B327" s="249">
        <v>1824000431</v>
      </c>
      <c r="C327" s="50" t="str">
        <f>RIGHT(B327,3)</f>
        <v>431</v>
      </c>
      <c r="D327" s="50" t="str">
        <f>MID(B327,2,6)</f>
        <v>824000</v>
      </c>
      <c r="E327" s="50">
        <v>82</v>
      </c>
      <c r="F327" s="51" t="s">
        <v>2000</v>
      </c>
      <c r="G327" s="52"/>
      <c r="H327" s="52"/>
      <c r="I327" s="52"/>
      <c r="J327" s="52"/>
      <c r="K327" s="52"/>
      <c r="L327" s="52">
        <v>20941</v>
      </c>
      <c r="M327" s="52"/>
      <c r="N327" s="52"/>
      <c r="O327" s="52"/>
      <c r="P327" s="52">
        <v>20000</v>
      </c>
      <c r="Q327" s="52">
        <v>20000</v>
      </c>
      <c r="R327" s="52">
        <f>VLOOKUP(B327,'2174'!$A$182:$G$567,6,0)</f>
        <v>30484.16</v>
      </c>
      <c r="S327" s="52">
        <f t="shared" ref="S327:S340" si="217">R327*12/11</f>
        <v>33255.447272727273</v>
      </c>
      <c r="T327" s="52">
        <f>33255.4472727273+35000</f>
        <v>68255.447272727295</v>
      </c>
      <c r="U327" s="52">
        <f>VLOOKUP(B327,'ביצוע 2019'!$A$3:$H$1103,7,0)</f>
        <v>55085.1</v>
      </c>
      <c r="V327" s="52">
        <f>U327-670</f>
        <v>54415.1</v>
      </c>
      <c r="W327" s="52"/>
      <c r="X327" s="52"/>
      <c r="Y327" s="52"/>
      <c r="Z327" s="101">
        <f t="shared" si="216"/>
        <v>1</v>
      </c>
    </row>
    <row r="328" spans="1:26" s="101" customFormat="1" ht="15.75" hidden="1">
      <c r="A328" s="21">
        <v>15</v>
      </c>
      <c r="B328" s="51">
        <v>1824000432</v>
      </c>
      <c r="C328" s="50" t="str">
        <f>RIGHT(B328,3)</f>
        <v>432</v>
      </c>
      <c r="D328" s="50" t="str">
        <f>MID(B328,2,6)</f>
        <v>824000</v>
      </c>
      <c r="E328" s="50" t="str">
        <f>LEFT(D328,2)</f>
        <v>82</v>
      </c>
      <c r="F328" s="51" t="s">
        <v>274</v>
      </c>
      <c r="G328" s="52">
        <v>23000</v>
      </c>
      <c r="H328" s="52">
        <v>37506.9</v>
      </c>
      <c r="I328" s="52">
        <v>-14505.9</v>
      </c>
      <c r="J328" s="52">
        <v>20000</v>
      </c>
      <c r="K328" s="52">
        <v>23000</v>
      </c>
      <c r="L328" s="52">
        <v>23000</v>
      </c>
      <c r="M328" s="52"/>
      <c r="N328" s="52">
        <f t="shared" si="179"/>
        <v>23000</v>
      </c>
      <c r="O328" s="52">
        <f>VLOOKUP(B:B,'דוח כספי 1-10.17'!A:D,4,0)</f>
        <v>0</v>
      </c>
      <c r="P328" s="52">
        <v>10000</v>
      </c>
      <c r="Q328" s="52">
        <v>10000</v>
      </c>
      <c r="R328" s="52">
        <f>VLOOKUP(B328,'2174'!$A$182:$G$567,6,0)</f>
        <v>0</v>
      </c>
      <c r="S328" s="52">
        <f t="shared" si="217"/>
        <v>0</v>
      </c>
      <c r="T328" s="52">
        <v>0</v>
      </c>
      <c r="U328" s="52">
        <f>VLOOKUP(B328,'ביצוע 2019'!$A$3:$H$1103,7,0)</f>
        <v>0</v>
      </c>
      <c r="V328" s="52">
        <f t="shared" ref="V328:V340" si="218">U328</f>
        <v>0</v>
      </c>
      <c r="W328" s="52"/>
      <c r="X328" s="52"/>
      <c r="Y328" s="52"/>
      <c r="Z328" s="101">
        <f t="shared" si="216"/>
        <v>0</v>
      </c>
    </row>
    <row r="329" spans="1:26" s="101" customFormat="1" ht="15.75">
      <c r="A329" s="21">
        <v>15</v>
      </c>
      <c r="B329" s="51">
        <v>1824020870</v>
      </c>
      <c r="C329" s="50" t="str">
        <f t="shared" ref="C329:C330" si="219">RIGHT(B329,3)</f>
        <v>870</v>
      </c>
      <c r="D329" s="50" t="str">
        <f t="shared" ref="D329:D330" si="220">MID(B329,2,6)</f>
        <v>824020</v>
      </c>
      <c r="E329" s="50" t="str">
        <f t="shared" ref="E329:E330" si="221">LEFT(D329,2)</f>
        <v>82</v>
      </c>
      <c r="F329" s="51" t="s">
        <v>1801</v>
      </c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>
        <f>VLOOKUP(B329,'2174'!$A$182:$G$567,6,0)</f>
        <v>190598</v>
      </c>
      <c r="S329" s="52">
        <v>190000</v>
      </c>
      <c r="T329" s="52">
        <v>0</v>
      </c>
      <c r="U329" s="52">
        <f>VLOOKUP(B329,'ביצוע 2019'!$A$3:$H$1103,7,0)</f>
        <v>128000</v>
      </c>
      <c r="V329" s="52"/>
      <c r="W329" s="52"/>
      <c r="X329" s="52"/>
      <c r="Y329" s="52"/>
      <c r="Z329" s="101">
        <f t="shared" si="216"/>
        <v>1</v>
      </c>
    </row>
    <row r="330" spans="1:26" s="101" customFormat="1" ht="15.75">
      <c r="A330" s="21">
        <v>15</v>
      </c>
      <c r="B330" s="51">
        <v>1824021870</v>
      </c>
      <c r="C330" s="50" t="str">
        <f t="shared" si="219"/>
        <v>870</v>
      </c>
      <c r="D330" s="50" t="str">
        <f t="shared" si="220"/>
        <v>824021</v>
      </c>
      <c r="E330" s="50" t="str">
        <f t="shared" si="221"/>
        <v>82</v>
      </c>
      <c r="F330" s="51" t="s">
        <v>2043</v>
      </c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>
        <f>VLOOKUP(B330,'2174'!$A$182:$G$567,6,0)</f>
        <v>38000</v>
      </c>
      <c r="S330" s="52">
        <v>40000</v>
      </c>
      <c r="T330" s="52">
        <v>0</v>
      </c>
      <c r="U330" s="52">
        <f>VLOOKUP(B330,'ביצוע 2019'!$A$3:$H$1103,7,0)</f>
        <v>17000</v>
      </c>
      <c r="V330" s="52">
        <f t="shared" si="218"/>
        <v>17000</v>
      </c>
      <c r="W330" s="52"/>
      <c r="X330" s="52"/>
      <c r="Y330" s="52"/>
      <c r="Z330" s="101">
        <f t="shared" si="216"/>
        <v>1</v>
      </c>
    </row>
    <row r="331" spans="1:26" s="101" customFormat="1" ht="15.75">
      <c r="A331" s="21">
        <v>16</v>
      </c>
      <c r="B331" s="51">
        <v>1824030110</v>
      </c>
      <c r="C331" s="50" t="str">
        <f>RIGHT(B331,3)</f>
        <v>110</v>
      </c>
      <c r="D331" s="50" t="str">
        <f>MID(B331,2,6)</f>
        <v>824030</v>
      </c>
      <c r="E331" s="50" t="str">
        <f>LEFT(D331,2)</f>
        <v>82</v>
      </c>
      <c r="F331" s="51" t="s">
        <v>593</v>
      </c>
      <c r="G331" s="52">
        <v>153000</v>
      </c>
      <c r="H331" s="52">
        <v>94766.52</v>
      </c>
      <c r="I331" s="52">
        <v>58234.48</v>
      </c>
      <c r="J331" s="52">
        <v>110000</v>
      </c>
      <c r="K331" s="52">
        <v>105000</v>
      </c>
      <c r="L331" s="52">
        <v>108000</v>
      </c>
      <c r="M331" s="52"/>
      <c r="N331" s="52">
        <f t="shared" si="179"/>
        <v>108000</v>
      </c>
      <c r="O331" s="52">
        <f>VLOOKUP(B:B,'דוח כספי 1-10.17'!A:D,4,0)</f>
        <v>83600.92</v>
      </c>
      <c r="P331" s="52">
        <v>120000</v>
      </c>
      <c r="Q331" s="52">
        <v>154000</v>
      </c>
      <c r="R331" s="52">
        <f>VLOOKUP(B331,'2174'!$A$182:$G$567,6,0)</f>
        <v>88620.91</v>
      </c>
      <c r="S331" s="63">
        <f>VLOOKUP(B331,'2174'!$A$575:$D$697,4,0)</f>
        <v>116643.62</v>
      </c>
      <c r="T331" s="52">
        <f t="shared" ref="T331:T333" si="222">S331*1.0217</f>
        <v>119174.78655400001</v>
      </c>
      <c r="U331" s="56">
        <f>VLOOKUP(B331,'ביצוע 2019'!$A$3:$H$1103,7,0)</f>
        <v>40244.050000000003</v>
      </c>
      <c r="V331" s="52">
        <v>125000</v>
      </c>
      <c r="W331" s="257">
        <v>1.5</v>
      </c>
      <c r="X331" s="52"/>
      <c r="Y331" s="52" t="s">
        <v>2131</v>
      </c>
      <c r="Z331" s="101">
        <f t="shared" si="216"/>
        <v>1</v>
      </c>
    </row>
    <row r="332" spans="1:26" s="101" customFormat="1" ht="15.75" hidden="1">
      <c r="A332" s="21">
        <v>15</v>
      </c>
      <c r="B332" s="51">
        <v>1824050870</v>
      </c>
      <c r="C332" s="50" t="str">
        <f>RIGHT(B332,3)</f>
        <v>870</v>
      </c>
      <c r="D332" s="50" t="str">
        <f>MID(B332,2,6)</f>
        <v>824050</v>
      </c>
      <c r="E332" s="50" t="str">
        <f>LEFT(D332,2)</f>
        <v>82</v>
      </c>
      <c r="F332" s="51" t="s">
        <v>277</v>
      </c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63"/>
      <c r="T332" s="52"/>
      <c r="U332" s="52"/>
      <c r="V332" s="52">
        <f t="shared" si="218"/>
        <v>0</v>
      </c>
      <c r="W332" s="257"/>
      <c r="X332" s="52"/>
      <c r="Y332" s="52"/>
      <c r="Z332" s="101">
        <f t="shared" si="216"/>
        <v>0</v>
      </c>
    </row>
    <row r="333" spans="1:26" s="101" customFormat="1" ht="15.75">
      <c r="A333" s="21">
        <v>16</v>
      </c>
      <c r="B333" s="51">
        <v>1828100110</v>
      </c>
      <c r="C333" s="217" t="str">
        <f>RIGHT(B333,3)</f>
        <v>110</v>
      </c>
      <c r="D333" s="217" t="str">
        <f>MID(B333,2,6)</f>
        <v>828100</v>
      </c>
      <c r="E333" s="50" t="str">
        <f>LEFT(D333,2)</f>
        <v>82</v>
      </c>
      <c r="F333" s="51" t="s">
        <v>1629</v>
      </c>
      <c r="G333" s="52">
        <v>114000</v>
      </c>
      <c r="H333" s="52">
        <v>320950.34000000003</v>
      </c>
      <c r="I333" s="52">
        <v>-206952.34</v>
      </c>
      <c r="J333" s="52"/>
      <c r="K333" s="52">
        <v>180000</v>
      </c>
      <c r="L333" s="52">
        <v>185000</v>
      </c>
      <c r="M333" s="52"/>
      <c r="N333" s="52">
        <f t="shared" si="179"/>
        <v>185000</v>
      </c>
      <c r="O333" s="52">
        <f>VLOOKUP(B:B,'דוח כספי 1-10.17'!A:D,4,0)</f>
        <v>149062.46</v>
      </c>
      <c r="P333" s="52">
        <v>220000</v>
      </c>
      <c r="Q333" s="52">
        <v>293000</v>
      </c>
      <c r="R333" s="52">
        <f>VLOOKUP(B333,'2174'!$A$182:$G$567,6,0)</f>
        <v>218044.31</v>
      </c>
      <c r="S333" s="63">
        <f>VLOOKUP(B333,'2174'!$A$575:$D$697,4,0)</f>
        <v>288044.71000000002</v>
      </c>
      <c r="T333" s="52">
        <f t="shared" si="222"/>
        <v>294295.28020700003</v>
      </c>
      <c r="U333" s="56">
        <f>VLOOKUP(B333,'ביצוע 2019'!$A$3:$H$1103,7,0)</f>
        <v>299118.11</v>
      </c>
      <c r="V333" s="52">
        <v>290000</v>
      </c>
      <c r="W333" s="257">
        <v>2</v>
      </c>
      <c r="X333" s="52"/>
      <c r="Y333" s="52"/>
      <c r="Z333" s="101">
        <f t="shared" si="216"/>
        <v>1</v>
      </c>
    </row>
    <row r="334" spans="1:26" s="101" customFormat="1" ht="15.75">
      <c r="A334" s="21">
        <v>15</v>
      </c>
      <c r="B334" s="51">
        <v>1828200750</v>
      </c>
      <c r="C334" s="50" t="str">
        <f>RIGHT(B334,3)</f>
        <v>750</v>
      </c>
      <c r="D334" s="50" t="str">
        <f>MID(B334,2,6)</f>
        <v>828200</v>
      </c>
      <c r="E334" s="50">
        <v>82</v>
      </c>
      <c r="F334" s="51" t="s">
        <v>2001</v>
      </c>
      <c r="G334" s="52"/>
      <c r="H334" s="52"/>
      <c r="I334" s="52"/>
      <c r="J334" s="52"/>
      <c r="K334" s="52"/>
      <c r="L334" s="52">
        <v>0</v>
      </c>
      <c r="M334" s="52"/>
      <c r="N334" s="52"/>
      <c r="O334" s="52"/>
      <c r="P334" s="52">
        <v>0</v>
      </c>
      <c r="Q334" s="52">
        <v>700000</v>
      </c>
      <c r="R334" s="52">
        <f>VLOOKUP(B334,'2174'!$A$182:$G$567,6,0)</f>
        <v>12865</v>
      </c>
      <c r="S334" s="52">
        <v>760000</v>
      </c>
      <c r="T334" s="52">
        <v>750000</v>
      </c>
      <c r="U334" s="52">
        <f>VLOOKUP(B334,'ביצוע 2019'!$A$3:$H$1103,7,0)</f>
        <v>37330</v>
      </c>
      <c r="V334" s="52">
        <v>500000</v>
      </c>
      <c r="W334" s="63"/>
      <c r="X334" s="52"/>
      <c r="Y334" s="52"/>
      <c r="Z334" s="101">
        <f t="shared" si="216"/>
        <v>1</v>
      </c>
    </row>
    <row r="335" spans="1:26" s="101" customFormat="1" ht="15.75">
      <c r="A335" s="21">
        <v>16</v>
      </c>
      <c r="B335" s="51">
        <v>1828300110</v>
      </c>
      <c r="C335" s="50" t="str">
        <f>RIGHT(B335,3)</f>
        <v>110</v>
      </c>
      <c r="D335" s="50" t="str">
        <f>MID(B335,2,6)</f>
        <v>828300</v>
      </c>
      <c r="E335" s="50" t="str">
        <f>LEFT(D335,2)</f>
        <v>82</v>
      </c>
      <c r="F335" s="51" t="s">
        <v>279</v>
      </c>
      <c r="G335" s="52">
        <v>114000</v>
      </c>
      <c r="H335" s="52">
        <v>320950.34000000003</v>
      </c>
      <c r="I335" s="52">
        <v>-206952.34</v>
      </c>
      <c r="J335" s="52">
        <v>200000</v>
      </c>
      <c r="K335" s="52">
        <v>83000</v>
      </c>
      <c r="L335" s="52">
        <v>88000</v>
      </c>
      <c r="M335" s="52"/>
      <c r="N335" s="52">
        <f t="shared" si="179"/>
        <v>88000</v>
      </c>
      <c r="O335" s="52">
        <f>VLOOKUP(B:B,'דוח כספי 1-10.17'!A:D,4,0)</f>
        <v>44009.68</v>
      </c>
      <c r="P335" s="52">
        <v>120000</v>
      </c>
      <c r="Q335" s="52">
        <f>125000-51126</f>
        <v>73874</v>
      </c>
      <c r="R335" s="52">
        <f>VLOOKUP(B335,'2174'!$A$182:$G$567,6,0)</f>
        <v>104111.5</v>
      </c>
      <c r="S335" s="63">
        <f>VLOOKUP(B335,'2174'!$A$575:$D$697,4,0)</f>
        <v>121940.82</v>
      </c>
      <c r="T335" s="52">
        <f t="shared" ref="T335" si="223">S335*1.0217</f>
        <v>124586.93579400002</v>
      </c>
      <c r="U335" s="56">
        <f>VLOOKUP(B335,'ביצוע 2019'!$A$3:$H$1103,7,0)</f>
        <v>104637.7</v>
      </c>
      <c r="V335" s="52"/>
      <c r="W335" s="259"/>
      <c r="X335" s="52"/>
      <c r="Y335" s="52"/>
      <c r="Z335" s="101">
        <f t="shared" si="216"/>
        <v>1</v>
      </c>
    </row>
    <row r="336" spans="1:26" s="101" customFormat="1" ht="15.75">
      <c r="A336" s="21">
        <v>20</v>
      </c>
      <c r="B336" s="51">
        <v>1828400110</v>
      </c>
      <c r="C336" s="54">
        <v>110</v>
      </c>
      <c r="D336" s="54">
        <v>828400</v>
      </c>
      <c r="E336" s="54">
        <v>82</v>
      </c>
      <c r="F336" s="55" t="s">
        <v>1656</v>
      </c>
      <c r="G336" s="56"/>
      <c r="H336" s="56"/>
      <c r="I336" s="56"/>
      <c r="J336" s="56"/>
      <c r="K336" s="56"/>
      <c r="L336" s="56">
        <v>210000</v>
      </c>
      <c r="M336" s="56"/>
      <c r="N336" s="56">
        <f t="shared" si="179"/>
        <v>210000</v>
      </c>
      <c r="O336" s="52">
        <f>VLOOKUP(B:B,'דוח כספי 1-10.17'!A:D,4,0)</f>
        <v>0</v>
      </c>
      <c r="P336" s="56">
        <f>O336*12/10</f>
        <v>0</v>
      </c>
      <c r="Q336" s="56">
        <v>210000</v>
      </c>
      <c r="R336" s="56">
        <f>VLOOKUP(B336,'2174'!$A$182:$G$567,6,0)</f>
        <v>0</v>
      </c>
      <c r="S336" s="56">
        <f>VLOOKUP(B336,'2174'!$A$575:$D$697,4,0)</f>
        <v>3716.89</v>
      </c>
      <c r="T336" s="56">
        <v>180000</v>
      </c>
      <c r="U336" s="56">
        <f>VLOOKUP(B336,'ביצוע 2019'!$A$3:$H$1103,7,0)</f>
        <v>151460.69</v>
      </c>
      <c r="V336" s="56">
        <v>180000</v>
      </c>
      <c r="W336" s="164">
        <v>1.5</v>
      </c>
      <c r="X336" s="52"/>
      <c r="Y336" s="52"/>
      <c r="Z336" s="101">
        <f t="shared" si="216"/>
        <v>1</v>
      </c>
    </row>
    <row r="337" spans="1:26" s="101" customFormat="1" ht="15.75">
      <c r="A337" s="21">
        <v>15</v>
      </c>
      <c r="B337" s="51">
        <v>1828400780</v>
      </c>
      <c r="C337" s="267">
        <v>780</v>
      </c>
      <c r="D337" s="267">
        <v>828400</v>
      </c>
      <c r="E337" s="267">
        <v>82</v>
      </c>
      <c r="F337" s="268" t="s">
        <v>282</v>
      </c>
      <c r="G337" s="56"/>
      <c r="H337" s="56"/>
      <c r="I337" s="56"/>
      <c r="J337" s="56"/>
      <c r="K337" s="56"/>
      <c r="L337" s="56"/>
      <c r="M337" s="56"/>
      <c r="N337" s="56"/>
      <c r="O337" s="52"/>
      <c r="P337" s="56"/>
      <c r="Q337" s="56"/>
      <c r="R337" s="56"/>
      <c r="S337" s="56"/>
      <c r="T337" s="261"/>
      <c r="U337" s="261">
        <f>VLOOKUP(B337,'ביצוע 2019'!$A$3:$H$1103,7,0)</f>
        <v>526703</v>
      </c>
      <c r="V337" s="261"/>
      <c r="W337" s="269"/>
      <c r="X337" s="52"/>
      <c r="Y337" s="52"/>
      <c r="Z337" s="101">
        <f t="shared" si="216"/>
        <v>1</v>
      </c>
    </row>
    <row r="338" spans="1:26" s="101" customFormat="1" ht="15.75">
      <c r="A338" s="21">
        <v>19</v>
      </c>
      <c r="B338" s="51">
        <v>1828410750</v>
      </c>
      <c r="C338" s="54">
        <v>110</v>
      </c>
      <c r="D338" s="54">
        <v>828400</v>
      </c>
      <c r="E338" s="54">
        <v>82</v>
      </c>
      <c r="F338" s="55" t="s">
        <v>2044</v>
      </c>
      <c r="G338" s="56"/>
      <c r="H338" s="56"/>
      <c r="I338" s="56"/>
      <c r="J338" s="56"/>
      <c r="K338" s="56"/>
      <c r="L338" s="56"/>
      <c r="M338" s="56"/>
      <c r="N338" s="56"/>
      <c r="O338" s="52"/>
      <c r="P338" s="56"/>
      <c r="Q338" s="56"/>
      <c r="R338" s="56">
        <f>VLOOKUP(B338,'2174'!$A$182:$G$567,6,0)</f>
        <v>730500</v>
      </c>
      <c r="S338" s="56"/>
      <c r="T338" s="56"/>
      <c r="U338" s="56">
        <f>VLOOKUP(B338,'ביצוע 2019'!$A$3:$H$1103,7,0)</f>
        <v>804105</v>
      </c>
      <c r="V338" s="56">
        <v>900000</v>
      </c>
      <c r="W338" s="164"/>
      <c r="X338" s="52"/>
      <c r="Y338" s="52"/>
      <c r="Z338" s="101">
        <f t="shared" si="216"/>
        <v>1</v>
      </c>
    </row>
    <row r="339" spans="1:26" s="101" customFormat="1" ht="15.75">
      <c r="A339" s="21">
        <v>15</v>
      </c>
      <c r="B339" s="51">
        <v>1828300760</v>
      </c>
      <c r="C339" s="50" t="str">
        <f t="shared" ref="C339:C352" si="224">RIGHT(B339,3)</f>
        <v>760</v>
      </c>
      <c r="D339" s="50" t="str">
        <f t="shared" ref="D339:D352" si="225">MID(B339,2,6)</f>
        <v>828300</v>
      </c>
      <c r="E339" s="50" t="str">
        <f>LEFT(D339,2)</f>
        <v>82</v>
      </c>
      <c r="F339" s="51" t="s">
        <v>1655</v>
      </c>
      <c r="G339" s="52">
        <v>5000</v>
      </c>
      <c r="H339" s="52">
        <v>7091</v>
      </c>
      <c r="I339" s="52">
        <v>-2085</v>
      </c>
      <c r="J339" s="52">
        <v>5000</v>
      </c>
      <c r="K339" s="52">
        <v>5000</v>
      </c>
      <c r="L339" s="52">
        <f>14000</f>
        <v>14000</v>
      </c>
      <c r="M339" s="52"/>
      <c r="N339" s="52">
        <f t="shared" si="179"/>
        <v>14000</v>
      </c>
      <c r="O339" s="52">
        <f>VLOOKUP(B:B,'דוח כספי 1-10.17'!A:D,4,0)</f>
        <v>1980</v>
      </c>
      <c r="P339" s="52">
        <f>O339*12/10</f>
        <v>2376</v>
      </c>
      <c r="Q339" s="52">
        <v>50000</v>
      </c>
      <c r="R339" s="52">
        <f>VLOOKUP(B339,'2174'!$A$182:$G$567,6,0)</f>
        <v>6940</v>
      </c>
      <c r="S339" s="52">
        <f t="shared" si="217"/>
        <v>7570.909090909091</v>
      </c>
      <c r="T339" s="52">
        <v>7570.909090909091</v>
      </c>
      <c r="U339" s="52">
        <f>VLOOKUP(B339,'ביצוע 2019'!$A$3:$H$1103,7,0)</f>
        <v>0</v>
      </c>
      <c r="V339" s="52">
        <f t="shared" si="218"/>
        <v>0</v>
      </c>
      <c r="W339" s="52"/>
      <c r="X339" s="52"/>
      <c r="Y339" s="52"/>
      <c r="Z339" s="101">
        <f t="shared" si="216"/>
        <v>1</v>
      </c>
    </row>
    <row r="340" spans="1:26" s="101" customFormat="1" ht="15.75">
      <c r="A340" s="21">
        <v>19</v>
      </c>
      <c r="B340" s="51">
        <v>1828400750</v>
      </c>
      <c r="C340" s="50" t="str">
        <f>RIGHT(B340,3)</f>
        <v>750</v>
      </c>
      <c r="D340" s="50" t="str">
        <f>MID(B340,2,6)</f>
        <v>828400</v>
      </c>
      <c r="E340" s="50" t="str">
        <f>LEFT(D340,2)</f>
        <v>82</v>
      </c>
      <c r="F340" s="160" t="s">
        <v>1657</v>
      </c>
      <c r="G340" s="52"/>
      <c r="H340" s="52"/>
      <c r="I340" s="52"/>
      <c r="J340" s="52"/>
      <c r="K340" s="52"/>
      <c r="L340" s="52">
        <f>886166/0.9-210000</f>
        <v>774628.88888888888</v>
      </c>
      <c r="M340" s="52"/>
      <c r="N340" s="52">
        <f>M340+L340</f>
        <v>774628.88888888888</v>
      </c>
      <c r="O340" s="52">
        <f>VLOOKUP(B:B,'דוח כספי 1-10.17'!A:D,4,0)</f>
        <v>548087</v>
      </c>
      <c r="P340" s="52">
        <f>O340*12/10</f>
        <v>657704.4</v>
      </c>
      <c r="Q340" s="52">
        <v>844000</v>
      </c>
      <c r="R340" s="52">
        <f>VLOOKUP(B340,'2174'!$A$182:$G$567,6,0)</f>
        <v>839207</v>
      </c>
      <c r="S340" s="52">
        <f t="shared" si="217"/>
        <v>915498.54545454541</v>
      </c>
      <c r="T340" s="52">
        <v>878000</v>
      </c>
      <c r="U340" s="52">
        <f>VLOOKUP(B340,'ביצוע 2019'!$A$3:$H$1103,7,0)</f>
        <v>0</v>
      </c>
      <c r="V340" s="52">
        <f t="shared" si="218"/>
        <v>0</v>
      </c>
      <c r="W340" s="158"/>
      <c r="X340" s="52"/>
      <c r="Y340" s="52"/>
      <c r="Z340" s="101">
        <f t="shared" si="216"/>
        <v>1</v>
      </c>
    </row>
    <row r="341" spans="1:26" s="101" customFormat="1" ht="15.75">
      <c r="A341" s="21"/>
      <c r="B341" s="234"/>
      <c r="C341" s="235"/>
      <c r="D341" s="235"/>
      <c r="E341" s="235"/>
      <c r="F341" s="234" t="s">
        <v>1985</v>
      </c>
      <c r="G341" s="236"/>
      <c r="H341" s="236"/>
      <c r="I341" s="236"/>
      <c r="J341" s="236"/>
      <c r="K341" s="236"/>
      <c r="L341" s="236">
        <f t="shared" ref="L341:S341" si="226">SUM(L327:L340)</f>
        <v>1423569.888888889</v>
      </c>
      <c r="M341" s="236">
        <f t="shared" si="226"/>
        <v>0</v>
      </c>
      <c r="N341" s="236">
        <f t="shared" si="226"/>
        <v>1402628.888888889</v>
      </c>
      <c r="O341" s="236">
        <f t="shared" si="226"/>
        <v>826740.06</v>
      </c>
      <c r="P341" s="236">
        <f t="shared" si="226"/>
        <v>1150080.3999999999</v>
      </c>
      <c r="Q341" s="236">
        <f t="shared" si="226"/>
        <v>2354874</v>
      </c>
      <c r="R341" s="236">
        <f t="shared" si="226"/>
        <v>2259370.88</v>
      </c>
      <c r="S341" s="236">
        <f t="shared" si="226"/>
        <v>2476670.9418181819</v>
      </c>
      <c r="T341" s="236">
        <f>SUM(T327:T340)</f>
        <v>2421883.3589186366</v>
      </c>
      <c r="U341" s="236">
        <f t="shared" ref="U341:W341" si="227">SUM(U327:U340)</f>
        <v>2163683.65</v>
      </c>
      <c r="V341" s="236">
        <f t="shared" si="227"/>
        <v>2066415.1</v>
      </c>
      <c r="W341" s="236">
        <f t="shared" si="227"/>
        <v>5</v>
      </c>
      <c r="X341" s="52"/>
      <c r="Y341" s="52"/>
      <c r="Z341" s="101">
        <f t="shared" si="216"/>
        <v>1</v>
      </c>
    </row>
    <row r="342" spans="1:26" s="101" customFormat="1" ht="15.75">
      <c r="A342" s="21">
        <v>15</v>
      </c>
      <c r="B342" s="51">
        <v>1829000431</v>
      </c>
      <c r="C342" s="50" t="str">
        <f t="shared" si="224"/>
        <v>431</v>
      </c>
      <c r="D342" s="50" t="str">
        <f t="shared" si="225"/>
        <v>829000</v>
      </c>
      <c r="E342" s="50" t="str">
        <f t="shared" ref="E342:E355" si="228">LEFT(D342,2)</f>
        <v>82</v>
      </c>
      <c r="F342" s="51" t="s">
        <v>283</v>
      </c>
      <c r="G342" s="52">
        <v>0</v>
      </c>
      <c r="H342" s="52">
        <v>0</v>
      </c>
      <c r="I342" s="52">
        <v>0</v>
      </c>
      <c r="J342" s="153">
        <v>13000</v>
      </c>
      <c r="K342" s="52">
        <v>13000</v>
      </c>
      <c r="L342" s="52">
        <v>13000</v>
      </c>
      <c r="M342" s="52"/>
      <c r="N342" s="52">
        <f t="shared" ref="N342:N393" si="229">M342+L342</f>
        <v>13000</v>
      </c>
      <c r="O342" s="52">
        <f>VLOOKUP(B:B,'דוח כספי 1-10.17'!A:D,4,0)</f>
        <v>0</v>
      </c>
      <c r="P342" s="52">
        <v>10000</v>
      </c>
      <c r="Q342" s="52">
        <f>P342</f>
        <v>10000</v>
      </c>
      <c r="R342" s="52">
        <f>VLOOKUP(B342,'2174'!$A$182:$G$567,6,0)</f>
        <v>42513.83</v>
      </c>
      <c r="S342" s="52">
        <f t="shared" ref="S342:S356" si="230">R342*12/11</f>
        <v>46378.72363636364</v>
      </c>
      <c r="T342" s="52">
        <v>46378.72363636364</v>
      </c>
      <c r="U342" s="52">
        <f>VLOOKUP(B342,'ביצוע 2019'!$A$3:$H$1103,7,0)</f>
        <v>58639.92</v>
      </c>
      <c r="V342" s="52">
        <f t="shared" ref="V342:V361" si="231">U342</f>
        <v>58639.92</v>
      </c>
      <c r="W342" s="52"/>
      <c r="X342" s="52"/>
      <c r="Y342" s="52"/>
      <c r="Z342" s="101">
        <f t="shared" si="216"/>
        <v>1</v>
      </c>
    </row>
    <row r="343" spans="1:26" s="101" customFormat="1" ht="15.75">
      <c r="A343" s="21">
        <v>16</v>
      </c>
      <c r="B343" s="51">
        <v>1829100110</v>
      </c>
      <c r="C343" s="50" t="str">
        <f t="shared" si="224"/>
        <v>110</v>
      </c>
      <c r="D343" s="50" t="str">
        <f t="shared" si="225"/>
        <v>829100</v>
      </c>
      <c r="E343" s="50" t="str">
        <f t="shared" si="228"/>
        <v>82</v>
      </c>
      <c r="F343" s="51" t="s">
        <v>284</v>
      </c>
      <c r="G343" s="52">
        <v>144000</v>
      </c>
      <c r="H343" s="52">
        <v>226419.3</v>
      </c>
      <c r="I343" s="52">
        <v>-82421.3</v>
      </c>
      <c r="J343" s="52">
        <v>190000</v>
      </c>
      <c r="K343" s="52">
        <v>231000</v>
      </c>
      <c r="L343" s="52">
        <v>238000</v>
      </c>
      <c r="M343" s="52"/>
      <c r="N343" s="52">
        <f t="shared" si="229"/>
        <v>238000</v>
      </c>
      <c r="O343" s="52">
        <f>VLOOKUP(B:B,'דוח כספי 1-10.17'!A:D,4,0)</f>
        <v>145998.29</v>
      </c>
      <c r="P343" s="52">
        <v>175000</v>
      </c>
      <c r="Q343" s="52">
        <v>150000</v>
      </c>
      <c r="R343" s="52">
        <f>VLOOKUP(B343,'2174'!$A$182:$G$567,6,0)</f>
        <v>169419.05</v>
      </c>
      <c r="S343" s="63">
        <f>VLOOKUP(B343,'2174'!$A$575:$D$697,4,0)</f>
        <v>169419.05</v>
      </c>
      <c r="T343" s="52">
        <v>120000</v>
      </c>
      <c r="U343" s="56">
        <v>0</v>
      </c>
      <c r="V343" s="52">
        <v>100000</v>
      </c>
      <c r="W343" s="257">
        <v>1</v>
      </c>
      <c r="X343" s="52"/>
      <c r="Y343" s="52" t="s">
        <v>1638</v>
      </c>
      <c r="Z343" s="101">
        <f t="shared" si="216"/>
        <v>1</v>
      </c>
    </row>
    <row r="344" spans="1:26" s="101" customFormat="1" ht="15.75" hidden="1">
      <c r="A344" s="21">
        <v>16</v>
      </c>
      <c r="B344" s="51">
        <v>1829100320</v>
      </c>
      <c r="C344" s="54" t="str">
        <f t="shared" si="224"/>
        <v>320</v>
      </c>
      <c r="D344" s="54" t="str">
        <f t="shared" si="225"/>
        <v>829100</v>
      </c>
      <c r="E344" s="244" t="str">
        <f t="shared" si="228"/>
        <v>82</v>
      </c>
      <c r="F344" s="56" t="s">
        <v>1990</v>
      </c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>
        <v>100000</v>
      </c>
      <c r="R344" s="56"/>
      <c r="S344" s="56">
        <v>0</v>
      </c>
      <c r="T344" s="56">
        <f t="shared" ref="T344:T345" si="232">S344*1.0217</f>
        <v>0</v>
      </c>
      <c r="U344" s="56">
        <v>0</v>
      </c>
      <c r="V344" s="56">
        <f t="shared" si="231"/>
        <v>0</v>
      </c>
      <c r="W344" s="258"/>
      <c r="X344" s="52"/>
      <c r="Y344" s="52"/>
      <c r="Z344" s="101">
        <f t="shared" si="216"/>
        <v>0</v>
      </c>
    </row>
    <row r="345" spans="1:26" s="101" customFormat="1" ht="15.75" hidden="1">
      <c r="A345" s="21">
        <v>16</v>
      </c>
      <c r="B345" s="51">
        <v>1829200110</v>
      </c>
      <c r="C345" s="50" t="str">
        <f t="shared" si="224"/>
        <v>110</v>
      </c>
      <c r="D345" s="50" t="str">
        <f t="shared" si="225"/>
        <v>829200</v>
      </c>
      <c r="E345" s="50" t="str">
        <f t="shared" si="228"/>
        <v>82</v>
      </c>
      <c r="F345" s="51" t="s">
        <v>285</v>
      </c>
      <c r="G345" s="52">
        <v>24000</v>
      </c>
      <c r="H345" s="52">
        <v>0</v>
      </c>
      <c r="I345" s="52">
        <v>23998</v>
      </c>
      <c r="J345" s="52">
        <v>100000</v>
      </c>
      <c r="K345" s="52"/>
      <c r="L345" s="52"/>
      <c r="M345" s="52"/>
      <c r="N345" s="52">
        <f t="shared" si="229"/>
        <v>0</v>
      </c>
      <c r="O345" s="52">
        <f>VLOOKUP(B:B,'דוח כספי 1-10.17'!A:D,4,0)</f>
        <v>0</v>
      </c>
      <c r="P345" s="52">
        <f>O345*12/10</f>
        <v>0</v>
      </c>
      <c r="Q345" s="52">
        <v>80000</v>
      </c>
      <c r="R345" s="52"/>
      <c r="S345" s="63">
        <f>VLOOKUP(B345,'2174'!$A$575:$D$697,4,0)</f>
        <v>0</v>
      </c>
      <c r="T345" s="52">
        <f t="shared" si="232"/>
        <v>0</v>
      </c>
      <c r="U345" s="56">
        <f>VLOOKUP(B345,'ביצוע 2019'!$A$3:$H$1103,7,0)</f>
        <v>0</v>
      </c>
      <c r="V345" s="52">
        <f t="shared" si="231"/>
        <v>0</v>
      </c>
      <c r="W345" s="257"/>
      <c r="X345" s="52"/>
      <c r="Y345" s="52"/>
      <c r="Z345" s="101">
        <f t="shared" si="216"/>
        <v>0</v>
      </c>
    </row>
    <row r="346" spans="1:26" s="101" customFormat="1" ht="15.75">
      <c r="A346" s="21">
        <v>15</v>
      </c>
      <c r="B346" s="51">
        <v>1829200431</v>
      </c>
      <c r="C346" s="50" t="str">
        <f t="shared" si="224"/>
        <v>431</v>
      </c>
      <c r="D346" s="50" t="str">
        <f t="shared" si="225"/>
        <v>829200</v>
      </c>
      <c r="E346" s="50" t="str">
        <f t="shared" si="228"/>
        <v>82</v>
      </c>
      <c r="F346" s="51" t="s">
        <v>286</v>
      </c>
      <c r="G346" s="52">
        <v>0</v>
      </c>
      <c r="H346" s="52">
        <v>-6272.23</v>
      </c>
      <c r="I346" s="52">
        <v>6272.23</v>
      </c>
      <c r="J346" s="153">
        <v>7000</v>
      </c>
      <c r="K346" s="52">
        <v>7000</v>
      </c>
      <c r="L346" s="52">
        <v>7000</v>
      </c>
      <c r="M346" s="52"/>
      <c r="N346" s="52">
        <f t="shared" si="229"/>
        <v>7000</v>
      </c>
      <c r="O346" s="52">
        <f>VLOOKUP(B:B,'דוח כספי 1-10.17'!A:D,4,0)</f>
        <v>0</v>
      </c>
      <c r="P346" s="52">
        <f>O346*12/10</f>
        <v>0</v>
      </c>
      <c r="Q346" s="52">
        <f>P346</f>
        <v>0</v>
      </c>
      <c r="R346" s="52">
        <f>VLOOKUP(B346,'2174'!$A$182:$G$567,6,0)</f>
        <v>20996.23</v>
      </c>
      <c r="S346" s="52">
        <f t="shared" si="230"/>
        <v>22904.978181818184</v>
      </c>
      <c r="T346" s="52">
        <v>22904.978181818184</v>
      </c>
      <c r="U346" s="52">
        <f>VLOOKUP(B346,'ביצוע 2019'!$A$3:$H$1103,7,0)</f>
        <v>20121.13</v>
      </c>
      <c r="V346" s="52">
        <f t="shared" si="231"/>
        <v>20121.13</v>
      </c>
      <c r="W346" s="52"/>
      <c r="X346" s="52"/>
      <c r="Y346" s="52"/>
      <c r="Z346" s="101">
        <f t="shared" si="216"/>
        <v>1</v>
      </c>
    </row>
    <row r="347" spans="1:26" s="101" customFormat="1" ht="15.75" hidden="1">
      <c r="A347" s="21">
        <v>15</v>
      </c>
      <c r="B347" s="51">
        <v>1829200432</v>
      </c>
      <c r="C347" s="50" t="str">
        <f t="shared" si="224"/>
        <v>432</v>
      </c>
      <c r="D347" s="50" t="str">
        <f t="shared" si="225"/>
        <v>829200</v>
      </c>
      <c r="E347" s="50" t="str">
        <f t="shared" si="228"/>
        <v>82</v>
      </c>
      <c r="F347" s="51" t="s">
        <v>287</v>
      </c>
      <c r="G347" s="52">
        <v>30000</v>
      </c>
      <c r="H347" s="52">
        <v>224955.3</v>
      </c>
      <c r="I347" s="52">
        <v>-194955.3</v>
      </c>
      <c r="J347" s="52">
        <v>80000</v>
      </c>
      <c r="K347" s="52">
        <v>80000</v>
      </c>
      <c r="L347" s="52">
        <v>80000</v>
      </c>
      <c r="M347" s="52"/>
      <c r="N347" s="52">
        <f t="shared" si="229"/>
        <v>80000</v>
      </c>
      <c r="O347" s="52">
        <f>VLOOKUP(B:B,'דוח כספי 1-10.17'!A:D,4,0)</f>
        <v>42093.2</v>
      </c>
      <c r="P347" s="52">
        <f t="shared" ref="P347:P394" si="233">O347*12/10</f>
        <v>50511.839999999997</v>
      </c>
      <c r="Q347" s="52">
        <v>50000</v>
      </c>
      <c r="R347" s="52">
        <f>VLOOKUP(B347,'2174'!$A$182:$G$567,6,0)</f>
        <v>0</v>
      </c>
      <c r="S347" s="52">
        <f t="shared" si="230"/>
        <v>0</v>
      </c>
      <c r="T347" s="52">
        <v>0</v>
      </c>
      <c r="U347" s="52">
        <f>VLOOKUP(B347,'ביצוע 2019'!$A$3:$H$1103,7,0)</f>
        <v>0</v>
      </c>
      <c r="V347" s="52">
        <f t="shared" si="231"/>
        <v>0</v>
      </c>
      <c r="W347" s="52"/>
      <c r="X347" s="52"/>
      <c r="Y347" s="52"/>
      <c r="Z347" s="101">
        <f t="shared" si="216"/>
        <v>0</v>
      </c>
    </row>
    <row r="348" spans="1:26" s="101" customFormat="1" ht="15.75" hidden="1">
      <c r="A348" s="21">
        <v>15</v>
      </c>
      <c r="B348" s="51">
        <v>1829200540</v>
      </c>
      <c r="C348" s="50" t="str">
        <f t="shared" si="224"/>
        <v>540</v>
      </c>
      <c r="D348" s="50" t="str">
        <f t="shared" si="225"/>
        <v>829200</v>
      </c>
      <c r="E348" s="50" t="str">
        <f t="shared" si="228"/>
        <v>82</v>
      </c>
      <c r="F348" s="51" t="s">
        <v>288</v>
      </c>
      <c r="G348" s="52">
        <v>2000</v>
      </c>
      <c r="H348" s="52">
        <v>704.95</v>
      </c>
      <c r="I348" s="52">
        <v>1299.05</v>
      </c>
      <c r="J348" s="52">
        <v>2000</v>
      </c>
      <c r="K348" s="52">
        <v>2000</v>
      </c>
      <c r="L348" s="52">
        <v>2000</v>
      </c>
      <c r="M348" s="52"/>
      <c r="N348" s="52">
        <f t="shared" si="229"/>
        <v>2000</v>
      </c>
      <c r="O348" s="52">
        <f>VLOOKUP(B:B,'דוח כספי 1-10.17'!A:D,4,0)</f>
        <v>0</v>
      </c>
      <c r="P348" s="52">
        <f t="shared" si="233"/>
        <v>0</v>
      </c>
      <c r="Q348" s="52">
        <f>P348</f>
        <v>0</v>
      </c>
      <c r="R348" s="52">
        <f>VLOOKUP(B348,'2174'!$A$182:$G$567,6,0)</f>
        <v>0</v>
      </c>
      <c r="S348" s="52">
        <f t="shared" si="230"/>
        <v>0</v>
      </c>
      <c r="T348" s="52">
        <v>0</v>
      </c>
      <c r="U348" s="52">
        <f>VLOOKUP(B348,'ביצוע 2019'!$A$3:$H$1103,7,0)</f>
        <v>0</v>
      </c>
      <c r="V348" s="52">
        <f t="shared" si="231"/>
        <v>0</v>
      </c>
      <c r="W348" s="52"/>
      <c r="X348" s="52"/>
      <c r="Y348" s="52"/>
      <c r="Z348" s="101">
        <f t="shared" si="216"/>
        <v>0</v>
      </c>
    </row>
    <row r="349" spans="1:26" s="101" customFormat="1" ht="15.75">
      <c r="A349" s="21">
        <v>15</v>
      </c>
      <c r="B349" s="51">
        <v>1829200720</v>
      </c>
      <c r="C349" s="50" t="str">
        <f t="shared" si="224"/>
        <v>720</v>
      </c>
      <c r="D349" s="50" t="str">
        <f t="shared" si="225"/>
        <v>829200</v>
      </c>
      <c r="E349" s="50" t="str">
        <f t="shared" si="228"/>
        <v>82</v>
      </c>
      <c r="F349" s="51" t="s">
        <v>289</v>
      </c>
      <c r="G349" s="52">
        <v>0</v>
      </c>
      <c r="H349" s="52">
        <v>0</v>
      </c>
      <c r="I349" s="52">
        <v>0</v>
      </c>
      <c r="J349" s="153">
        <v>10000</v>
      </c>
      <c r="K349" s="52">
        <v>10000</v>
      </c>
      <c r="L349" s="52">
        <v>10000</v>
      </c>
      <c r="M349" s="52"/>
      <c r="N349" s="52">
        <f t="shared" si="229"/>
        <v>10000</v>
      </c>
      <c r="O349" s="52">
        <f>VLOOKUP(B:B,'דוח כספי 1-10.17'!A:D,4,0)</f>
        <v>0</v>
      </c>
      <c r="P349" s="52">
        <f t="shared" si="233"/>
        <v>0</v>
      </c>
      <c r="Q349" s="52">
        <f>P349</f>
        <v>0</v>
      </c>
      <c r="R349" s="52">
        <f>VLOOKUP(B349,'2174'!$A$182:$G$567,6,0)</f>
        <v>9557</v>
      </c>
      <c r="S349" s="52">
        <f t="shared" si="230"/>
        <v>10425.818181818182</v>
      </c>
      <c r="T349" s="52">
        <v>10425.818181818182</v>
      </c>
      <c r="U349" s="52">
        <f>VLOOKUP(B349,'ביצוע 2019'!$A$3:$H$1103,7,0)</f>
        <v>9790</v>
      </c>
      <c r="V349" s="52">
        <f t="shared" si="231"/>
        <v>9790</v>
      </c>
      <c r="W349" s="52"/>
      <c r="X349" s="52"/>
      <c r="Y349" s="52"/>
      <c r="Z349" s="101">
        <f t="shared" si="216"/>
        <v>1</v>
      </c>
    </row>
    <row r="350" spans="1:26" s="101" customFormat="1" ht="15.75">
      <c r="A350" s="21">
        <v>15</v>
      </c>
      <c r="B350" s="51">
        <v>1829200740</v>
      </c>
      <c r="C350" s="50" t="str">
        <f t="shared" si="224"/>
        <v>740</v>
      </c>
      <c r="D350" s="50" t="str">
        <f t="shared" si="225"/>
        <v>829200</v>
      </c>
      <c r="E350" s="50" t="str">
        <f t="shared" si="228"/>
        <v>82</v>
      </c>
      <c r="F350" s="51" t="s">
        <v>155</v>
      </c>
      <c r="G350" s="52">
        <v>60000</v>
      </c>
      <c r="H350" s="52">
        <v>8538</v>
      </c>
      <c r="I350" s="52">
        <v>51462</v>
      </c>
      <c r="J350" s="52">
        <v>20000</v>
      </c>
      <c r="K350" s="52">
        <v>20000</v>
      </c>
      <c r="L350" s="52">
        <v>20000</v>
      </c>
      <c r="M350" s="52"/>
      <c r="N350" s="52">
        <f t="shared" si="229"/>
        <v>20000</v>
      </c>
      <c r="O350" s="52">
        <f>VLOOKUP(B:B,'דוח כספי 1-10.17'!A:D,4,0)</f>
        <v>3055</v>
      </c>
      <c r="P350" s="52">
        <f t="shared" si="233"/>
        <v>3666</v>
      </c>
      <c r="Q350" s="52">
        <v>3333</v>
      </c>
      <c r="R350" s="52">
        <f>VLOOKUP(B350,'2174'!$A$182:$G$567,6,0)</f>
        <v>18015.3</v>
      </c>
      <c r="S350" s="52">
        <f t="shared" si="230"/>
        <v>19653.054545454543</v>
      </c>
      <c r="T350" s="52">
        <v>19653.054545454543</v>
      </c>
      <c r="U350" s="52">
        <f>VLOOKUP(B350,'ביצוע 2019'!$A$3:$H$1103,7,0)</f>
        <v>16806.5</v>
      </c>
      <c r="V350" s="52">
        <f t="shared" si="231"/>
        <v>16806.5</v>
      </c>
      <c r="W350" s="52"/>
      <c r="X350" s="52"/>
      <c r="Y350" s="52"/>
      <c r="Z350" s="101">
        <f t="shared" si="216"/>
        <v>1</v>
      </c>
    </row>
    <row r="351" spans="1:26" s="101" customFormat="1" ht="15.75">
      <c r="A351" s="21">
        <v>15</v>
      </c>
      <c r="B351" s="51">
        <v>1829200750</v>
      </c>
      <c r="C351" s="50" t="str">
        <f t="shared" si="224"/>
        <v>750</v>
      </c>
      <c r="D351" s="50" t="str">
        <f t="shared" si="225"/>
        <v>829200</v>
      </c>
      <c r="E351" s="50" t="str">
        <f t="shared" si="228"/>
        <v>82</v>
      </c>
      <c r="F351" s="51" t="s">
        <v>290</v>
      </c>
      <c r="G351" s="52">
        <v>50000</v>
      </c>
      <c r="H351" s="52">
        <v>23600</v>
      </c>
      <c r="I351" s="52">
        <v>26400</v>
      </c>
      <c r="J351" s="153">
        <v>100000</v>
      </c>
      <c r="K351" s="52">
        <v>135000</v>
      </c>
      <c r="L351" s="52">
        <v>120000</v>
      </c>
      <c r="M351" s="52"/>
      <c r="N351" s="52">
        <f t="shared" si="229"/>
        <v>120000</v>
      </c>
      <c r="O351" s="52">
        <f>VLOOKUP(B:B,'דוח כספי 1-10.17'!A:D,4,0)</f>
        <v>52113</v>
      </c>
      <c r="P351" s="52">
        <f t="shared" si="233"/>
        <v>62535.6</v>
      </c>
      <c r="Q351" s="52">
        <v>62000</v>
      </c>
      <c r="R351" s="52">
        <f>VLOOKUP(B351,'2174'!$A$182:$G$567,6,0)</f>
        <v>102229.78</v>
      </c>
      <c r="S351" s="52">
        <f t="shared" si="230"/>
        <v>111523.39636363635</v>
      </c>
      <c r="T351" s="52">
        <v>110000</v>
      </c>
      <c r="U351" s="52">
        <f>VLOOKUP(B351,'ביצוע 2019'!$A$3:$H$1103,7,0)</f>
        <v>157600</v>
      </c>
      <c r="V351" s="52">
        <f>U351-49000</f>
        <v>108600</v>
      </c>
      <c r="W351" s="52"/>
      <c r="X351" s="52"/>
      <c r="Y351" s="52"/>
      <c r="Z351" s="101">
        <f t="shared" si="216"/>
        <v>1</v>
      </c>
    </row>
    <row r="352" spans="1:26" s="101" customFormat="1" ht="15.75" hidden="1">
      <c r="A352" s="21">
        <v>15</v>
      </c>
      <c r="B352" s="51">
        <v>1829200780</v>
      </c>
      <c r="C352" s="50" t="str">
        <f t="shared" si="224"/>
        <v>780</v>
      </c>
      <c r="D352" s="50" t="str">
        <f t="shared" si="225"/>
        <v>829200</v>
      </c>
      <c r="E352" s="50" t="str">
        <f t="shared" si="228"/>
        <v>82</v>
      </c>
      <c r="F352" s="51" t="s">
        <v>291</v>
      </c>
      <c r="G352" s="52">
        <v>20000</v>
      </c>
      <c r="H352" s="52">
        <v>16140</v>
      </c>
      <c r="I352" s="52">
        <v>3860</v>
      </c>
      <c r="J352" s="52">
        <v>0</v>
      </c>
      <c r="K352" s="52">
        <v>50000</v>
      </c>
      <c r="L352" s="52">
        <v>120000</v>
      </c>
      <c r="M352" s="52"/>
      <c r="N352" s="52">
        <f t="shared" si="229"/>
        <v>120000</v>
      </c>
      <c r="O352" s="52">
        <f>VLOOKUP(B:B,'דוח כספי 1-10.17'!A:D,4,0)</f>
        <v>111210</v>
      </c>
      <c r="P352" s="52">
        <f t="shared" si="233"/>
        <v>133452</v>
      </c>
      <c r="Q352" s="52">
        <v>134000</v>
      </c>
      <c r="R352" s="52">
        <f>VLOOKUP(B352,'2174'!$A$182:$G$567,6,0)</f>
        <v>3510</v>
      </c>
      <c r="S352" s="52">
        <v>0</v>
      </c>
      <c r="T352" s="52">
        <v>0</v>
      </c>
      <c r="U352" s="52">
        <f>VLOOKUP(B352,'ביצוע 2019'!$A$3:$H$1103,7,0)</f>
        <v>0</v>
      </c>
      <c r="V352" s="52">
        <f t="shared" si="231"/>
        <v>0</v>
      </c>
      <c r="W352" s="52"/>
      <c r="X352" s="52"/>
      <c r="Y352" s="52"/>
      <c r="Z352" s="101">
        <f t="shared" si="216"/>
        <v>0</v>
      </c>
    </row>
    <row r="353" spans="1:26" s="101" customFormat="1" ht="15.75">
      <c r="A353" s="21">
        <v>15</v>
      </c>
      <c r="B353" s="51">
        <v>1829201780</v>
      </c>
      <c r="C353" s="50">
        <v>780</v>
      </c>
      <c r="D353" s="50">
        <v>829201</v>
      </c>
      <c r="E353" s="50" t="str">
        <f t="shared" si="228"/>
        <v>82</v>
      </c>
      <c r="F353" s="160" t="s">
        <v>1633</v>
      </c>
      <c r="G353" s="52"/>
      <c r="H353" s="52"/>
      <c r="I353" s="52"/>
      <c r="J353" s="52"/>
      <c r="K353" s="52"/>
      <c r="L353" s="52">
        <v>35000</v>
      </c>
      <c r="M353" s="52"/>
      <c r="N353" s="52">
        <f t="shared" si="229"/>
        <v>35000</v>
      </c>
      <c r="O353" s="52">
        <f>VLOOKUP(B:B,'דוח כספי 1-10.17'!A:D,4,0)</f>
        <v>0</v>
      </c>
      <c r="P353" s="52">
        <f t="shared" si="233"/>
        <v>0</v>
      </c>
      <c r="Q353" s="52">
        <f>P353</f>
        <v>0</v>
      </c>
      <c r="R353" s="52">
        <f>VLOOKUP(B353,'2174'!$A$182:$G$567,6,0)</f>
        <v>27027</v>
      </c>
      <c r="S353" s="52">
        <f t="shared" si="230"/>
        <v>29484</v>
      </c>
      <c r="T353" s="52">
        <v>35000</v>
      </c>
      <c r="U353" s="52">
        <f>VLOOKUP(B353,'ביצוע 2019'!$A$3:$H$1103,7,0)</f>
        <v>30527</v>
      </c>
      <c r="V353" s="52">
        <f t="shared" si="231"/>
        <v>30527</v>
      </c>
      <c r="W353" s="52"/>
      <c r="X353" s="52"/>
      <c r="Y353" s="52"/>
      <c r="Z353" s="101">
        <f t="shared" si="216"/>
        <v>1</v>
      </c>
    </row>
    <row r="354" spans="1:26" s="101" customFormat="1" ht="15.75">
      <c r="A354" s="21">
        <v>15</v>
      </c>
      <c r="B354" s="51">
        <v>1829202780</v>
      </c>
      <c r="C354" s="50">
        <v>780</v>
      </c>
      <c r="D354" s="50">
        <v>829202</v>
      </c>
      <c r="E354" s="50" t="str">
        <f t="shared" si="228"/>
        <v>82</v>
      </c>
      <c r="F354" s="160" t="s">
        <v>1634</v>
      </c>
      <c r="G354" s="52"/>
      <c r="H354" s="52"/>
      <c r="I354" s="52"/>
      <c r="J354" s="52"/>
      <c r="K354" s="52"/>
      <c r="L354" s="52">
        <v>40000</v>
      </c>
      <c r="M354" s="52"/>
      <c r="N354" s="52">
        <f t="shared" si="229"/>
        <v>40000</v>
      </c>
      <c r="O354" s="52">
        <f>VLOOKUP(B:B,'דוח כספי 1-10.17'!A:D,4,0)</f>
        <v>0</v>
      </c>
      <c r="P354" s="52">
        <f t="shared" si="233"/>
        <v>0</v>
      </c>
      <c r="Q354" s="52">
        <f>P354</f>
        <v>0</v>
      </c>
      <c r="R354" s="52">
        <f>VLOOKUP(B354,'2174'!$A$182:$G$567,6,0)</f>
        <v>27000</v>
      </c>
      <c r="S354" s="52">
        <f t="shared" si="230"/>
        <v>29454.545454545456</v>
      </c>
      <c r="T354" s="52">
        <v>40000</v>
      </c>
      <c r="U354" s="52">
        <f>VLOOKUP(B354,'ביצוע 2019'!$A$3:$H$1103,7,0)</f>
        <v>6800</v>
      </c>
      <c r="V354" s="52">
        <f t="shared" si="231"/>
        <v>6800</v>
      </c>
      <c r="W354" s="52"/>
      <c r="X354" s="52"/>
      <c r="Y354" s="52"/>
      <c r="Z354" s="101">
        <f t="shared" si="216"/>
        <v>1</v>
      </c>
    </row>
    <row r="355" spans="1:26" s="101" customFormat="1" ht="15.75">
      <c r="A355" s="21">
        <v>15</v>
      </c>
      <c r="B355" s="51">
        <v>1829200781</v>
      </c>
      <c r="C355" s="50" t="str">
        <f>RIGHT(B355,3)</f>
        <v>781</v>
      </c>
      <c r="D355" s="50" t="str">
        <f>MID(B355,2,6)</f>
        <v>829200</v>
      </c>
      <c r="E355" s="50" t="str">
        <f t="shared" si="228"/>
        <v>82</v>
      </c>
      <c r="F355" s="160" t="s">
        <v>1640</v>
      </c>
      <c r="G355" s="52"/>
      <c r="H355" s="52"/>
      <c r="I355" s="52"/>
      <c r="J355" s="52">
        <v>120000</v>
      </c>
      <c r="K355" s="52">
        <v>50000</v>
      </c>
      <c r="L355" s="52">
        <v>50000</v>
      </c>
      <c r="M355" s="52"/>
      <c r="N355" s="52">
        <f t="shared" si="229"/>
        <v>50000</v>
      </c>
      <c r="O355" s="52">
        <f>VLOOKUP(B:B,'דוח כספי 1-10.17'!A:D,4,0)</f>
        <v>0</v>
      </c>
      <c r="P355" s="52">
        <f t="shared" si="233"/>
        <v>0</v>
      </c>
      <c r="Q355" s="52">
        <f>P355</f>
        <v>0</v>
      </c>
      <c r="R355" s="52">
        <f>VLOOKUP(B355,'2174'!$A$182:$G$567,6,0)</f>
        <v>23348</v>
      </c>
      <c r="S355" s="52">
        <f t="shared" si="230"/>
        <v>25470.545454545456</v>
      </c>
      <c r="T355" s="52">
        <v>25000</v>
      </c>
      <c r="U355" s="52">
        <f>VLOOKUP(B355,'ביצוע 2019'!$A$3:$H$1103,7,0)</f>
        <v>31680</v>
      </c>
      <c r="V355" s="52">
        <f t="shared" si="231"/>
        <v>31680</v>
      </c>
      <c r="W355" s="52"/>
      <c r="X355" s="52"/>
      <c r="Y355" s="52"/>
      <c r="Z355" s="101">
        <f t="shared" si="216"/>
        <v>1</v>
      </c>
    </row>
    <row r="356" spans="1:26" s="101" customFormat="1" ht="15.75">
      <c r="A356" s="21">
        <v>15</v>
      </c>
      <c r="B356" s="51">
        <v>1829201781</v>
      </c>
      <c r="C356" s="50">
        <v>781</v>
      </c>
      <c r="D356" s="50">
        <v>829201</v>
      </c>
      <c r="E356" s="50">
        <v>82</v>
      </c>
      <c r="F356" s="160" t="s">
        <v>1641</v>
      </c>
      <c r="G356" s="52"/>
      <c r="H356" s="52"/>
      <c r="I356" s="52"/>
      <c r="J356" s="52"/>
      <c r="K356" s="52"/>
      <c r="L356" s="52">
        <v>45000</v>
      </c>
      <c r="M356" s="52"/>
      <c r="N356" s="52">
        <f t="shared" si="229"/>
        <v>45000</v>
      </c>
      <c r="O356" s="52">
        <f>VLOOKUP(B:B,'דוח כספי 1-10.17'!A:D,4,0)</f>
        <v>8650</v>
      </c>
      <c r="P356" s="52">
        <f t="shared" si="233"/>
        <v>10380</v>
      </c>
      <c r="Q356" s="52">
        <v>11000</v>
      </c>
      <c r="R356" s="52">
        <f>VLOOKUP(B356,'2174'!$A$182:$G$567,6,0)</f>
        <v>28133</v>
      </c>
      <c r="S356" s="52">
        <f t="shared" si="230"/>
        <v>30690.545454545456</v>
      </c>
      <c r="T356" s="52">
        <v>25000</v>
      </c>
      <c r="U356" s="52">
        <f>VLOOKUP(B356,'ביצוע 2019'!$A$3:$H$1103,7,0)</f>
        <v>18516.900000000001</v>
      </c>
      <c r="V356" s="52">
        <f t="shared" si="231"/>
        <v>18516.900000000001</v>
      </c>
      <c r="W356" s="52"/>
      <c r="X356" s="52"/>
      <c r="Y356" s="52"/>
      <c r="Z356" s="101">
        <f t="shared" si="216"/>
        <v>1</v>
      </c>
    </row>
    <row r="357" spans="1:26" s="101" customFormat="1" ht="15.75">
      <c r="A357" s="21">
        <v>16</v>
      </c>
      <c r="B357" s="51">
        <v>1829210110</v>
      </c>
      <c r="C357" s="50" t="str">
        <f t="shared" ref="C357:C361" si="234">RIGHT(B357,3)</f>
        <v>110</v>
      </c>
      <c r="D357" s="50" t="str">
        <f t="shared" ref="D357:D361" si="235">MID(B357,2,6)</f>
        <v>829210</v>
      </c>
      <c r="E357" s="50" t="str">
        <f t="shared" ref="E357:E361" si="236">LEFT(D357,2)</f>
        <v>82</v>
      </c>
      <c r="F357" s="51" t="s">
        <v>293</v>
      </c>
      <c r="G357" s="52">
        <v>25000</v>
      </c>
      <c r="H357" s="52">
        <v>20055.96</v>
      </c>
      <c r="I357" s="52">
        <v>4950.04</v>
      </c>
      <c r="J357" s="52">
        <v>0</v>
      </c>
      <c r="K357" s="52">
        <v>113000</v>
      </c>
      <c r="L357" s="52">
        <v>120000</v>
      </c>
      <c r="M357" s="52"/>
      <c r="N357" s="52">
        <f t="shared" si="229"/>
        <v>120000</v>
      </c>
      <c r="O357" s="52">
        <f>VLOOKUP(B:B,'דוח כספי 1-10.17'!A:D,4,0)</f>
        <v>72041.25</v>
      </c>
      <c r="P357" s="52">
        <v>100000</v>
      </c>
      <c r="Q357" s="52">
        <v>170000</v>
      </c>
      <c r="R357" s="52">
        <f>VLOOKUP(B357,'2174'!$A$182:$G$567,6,0)</f>
        <v>109782.13</v>
      </c>
      <c r="S357" s="63">
        <f>VLOOKUP(B357,'2174'!$A$575:$D$697,4,0)</f>
        <v>137659.81</v>
      </c>
      <c r="T357" s="52">
        <f>S357*1.0217</f>
        <v>140647.02787700001</v>
      </c>
      <c r="U357" s="56">
        <f>VLOOKUP(B357,'ביצוע 2019'!$A$3:$H$1103,7,0)</f>
        <v>63368.3</v>
      </c>
      <c r="V357" s="52">
        <v>120000</v>
      </c>
      <c r="W357" s="257"/>
      <c r="X357" s="52"/>
      <c r="Y357" s="52"/>
      <c r="Z357" s="101">
        <f t="shared" si="216"/>
        <v>1</v>
      </c>
    </row>
    <row r="358" spans="1:26" s="101" customFormat="1" ht="15.75" hidden="1">
      <c r="A358" s="21">
        <v>16</v>
      </c>
      <c r="B358" s="51">
        <v>1829210320</v>
      </c>
      <c r="C358" s="56" t="str">
        <f t="shared" ref="C358" si="237">RIGHT(B358,3)</f>
        <v>320</v>
      </c>
      <c r="D358" s="56" t="str">
        <f t="shared" ref="D358" si="238">MID(B358,2,6)</f>
        <v>829210</v>
      </c>
      <c r="E358" s="56" t="str">
        <f t="shared" ref="E358" si="239">LEFT(D358,2)</f>
        <v>82</v>
      </c>
      <c r="F358" s="56" t="s">
        <v>25</v>
      </c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63"/>
      <c r="T358" s="56"/>
      <c r="U358" s="56"/>
      <c r="V358" s="56"/>
      <c r="W358" s="56"/>
      <c r="X358" s="52"/>
      <c r="Y358" s="52"/>
      <c r="Z358" s="101">
        <f t="shared" si="216"/>
        <v>0</v>
      </c>
    </row>
    <row r="359" spans="1:26" s="101" customFormat="1" ht="15.75">
      <c r="A359" s="21">
        <v>15</v>
      </c>
      <c r="B359" s="51">
        <v>1829300750</v>
      </c>
      <c r="C359" s="50" t="str">
        <f t="shared" si="234"/>
        <v>750</v>
      </c>
      <c r="D359" s="50" t="str">
        <f t="shared" si="235"/>
        <v>829300</v>
      </c>
      <c r="E359" s="50" t="str">
        <f t="shared" si="236"/>
        <v>82</v>
      </c>
      <c r="F359" s="106" t="s">
        <v>294</v>
      </c>
      <c r="G359" s="52">
        <v>115000</v>
      </c>
      <c r="H359" s="52">
        <v>0</v>
      </c>
      <c r="I359" s="52">
        <v>115000</v>
      </c>
      <c r="J359" s="52">
        <v>0</v>
      </c>
      <c r="K359" s="52">
        <v>65000</v>
      </c>
      <c r="L359" s="52">
        <v>60000</v>
      </c>
      <c r="M359" s="52"/>
      <c r="N359" s="52">
        <f t="shared" si="229"/>
        <v>60000</v>
      </c>
      <c r="O359" s="52">
        <f>VLOOKUP(B:B,'דוח כספי 1-10.17'!A:D,4,0)</f>
        <v>251847.4</v>
      </c>
      <c r="P359" s="52">
        <f t="shared" si="233"/>
        <v>302216.88</v>
      </c>
      <c r="Q359" s="52">
        <v>63000</v>
      </c>
      <c r="R359" s="52">
        <f>VLOOKUP(B359,'2174'!$A$182:$G$567,6,0)</f>
        <v>69509</v>
      </c>
      <c r="S359" s="52">
        <f t="shared" ref="S359" si="240">R359*12/11</f>
        <v>75828</v>
      </c>
      <c r="T359" s="52">
        <v>50000</v>
      </c>
      <c r="U359" s="52">
        <f>VLOOKUP(B359,'ביצוע 2019'!$A$3:$H$1103,7,0)</f>
        <v>39885.699999999997</v>
      </c>
      <c r="V359" s="52">
        <f t="shared" si="231"/>
        <v>39885.699999999997</v>
      </c>
      <c r="W359" s="52"/>
      <c r="X359" s="52"/>
      <c r="Y359" s="52"/>
      <c r="Z359" s="101">
        <f t="shared" si="216"/>
        <v>1</v>
      </c>
    </row>
    <row r="360" spans="1:26" s="101" customFormat="1" ht="15.75">
      <c r="A360" s="21">
        <v>16</v>
      </c>
      <c r="B360" s="51">
        <v>1824000110</v>
      </c>
      <c r="C360" s="50" t="str">
        <f t="shared" si="234"/>
        <v>110</v>
      </c>
      <c r="D360" s="50" t="str">
        <f t="shared" si="235"/>
        <v>824000</v>
      </c>
      <c r="E360" s="50" t="str">
        <f t="shared" si="236"/>
        <v>82</v>
      </c>
      <c r="F360" s="106" t="s">
        <v>1798</v>
      </c>
      <c r="G360" s="52"/>
      <c r="H360" s="52"/>
      <c r="I360" s="52"/>
      <c r="J360" s="52"/>
      <c r="K360" s="52"/>
      <c r="L360" s="52">
        <v>3505</v>
      </c>
      <c r="M360" s="52"/>
      <c r="N360" s="52">
        <f t="shared" si="229"/>
        <v>3505</v>
      </c>
      <c r="O360" s="52"/>
      <c r="P360" s="52">
        <v>3505</v>
      </c>
      <c r="Q360" s="52">
        <v>0</v>
      </c>
      <c r="R360" s="52">
        <f>VLOOKUP(B360,'2174'!$A$182:$G$567,6,0)</f>
        <v>37864.99</v>
      </c>
      <c r="S360" s="63">
        <f>VLOOKUP(B360,'2174'!$A$575:$D$697,4,0)</f>
        <v>49353.46</v>
      </c>
      <c r="T360" s="52">
        <f>S360*1.0217</f>
        <v>50424.430081999999</v>
      </c>
      <c r="U360" s="261">
        <f>VLOOKUP(B360,'ביצוע 2019'!$A$3:$H$1103,7,0)</f>
        <v>4854.3999999999996</v>
      </c>
      <c r="V360" s="261">
        <v>50000</v>
      </c>
      <c r="W360" s="257">
        <v>0.5</v>
      </c>
      <c r="X360" s="52"/>
      <c r="Y360" s="52"/>
      <c r="Z360" s="101">
        <f t="shared" si="216"/>
        <v>1</v>
      </c>
    </row>
    <row r="361" spans="1:26" s="101" customFormat="1" ht="15.75" hidden="1">
      <c r="A361" s="21">
        <v>16</v>
      </c>
      <c r="B361" s="51">
        <v>1828300320</v>
      </c>
      <c r="C361" s="54" t="str">
        <f t="shared" si="234"/>
        <v>320</v>
      </c>
      <c r="D361" s="54" t="str">
        <f t="shared" si="235"/>
        <v>828300</v>
      </c>
      <c r="E361" s="54" t="str">
        <f t="shared" si="236"/>
        <v>82</v>
      </c>
      <c r="F361" s="245" t="s">
        <v>25</v>
      </c>
      <c r="G361" s="56"/>
      <c r="H361" s="56"/>
      <c r="I361" s="56"/>
      <c r="J361" s="56"/>
      <c r="K361" s="56"/>
      <c r="L361" s="56">
        <v>3072</v>
      </c>
      <c r="M361" s="56"/>
      <c r="N361" s="56">
        <f t="shared" si="229"/>
        <v>3072</v>
      </c>
      <c r="O361" s="56">
        <f>VLOOKUP(B:B,'דוח כספי 1-10.17'!A:D,4,0)</f>
        <v>3072</v>
      </c>
      <c r="P361" s="56">
        <f t="shared" si="233"/>
        <v>3686.4</v>
      </c>
      <c r="Q361" s="56">
        <v>3700</v>
      </c>
      <c r="R361" s="56"/>
      <c r="S361" s="56">
        <f>VLOOKUP(B361,'2174'!$A$575:$D$697,4,0)</f>
        <v>0</v>
      </c>
      <c r="T361" s="56">
        <f>S361*1.0217</f>
        <v>0</v>
      </c>
      <c r="U361" s="56">
        <f>VLOOKUP(B361,'ביצוע 2019'!$A$3:$H$1103,7,0)</f>
        <v>0</v>
      </c>
      <c r="V361" s="56">
        <f t="shared" si="231"/>
        <v>0</v>
      </c>
      <c r="W361" s="258"/>
      <c r="X361" s="52"/>
      <c r="Y361" s="52"/>
      <c r="Z361" s="101">
        <f t="shared" si="216"/>
        <v>0</v>
      </c>
    </row>
    <row r="362" spans="1:26" s="101" customFormat="1" ht="15.75">
      <c r="A362" s="21"/>
      <c r="B362" s="234"/>
      <c r="C362" s="235"/>
      <c r="D362" s="235"/>
      <c r="E362" s="235"/>
      <c r="F362" s="234" t="s">
        <v>1975</v>
      </c>
      <c r="G362" s="236"/>
      <c r="H362" s="236"/>
      <c r="I362" s="236"/>
      <c r="J362" s="236"/>
      <c r="K362" s="236"/>
      <c r="L362" s="236">
        <f>SUM(L342:L361)</f>
        <v>966577</v>
      </c>
      <c r="M362" s="236"/>
      <c r="N362" s="236">
        <f t="shared" ref="N362:W362" si="241">SUM(N342:N361)</f>
        <v>966577</v>
      </c>
      <c r="O362" s="236">
        <f t="shared" si="241"/>
        <v>690080.14</v>
      </c>
      <c r="P362" s="236">
        <f t="shared" si="241"/>
        <v>854953.72</v>
      </c>
      <c r="Q362" s="236">
        <f t="shared" si="241"/>
        <v>837033</v>
      </c>
      <c r="R362" s="236">
        <f t="shared" si="241"/>
        <v>688905.31</v>
      </c>
      <c r="S362" s="236">
        <f t="shared" si="241"/>
        <v>758245.92727272725</v>
      </c>
      <c r="T362" s="236">
        <f t="shared" si="241"/>
        <v>695434.03250445449</v>
      </c>
      <c r="U362" s="236">
        <f t="shared" si="241"/>
        <v>458589.85000000003</v>
      </c>
      <c r="V362" s="236">
        <f t="shared" si="241"/>
        <v>611367.15</v>
      </c>
      <c r="W362" s="236">
        <f t="shared" si="241"/>
        <v>1.5</v>
      </c>
      <c r="X362" s="52"/>
      <c r="Y362" s="52"/>
      <c r="Z362" s="101">
        <f t="shared" si="216"/>
        <v>1</v>
      </c>
    </row>
    <row r="363" spans="1:26" s="105" customFormat="1" ht="15.75">
      <c r="A363" s="102"/>
      <c r="B363" s="237"/>
      <c r="C363" s="238" t="s">
        <v>718</v>
      </c>
      <c r="D363" s="226"/>
      <c r="E363" s="226"/>
      <c r="F363" s="239"/>
      <c r="G363" s="228">
        <f>SUM(G328:G361)</f>
        <v>879000</v>
      </c>
      <c r="H363" s="228">
        <f>SUM(H328:H361)</f>
        <v>1295406.3800000001</v>
      </c>
      <c r="I363" s="228">
        <f>SUM(I328:I361)</f>
        <v>-416396.37999999989</v>
      </c>
      <c r="J363" s="228">
        <f>SUM(J328:J361)</f>
        <v>977000</v>
      </c>
      <c r="K363" s="228">
        <f>SUM(K328:K361)</f>
        <v>1172000</v>
      </c>
      <c r="L363" s="228">
        <f t="shared" ref="L363:W363" si="242">L362+L341</f>
        <v>2390146.888888889</v>
      </c>
      <c r="M363" s="228">
        <f t="shared" si="242"/>
        <v>0</v>
      </c>
      <c r="N363" s="228">
        <f t="shared" si="242"/>
        <v>2369205.888888889</v>
      </c>
      <c r="O363" s="228">
        <f t="shared" si="242"/>
        <v>1516820.2000000002</v>
      </c>
      <c r="P363" s="228">
        <f t="shared" si="242"/>
        <v>2005034.1199999999</v>
      </c>
      <c r="Q363" s="228">
        <f t="shared" si="242"/>
        <v>3191907</v>
      </c>
      <c r="R363" s="228">
        <f t="shared" si="242"/>
        <v>2948276.19</v>
      </c>
      <c r="S363" s="228">
        <f t="shared" si="242"/>
        <v>3234916.8690909091</v>
      </c>
      <c r="T363" s="228">
        <f t="shared" si="242"/>
        <v>3117317.3914230913</v>
      </c>
      <c r="U363" s="228">
        <f t="shared" si="242"/>
        <v>2622273.5</v>
      </c>
      <c r="V363" s="228">
        <f t="shared" si="242"/>
        <v>2677782.25</v>
      </c>
      <c r="W363" s="228">
        <f t="shared" si="242"/>
        <v>6.5</v>
      </c>
      <c r="X363" s="52"/>
      <c r="Y363" s="104"/>
      <c r="Z363" s="101">
        <f t="shared" si="216"/>
        <v>1</v>
      </c>
    </row>
    <row r="364" spans="1:26" s="105" customFormat="1" ht="15.75" hidden="1">
      <c r="A364" s="102"/>
      <c r="B364" s="103"/>
      <c r="C364" s="100" t="s">
        <v>719</v>
      </c>
      <c r="D364" s="50"/>
      <c r="E364" s="50"/>
      <c r="F364" s="51"/>
      <c r="G364" s="52"/>
      <c r="H364" s="52"/>
      <c r="I364" s="52"/>
      <c r="J364" s="52"/>
      <c r="K364" s="52">
        <f>+J364</f>
        <v>0</v>
      </c>
      <c r="L364" s="52"/>
      <c r="M364" s="52"/>
      <c r="N364" s="52"/>
      <c r="O364" s="52"/>
      <c r="P364" s="52">
        <f t="shared" si="233"/>
        <v>0</v>
      </c>
      <c r="Q364" s="52">
        <f>P364</f>
        <v>0</v>
      </c>
      <c r="R364" s="52"/>
      <c r="S364" s="52"/>
      <c r="T364" s="52"/>
      <c r="U364" s="261"/>
      <c r="V364" s="261"/>
      <c r="W364" s="52"/>
      <c r="X364" s="52"/>
      <c r="Y364" s="52"/>
      <c r="Z364" s="101">
        <f t="shared" si="216"/>
        <v>0</v>
      </c>
    </row>
    <row r="365" spans="1:26" s="101" customFormat="1" ht="15.75" hidden="1">
      <c r="A365" s="21">
        <v>15</v>
      </c>
      <c r="B365" s="51">
        <v>1832300540</v>
      </c>
      <c r="C365" s="50" t="str">
        <f>RIGHT(B365,3)</f>
        <v>540</v>
      </c>
      <c r="D365" s="50" t="str">
        <f>MID(B365,2,6)</f>
        <v>832300</v>
      </c>
      <c r="E365" s="50" t="str">
        <f>LEFT(D365,2)</f>
        <v>83</v>
      </c>
      <c r="F365" s="51" t="s">
        <v>299</v>
      </c>
      <c r="G365" s="52">
        <v>2000</v>
      </c>
      <c r="H365" s="52">
        <v>974.89</v>
      </c>
      <c r="I365" s="52">
        <v>1029.1099999999999</v>
      </c>
      <c r="J365" s="52">
        <v>1000</v>
      </c>
      <c r="K365" s="52">
        <v>1000</v>
      </c>
      <c r="L365" s="52">
        <v>1000</v>
      </c>
      <c r="M365" s="52"/>
      <c r="N365" s="52">
        <f t="shared" si="229"/>
        <v>1000</v>
      </c>
      <c r="O365" s="52">
        <f>VLOOKUP(B:B,'דוח כספי 1-10.17'!A:D,4,0)</f>
        <v>0</v>
      </c>
      <c r="P365" s="52">
        <f t="shared" si="233"/>
        <v>0</v>
      </c>
      <c r="Q365" s="52">
        <f>P365</f>
        <v>0</v>
      </c>
      <c r="R365" s="52">
        <f>VLOOKUP(B365,'2174'!$A$182:$G$567,6,0)</f>
        <v>0</v>
      </c>
      <c r="S365" s="52">
        <f t="shared" ref="S365:S370" si="243">R365*12/11</f>
        <v>0</v>
      </c>
      <c r="T365" s="52">
        <v>0</v>
      </c>
      <c r="U365" s="261">
        <f>VLOOKUP(B365,'ביצוע 2019'!$A$3:$H$1103,7,0)</f>
        <v>0</v>
      </c>
      <c r="V365" s="261">
        <f t="shared" ref="V365:V372" si="244">U365</f>
        <v>0</v>
      </c>
      <c r="W365" s="52"/>
      <c r="X365" s="52"/>
      <c r="Y365" s="52"/>
      <c r="Z365" s="101">
        <f t="shared" si="216"/>
        <v>0</v>
      </c>
    </row>
    <row r="366" spans="1:26" s="101" customFormat="1" ht="15.75" hidden="1">
      <c r="A366" s="21">
        <v>15</v>
      </c>
      <c r="B366" s="51">
        <v>1832300780</v>
      </c>
      <c r="C366" s="50" t="str">
        <f>RIGHT(B366,3)</f>
        <v>780</v>
      </c>
      <c r="D366" s="50" t="str">
        <f>MID(B366,2,6)</f>
        <v>832300</v>
      </c>
      <c r="E366" s="50" t="str">
        <f>LEFT(D366,2)</f>
        <v>83</v>
      </c>
      <c r="F366" s="51" t="s">
        <v>18</v>
      </c>
      <c r="G366" s="52">
        <v>4000</v>
      </c>
      <c r="H366" s="52">
        <v>1052</v>
      </c>
      <c r="I366" s="52">
        <v>2946</v>
      </c>
      <c r="J366" s="52">
        <v>4000</v>
      </c>
      <c r="K366" s="52">
        <v>4000</v>
      </c>
      <c r="L366" s="52">
        <v>4000</v>
      </c>
      <c r="M366" s="52"/>
      <c r="N366" s="52">
        <f t="shared" si="229"/>
        <v>4000</v>
      </c>
      <c r="O366" s="52">
        <f>VLOOKUP(B:B,'דוח כספי 1-10.17'!A:D,4,0)</f>
        <v>0</v>
      </c>
      <c r="P366" s="52">
        <f t="shared" si="233"/>
        <v>0</v>
      </c>
      <c r="Q366" s="52">
        <f>P366</f>
        <v>0</v>
      </c>
      <c r="R366" s="52">
        <f>VLOOKUP(B366,'2174'!$A$182:$G$567,6,0)</f>
        <v>0</v>
      </c>
      <c r="S366" s="52">
        <f t="shared" si="243"/>
        <v>0</v>
      </c>
      <c r="T366" s="52">
        <v>0</v>
      </c>
      <c r="U366" s="261"/>
      <c r="V366" s="261">
        <f t="shared" si="244"/>
        <v>0</v>
      </c>
      <c r="W366" s="52"/>
      <c r="X366" s="52"/>
      <c r="Y366" s="52"/>
      <c r="Z366" s="101">
        <f t="shared" si="216"/>
        <v>0</v>
      </c>
    </row>
    <row r="367" spans="1:26" s="101" customFormat="1" ht="15.75">
      <c r="A367" s="21">
        <v>16</v>
      </c>
      <c r="B367" s="51">
        <v>1832400110</v>
      </c>
      <c r="C367" s="50" t="str">
        <f>RIGHT(B367,3)</f>
        <v>110</v>
      </c>
      <c r="D367" s="50" t="str">
        <f>MID(B367,2,6)</f>
        <v>832400</v>
      </c>
      <c r="E367" s="50" t="str">
        <f>LEFT(D367,2)</f>
        <v>83</v>
      </c>
      <c r="F367" s="51" t="s">
        <v>300</v>
      </c>
      <c r="G367" s="52">
        <v>173000</v>
      </c>
      <c r="H367" s="52">
        <v>170142.89</v>
      </c>
      <c r="I367" s="52">
        <v>2858.11</v>
      </c>
      <c r="J367" s="52">
        <v>200000</v>
      </c>
      <c r="K367" s="52">
        <v>185000</v>
      </c>
      <c r="L367" s="52">
        <v>190000</v>
      </c>
      <c r="M367" s="52"/>
      <c r="N367" s="52">
        <f t="shared" si="229"/>
        <v>190000</v>
      </c>
      <c r="O367" s="52">
        <f>VLOOKUP(B:B,'דוח כספי 1-10.17'!A:D,4,0)</f>
        <v>112414.2</v>
      </c>
      <c r="P367" s="52">
        <v>135000</v>
      </c>
      <c r="Q367" s="52">
        <v>137000</v>
      </c>
      <c r="R367" s="52">
        <f>VLOOKUP(B367,'2174'!$A$182:$G$567,6,0)</f>
        <v>62208.03</v>
      </c>
      <c r="S367" s="63">
        <f>VLOOKUP(B367,'2174'!$A$575:$D$697,4,0)</f>
        <v>76611.41</v>
      </c>
      <c r="T367" s="52">
        <f>S367*1.0217</f>
        <v>78273.877597000013</v>
      </c>
      <c r="U367" s="261">
        <f>VLOOKUP(B367,'ביצוע 2019'!$A$3:$H$1103,7,0)</f>
        <v>64023.3</v>
      </c>
      <c r="V367" s="261">
        <v>70000</v>
      </c>
      <c r="W367" s="257">
        <v>0.6</v>
      </c>
      <c r="X367" s="52"/>
      <c r="Y367" s="52"/>
      <c r="Z367" s="101">
        <f t="shared" si="216"/>
        <v>1</v>
      </c>
    </row>
    <row r="368" spans="1:26" s="101" customFormat="1" ht="15.75">
      <c r="A368" s="21">
        <v>15</v>
      </c>
      <c r="B368" s="51">
        <v>1832400431</v>
      </c>
      <c r="C368" s="50" t="str">
        <f t="shared" ref="C368:C402" si="245">RIGHT(B368,3)</f>
        <v>431</v>
      </c>
      <c r="D368" s="50" t="str">
        <f t="shared" ref="D368:D402" si="246">MID(B368,2,6)</f>
        <v>832400</v>
      </c>
      <c r="E368" s="50" t="str">
        <f t="shared" ref="E368:E402" si="247">LEFT(D368,2)</f>
        <v>83</v>
      </c>
      <c r="F368" s="51" t="s">
        <v>301</v>
      </c>
      <c r="G368" s="52">
        <v>10000</v>
      </c>
      <c r="H368" s="52">
        <v>3580.87</v>
      </c>
      <c r="I368" s="52">
        <v>6419.13</v>
      </c>
      <c r="J368" s="52">
        <v>4000</v>
      </c>
      <c r="K368" s="52">
        <v>13000</v>
      </c>
      <c r="L368" s="52">
        <v>13000</v>
      </c>
      <c r="M368" s="52"/>
      <c r="N368" s="52">
        <f t="shared" si="229"/>
        <v>13000</v>
      </c>
      <c r="O368" s="52">
        <f>VLOOKUP(B:B,'דוח כספי 1-10.17'!A:D,4,0)</f>
        <v>2356.16</v>
      </c>
      <c r="P368" s="52">
        <f t="shared" si="233"/>
        <v>2827.3919999999998</v>
      </c>
      <c r="Q368" s="52">
        <v>2800</v>
      </c>
      <c r="R368" s="52">
        <f>VLOOKUP(B368,'2174'!$A$182:$G$567,6,0)</f>
        <v>19664.060000000001</v>
      </c>
      <c r="S368" s="52">
        <f t="shared" si="243"/>
        <v>21451.70181818182</v>
      </c>
      <c r="T368" s="52">
        <v>20000</v>
      </c>
      <c r="U368" s="261">
        <f>VLOOKUP(B368,'ביצוע 2019'!$A$3:$H$1103,7,0)</f>
        <v>-20855.55</v>
      </c>
      <c r="V368" s="261"/>
      <c r="W368" s="52"/>
      <c r="X368" s="52"/>
      <c r="Y368" s="52"/>
      <c r="Z368" s="101">
        <f t="shared" si="216"/>
        <v>1</v>
      </c>
    </row>
    <row r="369" spans="1:26" s="101" customFormat="1" ht="15.75" hidden="1">
      <c r="A369" s="21">
        <v>15</v>
      </c>
      <c r="B369" s="51">
        <v>1832400432</v>
      </c>
      <c r="C369" s="50" t="str">
        <f t="shared" si="245"/>
        <v>432</v>
      </c>
      <c r="D369" s="50" t="str">
        <f t="shared" si="246"/>
        <v>832400</v>
      </c>
      <c r="E369" s="50" t="str">
        <f t="shared" si="247"/>
        <v>83</v>
      </c>
      <c r="F369" s="51" t="s">
        <v>302</v>
      </c>
      <c r="G369" s="52">
        <v>0</v>
      </c>
      <c r="H369" s="52">
        <v>117693.7</v>
      </c>
      <c r="I369" s="52">
        <v>-117693.7</v>
      </c>
      <c r="J369" s="52">
        <v>20000</v>
      </c>
      <c r="K369" s="52">
        <v>20000</v>
      </c>
      <c r="L369" s="52">
        <v>20000</v>
      </c>
      <c r="M369" s="52"/>
      <c r="N369" s="52">
        <f t="shared" si="229"/>
        <v>20000</v>
      </c>
      <c r="O369" s="52">
        <f>VLOOKUP(B:B,'דוח כספי 1-10.17'!A:D,4,0)</f>
        <v>11971.3</v>
      </c>
      <c r="P369" s="52">
        <f t="shared" si="233"/>
        <v>14365.559999999998</v>
      </c>
      <c r="Q369" s="52">
        <v>14000</v>
      </c>
      <c r="R369" s="52">
        <f>VLOOKUP(B369,'2174'!$A$182:$G$567,6,0)</f>
        <v>0</v>
      </c>
      <c r="S369" s="52">
        <f t="shared" si="243"/>
        <v>0</v>
      </c>
      <c r="T369" s="52">
        <v>0</v>
      </c>
      <c r="U369" s="261">
        <f>VLOOKUP(B369,'ביצוע 2019'!$A$3:$H$1103,7,0)</f>
        <v>0</v>
      </c>
      <c r="V369" s="261">
        <f t="shared" si="244"/>
        <v>0</v>
      </c>
      <c r="W369" s="52"/>
      <c r="X369" s="52"/>
      <c r="Y369" s="52"/>
      <c r="Z369" s="101">
        <f t="shared" si="216"/>
        <v>0</v>
      </c>
    </row>
    <row r="370" spans="1:26" s="101" customFormat="1" ht="15.75" hidden="1">
      <c r="A370" s="21">
        <v>15</v>
      </c>
      <c r="B370" s="51">
        <v>1832400750</v>
      </c>
      <c r="C370" s="50" t="str">
        <f t="shared" si="245"/>
        <v>750</v>
      </c>
      <c r="D370" s="50" t="str">
        <f t="shared" si="246"/>
        <v>832400</v>
      </c>
      <c r="E370" s="50" t="str">
        <f t="shared" si="247"/>
        <v>83</v>
      </c>
      <c r="F370" s="51" t="s">
        <v>303</v>
      </c>
      <c r="G370" s="52">
        <v>5000</v>
      </c>
      <c r="H370" s="52">
        <v>5900</v>
      </c>
      <c r="I370" s="52">
        <v>-894</v>
      </c>
      <c r="J370" s="52">
        <v>5000</v>
      </c>
      <c r="K370" s="52">
        <v>5000</v>
      </c>
      <c r="L370" s="52">
        <v>30000</v>
      </c>
      <c r="M370" s="52"/>
      <c r="N370" s="52">
        <f t="shared" si="229"/>
        <v>30000</v>
      </c>
      <c r="O370" s="52">
        <f>VLOOKUP(B:B,'דוח כספי 1-10.17'!A:D,4,0)</f>
        <v>0</v>
      </c>
      <c r="P370" s="52">
        <f t="shared" si="233"/>
        <v>0</v>
      </c>
      <c r="Q370" s="52">
        <f>P370</f>
        <v>0</v>
      </c>
      <c r="R370" s="52">
        <f>VLOOKUP(B370,'2174'!$A$182:$G$567,6,0)</f>
        <v>47243</v>
      </c>
      <c r="S370" s="52">
        <f t="shared" si="243"/>
        <v>51537.818181818184</v>
      </c>
      <c r="T370" s="52">
        <v>0</v>
      </c>
      <c r="U370" s="261">
        <f>VLOOKUP(B370,'ביצוע 2019'!$A$3:$H$1103,7,0)</f>
        <v>0</v>
      </c>
      <c r="V370" s="261">
        <f t="shared" si="244"/>
        <v>0</v>
      </c>
      <c r="W370" s="52"/>
      <c r="X370" s="52"/>
      <c r="Y370" s="52"/>
      <c r="Z370" s="101">
        <f t="shared" si="216"/>
        <v>0</v>
      </c>
    </row>
    <row r="371" spans="1:26" s="101" customFormat="1" ht="15.75" hidden="1">
      <c r="A371" s="21">
        <v>15</v>
      </c>
      <c r="B371" s="51">
        <v>1832400780</v>
      </c>
      <c r="C371" s="50" t="str">
        <f t="shared" si="245"/>
        <v>780</v>
      </c>
      <c r="D371" s="50" t="str">
        <f t="shared" si="246"/>
        <v>832400</v>
      </c>
      <c r="E371" s="50" t="str">
        <f t="shared" si="247"/>
        <v>83</v>
      </c>
      <c r="F371" s="51" t="s">
        <v>304</v>
      </c>
      <c r="G371" s="52">
        <v>0</v>
      </c>
      <c r="H371" s="52">
        <v>0</v>
      </c>
      <c r="I371" s="52">
        <v>0</v>
      </c>
      <c r="J371" s="52">
        <v>0</v>
      </c>
      <c r="K371" s="52">
        <f>+J371</f>
        <v>0</v>
      </c>
      <c r="L371" s="52">
        <f>+K371</f>
        <v>0</v>
      </c>
      <c r="M371" s="52"/>
      <c r="N371" s="52">
        <f t="shared" si="229"/>
        <v>0</v>
      </c>
      <c r="O371" s="52">
        <f>VLOOKUP(B:B,'דוח כספי 1-10.17'!A:D,4,0)</f>
        <v>0</v>
      </c>
      <c r="P371" s="52">
        <f t="shared" si="233"/>
        <v>0</v>
      </c>
      <c r="Q371" s="52">
        <f>P371</f>
        <v>0</v>
      </c>
      <c r="R371" s="52"/>
      <c r="S371" s="52"/>
      <c r="T371" s="52"/>
      <c r="U371" s="261">
        <f>VLOOKUP(B371,'ביצוע 2019'!$A$3:$H$1103,7,0)</f>
        <v>0</v>
      </c>
      <c r="V371" s="261">
        <f t="shared" si="244"/>
        <v>0</v>
      </c>
      <c r="W371" s="52"/>
      <c r="X371" s="52"/>
      <c r="Y371" s="52"/>
      <c r="Z371" s="101">
        <f t="shared" si="216"/>
        <v>0</v>
      </c>
    </row>
    <row r="372" spans="1:26" s="101" customFormat="1" ht="15.75">
      <c r="A372" s="21">
        <v>15</v>
      </c>
      <c r="B372" s="51">
        <v>1836100830</v>
      </c>
      <c r="C372" s="50" t="str">
        <f t="shared" si="245"/>
        <v>830</v>
      </c>
      <c r="D372" s="50" t="str">
        <f t="shared" si="246"/>
        <v>836100</v>
      </c>
      <c r="E372" s="50" t="str">
        <f t="shared" si="247"/>
        <v>83</v>
      </c>
      <c r="F372" s="51" t="s">
        <v>305</v>
      </c>
      <c r="G372" s="52">
        <v>26000</v>
      </c>
      <c r="H372" s="52">
        <v>27155</v>
      </c>
      <c r="I372" s="52">
        <v>-1153</v>
      </c>
      <c r="J372" s="52">
        <v>27000</v>
      </c>
      <c r="K372" s="52">
        <v>27000</v>
      </c>
      <c r="L372" s="52">
        <v>27000</v>
      </c>
      <c r="M372" s="52"/>
      <c r="N372" s="52">
        <f t="shared" si="229"/>
        <v>27000</v>
      </c>
      <c r="O372" s="52">
        <f>VLOOKUP(B:B,'דוח כספי 1-10.17'!A:D,4,0)</f>
        <v>56502</v>
      </c>
      <c r="P372" s="52">
        <f t="shared" si="233"/>
        <v>67802.399999999994</v>
      </c>
      <c r="Q372" s="52">
        <v>67000</v>
      </c>
      <c r="R372" s="52">
        <f>VLOOKUP(B372,'2174'!$A$182:$G$567,6,0)</f>
        <v>14354</v>
      </c>
      <c r="S372" s="52">
        <v>0</v>
      </c>
      <c r="T372" s="52">
        <v>0</v>
      </c>
      <c r="U372" s="261">
        <f>VLOOKUP(B372,'ביצוע 2019'!$A$3:$H$1103,7,0)</f>
        <v>7345</v>
      </c>
      <c r="V372" s="261">
        <f t="shared" si="244"/>
        <v>7345</v>
      </c>
      <c r="W372" s="52"/>
      <c r="X372" s="52"/>
      <c r="Y372" s="52"/>
      <c r="Z372" s="101">
        <f t="shared" si="216"/>
        <v>1</v>
      </c>
    </row>
    <row r="373" spans="1:26" s="105" customFormat="1" ht="15.75">
      <c r="A373" s="102"/>
      <c r="B373" s="237"/>
      <c r="C373" s="238" t="s">
        <v>720</v>
      </c>
      <c r="D373" s="226"/>
      <c r="E373" s="226"/>
      <c r="F373" s="239"/>
      <c r="G373" s="228">
        <f t="shared" ref="G373:T373" si="248">SUM(G365:G372)</f>
        <v>220000</v>
      </c>
      <c r="H373" s="228">
        <f t="shared" si="248"/>
        <v>326499.35000000003</v>
      </c>
      <c r="I373" s="228">
        <f t="shared" si="248"/>
        <v>-106488.35</v>
      </c>
      <c r="J373" s="228">
        <f t="shared" si="248"/>
        <v>261000</v>
      </c>
      <c r="K373" s="228">
        <f t="shared" si="248"/>
        <v>255000</v>
      </c>
      <c r="L373" s="228">
        <f t="shared" si="248"/>
        <v>285000</v>
      </c>
      <c r="M373" s="228">
        <f t="shared" si="248"/>
        <v>0</v>
      </c>
      <c r="N373" s="228">
        <f t="shared" si="248"/>
        <v>285000</v>
      </c>
      <c r="O373" s="228">
        <f t="shared" si="248"/>
        <v>183243.66</v>
      </c>
      <c r="P373" s="228">
        <f t="shared" si="248"/>
        <v>219995.35199999998</v>
      </c>
      <c r="Q373" s="228">
        <f t="shared" si="248"/>
        <v>220800</v>
      </c>
      <c r="R373" s="228">
        <f t="shared" si="248"/>
        <v>143469.09</v>
      </c>
      <c r="S373" s="228">
        <f t="shared" si="248"/>
        <v>149600.93</v>
      </c>
      <c r="T373" s="228">
        <f t="shared" si="248"/>
        <v>98273.877597000013</v>
      </c>
      <c r="U373" s="228">
        <f t="shared" ref="U373:W373" si="249">SUM(U365:U372)</f>
        <v>50512.75</v>
      </c>
      <c r="V373" s="228">
        <f t="shared" si="249"/>
        <v>77345</v>
      </c>
      <c r="W373" s="228">
        <f t="shared" si="249"/>
        <v>0.6</v>
      </c>
      <c r="X373" s="52"/>
      <c r="Y373" s="104"/>
      <c r="Z373" s="101">
        <f t="shared" si="216"/>
        <v>1</v>
      </c>
    </row>
    <row r="374" spans="1:26" s="105" customFormat="1" ht="15.75" hidden="1">
      <c r="A374" s="102"/>
      <c r="B374" s="103"/>
      <c r="C374" s="100" t="s">
        <v>709</v>
      </c>
      <c r="D374" s="50"/>
      <c r="E374" s="50"/>
      <c r="F374" s="51"/>
      <c r="G374" s="52"/>
      <c r="H374" s="52"/>
      <c r="I374" s="52"/>
      <c r="J374" s="52"/>
      <c r="K374" s="52">
        <f>+J374</f>
        <v>0</v>
      </c>
      <c r="L374" s="52"/>
      <c r="M374" s="52"/>
      <c r="N374" s="52"/>
      <c r="O374" s="52"/>
      <c r="P374" s="52">
        <f t="shared" si="233"/>
        <v>0</v>
      </c>
      <c r="Q374" s="52">
        <f>P374</f>
        <v>0</v>
      </c>
      <c r="R374" s="52"/>
      <c r="S374" s="52"/>
      <c r="T374" s="52"/>
      <c r="U374" s="263"/>
      <c r="V374" s="261"/>
      <c r="W374" s="52"/>
      <c r="X374" s="52"/>
      <c r="Y374" s="52"/>
      <c r="Z374" s="101">
        <f t="shared" si="216"/>
        <v>0</v>
      </c>
    </row>
    <row r="375" spans="1:26" s="101" customFormat="1" ht="15.75" hidden="1">
      <c r="A375" s="21">
        <v>22</v>
      </c>
      <c r="B375" s="51">
        <v>1841000420</v>
      </c>
      <c r="C375" s="50" t="str">
        <f t="shared" si="245"/>
        <v>420</v>
      </c>
      <c r="D375" s="50" t="str">
        <f t="shared" si="246"/>
        <v>841000</v>
      </c>
      <c r="E375" s="50" t="str">
        <f t="shared" si="247"/>
        <v>84</v>
      </c>
      <c r="F375" s="51" t="s">
        <v>307</v>
      </c>
      <c r="G375" s="52">
        <v>12000</v>
      </c>
      <c r="H375" s="52">
        <v>2145</v>
      </c>
      <c r="I375" s="52">
        <v>9859</v>
      </c>
      <c r="J375" s="52">
        <v>5000</v>
      </c>
      <c r="K375" s="52">
        <v>5000</v>
      </c>
      <c r="L375" s="52">
        <v>5000</v>
      </c>
      <c r="M375" s="52"/>
      <c r="N375" s="52">
        <f t="shared" si="229"/>
        <v>5000</v>
      </c>
      <c r="O375" s="52">
        <f>VLOOKUP(B:B,'דוח כספי 1-10.17'!A:D,4,0)</f>
        <v>0</v>
      </c>
      <c r="P375" s="52">
        <f t="shared" si="233"/>
        <v>0</v>
      </c>
      <c r="Q375" s="52">
        <f>P375</f>
        <v>0</v>
      </c>
      <c r="R375" s="52">
        <f>VLOOKUP(B375,'2174'!$A$182:$G$567,6,0)</f>
        <v>0</v>
      </c>
      <c r="S375" s="52">
        <f>R375*12/11</f>
        <v>0</v>
      </c>
      <c r="T375" s="52">
        <v>0</v>
      </c>
      <c r="U375" s="261">
        <f>VLOOKUP(B375,'ביצוע 2019'!$A$3:$H$1103,7,0)</f>
        <v>0</v>
      </c>
      <c r="V375" s="261">
        <f t="shared" ref="V375:V387" si="250">U375</f>
        <v>0</v>
      </c>
      <c r="W375" s="52"/>
      <c r="X375" s="52"/>
      <c r="Y375" s="52"/>
      <c r="Z375" s="101">
        <f t="shared" si="216"/>
        <v>0</v>
      </c>
    </row>
    <row r="376" spans="1:26" s="101" customFormat="1" ht="15.75">
      <c r="A376" s="21">
        <v>22</v>
      </c>
      <c r="B376" s="51">
        <v>1841000431</v>
      </c>
      <c r="C376" s="50" t="str">
        <f t="shared" si="245"/>
        <v>431</v>
      </c>
      <c r="D376" s="50" t="str">
        <f t="shared" si="246"/>
        <v>841000</v>
      </c>
      <c r="E376" s="50" t="str">
        <f t="shared" si="247"/>
        <v>84</v>
      </c>
      <c r="F376" s="51" t="s">
        <v>308</v>
      </c>
      <c r="G376" s="52">
        <v>0</v>
      </c>
      <c r="H376" s="52">
        <v>0</v>
      </c>
      <c r="I376" s="52">
        <v>0</v>
      </c>
      <c r="J376" s="52">
        <v>0</v>
      </c>
      <c r="K376" s="52">
        <f>+J376</f>
        <v>0</v>
      </c>
      <c r="L376" s="52">
        <f>+K376</f>
        <v>0</v>
      </c>
      <c r="M376" s="52"/>
      <c r="N376" s="52">
        <f t="shared" si="229"/>
        <v>0</v>
      </c>
      <c r="O376" s="52">
        <f>VLOOKUP(B:B,'דוח כספי 1-10.17'!A:D,4,0)</f>
        <v>0</v>
      </c>
      <c r="P376" s="52">
        <f t="shared" si="233"/>
        <v>0</v>
      </c>
      <c r="Q376" s="52">
        <f>P376</f>
        <v>0</v>
      </c>
      <c r="R376" s="52"/>
      <c r="S376" s="52"/>
      <c r="T376" s="52"/>
      <c r="U376" s="261">
        <f>VLOOKUP(B376,'ביצוע 2019'!$A$3:$H$1103,7,0)</f>
        <v>10918.02</v>
      </c>
      <c r="V376" s="261">
        <f t="shared" si="250"/>
        <v>10918.02</v>
      </c>
      <c r="W376" s="52"/>
      <c r="X376" s="52"/>
      <c r="Y376" s="52"/>
      <c r="Z376" s="101">
        <f t="shared" si="216"/>
        <v>1</v>
      </c>
    </row>
    <row r="377" spans="1:26" s="101" customFormat="1" ht="15.75" hidden="1">
      <c r="A377" s="21">
        <v>22</v>
      </c>
      <c r="B377" s="51">
        <v>1841000523</v>
      </c>
      <c r="C377" s="50" t="str">
        <f t="shared" si="245"/>
        <v>523</v>
      </c>
      <c r="D377" s="50" t="str">
        <f t="shared" si="246"/>
        <v>841000</v>
      </c>
      <c r="E377" s="50" t="str">
        <f t="shared" si="247"/>
        <v>84</v>
      </c>
      <c r="F377" s="51" t="s">
        <v>28</v>
      </c>
      <c r="G377" s="52">
        <v>10000</v>
      </c>
      <c r="H377" s="52">
        <v>1540</v>
      </c>
      <c r="I377" s="52">
        <v>8460</v>
      </c>
      <c r="J377" s="52">
        <v>2000</v>
      </c>
      <c r="K377" s="52">
        <f>+J377</f>
        <v>2000</v>
      </c>
      <c r="L377" s="52">
        <v>2000</v>
      </c>
      <c r="M377" s="52"/>
      <c r="N377" s="52">
        <f t="shared" si="229"/>
        <v>2000</v>
      </c>
      <c r="O377" s="52">
        <f>VLOOKUP(B:B,'דוח כספי 1-10.17'!A:D,4,0)</f>
        <v>800</v>
      </c>
      <c r="P377" s="52">
        <f t="shared" si="233"/>
        <v>960</v>
      </c>
      <c r="Q377" s="52">
        <v>930</v>
      </c>
      <c r="R377" s="52">
        <f>VLOOKUP(B377,'2174'!$A$182:$G$567,6,0)</f>
        <v>0</v>
      </c>
      <c r="S377" s="52">
        <f t="shared" ref="S377:S378" si="251">R377*12/11</f>
        <v>0</v>
      </c>
      <c r="T377" s="52">
        <v>0</v>
      </c>
      <c r="U377" s="261">
        <f>VLOOKUP(B377,'ביצוע 2019'!$A$3:$H$1103,7,0)</f>
        <v>0</v>
      </c>
      <c r="V377" s="261">
        <f t="shared" si="250"/>
        <v>0</v>
      </c>
      <c r="W377" s="52"/>
      <c r="X377" s="52"/>
      <c r="Y377" s="52"/>
      <c r="Z377" s="101">
        <f t="shared" si="216"/>
        <v>0</v>
      </c>
    </row>
    <row r="378" spans="1:26" s="101" customFormat="1" ht="15.75">
      <c r="A378" s="21">
        <v>22</v>
      </c>
      <c r="B378" s="51">
        <v>1841000780</v>
      </c>
      <c r="C378" s="50" t="str">
        <f t="shared" si="245"/>
        <v>780</v>
      </c>
      <c r="D378" s="50" t="str">
        <f t="shared" si="246"/>
        <v>841000</v>
      </c>
      <c r="E378" s="50" t="str">
        <f t="shared" si="247"/>
        <v>84</v>
      </c>
      <c r="F378" s="51" t="s">
        <v>18</v>
      </c>
      <c r="G378" s="52">
        <v>11000</v>
      </c>
      <c r="H378" s="52">
        <v>8244.31</v>
      </c>
      <c r="I378" s="52">
        <v>2752.69</v>
      </c>
      <c r="J378" s="52">
        <v>8000</v>
      </c>
      <c r="K378" s="52">
        <v>15000</v>
      </c>
      <c r="L378" s="52">
        <v>15000</v>
      </c>
      <c r="M378" s="52"/>
      <c r="N378" s="52">
        <f t="shared" si="229"/>
        <v>15000</v>
      </c>
      <c r="O378" s="52">
        <f>VLOOKUP(B:B,'דוח כספי 1-10.17'!A:D,4,0)</f>
        <v>11423.7</v>
      </c>
      <c r="P378" s="52">
        <f t="shared" si="233"/>
        <v>13708.440000000002</v>
      </c>
      <c r="Q378" s="52">
        <v>13000</v>
      </c>
      <c r="R378" s="52">
        <f>VLOOKUP(B378,'2174'!$A$182:$G$567,6,0)</f>
        <v>20497.5</v>
      </c>
      <c r="S378" s="52">
        <f t="shared" si="251"/>
        <v>22360.909090909092</v>
      </c>
      <c r="T378" s="52">
        <v>15000</v>
      </c>
      <c r="U378" s="261">
        <f>VLOOKUP(B378,'ביצוע 2019'!$A$3:$H$1103,7,0)</f>
        <v>24088.44</v>
      </c>
      <c r="V378" s="261">
        <f t="shared" si="250"/>
        <v>24088.44</v>
      </c>
      <c r="W378" s="52"/>
      <c r="X378" s="52"/>
      <c r="Y378" s="52"/>
      <c r="Z378" s="101">
        <f t="shared" si="216"/>
        <v>1</v>
      </c>
    </row>
    <row r="379" spans="1:26" s="101" customFormat="1" ht="15.75">
      <c r="A379" s="21">
        <v>21</v>
      </c>
      <c r="B379" s="51">
        <v>1841001110</v>
      </c>
      <c r="C379" s="50" t="str">
        <f t="shared" si="245"/>
        <v>110</v>
      </c>
      <c r="D379" s="50" t="str">
        <f t="shared" si="246"/>
        <v>841001</v>
      </c>
      <c r="E379" s="50" t="str">
        <f t="shared" si="247"/>
        <v>84</v>
      </c>
      <c r="F379" s="51" t="s">
        <v>309</v>
      </c>
      <c r="G379" s="52">
        <v>1532000</v>
      </c>
      <c r="H379" s="52">
        <v>1475098.19</v>
      </c>
      <c r="I379" s="52">
        <v>56905.81</v>
      </c>
      <c r="J379" s="52">
        <v>1973000</v>
      </c>
      <c r="K379" s="52">
        <f>1793000+150000</f>
        <v>1943000</v>
      </c>
      <c r="L379" s="52">
        <v>1845000</v>
      </c>
      <c r="M379" s="52"/>
      <c r="N379" s="52">
        <f t="shared" si="229"/>
        <v>1845000</v>
      </c>
      <c r="O379" s="52">
        <f>VLOOKUP(B:B,'דוח כספי 1-10.17'!A:D,4,0)</f>
        <v>1437220.74</v>
      </c>
      <c r="P379" s="52">
        <v>1980000</v>
      </c>
      <c r="Q379" s="52">
        <v>2126000</v>
      </c>
      <c r="R379" s="52">
        <f>VLOOKUP(B379,'2174'!$A$182:$G$567,6,0)</f>
        <v>1552476.74</v>
      </c>
      <c r="S379" s="63">
        <f>VLOOKUP(B379,'2174'!$A$575:$D$697,4,0)</f>
        <v>2117625.73</v>
      </c>
      <c r="T379" s="52">
        <v>2300000</v>
      </c>
      <c r="U379" s="261">
        <f>VLOOKUP(B379,'ביצוע 2019'!$A$3:$H$1103,7,0)</f>
        <v>2402518.13</v>
      </c>
      <c r="V379" s="261">
        <f>2610000+205000-55000</f>
        <v>2760000</v>
      </c>
      <c r="W379" s="63">
        <v>15</v>
      </c>
      <c r="X379" s="52"/>
      <c r="Y379" s="158"/>
      <c r="Z379" s="101">
        <f t="shared" si="216"/>
        <v>1</v>
      </c>
    </row>
    <row r="380" spans="1:26" s="101" customFormat="1" ht="15.75" hidden="1">
      <c r="A380" s="21">
        <v>21</v>
      </c>
      <c r="B380" s="51">
        <v>1841001320</v>
      </c>
      <c r="C380" s="54" t="str">
        <f t="shared" si="245"/>
        <v>320</v>
      </c>
      <c r="D380" s="54" t="str">
        <f t="shared" si="246"/>
        <v>841001</v>
      </c>
      <c r="E380" s="54" t="str">
        <f t="shared" si="247"/>
        <v>84</v>
      </c>
      <c r="F380" s="55" t="s">
        <v>25</v>
      </c>
      <c r="G380" s="52">
        <v>0</v>
      </c>
      <c r="H380" s="52">
        <v>8719.6</v>
      </c>
      <c r="I380" s="52">
        <v>-8719.6</v>
      </c>
      <c r="J380" s="52">
        <v>0</v>
      </c>
      <c r="K380" s="52">
        <f>+J380</f>
        <v>0</v>
      </c>
      <c r="L380" s="56">
        <f>+K380</f>
        <v>0</v>
      </c>
      <c r="M380" s="52"/>
      <c r="N380" s="52">
        <f t="shared" si="229"/>
        <v>0</v>
      </c>
      <c r="O380" s="52">
        <f>VLOOKUP(B:B,'דוח כספי 1-10.17'!A:D,4,0)</f>
        <v>28604</v>
      </c>
      <c r="P380" s="56">
        <f t="shared" si="233"/>
        <v>34324.800000000003</v>
      </c>
      <c r="Q380" s="56">
        <v>34000</v>
      </c>
      <c r="R380" s="56"/>
      <c r="S380" s="64">
        <v>0</v>
      </c>
      <c r="T380" s="56">
        <v>0</v>
      </c>
      <c r="U380" s="56">
        <f>VLOOKUP(B380,'ביצוע 2019'!$A$3:$H$1103,7,0)</f>
        <v>0</v>
      </c>
      <c r="V380" s="56">
        <f t="shared" si="250"/>
        <v>0</v>
      </c>
      <c r="W380" s="56"/>
      <c r="X380" s="52"/>
      <c r="Y380" s="52"/>
      <c r="Z380" s="101">
        <f t="shared" si="216"/>
        <v>0</v>
      </c>
    </row>
    <row r="381" spans="1:26" s="101" customFormat="1" ht="15.75">
      <c r="A381" s="21">
        <v>22</v>
      </c>
      <c r="B381" s="51">
        <v>1841003410</v>
      </c>
      <c r="C381" s="50" t="str">
        <f t="shared" si="245"/>
        <v>410</v>
      </c>
      <c r="D381" s="50" t="str">
        <f t="shared" si="246"/>
        <v>841003</v>
      </c>
      <c r="E381" s="50" t="str">
        <f t="shared" si="247"/>
        <v>84</v>
      </c>
      <c r="F381" s="51" t="s">
        <v>311</v>
      </c>
      <c r="G381" s="52">
        <v>108000</v>
      </c>
      <c r="H381" s="52">
        <v>108000</v>
      </c>
      <c r="I381" s="52">
        <v>-4</v>
      </c>
      <c r="J381" s="52">
        <v>108000</v>
      </c>
      <c r="K381" s="52">
        <v>108000</v>
      </c>
      <c r="L381" s="52">
        <v>108000</v>
      </c>
      <c r="M381" s="52"/>
      <c r="N381" s="52">
        <f t="shared" si="229"/>
        <v>108000</v>
      </c>
      <c r="O381" s="52">
        <f>VLOOKUP(B:B,'דוח כספי 1-10.17'!A:D,4,0)</f>
        <v>95600</v>
      </c>
      <c r="P381" s="52">
        <f t="shared" si="233"/>
        <v>114720</v>
      </c>
      <c r="Q381" s="52">
        <v>115000</v>
      </c>
      <c r="R381" s="52">
        <f>VLOOKUP(B381,'2174'!$A$182:$G$567,6,0)</f>
        <v>63000</v>
      </c>
      <c r="S381" s="52">
        <v>108000</v>
      </c>
      <c r="T381" s="52">
        <v>126000</v>
      </c>
      <c r="U381" s="261">
        <f>VLOOKUP(B381,'ביצוע 2019'!$A$3:$H$1103,7,0)</f>
        <v>126360</v>
      </c>
      <c r="V381" s="261">
        <f t="shared" si="250"/>
        <v>126360</v>
      </c>
      <c r="W381" s="52"/>
      <c r="X381" s="52"/>
      <c r="Y381" s="52"/>
      <c r="Z381" s="101">
        <f t="shared" si="216"/>
        <v>1</v>
      </c>
    </row>
    <row r="382" spans="1:26" s="101" customFormat="1" ht="15.75" hidden="1">
      <c r="A382" s="21">
        <v>22</v>
      </c>
      <c r="B382" s="51">
        <v>1841003431</v>
      </c>
      <c r="C382" s="50" t="str">
        <f t="shared" si="245"/>
        <v>431</v>
      </c>
      <c r="D382" s="50" t="str">
        <f t="shared" si="246"/>
        <v>841003</v>
      </c>
      <c r="E382" s="50" t="str">
        <f t="shared" si="247"/>
        <v>84</v>
      </c>
      <c r="F382" s="51" t="s">
        <v>26</v>
      </c>
      <c r="G382" s="52">
        <v>0</v>
      </c>
      <c r="H382" s="52">
        <v>0</v>
      </c>
      <c r="I382" s="52">
        <v>0</v>
      </c>
      <c r="J382" s="52">
        <v>15000</v>
      </c>
      <c r="K382" s="52">
        <v>15000</v>
      </c>
      <c r="L382" s="52">
        <v>15000</v>
      </c>
      <c r="M382" s="52"/>
      <c r="N382" s="52">
        <f t="shared" si="229"/>
        <v>15000</v>
      </c>
      <c r="O382" s="52">
        <f>VLOOKUP(B:B,'דוח כספי 1-10.17'!A:D,4,0)</f>
        <v>0</v>
      </c>
      <c r="P382" s="52">
        <f t="shared" si="233"/>
        <v>0</v>
      </c>
      <c r="Q382" s="52">
        <f>P382</f>
        <v>0</v>
      </c>
      <c r="R382" s="52">
        <f>VLOOKUP(B382,'2174'!$A$182:$G$567,6,0)</f>
        <v>0</v>
      </c>
      <c r="S382" s="52">
        <f t="shared" ref="S382:S387" si="252">R382*12/11</f>
        <v>0</v>
      </c>
      <c r="T382" s="52">
        <v>0</v>
      </c>
      <c r="U382" s="261">
        <f>VLOOKUP(B382,'ביצוע 2019'!$A$3:$H$1103,7,0)</f>
        <v>0</v>
      </c>
      <c r="V382" s="261">
        <f t="shared" si="250"/>
        <v>0</v>
      </c>
      <c r="W382" s="52"/>
      <c r="X382" s="52"/>
      <c r="Y382" s="52"/>
      <c r="Z382" s="101">
        <f t="shared" si="216"/>
        <v>0</v>
      </c>
    </row>
    <row r="383" spans="1:26" s="101" customFormat="1" ht="15.75" hidden="1">
      <c r="A383" s="21">
        <v>22</v>
      </c>
      <c r="B383" s="51">
        <v>1841003540</v>
      </c>
      <c r="C383" s="50" t="str">
        <f t="shared" si="245"/>
        <v>540</v>
      </c>
      <c r="D383" s="50" t="str">
        <f t="shared" si="246"/>
        <v>841003</v>
      </c>
      <c r="E383" s="50" t="str">
        <f t="shared" si="247"/>
        <v>84</v>
      </c>
      <c r="F383" s="51" t="s">
        <v>104</v>
      </c>
      <c r="G383" s="52">
        <v>6000</v>
      </c>
      <c r="H383" s="52">
        <v>4737.8999999999996</v>
      </c>
      <c r="I383" s="52">
        <v>1264.0999999999999</v>
      </c>
      <c r="J383" s="52">
        <v>5000</v>
      </c>
      <c r="K383" s="52">
        <v>1500</v>
      </c>
      <c r="L383" s="52">
        <v>1500</v>
      </c>
      <c r="M383" s="52"/>
      <c r="N383" s="52">
        <f t="shared" si="229"/>
        <v>1500</v>
      </c>
      <c r="O383" s="52">
        <f>VLOOKUP(B:B,'דוח כספי 1-10.17'!A:D,4,0)</f>
        <v>1334</v>
      </c>
      <c r="P383" s="52">
        <f t="shared" si="233"/>
        <v>1600.8</v>
      </c>
      <c r="Q383" s="52">
        <v>1600</v>
      </c>
      <c r="R383" s="52">
        <f>VLOOKUP(B383,'2174'!$A$182:$G$567,6,0)</f>
        <v>0</v>
      </c>
      <c r="S383" s="52">
        <f t="shared" si="252"/>
        <v>0</v>
      </c>
      <c r="T383" s="52">
        <v>0</v>
      </c>
      <c r="U383" s="261">
        <f>VLOOKUP(B383,'ביצוע 2019'!$A$3:$H$1103,7,0)</f>
        <v>0</v>
      </c>
      <c r="V383" s="261">
        <f t="shared" si="250"/>
        <v>0</v>
      </c>
      <c r="W383" s="52"/>
      <c r="X383" s="52"/>
      <c r="Y383" s="52"/>
      <c r="Z383" s="101">
        <f t="shared" si="216"/>
        <v>0</v>
      </c>
    </row>
    <row r="384" spans="1:26" s="101" customFormat="1" ht="15.75">
      <c r="A384" s="21">
        <v>22</v>
      </c>
      <c r="B384" s="51">
        <v>1841003560</v>
      </c>
      <c r="C384" s="50" t="str">
        <f t="shared" si="245"/>
        <v>560</v>
      </c>
      <c r="D384" s="50" t="str">
        <f t="shared" si="246"/>
        <v>841003</v>
      </c>
      <c r="E384" s="50" t="str">
        <f t="shared" si="247"/>
        <v>84</v>
      </c>
      <c r="F384" s="51" t="s">
        <v>312</v>
      </c>
      <c r="G384" s="52">
        <v>0</v>
      </c>
      <c r="H384" s="52">
        <v>16044.2</v>
      </c>
      <c r="I384" s="52">
        <v>-16044.2</v>
      </c>
      <c r="J384" s="52">
        <v>15000</v>
      </c>
      <c r="K384" s="52">
        <f>+J384</f>
        <v>15000</v>
      </c>
      <c r="L384" s="52">
        <f>+K384</f>
        <v>15000</v>
      </c>
      <c r="M384" s="52"/>
      <c r="N384" s="52">
        <f t="shared" si="229"/>
        <v>15000</v>
      </c>
      <c r="O384" s="52">
        <f>VLOOKUP(B:B,'דוח כספי 1-10.17'!A:D,4,0)</f>
        <v>0</v>
      </c>
      <c r="P384" s="52">
        <f t="shared" si="233"/>
        <v>0</v>
      </c>
      <c r="Q384" s="52">
        <v>10000</v>
      </c>
      <c r="R384" s="52">
        <f>VLOOKUP(B384,'2174'!$A$182:$G$567,6,0)</f>
        <v>14855</v>
      </c>
      <c r="S384" s="52">
        <f t="shared" si="252"/>
        <v>16205.454545454546</v>
      </c>
      <c r="T384" s="52">
        <v>15000</v>
      </c>
      <c r="U384" s="261">
        <f>VLOOKUP(B384,'ביצוע 2019'!$A$3:$H$1103,7,0)</f>
        <v>3361</v>
      </c>
      <c r="V384" s="261">
        <f t="shared" si="250"/>
        <v>3361</v>
      </c>
      <c r="W384" s="52"/>
      <c r="X384" s="52"/>
      <c r="Y384" s="52"/>
      <c r="Z384" s="101">
        <f t="shared" si="216"/>
        <v>1</v>
      </c>
    </row>
    <row r="385" spans="1:26" s="101" customFormat="1" ht="15.75" hidden="1">
      <c r="A385" s="21">
        <v>22</v>
      </c>
      <c r="B385" s="51">
        <v>1841003570</v>
      </c>
      <c r="C385" s="50" t="str">
        <f t="shared" si="245"/>
        <v>570</v>
      </c>
      <c r="D385" s="50" t="str">
        <f t="shared" si="246"/>
        <v>841003</v>
      </c>
      <c r="E385" s="50" t="str">
        <f t="shared" si="247"/>
        <v>84</v>
      </c>
      <c r="F385" s="51" t="s">
        <v>313</v>
      </c>
      <c r="G385" s="52">
        <v>0</v>
      </c>
      <c r="H385" s="52">
        <v>4485.57</v>
      </c>
      <c r="I385" s="52">
        <v>-4485.57</v>
      </c>
      <c r="J385" s="52">
        <v>5000</v>
      </c>
      <c r="K385" s="52">
        <v>18000</v>
      </c>
      <c r="L385" s="52">
        <v>18000</v>
      </c>
      <c r="M385" s="52"/>
      <c r="N385" s="52">
        <f t="shared" si="229"/>
        <v>18000</v>
      </c>
      <c r="O385" s="52">
        <f>VLOOKUP(B:B,'דוח כספי 1-10.17'!A:D,4,0)</f>
        <v>0</v>
      </c>
      <c r="P385" s="52">
        <f t="shared" si="233"/>
        <v>0</v>
      </c>
      <c r="Q385" s="52">
        <f>P385</f>
        <v>0</v>
      </c>
      <c r="R385" s="52">
        <f>VLOOKUP(B385,'2174'!$A$182:$G$567,6,0)</f>
        <v>0</v>
      </c>
      <c r="S385" s="52">
        <f t="shared" si="252"/>
        <v>0</v>
      </c>
      <c r="T385" s="52">
        <v>0</v>
      </c>
      <c r="U385" s="261">
        <f>VLOOKUP(B385,'ביצוע 2019'!$A$3:$H$1103,7,0)</f>
        <v>0</v>
      </c>
      <c r="V385" s="261">
        <f t="shared" si="250"/>
        <v>0</v>
      </c>
      <c r="W385" s="52"/>
      <c r="X385" s="52"/>
      <c r="Y385" s="52"/>
      <c r="Z385" s="101">
        <f t="shared" si="216"/>
        <v>0</v>
      </c>
    </row>
    <row r="386" spans="1:26" s="101" customFormat="1" ht="15.75">
      <c r="A386" s="21">
        <v>22</v>
      </c>
      <c r="B386" s="51">
        <v>1841003780</v>
      </c>
      <c r="C386" s="50" t="str">
        <f t="shared" si="245"/>
        <v>780</v>
      </c>
      <c r="D386" s="50" t="str">
        <f t="shared" si="246"/>
        <v>841003</v>
      </c>
      <c r="E386" s="50" t="str">
        <f t="shared" si="247"/>
        <v>84</v>
      </c>
      <c r="F386" s="51" t="s">
        <v>18</v>
      </c>
      <c r="G386" s="52">
        <v>0</v>
      </c>
      <c r="H386" s="52">
        <v>600</v>
      </c>
      <c r="I386" s="52">
        <v>-600</v>
      </c>
      <c r="J386" s="52">
        <v>0</v>
      </c>
      <c r="K386" s="52">
        <v>8000</v>
      </c>
      <c r="L386" s="52">
        <v>8000</v>
      </c>
      <c r="M386" s="52"/>
      <c r="N386" s="52">
        <f t="shared" si="229"/>
        <v>8000</v>
      </c>
      <c r="O386" s="52">
        <f>VLOOKUP(B:B,'דוח כספי 1-10.17'!A:D,4,0)</f>
        <v>0</v>
      </c>
      <c r="P386" s="52">
        <f t="shared" si="233"/>
        <v>0</v>
      </c>
      <c r="Q386" s="52">
        <f>P386</f>
        <v>0</v>
      </c>
      <c r="R386" s="52">
        <f>VLOOKUP(B386,'2174'!$A$182:$G$567,6,0)</f>
        <v>6000</v>
      </c>
      <c r="S386" s="52">
        <f t="shared" si="252"/>
        <v>6545.454545454545</v>
      </c>
      <c r="T386" s="52">
        <v>0</v>
      </c>
      <c r="U386" s="261">
        <f>VLOOKUP(B386,'ביצוע 2019'!$A$3:$H$1103,7,0)</f>
        <v>4930.5</v>
      </c>
      <c r="V386" s="261">
        <f t="shared" si="250"/>
        <v>4930.5</v>
      </c>
      <c r="W386" s="52"/>
      <c r="X386" s="52"/>
      <c r="Y386" s="52"/>
      <c r="Z386" s="101">
        <f t="shared" si="216"/>
        <v>1</v>
      </c>
    </row>
    <row r="387" spans="1:26" s="101" customFormat="1" ht="15.75" hidden="1">
      <c r="A387" s="21">
        <v>22</v>
      </c>
      <c r="B387" s="51">
        <v>1841003930</v>
      </c>
      <c r="C387" s="50" t="str">
        <f t="shared" si="245"/>
        <v>930</v>
      </c>
      <c r="D387" s="50" t="str">
        <f t="shared" si="246"/>
        <v>841003</v>
      </c>
      <c r="E387" s="50" t="str">
        <f t="shared" si="247"/>
        <v>84</v>
      </c>
      <c r="F387" s="51" t="s">
        <v>314</v>
      </c>
      <c r="G387" s="52">
        <v>0</v>
      </c>
      <c r="H387" s="52">
        <v>9600</v>
      </c>
      <c r="I387" s="52">
        <v>-9600</v>
      </c>
      <c r="J387" s="52">
        <v>5000</v>
      </c>
      <c r="K387" s="52">
        <v>5000</v>
      </c>
      <c r="L387" s="52">
        <v>5000</v>
      </c>
      <c r="M387" s="52"/>
      <c r="N387" s="52">
        <f t="shared" si="229"/>
        <v>5000</v>
      </c>
      <c r="O387" s="52">
        <f>VLOOKUP(B:B,'דוח כספי 1-10.17'!A:D,4,0)</f>
        <v>0</v>
      </c>
      <c r="P387" s="52">
        <f t="shared" si="233"/>
        <v>0</v>
      </c>
      <c r="Q387" s="52">
        <f>P387</f>
        <v>0</v>
      </c>
      <c r="R387" s="52">
        <f>VLOOKUP(B387,'2174'!$A$182:$G$567,6,0)</f>
        <v>0</v>
      </c>
      <c r="S387" s="52">
        <f t="shared" si="252"/>
        <v>0</v>
      </c>
      <c r="T387" s="52">
        <v>0</v>
      </c>
      <c r="U387" s="261">
        <f>VLOOKUP(B387,'ביצוע 2019'!$A$3:$H$1103,7,0)</f>
        <v>0</v>
      </c>
      <c r="V387" s="261">
        <f t="shared" si="250"/>
        <v>0</v>
      </c>
      <c r="W387" s="52"/>
      <c r="X387" s="52"/>
      <c r="Y387" s="52"/>
      <c r="Z387" s="101">
        <f t="shared" si="216"/>
        <v>0</v>
      </c>
    </row>
    <row r="388" spans="1:26" s="101" customFormat="1" ht="15.75">
      <c r="A388" s="21"/>
      <c r="B388" s="234"/>
      <c r="C388" s="235"/>
      <c r="D388" s="235"/>
      <c r="E388" s="235"/>
      <c r="F388" s="234" t="s">
        <v>1976</v>
      </c>
      <c r="G388" s="236"/>
      <c r="H388" s="236"/>
      <c r="I388" s="236"/>
      <c r="J388" s="236"/>
      <c r="K388" s="236"/>
      <c r="L388" s="236">
        <f>SUM(L375:L387)</f>
        <v>2037500</v>
      </c>
      <c r="M388" s="236"/>
      <c r="N388" s="236">
        <f t="shared" ref="N388:W388" si="253">SUM(N375:N387)</f>
        <v>2037500</v>
      </c>
      <c r="O388" s="236">
        <f t="shared" si="253"/>
        <v>1574982.44</v>
      </c>
      <c r="P388" s="236">
        <f t="shared" si="253"/>
        <v>2145314.04</v>
      </c>
      <c r="Q388" s="236">
        <f t="shared" si="253"/>
        <v>2300530</v>
      </c>
      <c r="R388" s="236">
        <f t="shared" si="253"/>
        <v>1656829.24</v>
      </c>
      <c r="S388" s="236">
        <f t="shared" si="253"/>
        <v>2270737.5481818183</v>
      </c>
      <c r="T388" s="236">
        <f t="shared" si="253"/>
        <v>2456000</v>
      </c>
      <c r="U388" s="236">
        <f t="shared" si="253"/>
        <v>2572176.09</v>
      </c>
      <c r="V388" s="236">
        <f t="shared" si="253"/>
        <v>2929657.96</v>
      </c>
      <c r="W388" s="236">
        <f t="shared" si="253"/>
        <v>15</v>
      </c>
      <c r="X388" s="52"/>
      <c r="Y388" s="52"/>
      <c r="Z388" s="101">
        <f t="shared" si="216"/>
        <v>1</v>
      </c>
    </row>
    <row r="389" spans="1:26" s="101" customFormat="1" ht="15.75">
      <c r="A389" s="21">
        <v>22</v>
      </c>
      <c r="B389" s="51">
        <v>1842202750</v>
      </c>
      <c r="C389" s="50" t="str">
        <f t="shared" ref="C389" si="254">RIGHT(B389,3)</f>
        <v>750</v>
      </c>
      <c r="D389" s="50" t="str">
        <f t="shared" ref="D389" si="255">MID(B389,2,6)</f>
        <v>842202</v>
      </c>
      <c r="E389" s="50" t="str">
        <f t="shared" ref="E389" si="256">LEFT(D389,2)</f>
        <v>84</v>
      </c>
      <c r="F389" s="51" t="s">
        <v>1816</v>
      </c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>
        <f>VLOOKUP(B389,'2174'!$A$182:$G$567,6,0)</f>
        <v>35082</v>
      </c>
      <c r="S389" s="63">
        <f>R389*12/11</f>
        <v>38271.272727272728</v>
      </c>
      <c r="T389" s="52">
        <v>50000</v>
      </c>
      <c r="U389" s="261">
        <f>VLOOKUP(B389,'ביצוע 2019'!$A$3:$H$1103,7,0)</f>
        <v>7686</v>
      </c>
      <c r="V389" s="261">
        <f t="shared" ref="V389:V394" si="257">U389</f>
        <v>7686</v>
      </c>
      <c r="W389" s="52"/>
      <c r="X389" s="52"/>
      <c r="Y389" s="52"/>
      <c r="Z389" s="101">
        <f t="shared" ref="Z389:Z452" si="258">IF((V389+U389+T389)&lt;&gt;0,1,0)</f>
        <v>1</v>
      </c>
    </row>
    <row r="390" spans="1:26" s="101" customFormat="1" ht="15.75">
      <c r="A390" s="21">
        <v>22</v>
      </c>
      <c r="B390" s="51">
        <v>1842202840</v>
      </c>
      <c r="C390" s="50" t="str">
        <f t="shared" si="245"/>
        <v>840</v>
      </c>
      <c r="D390" s="50" t="str">
        <f t="shared" si="246"/>
        <v>842202</v>
      </c>
      <c r="E390" s="50" t="str">
        <f t="shared" si="247"/>
        <v>84</v>
      </c>
      <c r="F390" s="51" t="s">
        <v>315</v>
      </c>
      <c r="G390" s="52">
        <v>77000</v>
      </c>
      <c r="H390" s="52">
        <v>268088</v>
      </c>
      <c r="I390" s="52">
        <v>-191089</v>
      </c>
      <c r="J390" s="52">
        <v>270000</v>
      </c>
      <c r="K390" s="52">
        <v>190000</v>
      </c>
      <c r="L390" s="52">
        <v>190000</v>
      </c>
      <c r="M390" s="52"/>
      <c r="N390" s="52">
        <f t="shared" si="229"/>
        <v>190000</v>
      </c>
      <c r="O390" s="52">
        <f>VLOOKUP(B:B,'דוח כספי 1-10.17'!A:D,4,0)</f>
        <v>167426</v>
      </c>
      <c r="P390" s="52">
        <f t="shared" si="233"/>
        <v>200911.2</v>
      </c>
      <c r="Q390" s="52">
        <v>201000</v>
      </c>
      <c r="R390" s="52">
        <f>VLOOKUP(B390,'2174'!$A$182:$G$567,6,0)</f>
        <v>176201</v>
      </c>
      <c r="S390" s="52">
        <f t="shared" ref="S390:S391" si="259">R390*12/11</f>
        <v>192219.27272727274</v>
      </c>
      <c r="T390" s="52">
        <v>192219.27272727274</v>
      </c>
      <c r="U390" s="261">
        <f>VLOOKUP(B390,'ביצוע 2019'!$A$3:$H$1103,7,0)</f>
        <v>155460</v>
      </c>
      <c r="V390" s="261">
        <f t="shared" si="257"/>
        <v>155460</v>
      </c>
      <c r="W390" s="52"/>
      <c r="X390" s="52"/>
      <c r="Y390" s="52"/>
      <c r="Z390" s="101">
        <f t="shared" si="258"/>
        <v>1</v>
      </c>
    </row>
    <row r="391" spans="1:26" s="101" customFormat="1" ht="15.75">
      <c r="A391" s="21">
        <v>22</v>
      </c>
      <c r="B391" s="51">
        <v>1842206840</v>
      </c>
      <c r="C391" s="50" t="str">
        <f t="shared" si="245"/>
        <v>840</v>
      </c>
      <c r="D391" s="50" t="str">
        <f t="shared" si="246"/>
        <v>842206</v>
      </c>
      <c r="E391" s="50" t="str">
        <f t="shared" si="247"/>
        <v>84</v>
      </c>
      <c r="F391" s="51" t="s">
        <v>323</v>
      </c>
      <c r="G391" s="52">
        <v>79000</v>
      </c>
      <c r="H391" s="52">
        <v>22950</v>
      </c>
      <c r="I391" s="52">
        <v>56053</v>
      </c>
      <c r="J391" s="52">
        <v>25000</v>
      </c>
      <c r="K391" s="52">
        <v>66000</v>
      </c>
      <c r="L391" s="52">
        <v>66000</v>
      </c>
      <c r="M391" s="52"/>
      <c r="N391" s="52">
        <f t="shared" si="229"/>
        <v>66000</v>
      </c>
      <c r="O391" s="52">
        <f>VLOOKUP(B:B,'דוח כספי 1-10.17'!A:D,4,0)</f>
        <v>43995</v>
      </c>
      <c r="P391" s="52">
        <f t="shared" si="233"/>
        <v>52794</v>
      </c>
      <c r="Q391" s="52">
        <v>53000</v>
      </c>
      <c r="R391" s="52">
        <f>VLOOKUP(B391,'2174'!$A$182:$G$567,6,0)</f>
        <v>62380</v>
      </c>
      <c r="S391" s="52">
        <f t="shared" si="259"/>
        <v>68050.909090909088</v>
      </c>
      <c r="T391" s="52">
        <v>70000</v>
      </c>
      <c r="U391" s="261">
        <f>VLOOKUP(B391,'ביצוע 2019'!$A$3:$H$1103,7,0)</f>
        <v>60982</v>
      </c>
      <c r="V391" s="261">
        <f t="shared" si="257"/>
        <v>60982</v>
      </c>
      <c r="W391" s="52"/>
      <c r="X391" s="52"/>
      <c r="Y391" s="52"/>
      <c r="Z391" s="101">
        <f t="shared" si="258"/>
        <v>1</v>
      </c>
    </row>
    <row r="392" spans="1:26" s="101" customFormat="1" ht="15.75">
      <c r="A392" s="21">
        <v>22</v>
      </c>
      <c r="B392" s="51">
        <v>1842208840</v>
      </c>
      <c r="C392" s="50" t="str">
        <f t="shared" ref="C392" si="260">RIGHT(B392,3)</f>
        <v>840</v>
      </c>
      <c r="D392" s="50" t="str">
        <f t="shared" ref="D392" si="261">MID(B392,2,6)</f>
        <v>842208</v>
      </c>
      <c r="E392" s="50" t="str">
        <f t="shared" ref="E392" si="262">LEFT(D392,2)</f>
        <v>84</v>
      </c>
      <c r="F392" s="51" t="s">
        <v>2025</v>
      </c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>
        <f>VLOOKUP(B392,'2174'!$A$182:$G$567,6,0)</f>
        <v>7114</v>
      </c>
      <c r="S392" s="63">
        <f>R392*12/11</f>
        <v>7760.727272727273</v>
      </c>
      <c r="T392" s="52">
        <v>8000</v>
      </c>
      <c r="U392" s="261">
        <f>VLOOKUP(B392,'ביצוע 2019'!$A$3:$H$1103,7,0)</f>
        <v>0</v>
      </c>
      <c r="V392" s="261">
        <f t="shared" si="257"/>
        <v>0</v>
      </c>
      <c r="W392" s="52"/>
      <c r="X392" s="52"/>
      <c r="Y392" s="52"/>
      <c r="Z392" s="101">
        <f t="shared" si="258"/>
        <v>1</v>
      </c>
    </row>
    <row r="393" spans="1:26" s="101" customFormat="1" ht="15.75">
      <c r="A393" s="21">
        <v>22</v>
      </c>
      <c r="B393" s="51">
        <v>1842401840</v>
      </c>
      <c r="C393" s="50" t="str">
        <f t="shared" si="245"/>
        <v>840</v>
      </c>
      <c r="D393" s="50" t="str">
        <f t="shared" si="246"/>
        <v>842401</v>
      </c>
      <c r="E393" s="50" t="str">
        <f t="shared" si="247"/>
        <v>84</v>
      </c>
      <c r="F393" s="51" t="s">
        <v>324</v>
      </c>
      <c r="G393" s="52">
        <v>0</v>
      </c>
      <c r="H393" s="52">
        <v>0</v>
      </c>
      <c r="I393" s="52">
        <v>0</v>
      </c>
      <c r="J393" s="52">
        <v>0</v>
      </c>
      <c r="K393" s="52">
        <f>+J393</f>
        <v>0</v>
      </c>
      <c r="L393" s="52">
        <f>+K393</f>
        <v>0</v>
      </c>
      <c r="M393" s="52"/>
      <c r="N393" s="52">
        <f t="shared" si="229"/>
        <v>0</v>
      </c>
      <c r="O393" s="52">
        <f>VLOOKUP(B:B,'דוח כספי 1-10.17'!A:D,4,0)</f>
        <v>0</v>
      </c>
      <c r="P393" s="52">
        <f t="shared" si="233"/>
        <v>0</v>
      </c>
      <c r="Q393" s="52">
        <f>P393</f>
        <v>0</v>
      </c>
      <c r="R393" s="52"/>
      <c r="S393" s="52"/>
      <c r="T393" s="52">
        <v>17333</v>
      </c>
      <c r="U393" s="261">
        <f>VLOOKUP(B393,'ביצוע 2019'!$A$3:$H$1103,7,0)</f>
        <v>5952</v>
      </c>
      <c r="V393" s="261">
        <f t="shared" si="257"/>
        <v>5952</v>
      </c>
      <c r="W393" s="52"/>
      <c r="X393" s="52"/>
      <c r="Y393" s="52"/>
      <c r="Z393" s="101">
        <f t="shared" si="258"/>
        <v>1</v>
      </c>
    </row>
    <row r="394" spans="1:26" s="101" customFormat="1" ht="15.75">
      <c r="A394" s="21">
        <v>22</v>
      </c>
      <c r="B394" s="51">
        <v>1842402840</v>
      </c>
      <c r="C394" s="50" t="str">
        <f t="shared" si="245"/>
        <v>840</v>
      </c>
      <c r="D394" s="50" t="str">
        <f t="shared" si="246"/>
        <v>842402</v>
      </c>
      <c r="E394" s="50" t="str">
        <f t="shared" si="247"/>
        <v>84</v>
      </c>
      <c r="F394" s="51" t="s">
        <v>325</v>
      </c>
      <c r="G394" s="52">
        <v>0</v>
      </c>
      <c r="H394" s="52">
        <v>0</v>
      </c>
      <c r="I394" s="52">
        <v>0</v>
      </c>
      <c r="J394" s="52">
        <v>0</v>
      </c>
      <c r="K394" s="52">
        <f>+J394</f>
        <v>0</v>
      </c>
      <c r="L394" s="52">
        <f>+K394</f>
        <v>0</v>
      </c>
      <c r="M394" s="52"/>
      <c r="N394" s="52">
        <f t="shared" ref="N394:N465" si="263">M394+L394</f>
        <v>0</v>
      </c>
      <c r="O394" s="52">
        <f>VLOOKUP(B:B,'דוח כספי 1-10.17'!A:D,4,0)</f>
        <v>7996</v>
      </c>
      <c r="P394" s="52">
        <f t="shared" si="233"/>
        <v>9595.2000000000007</v>
      </c>
      <c r="Q394" s="52">
        <v>10000</v>
      </c>
      <c r="R394" s="52">
        <f>VLOOKUP(B394,'2174'!$A$182:$G$567,6,0)</f>
        <v>18758</v>
      </c>
      <c r="S394" s="52">
        <f>R394*12/11</f>
        <v>20463.272727272728</v>
      </c>
      <c r="T394" s="52">
        <v>21000</v>
      </c>
      <c r="U394" s="261">
        <f>VLOOKUP(B394,'ביצוע 2019'!$A$3:$H$1103,7,0)</f>
        <v>7666</v>
      </c>
      <c r="V394" s="261">
        <f t="shared" si="257"/>
        <v>7666</v>
      </c>
      <c r="W394" s="52"/>
      <c r="X394" s="52"/>
      <c r="Y394" s="52"/>
      <c r="Z394" s="101">
        <f t="shared" si="258"/>
        <v>1</v>
      </c>
    </row>
    <row r="395" spans="1:26" s="101" customFormat="1" ht="15.75">
      <c r="A395" s="21"/>
      <c r="B395" s="234"/>
      <c r="C395" s="235"/>
      <c r="D395" s="235"/>
      <c r="E395" s="235"/>
      <c r="F395" s="234" t="s">
        <v>1977</v>
      </c>
      <c r="G395" s="236"/>
      <c r="H395" s="236"/>
      <c r="I395" s="236"/>
      <c r="J395" s="236"/>
      <c r="K395" s="236"/>
      <c r="L395" s="236">
        <f>SUM(L389:L394)</f>
        <v>256000</v>
      </c>
      <c r="M395" s="236">
        <f t="shared" ref="M395:W395" si="264">SUM(M389:M394)</f>
        <v>0</v>
      </c>
      <c r="N395" s="236">
        <f t="shared" si="264"/>
        <v>256000</v>
      </c>
      <c r="O395" s="236">
        <f t="shared" si="264"/>
        <v>219417</v>
      </c>
      <c r="P395" s="236">
        <f t="shared" si="264"/>
        <v>263300.40000000002</v>
      </c>
      <c r="Q395" s="236">
        <f t="shared" si="264"/>
        <v>264000</v>
      </c>
      <c r="R395" s="236">
        <f t="shared" si="264"/>
        <v>299535</v>
      </c>
      <c r="S395" s="236">
        <f t="shared" si="264"/>
        <v>326765.45454545459</v>
      </c>
      <c r="T395" s="236">
        <f t="shared" si="264"/>
        <v>358552.27272727271</v>
      </c>
      <c r="U395" s="236">
        <f t="shared" si="264"/>
        <v>237746</v>
      </c>
      <c r="V395" s="236">
        <f t="shared" si="264"/>
        <v>237746</v>
      </c>
      <c r="W395" s="236">
        <f t="shared" si="264"/>
        <v>0</v>
      </c>
      <c r="X395" s="52"/>
      <c r="Y395" s="52"/>
      <c r="Z395" s="101">
        <f t="shared" si="258"/>
        <v>1</v>
      </c>
    </row>
    <row r="396" spans="1:26" s="101" customFormat="1" ht="15.75">
      <c r="A396" s="21">
        <v>21</v>
      </c>
      <c r="B396" s="51">
        <v>1843501110</v>
      </c>
      <c r="C396" s="50" t="str">
        <f t="shared" si="245"/>
        <v>110</v>
      </c>
      <c r="D396" s="50" t="str">
        <f t="shared" si="246"/>
        <v>843501</v>
      </c>
      <c r="E396" s="50" t="str">
        <f t="shared" si="247"/>
        <v>84</v>
      </c>
      <c r="F396" s="55" t="s">
        <v>326</v>
      </c>
      <c r="G396" s="52">
        <v>70000</v>
      </c>
      <c r="H396" s="52">
        <v>108473.09</v>
      </c>
      <c r="I396" s="52">
        <v>-38473.089999999997</v>
      </c>
      <c r="J396" s="52">
        <v>0</v>
      </c>
      <c r="K396" s="52">
        <v>110000</v>
      </c>
      <c r="L396" s="56">
        <v>116000</v>
      </c>
      <c r="M396" s="52"/>
      <c r="N396" s="52">
        <f t="shared" si="263"/>
        <v>116000</v>
      </c>
      <c r="O396" s="52">
        <f>VLOOKUP(B:B,'דוח כספי 1-10.17'!A:D,4,0)</f>
        <v>91040.62</v>
      </c>
      <c r="P396" s="56">
        <v>115000</v>
      </c>
      <c r="Q396" s="56">
        <v>120000</v>
      </c>
      <c r="R396" s="56">
        <f>VLOOKUP(B396,'2174'!$A$182:$G$567,6,0)</f>
        <v>93189.63</v>
      </c>
      <c r="S396" s="64">
        <f>VLOOKUP(B396,'2174'!$A$575:$D$697,4,0)</f>
        <v>122348.3</v>
      </c>
      <c r="T396" s="56">
        <f>S396*1.0217</f>
        <v>125003.25811000001</v>
      </c>
      <c r="U396" s="261">
        <f>VLOOKUP(B396,'ביצוע 2019'!$A$3:$H$1103,7,0)</f>
        <v>107486.12</v>
      </c>
      <c r="V396" s="261">
        <v>112000</v>
      </c>
      <c r="W396" s="64">
        <v>0.5</v>
      </c>
      <c r="X396" s="52"/>
      <c r="Y396" s="52"/>
      <c r="Z396" s="101">
        <f t="shared" si="258"/>
        <v>1</v>
      </c>
    </row>
    <row r="397" spans="1:26" s="101" customFormat="1" ht="15.75" hidden="1">
      <c r="A397" s="21">
        <v>22</v>
      </c>
      <c r="B397" s="51">
        <v>1843501840</v>
      </c>
      <c r="C397" s="50" t="str">
        <f t="shared" si="245"/>
        <v>840</v>
      </c>
      <c r="D397" s="50" t="str">
        <f t="shared" si="246"/>
        <v>843501</v>
      </c>
      <c r="E397" s="50" t="str">
        <f t="shared" si="247"/>
        <v>84</v>
      </c>
      <c r="F397" s="51" t="s">
        <v>327</v>
      </c>
      <c r="G397" s="52">
        <v>0</v>
      </c>
      <c r="H397" s="52">
        <v>0</v>
      </c>
      <c r="I397" s="52">
        <v>0</v>
      </c>
      <c r="J397" s="52">
        <v>0</v>
      </c>
      <c r="K397" s="52">
        <f>+J397</f>
        <v>0</v>
      </c>
      <c r="L397" s="52">
        <f>+K397</f>
        <v>0</v>
      </c>
      <c r="M397" s="52"/>
      <c r="N397" s="52">
        <f t="shared" si="263"/>
        <v>0</v>
      </c>
      <c r="O397" s="52">
        <f>VLOOKUP(B:B,'דוח כספי 1-10.17'!A:D,4,0)</f>
        <v>0</v>
      </c>
      <c r="P397" s="52">
        <f t="shared" ref="P397:P465" si="265">O397*12/10</f>
        <v>0</v>
      </c>
      <c r="Q397" s="52">
        <f>P397</f>
        <v>0</v>
      </c>
      <c r="R397" s="52"/>
      <c r="S397" s="52"/>
      <c r="T397" s="52"/>
      <c r="U397" s="261">
        <f>VLOOKUP(B397,'ביצוע 2019'!$A$3:$H$1103,7,0)</f>
        <v>0</v>
      </c>
      <c r="V397" s="261">
        <f t="shared" ref="V397:V410" si="266">U397</f>
        <v>0</v>
      </c>
      <c r="W397" s="52"/>
      <c r="X397" s="52"/>
      <c r="Y397" s="52"/>
      <c r="Z397" s="101">
        <f t="shared" si="258"/>
        <v>0</v>
      </c>
    </row>
    <row r="398" spans="1:26" s="101" customFormat="1" ht="15.75">
      <c r="A398" s="21">
        <v>22</v>
      </c>
      <c r="B398" s="51">
        <v>1843502840</v>
      </c>
      <c r="C398" s="50" t="str">
        <f t="shared" si="245"/>
        <v>840</v>
      </c>
      <c r="D398" s="50" t="str">
        <f t="shared" si="246"/>
        <v>843502</v>
      </c>
      <c r="E398" s="50" t="str">
        <f t="shared" si="247"/>
        <v>84</v>
      </c>
      <c r="F398" s="51" t="s">
        <v>328</v>
      </c>
      <c r="G398" s="52">
        <v>0</v>
      </c>
      <c r="H398" s="52">
        <v>213280</v>
      </c>
      <c r="I398" s="52">
        <v>-213280</v>
      </c>
      <c r="J398" s="52">
        <v>215000</v>
      </c>
      <c r="K398" s="52">
        <v>128000</v>
      </c>
      <c r="L398" s="52">
        <v>128000</v>
      </c>
      <c r="M398" s="52"/>
      <c r="N398" s="52">
        <f t="shared" si="263"/>
        <v>128000</v>
      </c>
      <c r="O398" s="52">
        <f>VLOOKUP(B:B,'דוח כספי 1-10.17'!A:D,4,0)</f>
        <v>124307</v>
      </c>
      <c r="P398" s="52">
        <f t="shared" si="265"/>
        <v>149168.4</v>
      </c>
      <c r="Q398" s="52">
        <v>150000</v>
      </c>
      <c r="R398" s="52">
        <f>VLOOKUP(B398,'2174'!$A$182:$G$567,6,0)</f>
        <v>221389</v>
      </c>
      <c r="S398" s="52">
        <f t="shared" ref="S398:S405" si="267">R398*12/11</f>
        <v>241515.27272727274</v>
      </c>
      <c r="T398" s="52">
        <v>240000</v>
      </c>
      <c r="U398" s="261">
        <f>VLOOKUP(B398,'ביצוע 2019'!$A$3:$H$1103,7,0)</f>
        <v>212083</v>
      </c>
      <c r="V398" s="261">
        <f t="shared" si="266"/>
        <v>212083</v>
      </c>
      <c r="W398" s="52"/>
      <c r="X398" s="52"/>
      <c r="Y398" s="52"/>
      <c r="Z398" s="101">
        <f t="shared" si="258"/>
        <v>1</v>
      </c>
    </row>
    <row r="399" spans="1:26" s="101" customFormat="1" ht="15.75">
      <c r="A399" s="21">
        <v>22</v>
      </c>
      <c r="B399" s="51">
        <v>1843503750</v>
      </c>
      <c r="C399" s="50" t="str">
        <f t="shared" si="245"/>
        <v>750</v>
      </c>
      <c r="D399" s="50" t="str">
        <f t="shared" si="246"/>
        <v>843503</v>
      </c>
      <c r="E399" s="50" t="str">
        <f t="shared" si="247"/>
        <v>84</v>
      </c>
      <c r="F399" s="51" t="s">
        <v>34</v>
      </c>
      <c r="G399" s="52">
        <v>0</v>
      </c>
      <c r="H399" s="52">
        <v>1500</v>
      </c>
      <c r="I399" s="52">
        <v>-1500</v>
      </c>
      <c r="J399" s="52">
        <v>2000</v>
      </c>
      <c r="K399" s="52">
        <v>2000</v>
      </c>
      <c r="L399" s="52">
        <v>2000</v>
      </c>
      <c r="M399" s="52"/>
      <c r="N399" s="52">
        <f t="shared" si="263"/>
        <v>2000</v>
      </c>
      <c r="O399" s="52">
        <f>VLOOKUP(B:B,'דוח כספי 1-10.17'!A:D,4,0)</f>
        <v>0</v>
      </c>
      <c r="P399" s="52">
        <f t="shared" si="265"/>
        <v>0</v>
      </c>
      <c r="Q399" s="52">
        <v>5000</v>
      </c>
      <c r="R399" s="52">
        <f>VLOOKUP(B399,'2174'!$A$182:$G$567,6,0)</f>
        <v>23400</v>
      </c>
      <c r="S399" s="52">
        <f t="shared" si="267"/>
        <v>25527.272727272728</v>
      </c>
      <c r="T399" s="52">
        <v>10000</v>
      </c>
      <c r="U399" s="261">
        <f>VLOOKUP(B399,'ביצוע 2019'!$A$3:$H$1103,7,0)</f>
        <v>0</v>
      </c>
      <c r="V399" s="261">
        <f t="shared" si="266"/>
        <v>0</v>
      </c>
      <c r="W399" s="52"/>
      <c r="X399" s="52"/>
      <c r="Y399" s="52"/>
      <c r="Z399" s="101">
        <f t="shared" si="258"/>
        <v>1</v>
      </c>
    </row>
    <row r="400" spans="1:26" s="101" customFormat="1" ht="15.75">
      <c r="A400" s="21">
        <v>22</v>
      </c>
      <c r="B400" s="51">
        <v>1843503840</v>
      </c>
      <c r="C400" s="50" t="str">
        <f t="shared" si="245"/>
        <v>840</v>
      </c>
      <c r="D400" s="50" t="str">
        <f t="shared" si="246"/>
        <v>843503</v>
      </c>
      <c r="E400" s="50" t="str">
        <f t="shared" si="247"/>
        <v>84</v>
      </c>
      <c r="F400" s="51" t="s">
        <v>329</v>
      </c>
      <c r="G400" s="52">
        <v>889000</v>
      </c>
      <c r="H400" s="52">
        <v>1037704</v>
      </c>
      <c r="I400" s="52">
        <v>-148701</v>
      </c>
      <c r="J400" s="52">
        <v>1040000</v>
      </c>
      <c r="K400" s="52">
        <v>994000</v>
      </c>
      <c r="L400" s="52">
        <v>994000</v>
      </c>
      <c r="M400" s="52"/>
      <c r="N400" s="52">
        <f t="shared" si="263"/>
        <v>994000</v>
      </c>
      <c r="O400" s="52">
        <f>VLOOKUP(B:B,'דוח כספי 1-10.17'!A:D,4,0)</f>
        <v>846883</v>
      </c>
      <c r="P400" s="52">
        <f t="shared" si="265"/>
        <v>1016259.6</v>
      </c>
      <c r="Q400" s="52">
        <f>P400</f>
        <v>1016259.6</v>
      </c>
      <c r="R400" s="52">
        <f>VLOOKUP(B400,'2174'!$A$182:$G$567,6,0)</f>
        <v>1158635</v>
      </c>
      <c r="S400" s="52">
        <f t="shared" si="267"/>
        <v>1263965.4545454546</v>
      </c>
      <c r="T400" s="52">
        <v>1200000</v>
      </c>
      <c r="U400" s="261">
        <f>VLOOKUP(B400,'ביצוע 2019'!$A$3:$H$1103,7,0)</f>
        <v>1082418</v>
      </c>
      <c r="V400" s="261">
        <f t="shared" si="266"/>
        <v>1082418</v>
      </c>
      <c r="W400" s="52"/>
      <c r="X400" s="52"/>
      <c r="Y400" s="52"/>
      <c r="Z400" s="101">
        <f t="shared" si="258"/>
        <v>1</v>
      </c>
    </row>
    <row r="401" spans="1:26" s="101" customFormat="1" ht="15.75" hidden="1">
      <c r="A401" s="21">
        <v>22</v>
      </c>
      <c r="B401" s="51">
        <v>1843504720</v>
      </c>
      <c r="C401" s="50" t="str">
        <f t="shared" si="245"/>
        <v>720</v>
      </c>
      <c r="D401" s="50" t="str">
        <f t="shared" si="246"/>
        <v>843504</v>
      </c>
      <c r="E401" s="50" t="str">
        <f t="shared" si="247"/>
        <v>84</v>
      </c>
      <c r="F401" s="51" t="s">
        <v>330</v>
      </c>
      <c r="G401" s="52">
        <v>0</v>
      </c>
      <c r="H401" s="52">
        <v>1182</v>
      </c>
      <c r="I401" s="52">
        <v>-1182</v>
      </c>
      <c r="J401" s="52">
        <v>2000</v>
      </c>
      <c r="K401" s="52">
        <v>2000</v>
      </c>
      <c r="L401" s="52">
        <v>2000</v>
      </c>
      <c r="M401" s="52"/>
      <c r="N401" s="52">
        <f t="shared" si="263"/>
        <v>2000</v>
      </c>
      <c r="O401" s="52">
        <f>VLOOKUP(B:B,'דוח כספי 1-10.17'!A:D,4,0)</f>
        <v>0</v>
      </c>
      <c r="P401" s="52">
        <f t="shared" si="265"/>
        <v>0</v>
      </c>
      <c r="Q401" s="52">
        <f>P401</f>
        <v>0</v>
      </c>
      <c r="R401" s="52">
        <f>VLOOKUP(B401,'2174'!$A$182:$G$567,6,0)</f>
        <v>0</v>
      </c>
      <c r="S401" s="52">
        <f t="shared" si="267"/>
        <v>0</v>
      </c>
      <c r="T401" s="52">
        <v>0</v>
      </c>
      <c r="U401" s="261">
        <f>VLOOKUP(B401,'ביצוע 2019'!$A$3:$H$1103,7,0)</f>
        <v>0</v>
      </c>
      <c r="V401" s="261">
        <f t="shared" si="266"/>
        <v>0</v>
      </c>
      <c r="W401" s="52"/>
      <c r="X401" s="52"/>
      <c r="Y401" s="52"/>
      <c r="Z401" s="101">
        <f t="shared" si="258"/>
        <v>0</v>
      </c>
    </row>
    <row r="402" spans="1:26" s="101" customFormat="1" ht="15.75">
      <c r="A402" s="21">
        <v>22</v>
      </c>
      <c r="B402" s="51">
        <v>1843504721</v>
      </c>
      <c r="C402" s="50" t="str">
        <f t="shared" si="245"/>
        <v>721</v>
      </c>
      <c r="D402" s="50" t="str">
        <f t="shared" si="246"/>
        <v>843504</v>
      </c>
      <c r="E402" s="50" t="str">
        <f t="shared" si="247"/>
        <v>84</v>
      </c>
      <c r="F402" s="51" t="s">
        <v>331</v>
      </c>
      <c r="G402" s="52">
        <v>211000</v>
      </c>
      <c r="H402" s="52">
        <v>2304</v>
      </c>
      <c r="I402" s="52">
        <v>208693</v>
      </c>
      <c r="J402" s="52">
        <v>3000</v>
      </c>
      <c r="K402" s="52">
        <v>3000</v>
      </c>
      <c r="L402" s="52">
        <v>3000</v>
      </c>
      <c r="M402" s="52"/>
      <c r="N402" s="52">
        <f t="shared" si="263"/>
        <v>3000</v>
      </c>
      <c r="O402" s="52">
        <f>VLOOKUP(B:B,'דוח כספי 1-10.17'!A:D,4,0)</f>
        <v>10895.5</v>
      </c>
      <c r="P402" s="52">
        <f t="shared" si="265"/>
        <v>13074.6</v>
      </c>
      <c r="Q402" s="52">
        <v>13000</v>
      </c>
      <c r="R402" s="52">
        <f>VLOOKUP(B402,'2174'!$A$182:$G$567,6,0)</f>
        <v>2468</v>
      </c>
      <c r="S402" s="52">
        <f t="shared" si="267"/>
        <v>2692.3636363636365</v>
      </c>
      <c r="T402" s="52">
        <v>10000</v>
      </c>
      <c r="U402" s="261">
        <f>VLOOKUP(B402,'ביצוע 2019'!$A$3:$H$1103,7,0)</f>
        <v>28771.5</v>
      </c>
      <c r="V402" s="261">
        <f t="shared" si="266"/>
        <v>28771.5</v>
      </c>
      <c r="W402" s="52"/>
      <c r="X402" s="52"/>
      <c r="Y402" s="52"/>
      <c r="Z402" s="101">
        <f t="shared" si="258"/>
        <v>1</v>
      </c>
    </row>
    <row r="403" spans="1:26" s="101" customFormat="1" ht="15.75">
      <c r="A403" s="21">
        <v>22</v>
      </c>
      <c r="B403" s="51">
        <v>1843504750</v>
      </c>
      <c r="C403" s="50" t="str">
        <f t="shared" ref="C403:C440" si="268">RIGHT(B403,3)</f>
        <v>750</v>
      </c>
      <c r="D403" s="50" t="str">
        <f t="shared" ref="D403:D440" si="269">MID(B403,2,6)</f>
        <v>843504</v>
      </c>
      <c r="E403" s="50" t="str">
        <f t="shared" ref="E403:E440" si="270">LEFT(D403,2)</f>
        <v>84</v>
      </c>
      <c r="F403" s="51" t="s">
        <v>1827</v>
      </c>
      <c r="G403" s="52">
        <v>0</v>
      </c>
      <c r="H403" s="52">
        <v>0</v>
      </c>
      <c r="I403" s="52">
        <v>0</v>
      </c>
      <c r="J403" s="52">
        <v>0</v>
      </c>
      <c r="K403" s="52">
        <v>70000</v>
      </c>
      <c r="L403" s="52">
        <v>50000</v>
      </c>
      <c r="M403" s="52"/>
      <c r="N403" s="52">
        <f t="shared" si="263"/>
        <v>50000</v>
      </c>
      <c r="O403" s="52">
        <f>VLOOKUP(B:B,'דוח כספי 1-10.17'!A:D,4,0)</f>
        <v>6865</v>
      </c>
      <c r="P403" s="52">
        <f t="shared" si="265"/>
        <v>8238</v>
      </c>
      <c r="Q403" s="52">
        <v>8000</v>
      </c>
      <c r="R403" s="52">
        <f>VLOOKUP(B403,'2174'!$A$182:$G$567,6,0)</f>
        <v>46874</v>
      </c>
      <c r="S403" s="52">
        <f t="shared" si="267"/>
        <v>51135.272727272728</v>
      </c>
      <c r="T403" s="52">
        <v>50000</v>
      </c>
      <c r="U403" s="261">
        <f>VLOOKUP(B403,'ביצוע 2019'!$A$3:$H$1103,7,0)</f>
        <v>174796</v>
      </c>
      <c r="V403" s="261">
        <f t="shared" si="266"/>
        <v>174796</v>
      </c>
      <c r="W403" s="52"/>
      <c r="X403" s="52"/>
      <c r="Y403" s="52"/>
      <c r="Z403" s="101">
        <f t="shared" si="258"/>
        <v>1</v>
      </c>
    </row>
    <row r="404" spans="1:26" s="101" customFormat="1" ht="15.75" hidden="1">
      <c r="A404" s="21">
        <v>22</v>
      </c>
      <c r="B404" s="51">
        <v>1843504780</v>
      </c>
      <c r="C404" s="50" t="str">
        <f t="shared" si="268"/>
        <v>780</v>
      </c>
      <c r="D404" s="50" t="str">
        <f t="shared" si="269"/>
        <v>843504</v>
      </c>
      <c r="E404" s="50" t="str">
        <f t="shared" si="270"/>
        <v>84</v>
      </c>
      <c r="F404" s="51" t="s">
        <v>333</v>
      </c>
      <c r="G404" s="52">
        <v>0</v>
      </c>
      <c r="H404" s="52">
        <v>5000</v>
      </c>
      <c r="I404" s="52">
        <v>-5000</v>
      </c>
      <c r="J404" s="52">
        <v>5000</v>
      </c>
      <c r="K404" s="52">
        <v>5000</v>
      </c>
      <c r="L404" s="52">
        <v>5000</v>
      </c>
      <c r="M404" s="52"/>
      <c r="N404" s="52">
        <f t="shared" si="263"/>
        <v>5000</v>
      </c>
      <c r="O404" s="52">
        <f>VLOOKUP(B:B,'דוח כספי 1-10.17'!A:D,4,0)</f>
        <v>0</v>
      </c>
      <c r="P404" s="52">
        <f t="shared" si="265"/>
        <v>0</v>
      </c>
      <c r="Q404" s="52">
        <f>P404</f>
        <v>0</v>
      </c>
      <c r="R404" s="52">
        <f>VLOOKUP(B404,'2174'!$A$182:$G$567,6,0)</f>
        <v>0</v>
      </c>
      <c r="S404" s="52">
        <f t="shared" si="267"/>
        <v>0</v>
      </c>
      <c r="T404" s="52">
        <v>0</v>
      </c>
      <c r="U404" s="261">
        <f>VLOOKUP(B404,'ביצוע 2019'!$A$3:$H$1103,7,0)</f>
        <v>0</v>
      </c>
      <c r="V404" s="261">
        <f t="shared" si="266"/>
        <v>0</v>
      </c>
      <c r="W404" s="52"/>
      <c r="X404" s="52"/>
      <c r="Y404" s="52"/>
      <c r="Z404" s="101">
        <f t="shared" si="258"/>
        <v>0</v>
      </c>
    </row>
    <row r="405" spans="1:26" s="101" customFormat="1" ht="15.75">
      <c r="A405" s="21">
        <v>22</v>
      </c>
      <c r="B405" s="51">
        <v>1843801840</v>
      </c>
      <c r="C405" s="50" t="str">
        <f t="shared" si="268"/>
        <v>840</v>
      </c>
      <c r="D405" s="50" t="str">
        <f t="shared" si="269"/>
        <v>843801</v>
      </c>
      <c r="E405" s="50" t="str">
        <f t="shared" si="270"/>
        <v>84</v>
      </c>
      <c r="F405" s="51" t="s">
        <v>335</v>
      </c>
      <c r="G405" s="52">
        <v>2448000</v>
      </c>
      <c r="H405" s="52">
        <v>2392874</v>
      </c>
      <c r="I405" s="52">
        <v>55122</v>
      </c>
      <c r="J405" s="52">
        <v>3133000</v>
      </c>
      <c r="K405" s="52">
        <v>2695000</v>
      </c>
      <c r="L405" s="52">
        <v>2695000</v>
      </c>
      <c r="M405" s="52"/>
      <c r="N405" s="52">
        <f t="shared" si="263"/>
        <v>2695000</v>
      </c>
      <c r="O405" s="52">
        <f>VLOOKUP(B:B,'דוח כספי 1-10.17'!A:D,4,0)</f>
        <v>2633427</v>
      </c>
      <c r="P405" s="52">
        <f t="shared" si="265"/>
        <v>3160112.4</v>
      </c>
      <c r="Q405" s="52">
        <f>P405</f>
        <v>3160112.4</v>
      </c>
      <c r="R405" s="52">
        <f>VLOOKUP(B405,'2174'!$A$182:$G$567,6,0)</f>
        <v>2945455</v>
      </c>
      <c r="S405" s="52">
        <f t="shared" si="267"/>
        <v>3213223.6363636362</v>
      </c>
      <c r="T405" s="52">
        <v>3200000</v>
      </c>
      <c r="U405" s="261">
        <f>VLOOKUP(B405,'ביצוע 2019'!$A$3:$H$1103,7,0)</f>
        <v>4532639</v>
      </c>
      <c r="V405" s="261">
        <f t="shared" si="266"/>
        <v>4532639</v>
      </c>
      <c r="W405" s="52"/>
      <c r="X405" s="52"/>
      <c r="Y405" s="52"/>
      <c r="Z405" s="101">
        <f t="shared" si="258"/>
        <v>1</v>
      </c>
    </row>
    <row r="406" spans="1:26" s="101" customFormat="1" ht="15.75" hidden="1">
      <c r="A406" s="21">
        <v>22</v>
      </c>
      <c r="B406" s="51">
        <v>1843900840</v>
      </c>
      <c r="C406" s="50">
        <v>840</v>
      </c>
      <c r="D406" s="50">
        <v>843900</v>
      </c>
      <c r="E406" s="50">
        <v>84</v>
      </c>
      <c r="F406" s="160" t="s">
        <v>1635</v>
      </c>
      <c r="G406" s="52"/>
      <c r="H406" s="52"/>
      <c r="I406" s="52"/>
      <c r="J406" s="52"/>
      <c r="K406" s="52"/>
      <c r="L406" s="52">
        <v>930000</v>
      </c>
      <c r="M406" s="52"/>
      <c r="N406" s="52">
        <f t="shared" si="263"/>
        <v>930000</v>
      </c>
      <c r="O406" s="52">
        <f>VLOOKUP(B:B,'דוח כספי 1-10.17'!A:D,4,0)</f>
        <v>0</v>
      </c>
      <c r="P406" s="52">
        <f t="shared" si="265"/>
        <v>0</v>
      </c>
      <c r="Q406" s="52">
        <f>P406</f>
        <v>0</v>
      </c>
      <c r="R406" s="52">
        <f>VLOOKUP(B406,'2174'!$A$182:$G$567,6,0)</f>
        <v>0</v>
      </c>
      <c r="S406" s="52">
        <f t="shared" ref="S406:S407" si="271">R406*12/11</f>
        <v>0</v>
      </c>
      <c r="T406" s="52">
        <v>0</v>
      </c>
      <c r="U406" s="261">
        <f>VLOOKUP(B406,'ביצוע 2019'!$A$3:$H$1103,7,0)</f>
        <v>0</v>
      </c>
      <c r="V406" s="261">
        <f t="shared" si="266"/>
        <v>0</v>
      </c>
      <c r="W406" s="52"/>
      <c r="X406" s="52"/>
      <c r="Y406" s="158"/>
      <c r="Z406" s="101">
        <f t="shared" si="258"/>
        <v>0</v>
      </c>
    </row>
    <row r="407" spans="1:26" s="101" customFormat="1" ht="15.75">
      <c r="A407" s="21">
        <v>22</v>
      </c>
      <c r="B407" s="51">
        <v>1843901840</v>
      </c>
      <c r="C407" s="50" t="str">
        <f t="shared" si="268"/>
        <v>840</v>
      </c>
      <c r="D407" s="50" t="str">
        <f t="shared" si="269"/>
        <v>843901</v>
      </c>
      <c r="E407" s="50" t="str">
        <f t="shared" si="270"/>
        <v>84</v>
      </c>
      <c r="F407" s="51" t="s">
        <v>338</v>
      </c>
      <c r="G407" s="52">
        <v>771000</v>
      </c>
      <c r="H407" s="52">
        <v>1372955</v>
      </c>
      <c r="I407" s="52">
        <v>-601958</v>
      </c>
      <c r="J407" s="52">
        <v>1773000</v>
      </c>
      <c r="K407" s="52">
        <v>1410000</v>
      </c>
      <c r="L407" s="52">
        <v>1410000</v>
      </c>
      <c r="M407" s="52"/>
      <c r="N407" s="52">
        <f t="shared" si="263"/>
        <v>1410000</v>
      </c>
      <c r="O407" s="52">
        <f>VLOOKUP(B:B,'דוח כספי 1-10.17'!A:D,4,0)</f>
        <v>1169522</v>
      </c>
      <c r="P407" s="52">
        <f t="shared" si="265"/>
        <v>1403426.4</v>
      </c>
      <c r="Q407" s="52">
        <v>1400000</v>
      </c>
      <c r="R407" s="52">
        <f>VLOOKUP(B407,'2174'!$A$182:$G$567,6,0)</f>
        <v>1520987</v>
      </c>
      <c r="S407" s="52">
        <f t="shared" si="271"/>
        <v>1659258.5454545454</v>
      </c>
      <c r="T407" s="52">
        <v>1659258.5454545454</v>
      </c>
      <c r="U407" s="261">
        <f>VLOOKUP(B407,'ביצוע 2019'!$A$3:$H$1103,7,0)</f>
        <v>2946225</v>
      </c>
      <c r="V407" s="261">
        <f t="shared" si="266"/>
        <v>2946225</v>
      </c>
      <c r="W407" s="52"/>
      <c r="X407" s="52"/>
      <c r="Y407" s="52"/>
      <c r="Z407" s="101">
        <f t="shared" si="258"/>
        <v>1</v>
      </c>
    </row>
    <row r="408" spans="1:26" s="101" customFormat="1" ht="15.75">
      <c r="A408" s="21">
        <v>22</v>
      </c>
      <c r="B408" s="51">
        <v>1843902840</v>
      </c>
      <c r="C408" s="50" t="str">
        <f t="shared" ref="C408:C410" si="272">RIGHT(B408,3)</f>
        <v>840</v>
      </c>
      <c r="D408" s="50" t="str">
        <f t="shared" ref="D408:D410" si="273">MID(B408,2,6)</f>
        <v>843902</v>
      </c>
      <c r="E408" s="50" t="str">
        <f t="shared" ref="E408:E410" si="274">LEFT(D408,2)</f>
        <v>84</v>
      </c>
      <c r="F408" s="51" t="s">
        <v>2026</v>
      </c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>
        <f>VLOOKUP(B408,'2174'!$A$182:$G$567,6,0)</f>
        <v>12282</v>
      </c>
      <c r="S408" s="52">
        <f t="shared" ref="S408" si="275">R408*12/11</f>
        <v>13398.545454545454</v>
      </c>
      <c r="T408" s="52">
        <v>14000</v>
      </c>
      <c r="U408" s="261">
        <f>VLOOKUP(B408,'ביצוע 2019'!$A$3:$H$1103,7,0)</f>
        <v>12654</v>
      </c>
      <c r="V408" s="261">
        <f t="shared" si="266"/>
        <v>12654</v>
      </c>
      <c r="W408" s="52"/>
      <c r="X408" s="52"/>
      <c r="Y408" s="52"/>
      <c r="Z408" s="101">
        <f t="shared" si="258"/>
        <v>1</v>
      </c>
    </row>
    <row r="409" spans="1:26" s="101" customFormat="1" ht="15.75">
      <c r="A409" s="21">
        <v>22</v>
      </c>
      <c r="B409" s="51">
        <v>1843903840</v>
      </c>
      <c r="C409" s="50" t="str">
        <f t="shared" si="272"/>
        <v>840</v>
      </c>
      <c r="D409" s="50" t="str">
        <f t="shared" si="273"/>
        <v>843903</v>
      </c>
      <c r="E409" s="50" t="str">
        <f t="shared" si="274"/>
        <v>84</v>
      </c>
      <c r="F409" s="51" t="s">
        <v>2027</v>
      </c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>
        <f>VLOOKUP(B409,'2174'!$A$182:$G$567,6,0)</f>
        <v>2671</v>
      </c>
      <c r="S409" s="52">
        <f t="shared" ref="S409" si="276">R409*12/11</f>
        <v>2913.818181818182</v>
      </c>
      <c r="T409" s="52">
        <v>3000</v>
      </c>
      <c r="U409" s="261">
        <f>VLOOKUP(B409,'ביצוע 2019'!$A$3:$H$1103,7,0)</f>
        <v>0</v>
      </c>
      <c r="V409" s="261">
        <f t="shared" si="266"/>
        <v>0</v>
      </c>
      <c r="W409" s="52"/>
      <c r="X409" s="52"/>
      <c r="Y409" s="52"/>
      <c r="Z409" s="101">
        <f t="shared" si="258"/>
        <v>1</v>
      </c>
    </row>
    <row r="410" spans="1:26" s="101" customFormat="1" ht="15.75">
      <c r="A410" s="21">
        <v>22</v>
      </c>
      <c r="B410" s="51">
        <v>1843904840</v>
      </c>
      <c r="C410" s="50" t="str">
        <f t="shared" si="272"/>
        <v>840</v>
      </c>
      <c r="D410" s="50" t="str">
        <f t="shared" si="273"/>
        <v>843904</v>
      </c>
      <c r="E410" s="50" t="str">
        <f t="shared" si="274"/>
        <v>84</v>
      </c>
      <c r="F410" s="51" t="s">
        <v>2028</v>
      </c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>
        <f>VLOOKUP(B410,'2174'!$A$182:$G$567,6,0)</f>
        <v>52990</v>
      </c>
      <c r="S410" s="63">
        <f>R410*12/11</f>
        <v>57807.272727272728</v>
      </c>
      <c r="T410" s="52">
        <v>60000</v>
      </c>
      <c r="U410" s="261">
        <f>VLOOKUP(B410,'ביצוע 2019'!$A$3:$H$1103,7,0)</f>
        <v>0</v>
      </c>
      <c r="V410" s="261">
        <f t="shared" si="266"/>
        <v>0</v>
      </c>
      <c r="W410" s="52"/>
      <c r="X410" s="52"/>
      <c r="Y410" s="52"/>
      <c r="Z410" s="101">
        <f t="shared" si="258"/>
        <v>1</v>
      </c>
    </row>
    <row r="411" spans="1:26" s="101" customFormat="1" ht="15.75">
      <c r="A411" s="21"/>
      <c r="B411" s="234"/>
      <c r="C411" s="235"/>
      <c r="D411" s="235"/>
      <c r="E411" s="235"/>
      <c r="F411" s="234" t="s">
        <v>1978</v>
      </c>
      <c r="G411" s="236"/>
      <c r="H411" s="236"/>
      <c r="I411" s="236"/>
      <c r="J411" s="236"/>
      <c r="K411" s="236"/>
      <c r="L411" s="236">
        <f t="shared" ref="L411:W411" si="277">SUM(L396:L410)</f>
        <v>6335000</v>
      </c>
      <c r="M411" s="236">
        <f t="shared" si="277"/>
        <v>0</v>
      </c>
      <c r="N411" s="236">
        <f t="shared" si="277"/>
        <v>6335000</v>
      </c>
      <c r="O411" s="236">
        <f t="shared" si="277"/>
        <v>4882940.12</v>
      </c>
      <c r="P411" s="236">
        <f t="shared" si="277"/>
        <v>5865279.4000000004</v>
      </c>
      <c r="Q411" s="236">
        <f t="shared" si="277"/>
        <v>5872372</v>
      </c>
      <c r="R411" s="236">
        <f t="shared" si="277"/>
        <v>6080340.6299999999</v>
      </c>
      <c r="S411" s="236">
        <f t="shared" si="277"/>
        <v>6653785.7545454539</v>
      </c>
      <c r="T411" s="236">
        <f t="shared" si="277"/>
        <v>6571261.8035645448</v>
      </c>
      <c r="U411" s="236">
        <f t="shared" si="277"/>
        <v>9097072.620000001</v>
      </c>
      <c r="V411" s="236">
        <f t="shared" si="277"/>
        <v>9101586.5</v>
      </c>
      <c r="W411" s="236">
        <f t="shared" si="277"/>
        <v>0.5</v>
      </c>
      <c r="X411" s="52"/>
      <c r="Y411" s="52"/>
      <c r="Z411" s="101">
        <f t="shared" si="258"/>
        <v>1</v>
      </c>
    </row>
    <row r="412" spans="1:26" s="101" customFormat="1" ht="15.75" hidden="1">
      <c r="A412" s="21">
        <v>22</v>
      </c>
      <c r="B412" s="51">
        <v>1844300840</v>
      </c>
      <c r="C412" s="50" t="str">
        <f t="shared" si="268"/>
        <v>840</v>
      </c>
      <c r="D412" s="50" t="str">
        <f t="shared" si="269"/>
        <v>844300</v>
      </c>
      <c r="E412" s="50" t="str">
        <f t="shared" si="270"/>
        <v>84</v>
      </c>
      <c r="F412" s="51" t="s">
        <v>340</v>
      </c>
      <c r="G412" s="52">
        <v>134000</v>
      </c>
      <c r="H412" s="52">
        <v>0</v>
      </c>
      <c r="I412" s="52">
        <v>133998</v>
      </c>
      <c r="J412" s="52">
        <v>0</v>
      </c>
      <c r="K412" s="52">
        <f>+J412</f>
        <v>0</v>
      </c>
      <c r="L412" s="52">
        <f>+K412</f>
        <v>0</v>
      </c>
      <c r="M412" s="52"/>
      <c r="N412" s="52">
        <f t="shared" si="263"/>
        <v>0</v>
      </c>
      <c r="O412" s="52">
        <f>VLOOKUP(B:B,'דוח כספי 1-10.17'!A:D,4,0)</f>
        <v>0</v>
      </c>
      <c r="P412" s="52">
        <f t="shared" si="265"/>
        <v>0</v>
      </c>
      <c r="Q412" s="52">
        <f>P412</f>
        <v>0</v>
      </c>
      <c r="R412" s="52"/>
      <c r="S412" s="52"/>
      <c r="T412" s="52"/>
      <c r="U412" s="263">
        <f>VLOOKUP(B412,'ביצוע 2019'!$A$3:$H$1103,7,0)</f>
        <v>0</v>
      </c>
      <c r="V412" s="263">
        <f t="shared" ref="V412:V425" si="278">U412</f>
        <v>0</v>
      </c>
      <c r="W412" s="52"/>
      <c r="X412" s="52"/>
      <c r="Y412" s="52"/>
      <c r="Z412" s="101">
        <f t="shared" si="258"/>
        <v>0</v>
      </c>
    </row>
    <row r="413" spans="1:26" s="101" customFormat="1" ht="15.75">
      <c r="A413" s="21">
        <v>21</v>
      </c>
      <c r="B413" s="51">
        <v>1844401110</v>
      </c>
      <c r="C413" s="50" t="str">
        <f t="shared" si="268"/>
        <v>110</v>
      </c>
      <c r="D413" s="50" t="str">
        <f t="shared" si="269"/>
        <v>844401</v>
      </c>
      <c r="E413" s="50" t="str">
        <f t="shared" si="270"/>
        <v>84</v>
      </c>
      <c r="F413" s="55" t="s">
        <v>341</v>
      </c>
      <c r="G413" s="52">
        <v>57000</v>
      </c>
      <c r="H413" s="52">
        <v>66509.759999999995</v>
      </c>
      <c r="I413" s="52">
        <v>-9510.76</v>
      </c>
      <c r="J413" s="52">
        <v>70000</v>
      </c>
      <c r="K413" s="52">
        <v>66000</v>
      </c>
      <c r="L413" s="56">
        <v>70000</v>
      </c>
      <c r="M413" s="52"/>
      <c r="N413" s="52">
        <f t="shared" si="263"/>
        <v>70000</v>
      </c>
      <c r="O413" s="52">
        <f>VLOOKUP(B:B,'דוח כספי 1-10.17'!A:D,4,0)</f>
        <v>54568.65</v>
      </c>
      <c r="P413" s="56">
        <v>75000</v>
      </c>
      <c r="Q413" s="56">
        <v>77000</v>
      </c>
      <c r="R413" s="56">
        <f>VLOOKUP(B413,'2174'!$A$182:$G$567,6,0)</f>
        <v>51629.98</v>
      </c>
      <c r="S413" s="64">
        <f>VLOOKUP(B413,'2174'!$A$575:$D$697,4,0)</f>
        <v>70236.7</v>
      </c>
      <c r="T413" s="56">
        <f>S413*1.0217</f>
        <v>71760.836389999997</v>
      </c>
      <c r="U413" s="261">
        <f>VLOOKUP(B413,'ביצוע 2019'!$A$3:$H$1103,7,0)</f>
        <v>81697.820000000007</v>
      </c>
      <c r="V413" s="261">
        <v>85000</v>
      </c>
      <c r="W413" s="64">
        <v>0.7</v>
      </c>
      <c r="X413" s="52"/>
      <c r="Y413" s="52"/>
      <c r="Z413" s="101">
        <f t="shared" si="258"/>
        <v>1</v>
      </c>
    </row>
    <row r="414" spans="1:26" s="101" customFormat="1" ht="15.75" hidden="1">
      <c r="A414" s="21">
        <v>21</v>
      </c>
      <c r="B414" s="51">
        <v>1844401320</v>
      </c>
      <c r="C414" s="54" t="str">
        <f t="shared" si="268"/>
        <v>320</v>
      </c>
      <c r="D414" s="54" t="str">
        <f t="shared" si="269"/>
        <v>844401</v>
      </c>
      <c r="E414" s="54" t="str">
        <f t="shared" si="270"/>
        <v>84</v>
      </c>
      <c r="F414" s="55" t="s">
        <v>25</v>
      </c>
      <c r="G414" s="52">
        <v>0</v>
      </c>
      <c r="H414" s="52">
        <v>0</v>
      </c>
      <c r="I414" s="52">
        <v>0</v>
      </c>
      <c r="J414" s="52">
        <v>0</v>
      </c>
      <c r="K414" s="52">
        <f>+J414</f>
        <v>0</v>
      </c>
      <c r="L414" s="56">
        <f>+K414</f>
        <v>0</v>
      </c>
      <c r="M414" s="52"/>
      <c r="N414" s="52">
        <f t="shared" si="263"/>
        <v>0</v>
      </c>
      <c r="O414" s="52">
        <f>VLOOKUP(B:B,'דוח כספי 1-10.17'!A:D,4,0)</f>
        <v>0</v>
      </c>
      <c r="P414" s="56">
        <f t="shared" si="265"/>
        <v>0</v>
      </c>
      <c r="Q414" s="56">
        <f>P414</f>
        <v>0</v>
      </c>
      <c r="R414" s="56"/>
      <c r="S414" s="64">
        <f>VLOOKUP(B414,'2174'!$A$575:$D$697,4,0)</f>
        <v>0</v>
      </c>
      <c r="T414" s="56">
        <f>S414*1.0217</f>
        <v>0</v>
      </c>
      <c r="U414" s="56">
        <f>VLOOKUP(B414,'ביצוע 2019'!$A$3:$H$1103,7,0)</f>
        <v>0</v>
      </c>
      <c r="V414" s="56">
        <f t="shared" si="278"/>
        <v>0</v>
      </c>
      <c r="W414" s="56"/>
      <c r="X414" s="52"/>
      <c r="Y414" s="52"/>
      <c r="Z414" s="101">
        <f t="shared" si="258"/>
        <v>0</v>
      </c>
    </row>
    <row r="415" spans="1:26" s="101" customFormat="1" ht="15.75">
      <c r="A415" s="21">
        <v>22</v>
      </c>
      <c r="B415" s="51">
        <v>1844401431</v>
      </c>
      <c r="C415" s="50" t="str">
        <f t="shared" si="268"/>
        <v>431</v>
      </c>
      <c r="D415" s="50" t="str">
        <f t="shared" si="269"/>
        <v>844401</v>
      </c>
      <c r="E415" s="50" t="str">
        <f t="shared" si="270"/>
        <v>84</v>
      </c>
      <c r="F415" s="51" t="s">
        <v>342</v>
      </c>
      <c r="G415" s="52">
        <v>0</v>
      </c>
      <c r="H415" s="52">
        <v>0</v>
      </c>
      <c r="I415" s="52">
        <v>0</v>
      </c>
      <c r="J415" s="52">
        <v>0</v>
      </c>
      <c r="K415" s="52">
        <f>+J415</f>
        <v>0</v>
      </c>
      <c r="L415" s="52">
        <f>+K415</f>
        <v>0</v>
      </c>
      <c r="M415" s="52"/>
      <c r="N415" s="52">
        <f t="shared" si="263"/>
        <v>0</v>
      </c>
      <c r="O415" s="52">
        <f>VLOOKUP(B:B,'דוח כספי 1-10.17'!A:D,4,0)</f>
        <v>0</v>
      </c>
      <c r="P415" s="52">
        <f t="shared" si="265"/>
        <v>0</v>
      </c>
      <c r="Q415" s="52">
        <f>P415</f>
        <v>0</v>
      </c>
      <c r="R415" s="52"/>
      <c r="S415" s="52"/>
      <c r="T415" s="52"/>
      <c r="U415" s="261">
        <f>VLOOKUP(B415,'ביצוע 2019'!$A$3:$H$1103,7,0)</f>
        <v>3329.77</v>
      </c>
      <c r="V415" s="261">
        <f t="shared" si="278"/>
        <v>3329.77</v>
      </c>
      <c r="W415" s="52"/>
      <c r="X415" s="52"/>
      <c r="Y415" s="52"/>
      <c r="Z415" s="101">
        <f t="shared" si="258"/>
        <v>1</v>
      </c>
    </row>
    <row r="416" spans="1:26" s="101" customFormat="1" ht="15.75" hidden="1">
      <c r="A416" s="21">
        <v>22</v>
      </c>
      <c r="B416" s="51">
        <v>1844401432</v>
      </c>
      <c r="C416" s="50" t="str">
        <f t="shared" si="268"/>
        <v>432</v>
      </c>
      <c r="D416" s="50" t="str">
        <f t="shared" si="269"/>
        <v>844401</v>
      </c>
      <c r="E416" s="50" t="str">
        <f t="shared" si="270"/>
        <v>84</v>
      </c>
      <c r="F416" s="51" t="s">
        <v>343</v>
      </c>
      <c r="G416" s="52">
        <v>1000</v>
      </c>
      <c r="H416" s="52">
        <v>2286.1</v>
      </c>
      <c r="I416" s="52">
        <v>-1289.0999999999999</v>
      </c>
      <c r="J416" s="52">
        <v>3000</v>
      </c>
      <c r="K416" s="52">
        <v>3000</v>
      </c>
      <c r="L416" s="52">
        <v>3000</v>
      </c>
      <c r="M416" s="52"/>
      <c r="N416" s="52">
        <f t="shared" si="263"/>
        <v>3000</v>
      </c>
      <c r="O416" s="52">
        <f>VLOOKUP(B:B,'דוח כספי 1-10.17'!A:D,4,0)</f>
        <v>0</v>
      </c>
      <c r="P416" s="52">
        <f t="shared" si="265"/>
        <v>0</v>
      </c>
      <c r="Q416" s="52">
        <f>P416</f>
        <v>0</v>
      </c>
      <c r="R416" s="52">
        <f>VLOOKUP(B416,'2174'!$A$182:$G$567,6,0)</f>
        <v>0</v>
      </c>
      <c r="S416" s="52">
        <f>R416*12/11</f>
        <v>0</v>
      </c>
      <c r="T416" s="52">
        <v>0</v>
      </c>
      <c r="U416" s="261">
        <f>VLOOKUP(B416,'ביצוע 2019'!$A$3:$H$1103,7,0)</f>
        <v>0</v>
      </c>
      <c r="V416" s="261">
        <f t="shared" si="278"/>
        <v>0</v>
      </c>
      <c r="W416" s="52"/>
      <c r="X416" s="52"/>
      <c r="Y416" s="52"/>
      <c r="Z416" s="101">
        <f t="shared" si="258"/>
        <v>0</v>
      </c>
    </row>
    <row r="417" spans="1:26" s="101" customFormat="1" ht="15.75" hidden="1">
      <c r="A417" s="21">
        <v>22</v>
      </c>
      <c r="B417" s="51">
        <v>1844401433</v>
      </c>
      <c r="C417" s="50" t="str">
        <f t="shared" si="268"/>
        <v>433</v>
      </c>
      <c r="D417" s="50" t="str">
        <f t="shared" si="269"/>
        <v>844401</v>
      </c>
      <c r="E417" s="50" t="str">
        <f t="shared" si="270"/>
        <v>84</v>
      </c>
      <c r="F417" s="51" t="s">
        <v>344</v>
      </c>
      <c r="G417" s="52">
        <v>0</v>
      </c>
      <c r="H417" s="52">
        <v>0</v>
      </c>
      <c r="I417" s="52">
        <v>0</v>
      </c>
      <c r="J417" s="52">
        <v>0</v>
      </c>
      <c r="K417" s="52">
        <f>+J417</f>
        <v>0</v>
      </c>
      <c r="L417" s="52">
        <f>+K417</f>
        <v>0</v>
      </c>
      <c r="M417" s="52"/>
      <c r="N417" s="52">
        <f t="shared" si="263"/>
        <v>0</v>
      </c>
      <c r="O417" s="52">
        <f>VLOOKUP(B:B,'דוח כספי 1-10.17'!A:D,4,0)</f>
        <v>0</v>
      </c>
      <c r="P417" s="52">
        <f t="shared" si="265"/>
        <v>0</v>
      </c>
      <c r="Q417" s="52">
        <f>P417</f>
        <v>0</v>
      </c>
      <c r="R417" s="52"/>
      <c r="S417" s="52"/>
      <c r="T417" s="52"/>
      <c r="U417" s="261">
        <f>VLOOKUP(B417,'ביצוע 2019'!$A$3:$H$1103,7,0)</f>
        <v>0</v>
      </c>
      <c r="V417" s="261">
        <f t="shared" si="278"/>
        <v>0</v>
      </c>
      <c r="W417" s="52"/>
      <c r="X417" s="52"/>
      <c r="Y417" s="52"/>
      <c r="Z417" s="101">
        <f t="shared" si="258"/>
        <v>0</v>
      </c>
    </row>
    <row r="418" spans="1:26" s="101" customFormat="1" ht="15.75" hidden="1">
      <c r="A418" s="21">
        <v>22</v>
      </c>
      <c r="B418" s="51">
        <v>1844401540</v>
      </c>
      <c r="C418" s="50" t="str">
        <f t="shared" si="268"/>
        <v>540</v>
      </c>
      <c r="D418" s="50" t="str">
        <f t="shared" si="269"/>
        <v>844401</v>
      </c>
      <c r="E418" s="50" t="str">
        <f t="shared" si="270"/>
        <v>84</v>
      </c>
      <c r="F418" s="51" t="s">
        <v>217</v>
      </c>
      <c r="G418" s="52">
        <v>1000</v>
      </c>
      <c r="H418" s="52">
        <v>718.41</v>
      </c>
      <c r="I418" s="52">
        <v>278.58999999999997</v>
      </c>
      <c r="J418" s="52">
        <v>1000</v>
      </c>
      <c r="K418" s="52">
        <v>1000</v>
      </c>
      <c r="L418" s="52">
        <v>1000</v>
      </c>
      <c r="M418" s="52"/>
      <c r="N418" s="52">
        <f t="shared" si="263"/>
        <v>1000</v>
      </c>
      <c r="O418" s="52">
        <f>VLOOKUP(B:B,'דוח כספי 1-10.17'!A:D,4,0)</f>
        <v>0</v>
      </c>
      <c r="P418" s="52">
        <f t="shared" si="265"/>
        <v>0</v>
      </c>
      <c r="Q418" s="52">
        <f>P418</f>
        <v>0</v>
      </c>
      <c r="R418" s="52">
        <f>VLOOKUP(B418,'2174'!$A$182:$G$567,6,0)</f>
        <v>0</v>
      </c>
      <c r="S418" s="52">
        <f t="shared" ref="S418:S421" si="279">R418*12/11</f>
        <v>0</v>
      </c>
      <c r="T418" s="52">
        <v>0</v>
      </c>
      <c r="U418" s="261">
        <f>VLOOKUP(B418,'ביצוע 2019'!$A$3:$H$1103,7,0)</f>
        <v>0</v>
      </c>
      <c r="V418" s="261">
        <f t="shared" si="278"/>
        <v>0</v>
      </c>
      <c r="W418" s="52"/>
      <c r="X418" s="52"/>
      <c r="Y418" s="52"/>
      <c r="Z418" s="101">
        <f t="shared" si="258"/>
        <v>0</v>
      </c>
    </row>
    <row r="419" spans="1:26" s="101" customFormat="1" ht="15.75">
      <c r="A419" s="21">
        <v>22</v>
      </c>
      <c r="B419" s="51">
        <v>1844401710</v>
      </c>
      <c r="C419" s="50" t="str">
        <f t="shared" ref="C419" si="280">RIGHT(B419,3)</f>
        <v>710</v>
      </c>
      <c r="D419" s="50" t="str">
        <f t="shared" ref="D419" si="281">MID(B419,2,6)</f>
        <v>844401</v>
      </c>
      <c r="E419" s="50" t="str">
        <f t="shared" ref="E419" si="282">LEFT(D419,2)</f>
        <v>84</v>
      </c>
      <c r="F419" s="51" t="s">
        <v>1829</v>
      </c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>
        <f>VLOOKUP(B419,'2174'!$A$182:$G$567,6,0)</f>
        <v>12000</v>
      </c>
      <c r="S419" s="63">
        <f>R419*12/11</f>
        <v>13090.90909090909</v>
      </c>
      <c r="T419" s="52">
        <v>13000</v>
      </c>
      <c r="U419" s="261">
        <f>VLOOKUP(B419,'ביצוע 2019'!$A$3:$H$1103,7,0)</f>
        <v>0</v>
      </c>
      <c r="V419" s="261">
        <f t="shared" si="278"/>
        <v>0</v>
      </c>
      <c r="W419" s="52"/>
      <c r="X419" s="52"/>
      <c r="Y419" s="52"/>
      <c r="Z419" s="101">
        <f t="shared" si="258"/>
        <v>1</v>
      </c>
    </row>
    <row r="420" spans="1:26" s="101" customFormat="1" ht="15.75">
      <c r="A420" s="21">
        <v>22</v>
      </c>
      <c r="B420" s="51">
        <v>1844401720</v>
      </c>
      <c r="C420" s="50" t="str">
        <f t="shared" ref="C420" si="283">RIGHT(B420,3)</f>
        <v>720</v>
      </c>
      <c r="D420" s="50" t="str">
        <f t="shared" ref="D420" si="284">MID(B420,2,6)</f>
        <v>844401</v>
      </c>
      <c r="E420" s="50" t="str">
        <f t="shared" ref="E420" si="285">LEFT(D420,2)</f>
        <v>84</v>
      </c>
      <c r="F420" s="51" t="s">
        <v>1830</v>
      </c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>
        <f>VLOOKUP(B420,'2174'!$A$182:$G$567,6,0)</f>
        <v>8734.5</v>
      </c>
      <c r="S420" s="63">
        <f>R420*12/11</f>
        <v>9528.545454545454</v>
      </c>
      <c r="T420" s="52">
        <v>10000</v>
      </c>
      <c r="U420" s="261">
        <f>VLOOKUP(B420,'ביצוע 2019'!$A$3:$H$1103,7,0)</f>
        <v>0</v>
      </c>
      <c r="V420" s="261">
        <f t="shared" si="278"/>
        <v>0</v>
      </c>
      <c r="W420" s="52"/>
      <c r="X420" s="52"/>
      <c r="Y420" s="52"/>
      <c r="Z420" s="101">
        <f t="shared" si="258"/>
        <v>1</v>
      </c>
    </row>
    <row r="421" spans="1:26" s="101" customFormat="1" ht="15.75">
      <c r="A421" s="21">
        <v>22</v>
      </c>
      <c r="B421" s="51">
        <v>1844402840</v>
      </c>
      <c r="C421" s="50" t="str">
        <f t="shared" si="268"/>
        <v>840</v>
      </c>
      <c r="D421" s="50" t="str">
        <f t="shared" si="269"/>
        <v>844402</v>
      </c>
      <c r="E421" s="50" t="str">
        <f t="shared" si="270"/>
        <v>84</v>
      </c>
      <c r="F421" s="51" t="s">
        <v>345</v>
      </c>
      <c r="G421" s="52">
        <v>25000</v>
      </c>
      <c r="H421" s="52">
        <v>27051</v>
      </c>
      <c r="I421" s="52">
        <v>-2045</v>
      </c>
      <c r="J421" s="52">
        <v>27000</v>
      </c>
      <c r="K421" s="52">
        <v>100000</v>
      </c>
      <c r="L421" s="52">
        <v>100000</v>
      </c>
      <c r="M421" s="52"/>
      <c r="N421" s="52">
        <f t="shared" si="263"/>
        <v>100000</v>
      </c>
      <c r="O421" s="52">
        <f>VLOOKUP(B:B,'דוח כספי 1-10.17'!A:D,4,0)</f>
        <v>742</v>
      </c>
      <c r="P421" s="52">
        <f t="shared" si="265"/>
        <v>890.4</v>
      </c>
      <c r="Q421" s="52">
        <v>1000</v>
      </c>
      <c r="R421" s="52">
        <f>VLOOKUP(B421,'2174'!$A$182:$G$567,6,0)</f>
        <v>84070</v>
      </c>
      <c r="S421" s="52">
        <f t="shared" si="279"/>
        <v>91712.727272727279</v>
      </c>
      <c r="T421" s="52">
        <v>95000</v>
      </c>
      <c r="U421" s="261">
        <f>VLOOKUP(B421,'ביצוע 2019'!$A$3:$H$1103,7,0)</f>
        <v>4153.5</v>
      </c>
      <c r="V421" s="261">
        <f t="shared" si="278"/>
        <v>4153.5</v>
      </c>
      <c r="W421" s="52"/>
      <c r="X421" s="52"/>
      <c r="Y421" s="52"/>
      <c r="Z421" s="101">
        <f t="shared" si="258"/>
        <v>1</v>
      </c>
    </row>
    <row r="422" spans="1:26" s="101" customFormat="1" ht="15.75" hidden="1">
      <c r="A422" s="21">
        <v>22</v>
      </c>
      <c r="B422" s="51">
        <v>1844403840</v>
      </c>
      <c r="C422" s="50" t="str">
        <f t="shared" si="268"/>
        <v>840</v>
      </c>
      <c r="D422" s="50" t="str">
        <f t="shared" si="269"/>
        <v>844403</v>
      </c>
      <c r="E422" s="50" t="str">
        <f t="shared" si="270"/>
        <v>84</v>
      </c>
      <c r="F422" s="51" t="s">
        <v>346</v>
      </c>
      <c r="G422" s="52">
        <v>0</v>
      </c>
      <c r="H422" s="52">
        <v>0</v>
      </c>
      <c r="I422" s="52">
        <v>0</v>
      </c>
      <c r="J422" s="52">
        <v>0</v>
      </c>
      <c r="K422" s="52">
        <f>+J422</f>
        <v>0</v>
      </c>
      <c r="L422" s="52">
        <v>0</v>
      </c>
      <c r="M422" s="52"/>
      <c r="N422" s="52">
        <v>0</v>
      </c>
      <c r="O422" s="52">
        <f>VLOOKUP(B:B,'דוח כספי 1-10.17'!A:D,4,0)</f>
        <v>0</v>
      </c>
      <c r="P422" s="52">
        <f t="shared" si="265"/>
        <v>0</v>
      </c>
      <c r="Q422" s="52">
        <f>P422</f>
        <v>0</v>
      </c>
      <c r="R422" s="52"/>
      <c r="S422" s="52"/>
      <c r="T422" s="52"/>
      <c r="U422" s="261">
        <f>VLOOKUP(B422,'ביצוע 2019'!$A$3:$H$1103,7,0)</f>
        <v>0</v>
      </c>
      <c r="V422" s="261">
        <f t="shared" si="278"/>
        <v>0</v>
      </c>
      <c r="W422" s="52"/>
      <c r="X422" s="52"/>
      <c r="Y422" s="52"/>
      <c r="Z422" s="101">
        <f t="shared" si="258"/>
        <v>0</v>
      </c>
    </row>
    <row r="423" spans="1:26" s="101" customFormat="1" ht="15.75">
      <c r="A423" s="21">
        <v>22</v>
      </c>
      <c r="B423" s="51">
        <v>1844401750</v>
      </c>
      <c r="C423" s="50" t="str">
        <f>RIGHT(B423,3)</f>
        <v>750</v>
      </c>
      <c r="D423" s="50" t="str">
        <f>MID(B423,2,6)</f>
        <v>844401</v>
      </c>
      <c r="E423" s="50" t="str">
        <f>LEFT(D423,2)</f>
        <v>84</v>
      </c>
      <c r="F423" s="51" t="s">
        <v>1832</v>
      </c>
      <c r="G423" s="52"/>
      <c r="H423" s="52"/>
      <c r="I423" s="52"/>
      <c r="J423" s="52"/>
      <c r="K423" s="52"/>
      <c r="L423" s="52">
        <v>135000</v>
      </c>
      <c r="M423" s="52"/>
      <c r="N423" s="52">
        <v>0</v>
      </c>
      <c r="O423" s="52">
        <f>VLOOKUP(B:B,'דוח כספי 1-10.17'!A:D,4,0)</f>
        <v>96276.51</v>
      </c>
      <c r="P423" s="52">
        <f t="shared" si="265"/>
        <v>115531.81199999999</v>
      </c>
      <c r="Q423" s="52">
        <v>115000</v>
      </c>
      <c r="R423" s="52">
        <f>VLOOKUP(B423,'2174'!$A$182:$G$567,6,0)</f>
        <v>129624.51</v>
      </c>
      <c r="S423" s="52">
        <f>R423*12/11</f>
        <v>141408.55636363637</v>
      </c>
      <c r="T423" s="52">
        <v>145000</v>
      </c>
      <c r="U423" s="261">
        <f>VLOOKUP(B423,'ביצוע 2019'!$A$3:$H$1103,7,0)</f>
        <v>159741.5</v>
      </c>
      <c r="V423" s="261">
        <f t="shared" si="278"/>
        <v>159741.5</v>
      </c>
      <c r="W423" s="52"/>
      <c r="X423" s="52"/>
      <c r="Y423" s="52"/>
      <c r="Z423" s="101">
        <f t="shared" si="258"/>
        <v>1</v>
      </c>
    </row>
    <row r="424" spans="1:26" s="101" customFormat="1" ht="15.75" hidden="1">
      <c r="A424" s="21">
        <v>21</v>
      </c>
      <c r="B424" s="51">
        <v>1844500110</v>
      </c>
      <c r="C424" s="50" t="str">
        <f t="shared" si="268"/>
        <v>110</v>
      </c>
      <c r="D424" s="50" t="str">
        <f t="shared" si="269"/>
        <v>844500</v>
      </c>
      <c r="E424" s="50" t="str">
        <f t="shared" si="270"/>
        <v>84</v>
      </c>
      <c r="F424" s="55" t="s">
        <v>347</v>
      </c>
      <c r="G424" s="52">
        <v>0</v>
      </c>
      <c r="H424" s="52">
        <v>0</v>
      </c>
      <c r="I424" s="52">
        <v>0</v>
      </c>
      <c r="J424" s="52">
        <v>0</v>
      </c>
      <c r="K424" s="52">
        <f>+J424</f>
        <v>0</v>
      </c>
      <c r="L424" s="56">
        <f>+K424</f>
        <v>0</v>
      </c>
      <c r="M424" s="52"/>
      <c r="N424" s="52">
        <f t="shared" si="263"/>
        <v>0</v>
      </c>
      <c r="O424" s="52">
        <f>VLOOKUP(B:B,'דוח כספי 1-10.17'!A:D,4,0)</f>
        <v>0</v>
      </c>
      <c r="P424" s="56">
        <f t="shared" si="265"/>
        <v>0</v>
      </c>
      <c r="Q424" s="56">
        <f>P424</f>
        <v>0</v>
      </c>
      <c r="R424" s="56"/>
      <c r="S424" s="64">
        <f>VLOOKUP(B424,'2174'!$A$575:$D$697,4,0)</f>
        <v>0</v>
      </c>
      <c r="T424" s="56">
        <f>S424*1.0217</f>
        <v>0</v>
      </c>
      <c r="U424" s="261">
        <f>VLOOKUP(B424,'ביצוע 2019'!$A$3:$H$1103,7,0)</f>
        <v>0</v>
      </c>
      <c r="V424" s="261">
        <f t="shared" si="278"/>
        <v>0</v>
      </c>
      <c r="W424" s="56"/>
      <c r="X424" s="52"/>
      <c r="Y424" s="52"/>
      <c r="Z424" s="101">
        <f t="shared" si="258"/>
        <v>0</v>
      </c>
    </row>
    <row r="425" spans="1:26" s="101" customFormat="1" ht="15.75" hidden="1">
      <c r="A425" s="21">
        <v>22</v>
      </c>
      <c r="B425" s="51">
        <v>1844500840</v>
      </c>
      <c r="C425" s="50" t="str">
        <f t="shared" si="268"/>
        <v>840</v>
      </c>
      <c r="D425" s="50" t="str">
        <f t="shared" si="269"/>
        <v>844500</v>
      </c>
      <c r="E425" s="50" t="str">
        <f t="shared" si="270"/>
        <v>84</v>
      </c>
      <c r="F425" s="51" t="s">
        <v>348</v>
      </c>
      <c r="G425" s="52">
        <v>0</v>
      </c>
      <c r="H425" s="52">
        <v>0</v>
      </c>
      <c r="I425" s="52">
        <v>0</v>
      </c>
      <c r="J425" s="52">
        <v>0</v>
      </c>
      <c r="K425" s="52">
        <f>+J425</f>
        <v>0</v>
      </c>
      <c r="L425" s="52">
        <f>+K425</f>
        <v>0</v>
      </c>
      <c r="M425" s="52"/>
      <c r="N425" s="52">
        <f t="shared" si="263"/>
        <v>0</v>
      </c>
      <c r="O425" s="52">
        <f>VLOOKUP(B:B,'דוח כספי 1-10.17'!A:D,4,0)</f>
        <v>0</v>
      </c>
      <c r="P425" s="52">
        <f t="shared" si="265"/>
        <v>0</v>
      </c>
      <c r="Q425" s="52">
        <f>P425</f>
        <v>0</v>
      </c>
      <c r="R425" s="52"/>
      <c r="S425" s="52"/>
      <c r="T425" s="52"/>
      <c r="U425" s="261">
        <f>VLOOKUP(B425,'ביצוע 2019'!$A$3:$H$1103,7,0)</f>
        <v>0</v>
      </c>
      <c r="V425" s="261">
        <f t="shared" si="278"/>
        <v>0</v>
      </c>
      <c r="W425" s="52"/>
      <c r="X425" s="52"/>
      <c r="Y425" s="52"/>
      <c r="Z425" s="101">
        <f t="shared" si="258"/>
        <v>0</v>
      </c>
    </row>
    <row r="426" spans="1:26" s="101" customFormat="1" ht="15.75">
      <c r="A426" s="21"/>
      <c r="B426" s="234"/>
      <c r="C426" s="235"/>
      <c r="D426" s="235"/>
      <c r="E426" s="235"/>
      <c r="F426" s="234" t="s">
        <v>1979</v>
      </c>
      <c r="G426" s="236"/>
      <c r="H426" s="236"/>
      <c r="I426" s="236"/>
      <c r="J426" s="236"/>
      <c r="K426" s="236"/>
      <c r="L426" s="236">
        <f>SUM(L412:L425)</f>
        <v>309000</v>
      </c>
      <c r="M426" s="236"/>
      <c r="N426" s="236">
        <f t="shared" ref="N426:W426" si="286">SUM(N412:N425)</f>
        <v>174000</v>
      </c>
      <c r="O426" s="236">
        <f t="shared" si="286"/>
        <v>151587.16</v>
      </c>
      <c r="P426" s="236">
        <f t="shared" si="286"/>
        <v>191422.212</v>
      </c>
      <c r="Q426" s="236">
        <f t="shared" si="286"/>
        <v>193000</v>
      </c>
      <c r="R426" s="236">
        <f t="shared" si="286"/>
        <v>286058.99</v>
      </c>
      <c r="S426" s="236">
        <f t="shared" si="286"/>
        <v>325977.43818181823</v>
      </c>
      <c r="T426" s="236">
        <f t="shared" si="286"/>
        <v>334760.83639000001</v>
      </c>
      <c r="U426" s="236">
        <f t="shared" si="286"/>
        <v>248922.59000000003</v>
      </c>
      <c r="V426" s="236">
        <f t="shared" si="286"/>
        <v>252224.77000000002</v>
      </c>
      <c r="W426" s="236">
        <f t="shared" si="286"/>
        <v>0.7</v>
      </c>
      <c r="X426" s="52"/>
      <c r="Y426" s="52"/>
      <c r="Z426" s="101">
        <f t="shared" si="258"/>
        <v>1</v>
      </c>
    </row>
    <row r="427" spans="1:26" s="101" customFormat="1" ht="15.75">
      <c r="A427" s="21">
        <v>22</v>
      </c>
      <c r="B427" s="51">
        <v>1845100840</v>
      </c>
      <c r="C427" s="50" t="str">
        <f t="shared" si="268"/>
        <v>840</v>
      </c>
      <c r="D427" s="50" t="str">
        <f t="shared" si="269"/>
        <v>845100</v>
      </c>
      <c r="E427" s="50" t="str">
        <f t="shared" si="270"/>
        <v>84</v>
      </c>
      <c r="F427" s="51" t="s">
        <v>349</v>
      </c>
      <c r="G427" s="52">
        <v>45000</v>
      </c>
      <c r="H427" s="52">
        <v>73393.03</v>
      </c>
      <c r="I427" s="52">
        <v>-28387.03</v>
      </c>
      <c r="J427" s="52">
        <v>75000</v>
      </c>
      <c r="K427" s="52"/>
      <c r="L427" s="52">
        <f>+K427</f>
        <v>0</v>
      </c>
      <c r="M427" s="52"/>
      <c r="N427" s="52">
        <f t="shared" si="263"/>
        <v>0</v>
      </c>
      <c r="O427" s="52">
        <f>VLOOKUP(B:B,'דוח כספי 1-10.17'!A:D,4,0)</f>
        <v>37028</v>
      </c>
      <c r="P427" s="52">
        <f t="shared" si="265"/>
        <v>44433.599999999999</v>
      </c>
      <c r="Q427" s="52">
        <v>44000</v>
      </c>
      <c r="R427" s="52">
        <f>VLOOKUP(B427,'2174'!$A$182:$G$567,6,0)</f>
        <v>38662</v>
      </c>
      <c r="S427" s="52">
        <f t="shared" ref="S427:S430" si="287">R427*12/11</f>
        <v>42176.727272727272</v>
      </c>
      <c r="T427" s="52">
        <v>45000</v>
      </c>
      <c r="U427" s="261">
        <f>VLOOKUP(B427,'ביצוע 2019'!$A$3:$H$1103,7,0)</f>
        <v>58727</v>
      </c>
      <c r="V427" s="261">
        <f t="shared" ref="V427:V445" si="288">U427</f>
        <v>58727</v>
      </c>
      <c r="W427" s="52"/>
      <c r="X427" s="52"/>
      <c r="Y427" s="52"/>
      <c r="Z427" s="101">
        <f t="shared" si="258"/>
        <v>1</v>
      </c>
    </row>
    <row r="428" spans="1:26" s="101" customFormat="1" ht="15.75">
      <c r="A428" s="21">
        <v>22</v>
      </c>
      <c r="B428" s="51">
        <v>1845101840</v>
      </c>
      <c r="C428" s="50" t="str">
        <f t="shared" si="268"/>
        <v>840</v>
      </c>
      <c r="D428" s="50" t="str">
        <f t="shared" si="269"/>
        <v>845101</v>
      </c>
      <c r="E428" s="50" t="str">
        <f t="shared" si="270"/>
        <v>84</v>
      </c>
      <c r="F428" s="51" t="s">
        <v>350</v>
      </c>
      <c r="G428" s="52">
        <v>3057000</v>
      </c>
      <c r="H428" s="52">
        <v>4004791</v>
      </c>
      <c r="I428" s="52">
        <v>-947792</v>
      </c>
      <c r="J428" s="52">
        <v>4548000</v>
      </c>
      <c r="K428" s="52">
        <v>5441000</v>
      </c>
      <c r="L428" s="52">
        <v>5441000</v>
      </c>
      <c r="M428" s="52"/>
      <c r="N428" s="52">
        <f t="shared" si="263"/>
        <v>5441000</v>
      </c>
      <c r="O428" s="52">
        <f>VLOOKUP(B:B,'דוח כספי 1-10.17'!A:D,4,0)</f>
        <v>4045135</v>
      </c>
      <c r="P428" s="52">
        <f t="shared" si="265"/>
        <v>4854162</v>
      </c>
      <c r="Q428" s="52">
        <v>4855000</v>
      </c>
      <c r="R428" s="52">
        <f>VLOOKUP(B428,'2174'!$A$182:$G$567,6,0)</f>
        <v>5651493</v>
      </c>
      <c r="S428" s="52">
        <f t="shared" si="287"/>
        <v>6165265.0909090908</v>
      </c>
      <c r="T428" s="52">
        <v>6000000</v>
      </c>
      <c r="U428" s="261">
        <f>VLOOKUP(B428,'ביצוע 2019'!$A$3:$H$1103,7,0)</f>
        <v>6355244</v>
      </c>
      <c r="V428" s="261">
        <f t="shared" si="288"/>
        <v>6355244</v>
      </c>
      <c r="W428" s="52"/>
      <c r="X428" s="52"/>
      <c r="Y428" s="52"/>
      <c r="Z428" s="101">
        <f t="shared" si="258"/>
        <v>1</v>
      </c>
    </row>
    <row r="429" spans="1:26" s="101" customFormat="1" ht="15.75">
      <c r="A429" s="21">
        <v>22</v>
      </c>
      <c r="B429" s="51">
        <v>1845102840</v>
      </c>
      <c r="C429" s="50" t="str">
        <f t="shared" si="268"/>
        <v>840</v>
      </c>
      <c r="D429" s="50" t="str">
        <f t="shared" si="269"/>
        <v>845102</v>
      </c>
      <c r="E429" s="50" t="str">
        <f t="shared" si="270"/>
        <v>84</v>
      </c>
      <c r="F429" s="51" t="s">
        <v>351</v>
      </c>
      <c r="G429" s="52">
        <v>0</v>
      </c>
      <c r="H429" s="52">
        <v>8766</v>
      </c>
      <c r="I429" s="52">
        <v>-8766</v>
      </c>
      <c r="J429" s="52">
        <v>9000</v>
      </c>
      <c r="K429" s="52">
        <v>23000</v>
      </c>
      <c r="L429" s="52">
        <v>23000</v>
      </c>
      <c r="M429" s="52"/>
      <c r="N429" s="52">
        <f t="shared" si="263"/>
        <v>23000</v>
      </c>
      <c r="O429" s="52">
        <f>VLOOKUP(B:B,'דוח כספי 1-10.17'!A:D,4,0)</f>
        <v>0</v>
      </c>
      <c r="P429" s="52">
        <f t="shared" si="265"/>
        <v>0</v>
      </c>
      <c r="Q429" s="52">
        <f>P429</f>
        <v>0</v>
      </c>
      <c r="R429" s="52">
        <f>VLOOKUP(B429,'2174'!$A$182:$G$567,6,0)</f>
        <v>11882</v>
      </c>
      <c r="S429" s="52">
        <f t="shared" si="287"/>
        <v>12962.181818181818</v>
      </c>
      <c r="T429" s="52">
        <v>15000</v>
      </c>
      <c r="U429" s="261">
        <f>VLOOKUP(B429,'ביצוע 2019'!$A$3:$H$1103,7,0)</f>
        <v>10426</v>
      </c>
      <c r="V429" s="261">
        <f t="shared" si="288"/>
        <v>10426</v>
      </c>
      <c r="W429" s="52"/>
      <c r="X429" s="52"/>
      <c r="Y429" s="52"/>
      <c r="Z429" s="101">
        <f t="shared" si="258"/>
        <v>1</v>
      </c>
    </row>
    <row r="430" spans="1:26" s="101" customFormat="1" ht="15.75" hidden="1">
      <c r="A430" s="21">
        <v>22</v>
      </c>
      <c r="B430" s="51">
        <v>1845103840</v>
      </c>
      <c r="C430" s="50" t="str">
        <f t="shared" si="268"/>
        <v>840</v>
      </c>
      <c r="D430" s="50" t="str">
        <f t="shared" si="269"/>
        <v>845103</v>
      </c>
      <c r="E430" s="50" t="str">
        <f t="shared" si="270"/>
        <v>84</v>
      </c>
      <c r="F430" s="51" t="s">
        <v>352</v>
      </c>
      <c r="G430" s="52">
        <v>0</v>
      </c>
      <c r="H430" s="52">
        <v>8772</v>
      </c>
      <c r="I430" s="52">
        <v>-8772</v>
      </c>
      <c r="J430" s="52">
        <v>9000</v>
      </c>
      <c r="K430" s="52">
        <v>14000</v>
      </c>
      <c r="L430" s="52">
        <v>14000</v>
      </c>
      <c r="M430" s="52"/>
      <c r="N430" s="52">
        <f t="shared" si="263"/>
        <v>14000</v>
      </c>
      <c r="O430" s="52">
        <f>VLOOKUP(B:B,'דוח כספי 1-10.17'!A:D,4,0)</f>
        <v>23320</v>
      </c>
      <c r="P430" s="52">
        <f t="shared" si="265"/>
        <v>27984</v>
      </c>
      <c r="Q430" s="52">
        <v>28000</v>
      </c>
      <c r="R430" s="52">
        <f>VLOOKUP(B430,'2174'!$A$182:$G$567,6,0)</f>
        <v>0</v>
      </c>
      <c r="S430" s="52">
        <f t="shared" si="287"/>
        <v>0</v>
      </c>
      <c r="T430" s="52">
        <v>0</v>
      </c>
      <c r="U430" s="261">
        <f>VLOOKUP(B430,'ביצוע 2019'!$A$3:$H$1103,7,0)</f>
        <v>0</v>
      </c>
      <c r="V430" s="261">
        <f t="shared" si="288"/>
        <v>0</v>
      </c>
      <c r="W430" s="52"/>
      <c r="X430" s="52"/>
      <c r="Y430" s="52"/>
      <c r="Z430" s="101">
        <f t="shared" si="258"/>
        <v>0</v>
      </c>
    </row>
    <row r="431" spans="1:26" s="101" customFormat="1" ht="15.75" hidden="1">
      <c r="A431" s="21">
        <v>22</v>
      </c>
      <c r="B431" s="51">
        <v>1845104840</v>
      </c>
      <c r="C431" s="50" t="str">
        <f t="shared" si="268"/>
        <v>840</v>
      </c>
      <c r="D431" s="50" t="str">
        <f t="shared" si="269"/>
        <v>845104</v>
      </c>
      <c r="E431" s="50" t="str">
        <f t="shared" si="270"/>
        <v>84</v>
      </c>
      <c r="F431" s="51" t="s">
        <v>353</v>
      </c>
      <c r="G431" s="52">
        <v>0</v>
      </c>
      <c r="H431" s="52">
        <v>0</v>
      </c>
      <c r="I431" s="52">
        <v>0</v>
      </c>
      <c r="J431" s="52">
        <v>0</v>
      </c>
      <c r="K431" s="52">
        <f>+J431</f>
        <v>0</v>
      </c>
      <c r="L431" s="52">
        <f>+K431</f>
        <v>0</v>
      </c>
      <c r="M431" s="52"/>
      <c r="N431" s="52">
        <f t="shared" si="263"/>
        <v>0</v>
      </c>
      <c r="O431" s="52">
        <f>VLOOKUP(B:B,'דוח כספי 1-10.17'!A:D,4,0)</f>
        <v>0</v>
      </c>
      <c r="P431" s="52">
        <f t="shared" si="265"/>
        <v>0</v>
      </c>
      <c r="Q431" s="52">
        <f>P431</f>
        <v>0</v>
      </c>
      <c r="R431" s="52"/>
      <c r="S431" s="52"/>
      <c r="T431" s="52"/>
      <c r="U431" s="261">
        <f>VLOOKUP(B431,'ביצוע 2019'!$A$3:$H$1103,7,0)</f>
        <v>0</v>
      </c>
      <c r="V431" s="261">
        <f t="shared" si="288"/>
        <v>0</v>
      </c>
      <c r="W431" s="52"/>
      <c r="X431" s="52"/>
      <c r="Y431" s="52"/>
      <c r="Z431" s="101">
        <f t="shared" si="258"/>
        <v>0</v>
      </c>
    </row>
    <row r="432" spans="1:26" s="101" customFormat="1" ht="15.75">
      <c r="A432" s="21">
        <v>21</v>
      </c>
      <c r="B432" s="51">
        <v>1845201110</v>
      </c>
      <c r="C432" s="50" t="str">
        <f t="shared" si="268"/>
        <v>110</v>
      </c>
      <c r="D432" s="50" t="str">
        <f t="shared" si="269"/>
        <v>845201</v>
      </c>
      <c r="E432" s="50" t="str">
        <f t="shared" si="270"/>
        <v>84</v>
      </c>
      <c r="F432" s="51" t="s">
        <v>355</v>
      </c>
      <c r="G432" s="52">
        <v>201000</v>
      </c>
      <c r="H432" s="52">
        <v>185371.14</v>
      </c>
      <c r="I432" s="52">
        <v>15625.86</v>
      </c>
      <c r="J432" s="52">
        <v>0</v>
      </c>
      <c r="K432" s="52">
        <v>210000</v>
      </c>
      <c r="L432" s="52">
        <v>216000</v>
      </c>
      <c r="M432" s="52"/>
      <c r="N432" s="52">
        <f t="shared" si="263"/>
        <v>216000</v>
      </c>
      <c r="O432" s="52">
        <f>VLOOKUP(B:B,'דוח כספי 1-10.17'!A:D,4,0)</f>
        <v>175100.41</v>
      </c>
      <c r="P432" s="52">
        <v>214000</v>
      </c>
      <c r="Q432" s="52">
        <v>217000</v>
      </c>
      <c r="R432" s="52">
        <f>VLOOKUP(B432,'2174'!$A$182:$G$567,6,0)</f>
        <v>151817.38</v>
      </c>
      <c r="S432" s="63">
        <f>VLOOKUP(B432,'2174'!$A$575:$D$697,4,0)</f>
        <v>196800.34</v>
      </c>
      <c r="T432" s="56">
        <f>S432*1.0217</f>
        <v>201070.907378</v>
      </c>
      <c r="U432" s="261">
        <f>VLOOKUP(B432,'ביצוע 2019'!$A$3:$H$1103,7,0)</f>
        <v>205887.03</v>
      </c>
      <c r="V432" s="261">
        <v>215000</v>
      </c>
      <c r="W432" s="52">
        <v>2</v>
      </c>
      <c r="X432" s="52"/>
      <c r="Y432" s="52"/>
      <c r="Z432" s="101">
        <f t="shared" si="258"/>
        <v>1</v>
      </c>
    </row>
    <row r="433" spans="1:26" s="101" customFormat="1" ht="15.75" hidden="1">
      <c r="A433" s="21">
        <v>22</v>
      </c>
      <c r="B433" s="51">
        <v>1845201750</v>
      </c>
      <c r="C433" s="50" t="str">
        <f t="shared" si="268"/>
        <v>750</v>
      </c>
      <c r="D433" s="50" t="str">
        <f t="shared" si="269"/>
        <v>845201</v>
      </c>
      <c r="E433" s="50" t="str">
        <f t="shared" si="270"/>
        <v>84</v>
      </c>
      <c r="F433" s="51" t="s">
        <v>1849</v>
      </c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>
        <f>VLOOKUP(B433,'2174'!$A$182:$G$567,6,0)</f>
        <v>1450</v>
      </c>
      <c r="S433" s="63">
        <v>0</v>
      </c>
      <c r="T433" s="52">
        <v>0</v>
      </c>
      <c r="U433" s="261">
        <f>VLOOKUP(B433,'ביצוע 2019'!$A$3:$H$1103,7,0)</f>
        <v>0</v>
      </c>
      <c r="V433" s="261">
        <f t="shared" si="288"/>
        <v>0</v>
      </c>
      <c r="W433" s="52"/>
      <c r="X433" s="52"/>
      <c r="Y433" s="52"/>
      <c r="Z433" s="101">
        <f t="shared" si="258"/>
        <v>0</v>
      </c>
    </row>
    <row r="434" spans="1:26" s="101" customFormat="1" ht="15.75">
      <c r="A434" s="21">
        <v>22</v>
      </c>
      <c r="B434" s="51">
        <v>1845201781</v>
      </c>
      <c r="C434" s="50" t="s">
        <v>887</v>
      </c>
      <c r="D434" s="50" t="s">
        <v>1053</v>
      </c>
      <c r="E434" s="50" t="s">
        <v>1049</v>
      </c>
      <c r="F434" s="51" t="s">
        <v>1851</v>
      </c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>
        <f>VLOOKUP(B434,'2174'!$A$182:$G$567,6,0)</f>
        <v>94228</v>
      </c>
      <c r="S434" s="63">
        <v>0</v>
      </c>
      <c r="T434" s="52">
        <v>0</v>
      </c>
      <c r="U434" s="261">
        <f>VLOOKUP(B434,'ביצוע 2019'!$A$3:$H$1103,7,0)</f>
        <v>102000</v>
      </c>
      <c r="V434" s="261">
        <f t="shared" si="288"/>
        <v>102000</v>
      </c>
      <c r="W434" s="52"/>
      <c r="X434" s="52"/>
      <c r="Y434" s="52"/>
      <c r="Z434" s="101">
        <f t="shared" si="258"/>
        <v>1</v>
      </c>
    </row>
    <row r="435" spans="1:26" s="101" customFormat="1" ht="15.75">
      <c r="A435" s="21">
        <v>22</v>
      </c>
      <c r="B435" s="51">
        <v>1845201840</v>
      </c>
      <c r="C435" s="50">
        <v>840</v>
      </c>
      <c r="D435" s="50">
        <v>845201</v>
      </c>
      <c r="E435" s="50">
        <v>84</v>
      </c>
      <c r="F435" s="51" t="s">
        <v>1630</v>
      </c>
      <c r="G435" s="52"/>
      <c r="H435" s="52"/>
      <c r="I435" s="52"/>
      <c r="J435" s="52"/>
      <c r="K435" s="52">
        <v>479000</v>
      </c>
      <c r="L435" s="52">
        <v>479000</v>
      </c>
      <c r="M435" s="52"/>
      <c r="N435" s="52">
        <f t="shared" si="263"/>
        <v>479000</v>
      </c>
      <c r="O435" s="52">
        <f>VLOOKUP(B:B,'דוח כספי 1-10.17'!A:D,4,0)</f>
        <v>467326</v>
      </c>
      <c r="P435" s="52">
        <f t="shared" si="265"/>
        <v>560791.19999999995</v>
      </c>
      <c r="Q435" s="52">
        <v>561000</v>
      </c>
      <c r="R435" s="52">
        <f>VLOOKUP(B435,'2174'!$A$182:$G$567,6,0)</f>
        <v>697452</v>
      </c>
      <c r="S435" s="52">
        <f t="shared" ref="S435:S438" si="289">R435*12/11</f>
        <v>760856.72727272729</v>
      </c>
      <c r="T435" s="52">
        <v>760000</v>
      </c>
      <c r="U435" s="261">
        <f>VLOOKUP(B435,'ביצוע 2019'!$A$3:$H$1103,7,0)</f>
        <v>1227234</v>
      </c>
      <c r="V435" s="261">
        <f t="shared" si="288"/>
        <v>1227234</v>
      </c>
      <c r="W435" s="52"/>
      <c r="X435" s="52"/>
      <c r="Y435" s="52"/>
      <c r="Z435" s="101">
        <f t="shared" si="258"/>
        <v>1</v>
      </c>
    </row>
    <row r="436" spans="1:26" s="101" customFormat="1" ht="15.75">
      <c r="A436" s="21">
        <v>22</v>
      </c>
      <c r="B436" s="51">
        <v>1845202840</v>
      </c>
      <c r="C436" s="50" t="str">
        <f t="shared" si="268"/>
        <v>840</v>
      </c>
      <c r="D436" s="50" t="str">
        <f t="shared" si="269"/>
        <v>845202</v>
      </c>
      <c r="E436" s="50" t="str">
        <f t="shared" si="270"/>
        <v>84</v>
      </c>
      <c r="F436" s="51" t="s">
        <v>357</v>
      </c>
      <c r="G436" s="52">
        <v>68000</v>
      </c>
      <c r="H436" s="52">
        <v>0</v>
      </c>
      <c r="I436" s="52">
        <v>67996</v>
      </c>
      <c r="J436" s="52">
        <v>68000</v>
      </c>
      <c r="K436" s="52">
        <v>9000</v>
      </c>
      <c r="L436" s="52">
        <v>9000</v>
      </c>
      <c r="M436" s="52"/>
      <c r="N436" s="52">
        <f t="shared" si="263"/>
        <v>9000</v>
      </c>
      <c r="O436" s="52">
        <f>VLOOKUP(B:B,'דוח כספי 1-10.17'!A:D,4,0)</f>
        <v>4375</v>
      </c>
      <c r="P436" s="52">
        <f t="shared" si="265"/>
        <v>5250</v>
      </c>
      <c r="Q436" s="52">
        <v>5200</v>
      </c>
      <c r="R436" s="52">
        <f>VLOOKUP(B436,'2174'!$A$182:$G$567,6,0)</f>
        <v>4851</v>
      </c>
      <c r="S436" s="52">
        <f t="shared" si="289"/>
        <v>5292</v>
      </c>
      <c r="T436" s="52">
        <v>6000</v>
      </c>
      <c r="U436" s="261">
        <f>VLOOKUP(B436,'ביצוע 2019'!$A$3:$H$1103,7,0)</f>
        <v>5364</v>
      </c>
      <c r="V436" s="261">
        <f t="shared" si="288"/>
        <v>5364</v>
      </c>
      <c r="W436" s="52"/>
      <c r="X436" s="52"/>
      <c r="Y436" s="52"/>
      <c r="Z436" s="101">
        <f t="shared" si="258"/>
        <v>1</v>
      </c>
    </row>
    <row r="437" spans="1:26" s="101" customFormat="1" ht="15.75" hidden="1">
      <c r="A437" s="21">
        <v>22</v>
      </c>
      <c r="B437" s="51">
        <v>1845203840</v>
      </c>
      <c r="C437" s="50" t="str">
        <f t="shared" si="268"/>
        <v>840</v>
      </c>
      <c r="D437" s="50" t="str">
        <f t="shared" si="269"/>
        <v>845203</v>
      </c>
      <c r="E437" s="50" t="str">
        <f t="shared" si="270"/>
        <v>84</v>
      </c>
      <c r="F437" s="51" t="s">
        <v>358</v>
      </c>
      <c r="G437" s="52">
        <v>656000</v>
      </c>
      <c r="H437" s="52">
        <v>212602.03</v>
      </c>
      <c r="I437" s="52">
        <v>443399.97</v>
      </c>
      <c r="J437" s="52">
        <v>215000</v>
      </c>
      <c r="K437" s="52"/>
      <c r="L437" s="52">
        <f>+K437</f>
        <v>0</v>
      </c>
      <c r="M437" s="52"/>
      <c r="N437" s="52">
        <f t="shared" si="263"/>
        <v>0</v>
      </c>
      <c r="O437" s="52">
        <f>VLOOKUP(B:B,'דוח כספי 1-10.17'!A:D,4,0)</f>
        <v>0</v>
      </c>
      <c r="P437" s="52">
        <f t="shared" si="265"/>
        <v>0</v>
      </c>
      <c r="Q437" s="52">
        <f>P437</f>
        <v>0</v>
      </c>
      <c r="R437" s="52"/>
      <c r="S437" s="52">
        <f t="shared" si="289"/>
        <v>0</v>
      </c>
      <c r="T437" s="52">
        <v>0</v>
      </c>
      <c r="U437" s="261">
        <f>VLOOKUP(B437,'ביצוע 2019'!$A$3:$H$1103,7,0)</f>
        <v>0</v>
      </c>
      <c r="V437" s="261">
        <f t="shared" si="288"/>
        <v>0</v>
      </c>
      <c r="W437" s="52"/>
      <c r="X437" s="52"/>
      <c r="Y437" s="52"/>
      <c r="Z437" s="101">
        <f t="shared" si="258"/>
        <v>0</v>
      </c>
    </row>
    <row r="438" spans="1:26" s="101" customFormat="1" ht="15.75">
      <c r="A438" s="21">
        <v>22</v>
      </c>
      <c r="B438" s="51">
        <v>1845204840</v>
      </c>
      <c r="C438" s="50" t="str">
        <f t="shared" si="268"/>
        <v>840</v>
      </c>
      <c r="D438" s="50" t="str">
        <f t="shared" si="269"/>
        <v>845204</v>
      </c>
      <c r="E438" s="50" t="str">
        <f t="shared" si="270"/>
        <v>84</v>
      </c>
      <c r="F438" s="51" t="s">
        <v>359</v>
      </c>
      <c r="G438" s="52">
        <v>73000</v>
      </c>
      <c r="H438" s="52">
        <v>147533.03</v>
      </c>
      <c r="I438" s="52">
        <v>-74532.03</v>
      </c>
      <c r="J438" s="52">
        <v>150000</v>
      </c>
      <c r="K438" s="52">
        <v>395000</v>
      </c>
      <c r="L438" s="52">
        <v>395000</v>
      </c>
      <c r="M438" s="52"/>
      <c r="N438" s="52">
        <f t="shared" si="263"/>
        <v>395000</v>
      </c>
      <c r="O438" s="52">
        <f>VLOOKUP(B:B,'דוח כספי 1-10.17'!A:D,4,0)</f>
        <v>344440</v>
      </c>
      <c r="P438" s="52">
        <f t="shared" si="265"/>
        <v>413328</v>
      </c>
      <c r="Q438" s="52">
        <v>413000</v>
      </c>
      <c r="R438" s="52">
        <f>VLOOKUP(B438,'2174'!$A$182:$G$567,6,0)</f>
        <v>494326</v>
      </c>
      <c r="S438" s="52">
        <f t="shared" si="289"/>
        <v>539264.72727272729</v>
      </c>
      <c r="T438" s="52">
        <v>539264.72727272729</v>
      </c>
      <c r="U438" s="261">
        <f>VLOOKUP(B438,'ביצוע 2019'!$A$3:$H$1103,7,0)</f>
        <v>727991</v>
      </c>
      <c r="V438" s="261">
        <f t="shared" si="288"/>
        <v>727991</v>
      </c>
      <c r="W438" s="52"/>
      <c r="X438" s="52"/>
      <c r="Y438" s="52"/>
      <c r="Z438" s="101">
        <f t="shared" si="258"/>
        <v>1</v>
      </c>
    </row>
    <row r="439" spans="1:26" s="101" customFormat="1" ht="15.75" hidden="1">
      <c r="A439" s="21">
        <v>22</v>
      </c>
      <c r="B439" s="51">
        <v>1845205840</v>
      </c>
      <c r="C439" s="50" t="str">
        <f t="shared" si="268"/>
        <v>840</v>
      </c>
      <c r="D439" s="50" t="str">
        <f t="shared" si="269"/>
        <v>845205</v>
      </c>
      <c r="E439" s="50" t="str">
        <f t="shared" si="270"/>
        <v>84</v>
      </c>
      <c r="F439" s="51" t="s">
        <v>360</v>
      </c>
      <c r="G439" s="52">
        <v>0</v>
      </c>
      <c r="H439" s="52">
        <v>0</v>
      </c>
      <c r="I439" s="52">
        <v>0</v>
      </c>
      <c r="J439" s="52">
        <v>0</v>
      </c>
      <c r="K439" s="52">
        <f>+J439</f>
        <v>0</v>
      </c>
      <c r="L439" s="52">
        <f>+K439</f>
        <v>0</v>
      </c>
      <c r="M439" s="52"/>
      <c r="N439" s="52">
        <f t="shared" si="263"/>
        <v>0</v>
      </c>
      <c r="O439" s="52">
        <f>VLOOKUP(B:B,'דוח כספי 1-10.17'!A:D,4,0)</f>
        <v>0</v>
      </c>
      <c r="P439" s="52">
        <f t="shared" si="265"/>
        <v>0</v>
      </c>
      <c r="Q439" s="52">
        <f>P439</f>
        <v>0</v>
      </c>
      <c r="R439" s="52"/>
      <c r="S439" s="52"/>
      <c r="T439" s="52"/>
      <c r="U439" s="261">
        <f>VLOOKUP(B439,'ביצוע 2019'!$A$3:$H$1103,7,0)</f>
        <v>0</v>
      </c>
      <c r="V439" s="261">
        <f t="shared" si="288"/>
        <v>0</v>
      </c>
      <c r="W439" s="52"/>
      <c r="X439" s="52"/>
      <c r="Y439" s="52"/>
      <c r="Z439" s="101">
        <f t="shared" si="258"/>
        <v>0</v>
      </c>
    </row>
    <row r="440" spans="1:26" s="101" customFormat="1" ht="15.75">
      <c r="A440" s="21">
        <v>22</v>
      </c>
      <c r="B440" s="51">
        <v>1845301840</v>
      </c>
      <c r="C440" s="50" t="str">
        <f t="shared" si="268"/>
        <v>840</v>
      </c>
      <c r="D440" s="50" t="str">
        <f t="shared" si="269"/>
        <v>845301</v>
      </c>
      <c r="E440" s="50" t="str">
        <f t="shared" si="270"/>
        <v>84</v>
      </c>
      <c r="F440" s="51" t="s">
        <v>361</v>
      </c>
      <c r="G440" s="52">
        <v>18000</v>
      </c>
      <c r="H440" s="52">
        <v>0</v>
      </c>
      <c r="I440" s="52">
        <v>17996</v>
      </c>
      <c r="J440" s="52">
        <v>18000</v>
      </c>
      <c r="K440" s="52">
        <v>5000</v>
      </c>
      <c r="L440" s="52">
        <v>5000</v>
      </c>
      <c r="M440" s="52"/>
      <c r="N440" s="52">
        <f t="shared" si="263"/>
        <v>5000</v>
      </c>
      <c r="O440" s="52">
        <f>VLOOKUP(B:B,'דוח כספי 1-10.17'!A:D,4,0)</f>
        <v>0</v>
      </c>
      <c r="P440" s="52">
        <f t="shared" si="265"/>
        <v>0</v>
      </c>
      <c r="Q440" s="52">
        <f>P440</f>
        <v>0</v>
      </c>
      <c r="R440" s="52">
        <f>VLOOKUP(B440,'2174'!$A$182:$G$567,6,0)</f>
        <v>123206</v>
      </c>
      <c r="S440" s="52">
        <f t="shared" ref="S440:S445" si="290">R440*12/11</f>
        <v>134406.54545454544</v>
      </c>
      <c r="T440" s="52">
        <v>135000</v>
      </c>
      <c r="U440" s="261">
        <f>VLOOKUP(B440,'ביצוע 2019'!$A$3:$H$1103,7,0)</f>
        <v>119454</v>
      </c>
      <c r="V440" s="261">
        <f t="shared" si="288"/>
        <v>119454</v>
      </c>
      <c r="W440" s="52"/>
      <c r="X440" s="52"/>
      <c r="Y440" s="52"/>
      <c r="Z440" s="101">
        <f t="shared" si="258"/>
        <v>1</v>
      </c>
    </row>
    <row r="441" spans="1:26" s="101" customFormat="1" ht="15.75">
      <c r="A441" s="21">
        <v>22</v>
      </c>
      <c r="B441" s="51">
        <v>1845302840</v>
      </c>
      <c r="C441" s="50" t="str">
        <f t="shared" ref="C441:C485" si="291">RIGHT(B441,3)</f>
        <v>840</v>
      </c>
      <c r="D441" s="50" t="str">
        <f t="shared" ref="D441:D485" si="292">MID(B441,2,6)</f>
        <v>845302</v>
      </c>
      <c r="E441" s="50" t="str">
        <f t="shared" ref="E441:E485" si="293">LEFT(D441,2)</f>
        <v>84</v>
      </c>
      <c r="F441" s="51" t="s">
        <v>362</v>
      </c>
      <c r="G441" s="52">
        <v>0</v>
      </c>
      <c r="H441" s="52">
        <v>10234.02</v>
      </c>
      <c r="I441" s="52">
        <v>-10234.02</v>
      </c>
      <c r="J441" s="52">
        <v>11000</v>
      </c>
      <c r="K441" s="52">
        <v>11000</v>
      </c>
      <c r="L441" s="52">
        <v>11000</v>
      </c>
      <c r="M441" s="52"/>
      <c r="N441" s="52">
        <f t="shared" si="263"/>
        <v>11000</v>
      </c>
      <c r="O441" s="52">
        <f>VLOOKUP(B:B,'דוח כספי 1-10.17'!A:D,4,0)</f>
        <v>17945</v>
      </c>
      <c r="P441" s="52">
        <f t="shared" si="265"/>
        <v>21534</v>
      </c>
      <c r="Q441" s="52">
        <v>21000</v>
      </c>
      <c r="R441" s="52">
        <f>VLOOKUP(B441,'2174'!$A$182:$G$567,6,0)</f>
        <v>17979</v>
      </c>
      <c r="S441" s="52">
        <f t="shared" si="290"/>
        <v>19613.454545454544</v>
      </c>
      <c r="T441" s="52">
        <v>20000</v>
      </c>
      <c r="U441" s="261">
        <f>VLOOKUP(B441,'ביצוע 2019'!$A$3:$H$1103,7,0)</f>
        <v>43200</v>
      </c>
      <c r="V441" s="261">
        <f t="shared" si="288"/>
        <v>43200</v>
      </c>
      <c r="W441" s="52"/>
      <c r="X441" s="52"/>
      <c r="Y441" s="52"/>
      <c r="Z441" s="101">
        <f t="shared" si="258"/>
        <v>1</v>
      </c>
    </row>
    <row r="442" spans="1:26" s="101" customFormat="1" ht="15.75" hidden="1">
      <c r="A442" s="21">
        <v>22</v>
      </c>
      <c r="B442" s="51">
        <v>1845303840</v>
      </c>
      <c r="C442" s="50" t="str">
        <f t="shared" si="291"/>
        <v>840</v>
      </c>
      <c r="D442" s="50" t="str">
        <f t="shared" si="292"/>
        <v>845303</v>
      </c>
      <c r="E442" s="50" t="str">
        <f t="shared" si="293"/>
        <v>84</v>
      </c>
      <c r="F442" s="51" t="s">
        <v>363</v>
      </c>
      <c r="G442" s="52">
        <v>68000</v>
      </c>
      <c r="H442" s="52">
        <v>86201</v>
      </c>
      <c r="I442" s="52">
        <v>-18205</v>
      </c>
      <c r="J442" s="52">
        <v>87000</v>
      </c>
      <c r="K442" s="52">
        <v>184000</v>
      </c>
      <c r="L442" s="52">
        <v>184000</v>
      </c>
      <c r="M442" s="52"/>
      <c r="N442" s="52">
        <f t="shared" si="263"/>
        <v>184000</v>
      </c>
      <c r="O442" s="52">
        <f>VLOOKUP(B:B,'דוח כספי 1-10.17'!A:D,4,0)</f>
        <v>130734</v>
      </c>
      <c r="P442" s="52">
        <f t="shared" si="265"/>
        <v>156880.79999999999</v>
      </c>
      <c r="Q442" s="52">
        <v>157000</v>
      </c>
      <c r="R442" s="52">
        <f>VLOOKUP(B442,'2174'!$A$182:$G$567,6,0)</f>
        <v>0</v>
      </c>
      <c r="S442" s="52">
        <f t="shared" si="290"/>
        <v>0</v>
      </c>
      <c r="T442" s="52">
        <v>0</v>
      </c>
      <c r="U442" s="261">
        <f>VLOOKUP(B442,'ביצוע 2019'!$A$3:$H$1103,7,0)</f>
        <v>0</v>
      </c>
      <c r="V442" s="261">
        <f t="shared" si="288"/>
        <v>0</v>
      </c>
      <c r="W442" s="52"/>
      <c r="X442" s="52"/>
      <c r="Y442" s="52"/>
      <c r="Z442" s="101">
        <f t="shared" si="258"/>
        <v>0</v>
      </c>
    </row>
    <row r="443" spans="1:26" s="101" customFormat="1" ht="15.75">
      <c r="A443" s="21">
        <v>22</v>
      </c>
      <c r="B443" s="51">
        <v>1845304840</v>
      </c>
      <c r="C443" s="50" t="str">
        <f t="shared" si="291"/>
        <v>840</v>
      </c>
      <c r="D443" s="50" t="str">
        <f t="shared" si="292"/>
        <v>845304</v>
      </c>
      <c r="E443" s="50" t="str">
        <f t="shared" si="293"/>
        <v>84</v>
      </c>
      <c r="F443" s="51" t="s">
        <v>364</v>
      </c>
      <c r="G443" s="52">
        <v>90000</v>
      </c>
      <c r="H443" s="52">
        <v>134953</v>
      </c>
      <c r="I443" s="52">
        <v>-44953</v>
      </c>
      <c r="J443" s="52">
        <v>135000</v>
      </c>
      <c r="K443" s="52"/>
      <c r="L443" s="52">
        <v>0</v>
      </c>
      <c r="M443" s="52"/>
      <c r="N443" s="52">
        <f t="shared" si="263"/>
        <v>0</v>
      </c>
      <c r="O443" s="52">
        <f>VLOOKUP(B:B,'דוח כספי 1-10.17'!A:D,4,0)</f>
        <v>0</v>
      </c>
      <c r="P443" s="52">
        <f t="shared" si="265"/>
        <v>0</v>
      </c>
      <c r="Q443" s="52">
        <f>P443</f>
        <v>0</v>
      </c>
      <c r="R443" s="52">
        <f>VLOOKUP(B443,'2174'!$A$182:$G$567,6,0)</f>
        <v>330279</v>
      </c>
      <c r="S443" s="52">
        <f t="shared" si="290"/>
        <v>360304.36363636365</v>
      </c>
      <c r="T443" s="52">
        <v>360000</v>
      </c>
      <c r="U443" s="261">
        <f>VLOOKUP(B443,'ביצוע 2019'!$A$3:$H$1103,7,0)</f>
        <v>434999</v>
      </c>
      <c r="V443" s="261">
        <f t="shared" si="288"/>
        <v>434999</v>
      </c>
      <c r="W443" s="52"/>
      <c r="X443" s="52"/>
      <c r="Y443" s="52"/>
      <c r="Z443" s="101">
        <f t="shared" si="258"/>
        <v>1</v>
      </c>
    </row>
    <row r="444" spans="1:26" s="101" customFormat="1" ht="15.75" hidden="1">
      <c r="A444" s="21">
        <v>22</v>
      </c>
      <c r="B444" s="51">
        <v>1845200840</v>
      </c>
      <c r="C444" s="50" t="str">
        <f>RIGHT(B444,3)</f>
        <v>840</v>
      </c>
      <c r="D444" s="50" t="str">
        <f>MID(B444,2,6)</f>
        <v>845200</v>
      </c>
      <c r="E444" s="50" t="str">
        <f>LEFT(D444,2)</f>
        <v>84</v>
      </c>
      <c r="F444" s="106" t="s">
        <v>354</v>
      </c>
      <c r="G444" s="52"/>
      <c r="H444" s="52"/>
      <c r="I444" s="52"/>
      <c r="J444" s="52"/>
      <c r="K444" s="52"/>
      <c r="L444" s="52">
        <v>0</v>
      </c>
      <c r="M444" s="52"/>
      <c r="N444" s="52">
        <v>0</v>
      </c>
      <c r="O444" s="52">
        <f>VLOOKUP(B:B,'דוח כספי 1-10.17'!A:D,4,0)</f>
        <v>32280</v>
      </c>
      <c r="P444" s="52">
        <f>O444*12/10</f>
        <v>38736</v>
      </c>
      <c r="Q444" s="52">
        <v>38000</v>
      </c>
      <c r="R444" s="52"/>
      <c r="S444" s="52">
        <f t="shared" si="290"/>
        <v>0</v>
      </c>
      <c r="T444" s="52">
        <v>0</v>
      </c>
      <c r="U444" s="261">
        <f>VLOOKUP(B444,'ביצוע 2019'!$A$3:$H$1103,7,0)</f>
        <v>0</v>
      </c>
      <c r="V444" s="261">
        <f t="shared" si="288"/>
        <v>0</v>
      </c>
      <c r="W444" s="52"/>
      <c r="X444" s="52"/>
      <c r="Y444" s="52"/>
      <c r="Z444" s="101">
        <f t="shared" si="258"/>
        <v>0</v>
      </c>
    </row>
    <row r="445" spans="1:26" s="101" customFormat="1" ht="15.75" hidden="1">
      <c r="A445" s="21">
        <v>22</v>
      </c>
      <c r="B445" s="51">
        <v>1845800840</v>
      </c>
      <c r="C445" s="50" t="str">
        <f>RIGHT(B445,3)</f>
        <v>840</v>
      </c>
      <c r="D445" s="50" t="str">
        <f>MID(B445,2,6)</f>
        <v>845800</v>
      </c>
      <c r="E445" s="50" t="str">
        <f>LEFT(D445,2)</f>
        <v>84</v>
      </c>
      <c r="F445" s="106" t="s">
        <v>1637</v>
      </c>
      <c r="G445" s="52"/>
      <c r="H445" s="52"/>
      <c r="I445" s="52"/>
      <c r="J445" s="52"/>
      <c r="K445" s="52"/>
      <c r="L445" s="52">
        <v>1200000</v>
      </c>
      <c r="M445" s="52"/>
      <c r="N445" s="52">
        <v>0</v>
      </c>
      <c r="O445" s="52">
        <f>VLOOKUP(B:B,'דוח כספי 1-10.17'!A:D,4,0)</f>
        <v>1034004</v>
      </c>
      <c r="P445" s="52">
        <f t="shared" si="265"/>
        <v>1240804.8</v>
      </c>
      <c r="Q445" s="52">
        <v>1250000</v>
      </c>
      <c r="R445" s="52">
        <f>VLOOKUP(B445,'2174'!$A$182:$G$567,6,0)</f>
        <v>0</v>
      </c>
      <c r="S445" s="52">
        <f t="shared" si="290"/>
        <v>0</v>
      </c>
      <c r="T445" s="52">
        <v>0</v>
      </c>
      <c r="U445" s="261">
        <f>VLOOKUP(B445,'ביצוע 2019'!$A$3:$H$1103,7,0)</f>
        <v>0</v>
      </c>
      <c r="V445" s="261">
        <f t="shared" si="288"/>
        <v>0</v>
      </c>
      <c r="W445" s="52"/>
      <c r="X445" s="52"/>
      <c r="Y445" s="52"/>
      <c r="Z445" s="101">
        <f t="shared" si="258"/>
        <v>0</v>
      </c>
    </row>
    <row r="446" spans="1:26" s="101" customFormat="1" ht="15.75">
      <c r="A446" s="21"/>
      <c r="B446" s="234"/>
      <c r="C446" s="235"/>
      <c r="D446" s="235"/>
      <c r="E446" s="235"/>
      <c r="F446" s="234" t="s">
        <v>1980</v>
      </c>
      <c r="G446" s="236"/>
      <c r="H446" s="236"/>
      <c r="I446" s="236"/>
      <c r="J446" s="236"/>
      <c r="K446" s="236"/>
      <c r="L446" s="236">
        <f>SUM(L427:L445)</f>
        <v>7977000</v>
      </c>
      <c r="M446" s="236"/>
      <c r="N446" s="236">
        <f>SUM(N427:N445)</f>
        <v>6777000</v>
      </c>
      <c r="O446" s="236">
        <f>SUM(O427:O445)</f>
        <v>6311687.4100000001</v>
      </c>
      <c r="P446" s="236">
        <f>SUM(P427:P445)</f>
        <v>7577904.3999999994</v>
      </c>
      <c r="Q446" s="236">
        <f>SUM(Q427:Q445)</f>
        <v>7589200</v>
      </c>
      <c r="R446" s="236">
        <f t="shared" ref="R446:W446" si="294">SUM(R427:R445)</f>
        <v>7617625.3799999999</v>
      </c>
      <c r="S446" s="236">
        <f t="shared" si="294"/>
        <v>8236942.1581818182</v>
      </c>
      <c r="T446" s="236">
        <f t="shared" si="294"/>
        <v>8081335.6346507277</v>
      </c>
      <c r="U446" s="236">
        <f t="shared" si="294"/>
        <v>9290526.0300000012</v>
      </c>
      <c r="V446" s="236">
        <f t="shared" si="294"/>
        <v>9299639</v>
      </c>
      <c r="W446" s="236">
        <f t="shared" si="294"/>
        <v>2</v>
      </c>
      <c r="X446" s="52"/>
      <c r="Y446" s="52"/>
      <c r="Z446" s="101">
        <f t="shared" si="258"/>
        <v>1</v>
      </c>
    </row>
    <row r="447" spans="1:26" s="101" customFormat="1" ht="15.75" hidden="1">
      <c r="A447" s="21">
        <v>22</v>
      </c>
      <c r="B447" s="51">
        <v>1846301840</v>
      </c>
      <c r="C447" s="50" t="str">
        <f t="shared" si="291"/>
        <v>840</v>
      </c>
      <c r="D447" s="50" t="str">
        <f t="shared" si="292"/>
        <v>846301</v>
      </c>
      <c r="E447" s="50" t="str">
        <f t="shared" si="293"/>
        <v>84</v>
      </c>
      <c r="F447" s="51" t="s">
        <v>365</v>
      </c>
      <c r="G447" s="52">
        <v>90000</v>
      </c>
      <c r="H447" s="52">
        <v>0</v>
      </c>
      <c r="I447" s="52">
        <v>90000</v>
      </c>
      <c r="J447" s="52">
        <v>0</v>
      </c>
      <c r="K447" s="52">
        <f>+J447</f>
        <v>0</v>
      </c>
      <c r="L447" s="52">
        <f>+K447</f>
        <v>0</v>
      </c>
      <c r="M447" s="52"/>
      <c r="N447" s="52">
        <f t="shared" si="263"/>
        <v>0</v>
      </c>
      <c r="O447" s="52">
        <f>VLOOKUP(B:B,'דוח כספי 1-10.17'!A:D,4,0)</f>
        <v>0</v>
      </c>
      <c r="P447" s="52">
        <f t="shared" si="265"/>
        <v>0</v>
      </c>
      <c r="Q447" s="52">
        <f>P447</f>
        <v>0</v>
      </c>
      <c r="R447" s="52"/>
      <c r="S447" s="52"/>
      <c r="T447" s="52"/>
      <c r="U447" s="261">
        <f>VLOOKUP(B447,'ביצוע 2019'!$A$3:$H$1103,7,0)</f>
        <v>0</v>
      </c>
      <c r="V447" s="261">
        <f t="shared" ref="V447:V469" si="295">U447</f>
        <v>0</v>
      </c>
      <c r="W447" s="52"/>
      <c r="X447" s="52"/>
      <c r="Y447" s="52"/>
      <c r="Z447" s="101">
        <f t="shared" si="258"/>
        <v>0</v>
      </c>
    </row>
    <row r="448" spans="1:26" s="101" customFormat="1" ht="15.75">
      <c r="A448" s="21">
        <v>22</v>
      </c>
      <c r="B448" s="51">
        <v>1846302840</v>
      </c>
      <c r="C448" s="50" t="str">
        <f t="shared" si="291"/>
        <v>840</v>
      </c>
      <c r="D448" s="50" t="str">
        <f t="shared" si="292"/>
        <v>846302</v>
      </c>
      <c r="E448" s="50" t="str">
        <f t="shared" si="293"/>
        <v>84</v>
      </c>
      <c r="F448" s="51" t="s">
        <v>366</v>
      </c>
      <c r="G448" s="52">
        <v>0</v>
      </c>
      <c r="H448" s="52">
        <v>0</v>
      </c>
      <c r="I448" s="52">
        <v>0</v>
      </c>
      <c r="J448" s="52">
        <v>0</v>
      </c>
      <c r="K448" s="52">
        <v>1000</v>
      </c>
      <c r="L448" s="52">
        <v>1000</v>
      </c>
      <c r="M448" s="52"/>
      <c r="N448" s="52">
        <f t="shared" si="263"/>
        <v>1000</v>
      </c>
      <c r="O448" s="52">
        <f>VLOOKUP(B:B,'דוח כספי 1-10.17'!A:D,4,0)</f>
        <v>4279</v>
      </c>
      <c r="P448" s="52">
        <f t="shared" si="265"/>
        <v>5134.8</v>
      </c>
      <c r="Q448" s="52">
        <v>5000</v>
      </c>
      <c r="R448" s="52">
        <f>VLOOKUP(B448,'2174'!$A$182:$G$567,6,0)</f>
        <v>1012</v>
      </c>
      <c r="S448" s="52">
        <f t="shared" ref="S448:S452" si="296">R448*12/11</f>
        <v>1104</v>
      </c>
      <c r="T448" s="52">
        <v>5000</v>
      </c>
      <c r="U448" s="261">
        <f>VLOOKUP(B448,'ביצוע 2019'!$A$3:$H$1103,7,0)</f>
        <v>4363</v>
      </c>
      <c r="V448" s="261">
        <f t="shared" si="295"/>
        <v>4363</v>
      </c>
      <c r="W448" s="52"/>
      <c r="X448" s="52"/>
      <c r="Y448" s="52"/>
      <c r="Z448" s="101">
        <f t="shared" si="258"/>
        <v>1</v>
      </c>
    </row>
    <row r="449" spans="1:26" s="101" customFormat="1" ht="15.75">
      <c r="A449" s="21">
        <v>22</v>
      </c>
      <c r="B449" s="51">
        <v>1846401840</v>
      </c>
      <c r="C449" s="50" t="str">
        <f t="shared" ref="C449" si="297">RIGHT(B449,3)</f>
        <v>840</v>
      </c>
      <c r="D449" s="50" t="str">
        <f t="shared" ref="D449" si="298">MID(B449,2,6)</f>
        <v>846401</v>
      </c>
      <c r="E449" s="50" t="str">
        <f t="shared" ref="E449" si="299">LEFT(D449,2)</f>
        <v>84</v>
      </c>
      <c r="F449" s="51" t="s">
        <v>367</v>
      </c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>
        <f>VLOOKUP(B449,'2174'!$A$182:$G$567,6,0)</f>
        <v>2866</v>
      </c>
      <c r="S449" s="52">
        <v>3000</v>
      </c>
      <c r="T449" s="52">
        <v>3000</v>
      </c>
      <c r="U449" s="261">
        <f>VLOOKUP(B449,'ביצוע 2019'!$A$3:$H$1103,7,0)</f>
        <v>7657</v>
      </c>
      <c r="V449" s="261">
        <f t="shared" si="295"/>
        <v>7657</v>
      </c>
      <c r="W449" s="52"/>
      <c r="X449" s="52"/>
      <c r="Y449" s="52"/>
      <c r="Z449" s="101">
        <f t="shared" si="258"/>
        <v>1</v>
      </c>
    </row>
    <row r="450" spans="1:26" s="101" customFormat="1" ht="15.75" hidden="1">
      <c r="A450" s="21">
        <v>22</v>
      </c>
      <c r="B450" s="51">
        <v>1846500840</v>
      </c>
      <c r="C450" s="50" t="str">
        <f t="shared" si="291"/>
        <v>840</v>
      </c>
      <c r="D450" s="50" t="str">
        <f t="shared" si="292"/>
        <v>846500</v>
      </c>
      <c r="E450" s="50" t="str">
        <f t="shared" si="293"/>
        <v>84</v>
      </c>
      <c r="F450" s="51" t="s">
        <v>364</v>
      </c>
      <c r="G450" s="52">
        <v>0</v>
      </c>
      <c r="H450" s="52">
        <v>0</v>
      </c>
      <c r="I450" s="52">
        <v>0</v>
      </c>
      <c r="J450" s="52">
        <v>0</v>
      </c>
      <c r="K450" s="52">
        <f>+J450</f>
        <v>0</v>
      </c>
      <c r="L450" s="52">
        <f>+K450</f>
        <v>0</v>
      </c>
      <c r="M450" s="52"/>
      <c r="N450" s="52">
        <f t="shared" si="263"/>
        <v>0</v>
      </c>
      <c r="O450" s="52">
        <f>VLOOKUP(B:B,'דוח כספי 1-10.17'!A:D,4,0)</f>
        <v>89070</v>
      </c>
      <c r="P450" s="52">
        <f t="shared" si="265"/>
        <v>106884</v>
      </c>
      <c r="Q450" s="52">
        <v>107000</v>
      </c>
      <c r="R450" s="52"/>
      <c r="S450" s="52">
        <f t="shared" si="296"/>
        <v>0</v>
      </c>
      <c r="T450" s="52">
        <v>0</v>
      </c>
      <c r="U450" s="261">
        <f>VLOOKUP(B450,'ביצוע 2019'!$A$3:$H$1103,7,0)</f>
        <v>0</v>
      </c>
      <c r="V450" s="261">
        <f t="shared" si="295"/>
        <v>0</v>
      </c>
      <c r="W450" s="52"/>
      <c r="X450" s="52"/>
      <c r="Y450" s="52"/>
      <c r="Z450" s="101">
        <f t="shared" si="258"/>
        <v>0</v>
      </c>
    </row>
    <row r="451" spans="1:26" s="101" customFormat="1" ht="15.75" hidden="1">
      <c r="A451" s="21">
        <v>22</v>
      </c>
      <c r="B451" s="51">
        <v>1846501840</v>
      </c>
      <c r="C451" s="50" t="str">
        <f t="shared" si="291"/>
        <v>840</v>
      </c>
      <c r="D451" s="50" t="str">
        <f t="shared" si="292"/>
        <v>846501</v>
      </c>
      <c r="E451" s="50" t="str">
        <f t="shared" si="293"/>
        <v>84</v>
      </c>
      <c r="F451" s="51" t="s">
        <v>369</v>
      </c>
      <c r="G451" s="52">
        <v>0</v>
      </c>
      <c r="H451" s="52">
        <v>63891</v>
      </c>
      <c r="I451" s="52">
        <v>-63891</v>
      </c>
      <c r="J451" s="52">
        <v>65000</v>
      </c>
      <c r="K451" s="52">
        <v>70000</v>
      </c>
      <c r="L451" s="52">
        <v>70000</v>
      </c>
      <c r="M451" s="52"/>
      <c r="N451" s="52">
        <f t="shared" si="263"/>
        <v>70000</v>
      </c>
      <c r="O451" s="52">
        <f>VLOOKUP(B:B,'דוח כספי 1-10.17'!A:D,4,0)</f>
        <v>113959</v>
      </c>
      <c r="P451" s="52">
        <f t="shared" si="265"/>
        <v>136750.79999999999</v>
      </c>
      <c r="Q451" s="52">
        <v>137000</v>
      </c>
      <c r="R451" s="52">
        <f>VLOOKUP(B451,'2174'!$A$182:$G$567,6,0)</f>
        <v>0</v>
      </c>
      <c r="S451" s="52">
        <f t="shared" si="296"/>
        <v>0</v>
      </c>
      <c r="T451" s="52">
        <v>0</v>
      </c>
      <c r="U451" s="261">
        <f>VLOOKUP(B451,'ביצוע 2019'!$A$3:$H$1103,7,0)</f>
        <v>0</v>
      </c>
      <c r="V451" s="261">
        <f t="shared" si="295"/>
        <v>0</v>
      </c>
      <c r="W451" s="52"/>
      <c r="X451" s="52"/>
      <c r="Y451" s="52"/>
      <c r="Z451" s="101">
        <f t="shared" si="258"/>
        <v>0</v>
      </c>
    </row>
    <row r="452" spans="1:26" s="101" customFormat="1" ht="15.75">
      <c r="A452" s="21">
        <v>22</v>
      </c>
      <c r="B452" s="51">
        <v>1846601840</v>
      </c>
      <c r="C452" s="50" t="str">
        <f t="shared" si="291"/>
        <v>840</v>
      </c>
      <c r="D452" s="50" t="str">
        <f t="shared" si="292"/>
        <v>846601</v>
      </c>
      <c r="E452" s="50" t="str">
        <f t="shared" si="293"/>
        <v>84</v>
      </c>
      <c r="F452" s="51" t="s">
        <v>370</v>
      </c>
      <c r="G452" s="52">
        <v>32000</v>
      </c>
      <c r="H452" s="52">
        <v>39948</v>
      </c>
      <c r="I452" s="52">
        <v>-7944</v>
      </c>
      <c r="J452" s="52">
        <v>40000</v>
      </c>
      <c r="K452" s="52">
        <v>45000</v>
      </c>
      <c r="L452" s="52">
        <v>45000</v>
      </c>
      <c r="M452" s="52"/>
      <c r="N452" s="52">
        <f t="shared" si="263"/>
        <v>45000</v>
      </c>
      <c r="O452" s="52">
        <f>VLOOKUP(B:B,'דוח כספי 1-10.17'!A:D,4,0)</f>
        <v>27534</v>
      </c>
      <c r="P452" s="52">
        <f t="shared" si="265"/>
        <v>33040.800000000003</v>
      </c>
      <c r="Q452" s="52">
        <v>33000</v>
      </c>
      <c r="R452" s="52">
        <f>VLOOKUP(B452,'2174'!$A$182:$G$567,6,0)</f>
        <v>25386</v>
      </c>
      <c r="S452" s="52">
        <f t="shared" si="296"/>
        <v>27693.81818181818</v>
      </c>
      <c r="T452" s="52">
        <v>30000</v>
      </c>
      <c r="U452" s="261">
        <f>VLOOKUP(B452,'ביצוע 2019'!$A$3:$H$1103,7,0)</f>
        <v>50067</v>
      </c>
      <c r="V452" s="261">
        <f t="shared" si="295"/>
        <v>50067</v>
      </c>
      <c r="W452" s="52"/>
      <c r="X452" s="52"/>
      <c r="Y452" s="52"/>
      <c r="Z452" s="101">
        <f t="shared" si="258"/>
        <v>1</v>
      </c>
    </row>
    <row r="453" spans="1:26" s="101" customFormat="1" ht="15.75" hidden="1">
      <c r="A453" s="21">
        <v>22</v>
      </c>
      <c r="B453" s="51">
        <v>1846602840</v>
      </c>
      <c r="C453" s="50" t="str">
        <f t="shared" si="291"/>
        <v>840</v>
      </c>
      <c r="D453" s="50" t="str">
        <f t="shared" si="292"/>
        <v>846602</v>
      </c>
      <c r="E453" s="50" t="str">
        <f t="shared" si="293"/>
        <v>84</v>
      </c>
      <c r="F453" s="51" t="s">
        <v>371</v>
      </c>
      <c r="G453" s="52">
        <v>5000</v>
      </c>
      <c r="H453" s="52">
        <v>0</v>
      </c>
      <c r="I453" s="52">
        <v>5006</v>
      </c>
      <c r="J453" s="52">
        <v>0</v>
      </c>
      <c r="K453" s="52">
        <f>+J453</f>
        <v>0</v>
      </c>
      <c r="L453" s="52">
        <f>+K453</f>
        <v>0</v>
      </c>
      <c r="M453" s="52"/>
      <c r="N453" s="52">
        <f t="shared" si="263"/>
        <v>0</v>
      </c>
      <c r="O453" s="52">
        <f>VLOOKUP(B:B,'דוח כספי 1-10.17'!A:D,4,0)</f>
        <v>0</v>
      </c>
      <c r="P453" s="52">
        <f t="shared" si="265"/>
        <v>0</v>
      </c>
      <c r="Q453" s="52">
        <f>P453</f>
        <v>0</v>
      </c>
      <c r="R453" s="52"/>
      <c r="S453" s="52"/>
      <c r="T453" s="52"/>
      <c r="U453" s="261">
        <f>VLOOKUP(B453,'ביצוע 2019'!$A$3:$H$1103,7,0)</f>
        <v>0</v>
      </c>
      <c r="V453" s="261">
        <f t="shared" si="295"/>
        <v>0</v>
      </c>
      <c r="W453" s="52"/>
      <c r="X453" s="52"/>
      <c r="Y453" s="52"/>
      <c r="Z453" s="101">
        <f t="shared" ref="Z453:Z516" si="300">IF((V453+U453+T453)&lt;&gt;0,1,0)</f>
        <v>0</v>
      </c>
    </row>
    <row r="454" spans="1:26" s="101" customFormat="1" ht="15.75">
      <c r="A454" s="21">
        <v>22</v>
      </c>
      <c r="B454" s="51">
        <v>1846603840</v>
      </c>
      <c r="C454" s="50" t="str">
        <f t="shared" si="291"/>
        <v>840</v>
      </c>
      <c r="D454" s="50" t="str">
        <f>MID(B454,2,6)</f>
        <v>846603</v>
      </c>
      <c r="E454" s="50" t="str">
        <f>LEFT(D454,2)</f>
        <v>84</v>
      </c>
      <c r="F454" s="106" t="s">
        <v>1710</v>
      </c>
      <c r="G454" s="52"/>
      <c r="H454" s="52"/>
      <c r="I454" s="52"/>
      <c r="J454" s="52"/>
      <c r="K454" s="52"/>
      <c r="L454" s="52">
        <v>26323</v>
      </c>
      <c r="M454" s="52"/>
      <c r="N454" s="52">
        <v>0</v>
      </c>
      <c r="O454" s="52">
        <f>VLOOKUP(B:B,'דוח כספי 1-10.17'!A:D,4,0)</f>
        <v>26323</v>
      </c>
      <c r="P454" s="52">
        <f t="shared" si="265"/>
        <v>31587.599999999999</v>
      </c>
      <c r="Q454" s="52">
        <v>32000</v>
      </c>
      <c r="R454" s="52">
        <f>VLOOKUP(B454,'2174'!$A$182:$G$567,6,0)</f>
        <v>37632</v>
      </c>
      <c r="S454" s="52">
        <f t="shared" ref="S454:S469" si="301">R454*12/11</f>
        <v>41053.090909090912</v>
      </c>
      <c r="T454" s="52">
        <v>45000</v>
      </c>
      <c r="U454" s="261">
        <f>VLOOKUP(B454,'ביצוע 2019'!$A$3:$H$1103,7,0)</f>
        <v>31093</v>
      </c>
      <c r="V454" s="261">
        <f t="shared" si="295"/>
        <v>31093</v>
      </c>
      <c r="W454" s="52"/>
      <c r="X454" s="52"/>
      <c r="Y454" s="52"/>
      <c r="Z454" s="101">
        <f t="shared" si="300"/>
        <v>1</v>
      </c>
    </row>
    <row r="455" spans="1:26" s="101" customFormat="1" ht="15.75">
      <c r="A455" s="21">
        <v>22</v>
      </c>
      <c r="B455" s="51">
        <v>1846701840</v>
      </c>
      <c r="C455" s="50" t="str">
        <f t="shared" si="291"/>
        <v>840</v>
      </c>
      <c r="D455" s="50" t="str">
        <f t="shared" si="292"/>
        <v>846701</v>
      </c>
      <c r="E455" s="50" t="str">
        <f t="shared" si="293"/>
        <v>84</v>
      </c>
      <c r="F455" s="51" t="s">
        <v>372</v>
      </c>
      <c r="G455" s="52">
        <v>313000</v>
      </c>
      <c r="H455" s="52">
        <v>737425</v>
      </c>
      <c r="I455" s="52">
        <v>-424424</v>
      </c>
      <c r="J455" s="52">
        <v>740000</v>
      </c>
      <c r="K455" s="52">
        <v>483000</v>
      </c>
      <c r="L455" s="52">
        <v>483000</v>
      </c>
      <c r="M455" s="52"/>
      <c r="N455" s="52">
        <f t="shared" si="263"/>
        <v>483000</v>
      </c>
      <c r="O455" s="52">
        <f>VLOOKUP(B:B,'דוח כספי 1-10.17'!A:D,4,0)</f>
        <v>353548</v>
      </c>
      <c r="P455" s="52">
        <f t="shared" si="265"/>
        <v>424257.6</v>
      </c>
      <c r="Q455" s="52">
        <v>424000</v>
      </c>
      <c r="R455" s="52">
        <f>VLOOKUP(B455,'2174'!$A$182:$G$567,6,0)</f>
        <v>791844</v>
      </c>
      <c r="S455" s="52">
        <f t="shared" si="301"/>
        <v>863829.81818181823</v>
      </c>
      <c r="T455" s="52">
        <v>900000</v>
      </c>
      <c r="U455" s="261">
        <f>VLOOKUP(B455,'ביצוע 2019'!$A$3:$H$1103,7,0)</f>
        <v>911947</v>
      </c>
      <c r="V455" s="261">
        <f t="shared" si="295"/>
        <v>911947</v>
      </c>
      <c r="W455" s="52"/>
      <c r="X455" s="52"/>
      <c r="Y455" s="52"/>
      <c r="Z455" s="101">
        <f t="shared" si="300"/>
        <v>1</v>
      </c>
    </row>
    <row r="456" spans="1:26" s="101" customFormat="1" ht="15.75" hidden="1">
      <c r="A456" s="21">
        <v>22</v>
      </c>
      <c r="B456" s="51">
        <v>1846702840</v>
      </c>
      <c r="C456" s="50" t="str">
        <f t="shared" si="291"/>
        <v>840</v>
      </c>
      <c r="D456" s="50" t="str">
        <f t="shared" si="292"/>
        <v>846702</v>
      </c>
      <c r="E456" s="50" t="str">
        <f t="shared" si="293"/>
        <v>84</v>
      </c>
      <c r="F456" s="51" t="s">
        <v>373</v>
      </c>
      <c r="G456" s="52">
        <v>0</v>
      </c>
      <c r="H456" s="52">
        <v>0</v>
      </c>
      <c r="I456" s="52">
        <v>0</v>
      </c>
      <c r="J456" s="52">
        <v>0</v>
      </c>
      <c r="K456" s="52">
        <v>17000</v>
      </c>
      <c r="L456" s="52">
        <v>17000</v>
      </c>
      <c r="M456" s="52"/>
      <c r="N456" s="52">
        <f t="shared" si="263"/>
        <v>17000</v>
      </c>
      <c r="O456" s="52">
        <f>VLOOKUP(B:B,'דוח כספי 1-10.17'!A:D,4,0)</f>
        <v>0</v>
      </c>
      <c r="P456" s="52">
        <f t="shared" si="265"/>
        <v>0</v>
      </c>
      <c r="Q456" s="52">
        <f>P456</f>
        <v>0</v>
      </c>
      <c r="R456" s="52">
        <f>VLOOKUP(B456,'2174'!$A$182:$G$567,6,0)</f>
        <v>0</v>
      </c>
      <c r="S456" s="52">
        <f t="shared" si="301"/>
        <v>0</v>
      </c>
      <c r="T456" s="52">
        <v>0</v>
      </c>
      <c r="U456" s="261">
        <f>VLOOKUP(B456,'ביצוע 2019'!$A$3:$H$1103,7,0)</f>
        <v>0</v>
      </c>
      <c r="V456" s="261">
        <f t="shared" si="295"/>
        <v>0</v>
      </c>
      <c r="W456" s="52"/>
      <c r="X456" s="52"/>
      <c r="Y456" s="52"/>
      <c r="Z456" s="101">
        <f t="shared" si="300"/>
        <v>0</v>
      </c>
    </row>
    <row r="457" spans="1:26" s="101" customFormat="1" ht="15.75">
      <c r="A457" s="21">
        <v>22</v>
      </c>
      <c r="B457" s="51">
        <v>1846703840</v>
      </c>
      <c r="C457" s="50" t="str">
        <f t="shared" si="291"/>
        <v>840</v>
      </c>
      <c r="D457" s="50" t="str">
        <f t="shared" si="292"/>
        <v>846703</v>
      </c>
      <c r="E457" s="50" t="str">
        <f t="shared" si="293"/>
        <v>84</v>
      </c>
      <c r="F457" s="51" t="s">
        <v>374</v>
      </c>
      <c r="G457" s="52">
        <v>301000</v>
      </c>
      <c r="H457" s="52">
        <v>307789</v>
      </c>
      <c r="I457" s="52">
        <v>-6792</v>
      </c>
      <c r="J457" s="52">
        <v>310000</v>
      </c>
      <c r="K457" s="52">
        <v>327000</v>
      </c>
      <c r="L457" s="52">
        <v>327000</v>
      </c>
      <c r="M457" s="52"/>
      <c r="N457" s="52">
        <f t="shared" si="263"/>
        <v>327000</v>
      </c>
      <c r="O457" s="52">
        <f>VLOOKUP(B:B,'דוח כספי 1-10.17'!A:D,4,0)</f>
        <v>235456</v>
      </c>
      <c r="P457" s="52">
        <f t="shared" si="265"/>
        <v>282547.20000000001</v>
      </c>
      <c r="Q457" s="52">
        <v>282000</v>
      </c>
      <c r="R457" s="52">
        <f>VLOOKUP(B457,'2174'!$A$182:$G$567,6,0)</f>
        <v>509445</v>
      </c>
      <c r="S457" s="52">
        <f t="shared" si="301"/>
        <v>555758.18181818177</v>
      </c>
      <c r="T457" s="52">
        <v>600000</v>
      </c>
      <c r="U457" s="261">
        <f>VLOOKUP(B457,'ביצוע 2019'!$A$3:$H$1103,7,0)</f>
        <v>598654</v>
      </c>
      <c r="V457" s="261">
        <f t="shared" si="295"/>
        <v>598654</v>
      </c>
      <c r="W457" s="52"/>
      <c r="X457" s="52"/>
      <c r="Y457" s="52"/>
      <c r="Z457" s="101">
        <f t="shared" si="300"/>
        <v>1</v>
      </c>
    </row>
    <row r="458" spans="1:26" s="101" customFormat="1" ht="15.75">
      <c r="A458" s="21">
        <v>22</v>
      </c>
      <c r="B458" s="51">
        <v>1846704840</v>
      </c>
      <c r="C458" s="50" t="str">
        <f t="shared" si="291"/>
        <v>840</v>
      </c>
      <c r="D458" s="50" t="str">
        <f t="shared" si="292"/>
        <v>846704</v>
      </c>
      <c r="E458" s="50" t="str">
        <f t="shared" si="293"/>
        <v>84</v>
      </c>
      <c r="F458" s="51" t="s">
        <v>375</v>
      </c>
      <c r="G458" s="52">
        <v>83000</v>
      </c>
      <c r="H458" s="52">
        <v>108058</v>
      </c>
      <c r="I458" s="52">
        <v>-25057</v>
      </c>
      <c r="J458" s="52">
        <v>109000</v>
      </c>
      <c r="K458" s="52">
        <v>142000</v>
      </c>
      <c r="L458" s="52">
        <v>142000</v>
      </c>
      <c r="M458" s="52"/>
      <c r="N458" s="52">
        <f t="shared" si="263"/>
        <v>142000</v>
      </c>
      <c r="O458" s="52">
        <f>VLOOKUP(B:B,'דוח כספי 1-10.17'!A:D,4,0)</f>
        <v>181030</v>
      </c>
      <c r="P458" s="52">
        <f t="shared" si="265"/>
        <v>217236</v>
      </c>
      <c r="Q458" s="52">
        <v>217000</v>
      </c>
      <c r="R458" s="52">
        <f>VLOOKUP(B458,'2174'!$A$182:$G$567,6,0)</f>
        <v>142209</v>
      </c>
      <c r="S458" s="52">
        <f t="shared" si="301"/>
        <v>155137.09090909091</v>
      </c>
      <c r="T458" s="52">
        <v>180000</v>
      </c>
      <c r="U458" s="261">
        <f>VLOOKUP(B458,'ביצוע 2019'!$A$3:$H$1103,7,0)</f>
        <v>110825</v>
      </c>
      <c r="V458" s="261">
        <f t="shared" si="295"/>
        <v>110825</v>
      </c>
      <c r="W458" s="52"/>
      <c r="X458" s="52"/>
      <c r="Y458" s="52"/>
      <c r="Z458" s="101">
        <f t="shared" si="300"/>
        <v>1</v>
      </c>
    </row>
    <row r="459" spans="1:26" s="101" customFormat="1" ht="15.75">
      <c r="A459" s="21">
        <v>22</v>
      </c>
      <c r="B459" s="51">
        <v>1846705840</v>
      </c>
      <c r="C459" s="50" t="str">
        <f t="shared" si="291"/>
        <v>840</v>
      </c>
      <c r="D459" s="50" t="str">
        <f t="shared" ref="D459" si="302">MID(B459,2,6)</f>
        <v>846705</v>
      </c>
      <c r="E459" s="50" t="str">
        <f t="shared" ref="E459" si="303">LEFT(D459,2)</f>
        <v>84</v>
      </c>
      <c r="F459" s="51" t="s">
        <v>2029</v>
      </c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>
        <f>VLOOKUP(B459,'2174'!$A$182:$G$567,6,0)</f>
        <v>62436</v>
      </c>
      <c r="S459" s="52">
        <f>R459*12/11</f>
        <v>68112</v>
      </c>
      <c r="T459" s="52">
        <v>70000</v>
      </c>
      <c r="U459" s="261">
        <f>VLOOKUP(B459,'ביצוע 2019'!$A$3:$H$1103,7,0)</f>
        <v>36326</v>
      </c>
      <c r="V459" s="261">
        <f t="shared" si="295"/>
        <v>36326</v>
      </c>
      <c r="W459" s="52"/>
      <c r="X459" s="52"/>
      <c r="Y459" s="52"/>
      <c r="Z459" s="101">
        <f t="shared" si="300"/>
        <v>1</v>
      </c>
    </row>
    <row r="460" spans="1:26" s="101" customFormat="1" ht="15.75">
      <c r="A460" s="21">
        <v>22</v>
      </c>
      <c r="B460" s="51">
        <v>1846801840</v>
      </c>
      <c r="C460" s="50" t="str">
        <f t="shared" si="291"/>
        <v>840</v>
      </c>
      <c r="D460" s="50" t="str">
        <f t="shared" si="292"/>
        <v>846801</v>
      </c>
      <c r="E460" s="50" t="str">
        <f t="shared" si="293"/>
        <v>84</v>
      </c>
      <c r="F460" s="51" t="s">
        <v>376</v>
      </c>
      <c r="G460" s="52">
        <v>93000</v>
      </c>
      <c r="H460" s="52">
        <v>60870</v>
      </c>
      <c r="I460" s="52">
        <v>32131</v>
      </c>
      <c r="J460" s="52">
        <v>62000</v>
      </c>
      <c r="K460" s="52">
        <v>48000</v>
      </c>
      <c r="L460" s="52">
        <v>48000</v>
      </c>
      <c r="M460" s="52"/>
      <c r="N460" s="52">
        <f t="shared" si="263"/>
        <v>48000</v>
      </c>
      <c r="O460" s="52">
        <f>VLOOKUP(B:B,'דוח כספי 1-10.17'!A:D,4,0)</f>
        <v>14303</v>
      </c>
      <c r="P460" s="52">
        <f t="shared" si="265"/>
        <v>17163.599999999999</v>
      </c>
      <c r="Q460" s="52">
        <v>17000</v>
      </c>
      <c r="R460" s="52">
        <f>VLOOKUP(B460,'2174'!$A$182:$G$567,6,0)</f>
        <v>12951</v>
      </c>
      <c r="S460" s="52">
        <f t="shared" si="301"/>
        <v>14128.363636363636</v>
      </c>
      <c r="T460" s="52">
        <v>15000</v>
      </c>
      <c r="U460" s="261">
        <f>VLOOKUP(B460,'ביצוע 2019'!$A$3:$H$1103,7,0)</f>
        <v>22584</v>
      </c>
      <c r="V460" s="261">
        <f t="shared" si="295"/>
        <v>22584</v>
      </c>
      <c r="W460" s="52"/>
      <c r="X460" s="52"/>
      <c r="Y460" s="52"/>
      <c r="Z460" s="101">
        <f t="shared" si="300"/>
        <v>1</v>
      </c>
    </row>
    <row r="461" spans="1:26" s="101" customFormat="1" ht="15.75">
      <c r="A461" s="21">
        <v>22</v>
      </c>
      <c r="B461" s="51">
        <v>1847101840</v>
      </c>
      <c r="C461" s="50" t="str">
        <f t="shared" si="291"/>
        <v>840</v>
      </c>
      <c r="D461" s="50" t="str">
        <f t="shared" ref="D461" si="304">MID(B461,2,6)</f>
        <v>847101</v>
      </c>
      <c r="E461" s="50" t="str">
        <f t="shared" ref="E461" si="305">LEFT(D461,2)</f>
        <v>84</v>
      </c>
      <c r="F461" s="51" t="s">
        <v>380</v>
      </c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>
        <f>VLOOKUP(B461,'2174'!$A$182:$G$567,6,0)</f>
        <v>8469</v>
      </c>
      <c r="S461" s="63">
        <f>R461*12/11</f>
        <v>9238.9090909090901</v>
      </c>
      <c r="T461" s="52">
        <v>15000</v>
      </c>
      <c r="U461" s="261">
        <f>VLOOKUP(B461,'ביצוע 2019'!$A$3:$H$1103,7,0)</f>
        <v>0</v>
      </c>
      <c r="V461" s="261">
        <f t="shared" si="295"/>
        <v>0</v>
      </c>
      <c r="W461" s="52"/>
      <c r="X461" s="52"/>
      <c r="Y461" s="52"/>
      <c r="Z461" s="101">
        <f t="shared" si="300"/>
        <v>1</v>
      </c>
    </row>
    <row r="462" spans="1:26" s="101" customFormat="1" ht="15.75">
      <c r="A462" s="21">
        <v>22</v>
      </c>
      <c r="B462" s="51">
        <v>1847103840</v>
      </c>
      <c r="C462" s="50" t="str">
        <f t="shared" si="291"/>
        <v>840</v>
      </c>
      <c r="D462" s="50" t="str">
        <f t="shared" si="292"/>
        <v>847103</v>
      </c>
      <c r="E462" s="50" t="str">
        <f t="shared" si="293"/>
        <v>84</v>
      </c>
      <c r="F462" s="51" t="s">
        <v>382</v>
      </c>
      <c r="G462" s="52">
        <v>0</v>
      </c>
      <c r="H462" s="52">
        <v>112545</v>
      </c>
      <c r="I462" s="52">
        <v>-112545</v>
      </c>
      <c r="J462" s="52">
        <v>113000</v>
      </c>
      <c r="K462" s="52">
        <v>286000</v>
      </c>
      <c r="L462" s="52">
        <v>286000</v>
      </c>
      <c r="M462" s="52"/>
      <c r="N462" s="52">
        <f t="shared" si="263"/>
        <v>286000</v>
      </c>
      <c r="O462" s="52">
        <f>VLOOKUP(B:B,'דוח כספי 1-10.17'!A:D,4,0)</f>
        <v>65090</v>
      </c>
      <c r="P462" s="52">
        <f t="shared" si="265"/>
        <v>78108</v>
      </c>
      <c r="Q462" s="52">
        <v>78000</v>
      </c>
      <c r="R462" s="52">
        <f>VLOOKUP(B462,'2174'!$A$182:$G$567,6,0)</f>
        <v>254072</v>
      </c>
      <c r="S462" s="52">
        <f t="shared" si="301"/>
        <v>277169.45454545453</v>
      </c>
      <c r="T462" s="52">
        <v>280000</v>
      </c>
      <c r="U462" s="261">
        <f>VLOOKUP(B462,'ביצוע 2019'!$A$3:$H$1103,7,0)</f>
        <v>244468</v>
      </c>
      <c r="V462" s="261">
        <f t="shared" si="295"/>
        <v>244468</v>
      </c>
      <c r="W462" s="52"/>
      <c r="X462" s="52"/>
      <c r="Y462" s="52"/>
      <c r="Z462" s="101">
        <f t="shared" si="300"/>
        <v>1</v>
      </c>
    </row>
    <row r="463" spans="1:26" s="101" customFormat="1" ht="15.75">
      <c r="A463" s="21">
        <v>22</v>
      </c>
      <c r="B463" s="51">
        <v>1847104840</v>
      </c>
      <c r="C463" s="50" t="str">
        <f t="shared" si="291"/>
        <v>840</v>
      </c>
      <c r="D463" s="50" t="str">
        <f t="shared" si="292"/>
        <v>847104</v>
      </c>
      <c r="E463" s="50" t="str">
        <f t="shared" si="293"/>
        <v>84</v>
      </c>
      <c r="F463" s="51" t="s">
        <v>383</v>
      </c>
      <c r="G463" s="52">
        <v>13000</v>
      </c>
      <c r="H463" s="52">
        <v>32823</v>
      </c>
      <c r="I463" s="52">
        <v>-19822</v>
      </c>
      <c r="J463" s="52">
        <v>33000</v>
      </c>
      <c r="K463" s="52">
        <v>89000</v>
      </c>
      <c r="L463" s="52">
        <v>89000</v>
      </c>
      <c r="M463" s="52"/>
      <c r="N463" s="52">
        <f t="shared" si="263"/>
        <v>89000</v>
      </c>
      <c r="O463" s="52">
        <f>VLOOKUP(B:B,'דוח כספי 1-10.17'!A:D,4,0)</f>
        <v>30510</v>
      </c>
      <c r="P463" s="52">
        <f t="shared" si="265"/>
        <v>36612</v>
      </c>
      <c r="Q463" s="52">
        <v>37000</v>
      </c>
      <c r="R463" s="52">
        <f>VLOOKUP(B463,'2174'!$A$182:$G$567,6,0)</f>
        <v>478399</v>
      </c>
      <c r="S463" s="52">
        <f t="shared" si="301"/>
        <v>521889.81818181818</v>
      </c>
      <c r="T463" s="52">
        <v>550000</v>
      </c>
      <c r="U463" s="261">
        <f>VLOOKUP(B463,'ביצוע 2019'!$A$3:$H$1103,7,0)</f>
        <v>337362</v>
      </c>
      <c r="V463" s="261">
        <f t="shared" si="295"/>
        <v>337362</v>
      </c>
      <c r="W463" s="52"/>
      <c r="X463" s="52"/>
      <c r="Y463" s="52"/>
      <c r="Z463" s="101">
        <f t="shared" si="300"/>
        <v>1</v>
      </c>
    </row>
    <row r="464" spans="1:26" s="101" customFormat="1" ht="15.75">
      <c r="A464" s="21">
        <v>22</v>
      </c>
      <c r="B464" s="51">
        <v>1847202840</v>
      </c>
      <c r="C464" s="50" t="str">
        <f t="shared" si="291"/>
        <v>840</v>
      </c>
      <c r="D464" s="50">
        <v>847202</v>
      </c>
      <c r="E464" s="50">
        <v>84</v>
      </c>
      <c r="F464" s="51" t="s">
        <v>1631</v>
      </c>
      <c r="G464" s="52"/>
      <c r="H464" s="52"/>
      <c r="I464" s="52"/>
      <c r="J464" s="52"/>
      <c r="K464" s="52">
        <v>154000</v>
      </c>
      <c r="L464" s="52">
        <v>154000</v>
      </c>
      <c r="M464" s="52"/>
      <c r="N464" s="52">
        <f t="shared" si="263"/>
        <v>154000</v>
      </c>
      <c r="O464" s="52">
        <f>VLOOKUP(B:B,'דוח כספי 1-10.17'!A:D,4,0)</f>
        <v>79080</v>
      </c>
      <c r="P464" s="52">
        <f t="shared" si="265"/>
        <v>94896</v>
      </c>
      <c r="Q464" s="52">
        <v>95000</v>
      </c>
      <c r="R464" s="52">
        <f>VLOOKUP(B464,'2174'!$A$182:$G$567,6,0)</f>
        <v>68448</v>
      </c>
      <c r="S464" s="52">
        <f t="shared" si="301"/>
        <v>74670.545454545456</v>
      </c>
      <c r="T464" s="52">
        <v>80000</v>
      </c>
      <c r="U464" s="261">
        <f>VLOOKUP(B464,'ביצוע 2019'!$A$3:$H$1103,7,0)</f>
        <v>85196</v>
      </c>
      <c r="V464" s="261">
        <f t="shared" si="295"/>
        <v>85196</v>
      </c>
      <c r="W464" s="52"/>
      <c r="X464" s="52"/>
      <c r="Y464" s="52"/>
      <c r="Z464" s="101">
        <f t="shared" si="300"/>
        <v>1</v>
      </c>
    </row>
    <row r="465" spans="1:26" s="101" customFormat="1" ht="15.75">
      <c r="A465" s="21">
        <v>22</v>
      </c>
      <c r="B465" s="51">
        <v>1847301840</v>
      </c>
      <c r="C465" s="50" t="str">
        <f t="shared" si="291"/>
        <v>840</v>
      </c>
      <c r="D465" s="50" t="str">
        <f t="shared" si="292"/>
        <v>847301</v>
      </c>
      <c r="E465" s="50" t="str">
        <f t="shared" si="293"/>
        <v>84</v>
      </c>
      <c r="F465" s="51" t="s">
        <v>386</v>
      </c>
      <c r="G465" s="52">
        <v>120000</v>
      </c>
      <c r="H465" s="52">
        <v>119902</v>
      </c>
      <c r="I465" s="52">
        <v>98</v>
      </c>
      <c r="J465" s="52">
        <v>120000</v>
      </c>
      <c r="K465" s="52">
        <v>76000</v>
      </c>
      <c r="L465" s="52">
        <v>76000</v>
      </c>
      <c r="M465" s="52"/>
      <c r="N465" s="52">
        <f t="shared" si="263"/>
        <v>76000</v>
      </c>
      <c r="O465" s="52">
        <f>VLOOKUP(B:B,'דוח כספי 1-10.17'!A:D,4,0)</f>
        <v>81909</v>
      </c>
      <c r="P465" s="52">
        <f t="shared" si="265"/>
        <v>98290.8</v>
      </c>
      <c r="Q465" s="52">
        <v>98000</v>
      </c>
      <c r="R465" s="52">
        <f>VLOOKUP(B465,'2174'!$A$182:$G$567,6,0)</f>
        <v>66224</v>
      </c>
      <c r="S465" s="52">
        <f t="shared" si="301"/>
        <v>72244.363636363632</v>
      </c>
      <c r="T465" s="52">
        <v>80000</v>
      </c>
      <c r="U465" s="261">
        <f>VLOOKUP(B465,'ביצוע 2019'!$A$3:$H$1103,7,0)</f>
        <v>91098</v>
      </c>
      <c r="V465" s="261">
        <f t="shared" si="295"/>
        <v>91098</v>
      </c>
      <c r="W465" s="52"/>
      <c r="X465" s="52"/>
      <c r="Y465" s="52"/>
      <c r="Z465" s="101">
        <f t="shared" si="300"/>
        <v>1</v>
      </c>
    </row>
    <row r="466" spans="1:26" s="101" customFormat="1" ht="15.75">
      <c r="A466" s="21">
        <v>22</v>
      </c>
      <c r="B466" s="51">
        <v>1847500840</v>
      </c>
      <c r="C466" s="50" t="str">
        <f t="shared" si="291"/>
        <v>840</v>
      </c>
      <c r="D466" s="50">
        <v>847500</v>
      </c>
      <c r="E466" s="50">
        <v>84</v>
      </c>
      <c r="F466" s="160" t="s">
        <v>1639</v>
      </c>
      <c r="G466" s="52"/>
      <c r="H466" s="52"/>
      <c r="I466" s="52"/>
      <c r="J466" s="52"/>
      <c r="K466" s="52"/>
      <c r="L466" s="52">
        <v>350000</v>
      </c>
      <c r="M466" s="52"/>
      <c r="N466" s="52">
        <f t="shared" ref="N466:N519" si="306">M466+L466</f>
        <v>350000</v>
      </c>
      <c r="O466" s="52">
        <f>VLOOKUP(B:B,'דוח כספי 1-10.17'!A:D,4,0)</f>
        <v>156140</v>
      </c>
      <c r="P466" s="52">
        <f t="shared" ref="P466:P519" si="307">O466*12/10</f>
        <v>187368</v>
      </c>
      <c r="Q466" s="52">
        <v>187000</v>
      </c>
      <c r="R466" s="52">
        <f>VLOOKUP(B466,'2174'!$A$182:$G$567,6,0)</f>
        <v>133000</v>
      </c>
      <c r="S466" s="52">
        <f t="shared" si="301"/>
        <v>145090.90909090909</v>
      </c>
      <c r="T466" s="52">
        <v>160000</v>
      </c>
      <c r="U466" s="261">
        <f>VLOOKUP(B466,'ביצוע 2019'!$A$3:$H$1103,7,0)</f>
        <v>146783</v>
      </c>
      <c r="V466" s="261">
        <f t="shared" si="295"/>
        <v>146783</v>
      </c>
      <c r="W466" s="52"/>
      <c r="X466" s="52"/>
      <c r="Y466" s="158"/>
      <c r="Z466" s="101">
        <f t="shared" si="300"/>
        <v>1</v>
      </c>
    </row>
    <row r="467" spans="1:26" s="101" customFormat="1" ht="15.75">
      <c r="A467" s="21">
        <v>22</v>
      </c>
      <c r="B467" s="51">
        <v>1847201840</v>
      </c>
      <c r="C467" s="50" t="str">
        <f t="shared" si="291"/>
        <v>840</v>
      </c>
      <c r="D467" s="50">
        <v>847500</v>
      </c>
      <c r="E467" s="50">
        <v>84</v>
      </c>
      <c r="F467" s="160" t="s">
        <v>385</v>
      </c>
      <c r="G467" s="52"/>
      <c r="H467" s="52"/>
      <c r="I467" s="52"/>
      <c r="J467" s="52"/>
      <c r="K467" s="52"/>
      <c r="L467" s="52">
        <v>0</v>
      </c>
      <c r="M467" s="52"/>
      <c r="N467" s="52">
        <v>0</v>
      </c>
      <c r="O467" s="52">
        <f>VLOOKUP(B:B,'דוח כספי 1-10.17'!A:D,4,0)</f>
        <v>199547</v>
      </c>
      <c r="P467" s="52">
        <f t="shared" si="307"/>
        <v>239456.4</v>
      </c>
      <c r="Q467" s="52">
        <v>240000</v>
      </c>
      <c r="R467" s="52"/>
      <c r="S467" s="52">
        <f t="shared" si="301"/>
        <v>0</v>
      </c>
      <c r="T467" s="52">
        <v>0</v>
      </c>
      <c r="U467" s="261">
        <f>VLOOKUP(B467,'ביצוע 2019'!$A$3:$H$1103,7,0)</f>
        <v>14567</v>
      </c>
      <c r="V467" s="261">
        <f t="shared" si="295"/>
        <v>14567</v>
      </c>
      <c r="W467" s="52"/>
      <c r="X467" s="52"/>
      <c r="Y467" s="158"/>
      <c r="Z467" s="101">
        <f t="shared" si="300"/>
        <v>1</v>
      </c>
    </row>
    <row r="468" spans="1:26" s="101" customFormat="1" ht="15.75">
      <c r="A468" s="21">
        <v>22</v>
      </c>
      <c r="B468" s="51">
        <v>1847400840</v>
      </c>
      <c r="C468" s="50" t="str">
        <f t="shared" si="291"/>
        <v>840</v>
      </c>
      <c r="D468" s="50">
        <v>847500</v>
      </c>
      <c r="E468" s="50">
        <v>84</v>
      </c>
      <c r="F468" s="160" t="s">
        <v>388</v>
      </c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>
        <f>VLOOKUP(B468,'2174'!$A$182:$G$567,6,0)</f>
        <v>26135</v>
      </c>
      <c r="S468" s="63">
        <f>R468*12/11</f>
        <v>28510.909090909092</v>
      </c>
      <c r="T468" s="52">
        <v>30000</v>
      </c>
      <c r="U468" s="261">
        <f>VLOOKUP(B468,'ביצוע 2019'!$A$3:$H$1103,7,0)</f>
        <v>25336</v>
      </c>
      <c r="V468" s="261">
        <f t="shared" si="295"/>
        <v>25336</v>
      </c>
      <c r="W468" s="52"/>
      <c r="X468" s="52"/>
      <c r="Y468" s="158"/>
      <c r="Z468" s="101">
        <f t="shared" si="300"/>
        <v>1</v>
      </c>
    </row>
    <row r="469" spans="1:26" s="101" customFormat="1" ht="15.75">
      <c r="A469" s="21">
        <v>22</v>
      </c>
      <c r="B469" s="51">
        <v>1848500840</v>
      </c>
      <c r="C469" s="50" t="str">
        <f t="shared" si="291"/>
        <v>840</v>
      </c>
      <c r="D469" s="50">
        <v>848500</v>
      </c>
      <c r="E469" s="50">
        <v>84</v>
      </c>
      <c r="F469" s="160" t="s">
        <v>1637</v>
      </c>
      <c r="G469" s="52"/>
      <c r="H469" s="52"/>
      <c r="I469" s="52"/>
      <c r="J469" s="52"/>
      <c r="K469" s="52"/>
      <c r="L469" s="52">
        <v>1200000</v>
      </c>
      <c r="M469" s="52"/>
      <c r="N469" s="52">
        <f t="shared" si="306"/>
        <v>1200000</v>
      </c>
      <c r="O469" s="52" t="e">
        <f>VLOOKUP(B:B,'דוח כספי 1-10.17'!A:D,4,0)</f>
        <v>#N/A</v>
      </c>
      <c r="P469" s="52">
        <v>0</v>
      </c>
      <c r="Q469" s="52">
        <v>0</v>
      </c>
      <c r="R469" s="52">
        <f>VLOOKUP(B469,'2174'!$A$182:$G$567,6,0)</f>
        <v>294617</v>
      </c>
      <c r="S469" s="52">
        <f t="shared" si="301"/>
        <v>321400.36363636365</v>
      </c>
      <c r="T469" s="52">
        <v>1200000</v>
      </c>
      <c r="U469" s="261">
        <f>VLOOKUP(B469,'ביצוע 2019'!$A$3:$H$1103,7,0)</f>
        <v>1162340</v>
      </c>
      <c r="V469" s="261">
        <f t="shared" si="295"/>
        <v>1162340</v>
      </c>
      <c r="W469" s="52"/>
      <c r="X469" s="52"/>
      <c r="Y469" s="158"/>
      <c r="Z469" s="101">
        <f t="shared" si="300"/>
        <v>1</v>
      </c>
    </row>
    <row r="470" spans="1:26" s="101" customFormat="1" ht="15.75">
      <c r="A470" s="21">
        <v>22</v>
      </c>
      <c r="B470" s="51">
        <v>1848000840</v>
      </c>
      <c r="C470" s="50" t="str">
        <f t="shared" ref="C470" si="308">RIGHT(B470,3)</f>
        <v>840</v>
      </c>
      <c r="D470" s="50">
        <v>848900</v>
      </c>
      <c r="E470" s="50">
        <v>84</v>
      </c>
      <c r="F470" s="160" t="s">
        <v>2129</v>
      </c>
      <c r="G470" s="52"/>
      <c r="H470" s="52"/>
      <c r="I470" s="52"/>
      <c r="J470" s="52"/>
      <c r="K470" s="52"/>
      <c r="L470" s="52">
        <v>1200001</v>
      </c>
      <c r="M470" s="52"/>
      <c r="N470" s="52">
        <f t="shared" ref="N470" si="309">M470+L470</f>
        <v>1200001</v>
      </c>
      <c r="O470" s="52" t="e">
        <f>VLOOKUP(B:B,'דוח כספי 1-10.17'!A:D,4,0)</f>
        <v>#N/A</v>
      </c>
      <c r="P470" s="52">
        <v>0</v>
      </c>
      <c r="Q470" s="52">
        <v>0</v>
      </c>
      <c r="R470" s="52" t="e">
        <f>VLOOKUP(B470,'2174'!$A$182:$G$567,6,0)</f>
        <v>#N/A</v>
      </c>
      <c r="S470" s="52" t="e">
        <f t="shared" ref="S470" si="310">R470*12/11</f>
        <v>#N/A</v>
      </c>
      <c r="T470" s="52"/>
      <c r="U470" s="261"/>
      <c r="V470" s="261">
        <v>1233480</v>
      </c>
      <c r="W470" s="52"/>
      <c r="X470" s="52"/>
      <c r="Y470" s="158"/>
      <c r="Z470" s="101">
        <f t="shared" si="300"/>
        <v>1</v>
      </c>
    </row>
    <row r="471" spans="1:26" s="101" customFormat="1" ht="15.75">
      <c r="A471" s="21">
        <v>21</v>
      </c>
      <c r="B471" s="51">
        <v>1848502110</v>
      </c>
      <c r="C471" s="50" t="str">
        <f t="shared" si="291"/>
        <v>110</v>
      </c>
      <c r="D471" s="50">
        <v>848500</v>
      </c>
      <c r="E471" s="50">
        <v>84</v>
      </c>
      <c r="F471" s="160" t="s">
        <v>390</v>
      </c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>
        <f>VLOOKUP(B471,'2174'!$A$182:$G$567,6,0)</f>
        <v>124610.65</v>
      </c>
      <c r="S471" s="63">
        <f>R471*12/11</f>
        <v>135938.8909090909</v>
      </c>
      <c r="T471" s="52">
        <v>0</v>
      </c>
      <c r="U471" s="56">
        <f>VLOOKUP(B471,'ביצוע 2019'!$A$3:$H$1103,7,0)</f>
        <v>54655.49</v>
      </c>
      <c r="V471" s="56">
        <v>55000</v>
      </c>
      <c r="W471" s="52"/>
      <c r="X471" s="52"/>
      <c r="Y471" s="158"/>
      <c r="Z471" s="101">
        <f t="shared" si="300"/>
        <v>1</v>
      </c>
    </row>
    <row r="472" spans="1:26" s="101" customFormat="1" ht="15.75">
      <c r="A472" s="21"/>
      <c r="B472" s="234"/>
      <c r="C472" s="235"/>
      <c r="D472" s="235"/>
      <c r="E472" s="235"/>
      <c r="F472" s="234" t="s">
        <v>1981</v>
      </c>
      <c r="G472" s="236"/>
      <c r="H472" s="236"/>
      <c r="I472" s="236"/>
      <c r="J472" s="236"/>
      <c r="K472" s="236"/>
      <c r="L472" s="236">
        <f>SUM(L447:L469)</f>
        <v>3314323</v>
      </c>
      <c r="M472" s="236"/>
      <c r="N472" s="236">
        <f>SUM(N447:N469)</f>
        <v>3288000</v>
      </c>
      <c r="O472" s="236" t="e">
        <f>SUM(O447:O469)</f>
        <v>#N/A</v>
      </c>
      <c r="P472" s="236">
        <f>SUM(P447:P469)</f>
        <v>1989333.5999999999</v>
      </c>
      <c r="Q472" s="236">
        <f>SUM(Q447:Q469)</f>
        <v>1989000</v>
      </c>
      <c r="R472" s="236">
        <f t="shared" ref="R472:S472" si="311">SUM(R447:R469)</f>
        <v>2915145</v>
      </c>
      <c r="S472" s="236">
        <f t="shared" si="311"/>
        <v>3180031.6363636367</v>
      </c>
      <c r="T472" s="236">
        <f>SUM(T447:T471)</f>
        <v>4243000</v>
      </c>
      <c r="U472" s="236">
        <f t="shared" ref="U472:W472" si="312">SUM(U447:U471)</f>
        <v>3935321.49</v>
      </c>
      <c r="V472" s="236">
        <f t="shared" si="312"/>
        <v>5169146</v>
      </c>
      <c r="W472" s="236">
        <f t="shared" si="312"/>
        <v>0</v>
      </c>
      <c r="X472" s="52"/>
      <c r="Y472" s="52"/>
      <c r="Z472" s="101">
        <f t="shared" si="300"/>
        <v>1</v>
      </c>
    </row>
    <row r="473" spans="1:26" s="105" customFormat="1" ht="15.75">
      <c r="A473" s="102"/>
      <c r="B473" s="239" t="s">
        <v>588</v>
      </c>
      <c r="C473" s="238" t="s">
        <v>710</v>
      </c>
      <c r="D473" s="226"/>
      <c r="E473" s="226"/>
      <c r="F473" s="239"/>
      <c r="G473" s="228">
        <f>SUM(G375:G469)</f>
        <v>11768000</v>
      </c>
      <c r="H473" s="228">
        <f>SUM(H375:H469)</f>
        <v>13617957.379999999</v>
      </c>
      <c r="I473" s="228">
        <f>SUM(I375:I469)</f>
        <v>-1849958.3800000001</v>
      </c>
      <c r="J473" s="228">
        <f>SUM(J375:J469)</f>
        <v>15627000</v>
      </c>
      <c r="K473" s="228">
        <f>SUM(K375:K469)</f>
        <v>16489500</v>
      </c>
      <c r="L473" s="228">
        <f t="shared" ref="L473:T473" si="313">L388+L395+L411+L426+L446+L472</f>
        <v>20228823</v>
      </c>
      <c r="M473" s="228">
        <f t="shared" si="313"/>
        <v>0</v>
      </c>
      <c r="N473" s="228">
        <f t="shared" si="313"/>
        <v>18867500</v>
      </c>
      <c r="O473" s="228" t="e">
        <f t="shared" si="313"/>
        <v>#N/A</v>
      </c>
      <c r="P473" s="228">
        <f t="shared" si="313"/>
        <v>18032554.052000001</v>
      </c>
      <c r="Q473" s="228">
        <f t="shared" si="313"/>
        <v>18208102</v>
      </c>
      <c r="R473" s="228">
        <f t="shared" si="313"/>
        <v>18855534.240000002</v>
      </c>
      <c r="S473" s="228">
        <f t="shared" si="313"/>
        <v>20994239.989999998</v>
      </c>
      <c r="T473" s="228">
        <f t="shared" si="313"/>
        <v>22044910.547332548</v>
      </c>
      <c r="U473" s="228">
        <f t="shared" ref="U473:W473" si="314">U388+U395+U411+U426+U446+U472</f>
        <v>25381764.82</v>
      </c>
      <c r="V473" s="228">
        <f t="shared" si="314"/>
        <v>26990000.23</v>
      </c>
      <c r="W473" s="228">
        <f t="shared" si="314"/>
        <v>18.2</v>
      </c>
      <c r="X473" s="52"/>
      <c r="Y473" s="104"/>
      <c r="Z473" s="101">
        <f t="shared" si="300"/>
        <v>1</v>
      </c>
    </row>
    <row r="474" spans="1:26" s="105" customFormat="1" ht="15.75" hidden="1">
      <c r="A474" s="102"/>
      <c r="B474" s="103"/>
      <c r="C474" s="100" t="s">
        <v>721</v>
      </c>
      <c r="D474" s="50"/>
      <c r="E474" s="50"/>
      <c r="F474" s="51"/>
      <c r="G474" s="52"/>
      <c r="H474" s="52"/>
      <c r="I474" s="52"/>
      <c r="J474" s="52"/>
      <c r="K474" s="52">
        <f>+J474</f>
        <v>0</v>
      </c>
      <c r="L474" s="52"/>
      <c r="M474" s="52"/>
      <c r="N474" s="52"/>
      <c r="O474" s="52"/>
      <c r="P474" s="52">
        <f t="shared" si="307"/>
        <v>0</v>
      </c>
      <c r="Q474" s="52">
        <f>P474</f>
        <v>0</v>
      </c>
      <c r="R474" s="52"/>
      <c r="S474" s="52"/>
      <c r="T474" s="52"/>
      <c r="U474" s="261"/>
      <c r="V474" s="261"/>
      <c r="W474" s="52"/>
      <c r="X474" s="52"/>
      <c r="Y474" s="52"/>
      <c r="Z474" s="101">
        <f t="shared" si="300"/>
        <v>0</v>
      </c>
    </row>
    <row r="475" spans="1:26" s="105" customFormat="1" ht="15.75">
      <c r="A475" s="256">
        <v>15</v>
      </c>
      <c r="B475" s="249">
        <v>1853000431</v>
      </c>
      <c r="C475" s="50" t="str">
        <f t="shared" ref="C475" si="315">RIGHT(B475,3)</f>
        <v>431</v>
      </c>
      <c r="D475" s="50" t="str">
        <f t="shared" ref="D475" si="316">MID(B475,2,6)</f>
        <v>853000</v>
      </c>
      <c r="E475" s="50" t="str">
        <f t="shared" ref="E475" si="317">LEFT(D475,2)</f>
        <v>85</v>
      </c>
      <c r="F475" s="51" t="s">
        <v>1862</v>
      </c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>
        <f>VLOOKUP(B475,'2174'!$A$182:$G$567,6,0)</f>
        <v>17002.73</v>
      </c>
      <c r="S475" s="52">
        <v>18000</v>
      </c>
      <c r="T475" s="52">
        <v>18000</v>
      </c>
      <c r="U475" s="261">
        <f>VLOOKUP(B475,'ביצוע 2019'!$A$3:$H$1103,7,0)</f>
        <v>25098.57</v>
      </c>
      <c r="V475" s="261">
        <f>U475-378</f>
        <v>24720.57</v>
      </c>
      <c r="W475" s="52"/>
      <c r="X475" s="52"/>
      <c r="Y475" s="52"/>
      <c r="Z475" s="101">
        <f t="shared" si="300"/>
        <v>1</v>
      </c>
    </row>
    <row r="476" spans="1:26" s="101" customFormat="1" ht="15.75" hidden="1">
      <c r="A476" s="21">
        <v>15</v>
      </c>
      <c r="B476" s="51">
        <v>1853000432</v>
      </c>
      <c r="C476" s="50" t="str">
        <f t="shared" si="291"/>
        <v>432</v>
      </c>
      <c r="D476" s="50" t="str">
        <f t="shared" si="292"/>
        <v>853000</v>
      </c>
      <c r="E476" s="50" t="str">
        <f t="shared" si="293"/>
        <v>85</v>
      </c>
      <c r="F476" s="51" t="s">
        <v>393</v>
      </c>
      <c r="G476" s="52">
        <v>9000</v>
      </c>
      <c r="H476" s="52">
        <v>17480.900000000001</v>
      </c>
      <c r="I476" s="52">
        <v>-8477.9</v>
      </c>
      <c r="J476" s="52">
        <v>18000</v>
      </c>
      <c r="K476" s="52">
        <v>18000</v>
      </c>
      <c r="L476" s="52">
        <v>18000</v>
      </c>
      <c r="M476" s="52"/>
      <c r="N476" s="52">
        <f t="shared" si="306"/>
        <v>18000</v>
      </c>
      <c r="O476" s="52">
        <f>VLOOKUP(B:B,'דוח כספי 1-10.17'!A:D,4,0)</f>
        <v>10380.200000000001</v>
      </c>
      <c r="P476" s="52">
        <f t="shared" si="307"/>
        <v>12456.240000000002</v>
      </c>
      <c r="Q476" s="52">
        <v>12000</v>
      </c>
      <c r="R476" s="52">
        <f>VLOOKUP(B476,'2174'!$A$182:$G$567,6,0)</f>
        <v>0</v>
      </c>
      <c r="S476" s="52">
        <f t="shared" ref="S476:S480" si="318">R476*12/11</f>
        <v>0</v>
      </c>
      <c r="T476" s="52">
        <v>0</v>
      </c>
      <c r="U476" s="261">
        <f>VLOOKUP(B476,'ביצוע 2019'!$A$3:$H$1103,7,0)</f>
        <v>0</v>
      </c>
      <c r="V476" s="261">
        <f t="shared" ref="V476:V480" si="319">U476</f>
        <v>0</v>
      </c>
      <c r="W476" s="52"/>
      <c r="X476" s="52"/>
      <c r="Y476" s="52"/>
      <c r="Z476" s="101">
        <f t="shared" si="300"/>
        <v>0</v>
      </c>
    </row>
    <row r="477" spans="1:26" s="101" customFormat="1" ht="15.75">
      <c r="A477" s="21">
        <v>15</v>
      </c>
      <c r="B477" s="51">
        <v>1853000750</v>
      </c>
      <c r="C477" s="50" t="str">
        <f t="shared" si="291"/>
        <v>750</v>
      </c>
      <c r="D477" s="50" t="str">
        <f t="shared" si="292"/>
        <v>853000</v>
      </c>
      <c r="E477" s="50" t="str">
        <f t="shared" si="293"/>
        <v>85</v>
      </c>
      <c r="F477" s="51" t="s">
        <v>394</v>
      </c>
      <c r="G477" s="52">
        <v>0</v>
      </c>
      <c r="H477" s="52">
        <v>944</v>
      </c>
      <c r="I477" s="52">
        <v>-944</v>
      </c>
      <c r="J477" s="52">
        <v>1000</v>
      </c>
      <c r="K477" s="52">
        <v>18000</v>
      </c>
      <c r="L477" s="52">
        <v>18000</v>
      </c>
      <c r="M477" s="52"/>
      <c r="N477" s="52">
        <f t="shared" si="306"/>
        <v>18000</v>
      </c>
      <c r="O477" s="52">
        <f>VLOOKUP(B:B,'דוח כספי 1-10.17'!A:D,4,0)</f>
        <v>0</v>
      </c>
      <c r="P477" s="52">
        <v>18000</v>
      </c>
      <c r="Q477" s="52">
        <f>P477</f>
        <v>18000</v>
      </c>
      <c r="R477" s="52">
        <f>VLOOKUP(B477,'2174'!$A$182:$G$567,6,0)</f>
        <v>0</v>
      </c>
      <c r="S477" s="52">
        <f t="shared" si="318"/>
        <v>0</v>
      </c>
      <c r="T477" s="52">
        <v>0</v>
      </c>
      <c r="U477" s="261">
        <f>VLOOKUP(B477,'ביצוע 2019'!$A$3:$H$1103,7,0)</f>
        <v>8252.01</v>
      </c>
      <c r="V477" s="261">
        <f>U477-377</f>
        <v>7875.01</v>
      </c>
      <c r="W477" s="52"/>
      <c r="X477" s="52"/>
      <c r="Y477" s="52"/>
      <c r="Z477" s="101">
        <f t="shared" si="300"/>
        <v>1</v>
      </c>
    </row>
    <row r="478" spans="1:26" s="101" customFormat="1" ht="15.75">
      <c r="A478" s="21">
        <v>15</v>
      </c>
      <c r="B478" s="51">
        <v>1853000780</v>
      </c>
      <c r="C478" s="50" t="str">
        <f t="shared" si="291"/>
        <v>780</v>
      </c>
      <c r="D478" s="50" t="str">
        <f t="shared" si="292"/>
        <v>853000</v>
      </c>
      <c r="E478" s="50" t="str">
        <f t="shared" si="293"/>
        <v>85</v>
      </c>
      <c r="F478" s="51" t="s">
        <v>2085</v>
      </c>
      <c r="G478" s="52">
        <v>33000</v>
      </c>
      <c r="H478" s="52">
        <v>0</v>
      </c>
      <c r="I478" s="52">
        <v>33001</v>
      </c>
      <c r="J478" s="52">
        <v>0</v>
      </c>
      <c r="K478" s="52">
        <f>+J478</f>
        <v>0</v>
      </c>
      <c r="L478" s="52">
        <v>40000</v>
      </c>
      <c r="M478" s="52"/>
      <c r="N478" s="52">
        <f t="shared" si="306"/>
        <v>40000</v>
      </c>
      <c r="O478" s="52">
        <f>VLOOKUP(B:B,'דוח כספי 1-10.17'!A:D,4,0)</f>
        <v>0</v>
      </c>
      <c r="P478" s="52">
        <v>40000</v>
      </c>
      <c r="Q478" s="52">
        <v>60000</v>
      </c>
      <c r="R478" s="52">
        <f>VLOOKUP(B478,'2174'!$A$182:$G$567,6,0)</f>
        <v>11755</v>
      </c>
      <c r="S478" s="52">
        <f t="shared" si="318"/>
        <v>12823.636363636364</v>
      </c>
      <c r="T478" s="52">
        <v>200000</v>
      </c>
      <c r="U478" s="261">
        <f>VLOOKUP(B478,'ביצוע 2019'!$A$3:$H$1103,7,0)</f>
        <v>90623.75</v>
      </c>
      <c r="V478" s="261">
        <v>240000</v>
      </c>
      <c r="W478" s="52"/>
      <c r="X478" s="52"/>
      <c r="Y478" s="52"/>
      <c r="Z478" s="101">
        <f t="shared" si="300"/>
        <v>1</v>
      </c>
    </row>
    <row r="479" spans="1:26" s="101" customFormat="1" ht="15.75">
      <c r="A479" s="21">
        <v>16</v>
      </c>
      <c r="B479" s="51">
        <v>1871000110</v>
      </c>
      <c r="C479" s="50" t="str">
        <f t="shared" si="291"/>
        <v>110</v>
      </c>
      <c r="D479" s="50" t="str">
        <f t="shared" si="292"/>
        <v>871000</v>
      </c>
      <c r="E479" s="50" t="str">
        <f t="shared" si="293"/>
        <v>87</v>
      </c>
      <c r="F479" s="51" t="s">
        <v>2076</v>
      </c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>
        <v>100000</v>
      </c>
      <c r="U479" s="261">
        <f>VLOOKUP(B479,'ביצוע 2019'!$A$3:$H$1103,7,0)</f>
        <v>0</v>
      </c>
      <c r="V479" s="261">
        <v>100000</v>
      </c>
      <c r="W479" s="257">
        <v>1</v>
      </c>
      <c r="X479" s="52"/>
      <c r="Y479" s="52" t="s">
        <v>1638</v>
      </c>
      <c r="Z479" s="101">
        <f t="shared" si="300"/>
        <v>1</v>
      </c>
    </row>
    <row r="480" spans="1:26" s="101" customFormat="1" ht="15.75">
      <c r="A480" s="21">
        <v>15</v>
      </c>
      <c r="B480" s="51">
        <v>1879000830</v>
      </c>
      <c r="C480" s="50" t="str">
        <f t="shared" si="291"/>
        <v>830</v>
      </c>
      <c r="D480" s="50" t="str">
        <f t="shared" si="292"/>
        <v>879000</v>
      </c>
      <c r="E480" s="50" t="str">
        <f t="shared" si="293"/>
        <v>87</v>
      </c>
      <c r="F480" s="51" t="s">
        <v>395</v>
      </c>
      <c r="G480" s="52">
        <v>18000</v>
      </c>
      <c r="H480" s="52">
        <v>0</v>
      </c>
      <c r="I480" s="52">
        <v>17996</v>
      </c>
      <c r="J480" s="52">
        <v>0</v>
      </c>
      <c r="K480" s="52">
        <v>35000</v>
      </c>
      <c r="L480" s="52">
        <v>35000</v>
      </c>
      <c r="M480" s="52"/>
      <c r="N480" s="52">
        <f t="shared" si="306"/>
        <v>35000</v>
      </c>
      <c r="O480" s="52">
        <f>VLOOKUP(B:B,'דוח כספי 1-10.17'!A:D,4,0)</f>
        <v>0</v>
      </c>
      <c r="P480" s="52">
        <v>35000</v>
      </c>
      <c r="Q480" s="52">
        <f>P480</f>
        <v>35000</v>
      </c>
      <c r="R480" s="52">
        <f>VLOOKUP(B480,'2174'!$A$182:$G$567,6,0)</f>
        <v>34161</v>
      </c>
      <c r="S480" s="52">
        <f t="shared" si="318"/>
        <v>37266.545454545456</v>
      </c>
      <c r="T480" s="52">
        <v>37266.545454545456</v>
      </c>
      <c r="U480" s="261">
        <f>VLOOKUP(B480,'ביצוע 2019'!$A$3:$H$1103,7,0)</f>
        <v>0</v>
      </c>
      <c r="V480" s="261">
        <f t="shared" si="319"/>
        <v>0</v>
      </c>
      <c r="W480" s="52"/>
      <c r="X480" s="52"/>
      <c r="Y480" s="52"/>
      <c r="Z480" s="101">
        <f t="shared" si="300"/>
        <v>1</v>
      </c>
    </row>
    <row r="481" spans="1:26" s="105" customFormat="1" ht="15.75">
      <c r="A481" s="102"/>
      <c r="B481" s="239"/>
      <c r="C481" s="238"/>
      <c r="D481" s="226"/>
      <c r="E481" s="226"/>
      <c r="F481" s="239" t="s">
        <v>722</v>
      </c>
      <c r="G481" s="228">
        <f>SUM(G476:G480)</f>
        <v>60000</v>
      </c>
      <c r="H481" s="228">
        <f>SUM(H476:H480)</f>
        <v>18424.900000000001</v>
      </c>
      <c r="I481" s="228">
        <f>SUM(I476:I480)</f>
        <v>41575.1</v>
      </c>
      <c r="J481" s="228">
        <f>SUM(J476:J480)</f>
        <v>19000</v>
      </c>
      <c r="K481" s="228">
        <f t="shared" ref="K481" si="320">SUM(K476:K480)</f>
        <v>71000</v>
      </c>
      <c r="L481" s="228">
        <f>SUM(L475:L480)</f>
        <v>111000</v>
      </c>
      <c r="M481" s="228">
        <f t="shared" ref="M481:T481" si="321">SUM(M475:M480)</f>
        <v>0</v>
      </c>
      <c r="N481" s="228">
        <f t="shared" si="321"/>
        <v>111000</v>
      </c>
      <c r="O481" s="228">
        <f t="shared" si="321"/>
        <v>10380.200000000001</v>
      </c>
      <c r="P481" s="228">
        <f t="shared" si="321"/>
        <v>105456.24</v>
      </c>
      <c r="Q481" s="228">
        <f t="shared" si="321"/>
        <v>125000</v>
      </c>
      <c r="R481" s="228">
        <f t="shared" si="321"/>
        <v>62918.729999999996</v>
      </c>
      <c r="S481" s="228">
        <f t="shared" si="321"/>
        <v>68090.181818181823</v>
      </c>
      <c r="T481" s="228">
        <f t="shared" si="321"/>
        <v>355266.54545454547</v>
      </c>
      <c r="U481" s="228">
        <f t="shared" ref="U481:W481" si="322">SUM(U475:U480)</f>
        <v>123974.33</v>
      </c>
      <c r="V481" s="228">
        <f t="shared" si="322"/>
        <v>372595.58</v>
      </c>
      <c r="W481" s="228">
        <f t="shared" si="322"/>
        <v>1</v>
      </c>
      <c r="X481" s="52"/>
      <c r="Y481" s="104"/>
      <c r="Z481" s="101">
        <f t="shared" si="300"/>
        <v>1</v>
      </c>
    </row>
    <row r="482" spans="1:26" s="105" customFormat="1" ht="15.75" hidden="1">
      <c r="A482" s="102"/>
      <c r="B482" s="103"/>
      <c r="C482" s="100" t="s">
        <v>723</v>
      </c>
      <c r="D482" s="50"/>
      <c r="E482" s="50"/>
      <c r="F482" s="51"/>
      <c r="G482" s="52"/>
      <c r="H482" s="52"/>
      <c r="I482" s="52"/>
      <c r="J482" s="52"/>
      <c r="K482" s="52">
        <f>+J482</f>
        <v>0</v>
      </c>
      <c r="L482" s="52"/>
      <c r="M482" s="52"/>
      <c r="N482" s="52"/>
      <c r="O482" s="52"/>
      <c r="P482" s="52">
        <f t="shared" si="307"/>
        <v>0</v>
      </c>
      <c r="Q482" s="52">
        <f>P482</f>
        <v>0</v>
      </c>
      <c r="R482" s="52"/>
      <c r="S482" s="52"/>
      <c r="T482" s="52"/>
      <c r="U482" s="261"/>
      <c r="V482" s="261"/>
      <c r="W482" s="52"/>
      <c r="X482" s="52"/>
      <c r="Y482" s="52"/>
      <c r="Z482" s="101">
        <f t="shared" si="300"/>
        <v>0</v>
      </c>
    </row>
    <row r="483" spans="1:26" s="101" customFormat="1" ht="15.75">
      <c r="A483" s="21">
        <v>16</v>
      </c>
      <c r="B483" s="51">
        <v>1911000110</v>
      </c>
      <c r="C483" s="50" t="str">
        <f t="shared" si="291"/>
        <v>110</v>
      </c>
      <c r="D483" s="50" t="str">
        <f t="shared" si="292"/>
        <v>911000</v>
      </c>
      <c r="E483" s="50" t="str">
        <f t="shared" si="293"/>
        <v>91</v>
      </c>
      <c r="F483" s="51" t="s">
        <v>396</v>
      </c>
      <c r="G483" s="52">
        <v>149000</v>
      </c>
      <c r="H483" s="52">
        <v>165301.41</v>
      </c>
      <c r="I483" s="52">
        <v>-16298.41</v>
      </c>
      <c r="J483" s="52">
        <v>170000</v>
      </c>
      <c r="K483" s="52">
        <v>90000</v>
      </c>
      <c r="L483" s="52">
        <v>92000</v>
      </c>
      <c r="M483" s="52"/>
      <c r="N483" s="52">
        <f t="shared" si="306"/>
        <v>92000</v>
      </c>
      <c r="O483" s="52">
        <f>VLOOKUP(B:B,'דוח כספי 1-10.17'!A:D,4,0)</f>
        <v>73643.23</v>
      </c>
      <c r="P483" s="52">
        <v>93000</v>
      </c>
      <c r="Q483" s="52">
        <v>95000</v>
      </c>
      <c r="R483" s="52">
        <f>VLOOKUP(B483,'2174'!$A$182:$G$567,6,0)</f>
        <v>76226.91</v>
      </c>
      <c r="S483" s="63">
        <f>VLOOKUP(B483,'2174'!$A$575:$D$697,4,0)</f>
        <v>98931.5</v>
      </c>
      <c r="T483" s="56">
        <f>S483*1.0217</f>
        <v>101078.31355000001</v>
      </c>
      <c r="U483" s="261">
        <f>VLOOKUP(B483,'ביצוע 2019'!$A$3:$H$1103,7,0)</f>
        <v>99401.11</v>
      </c>
      <c r="V483" s="261">
        <v>105000</v>
      </c>
      <c r="W483" s="257">
        <v>1</v>
      </c>
      <c r="X483" s="52"/>
      <c r="Y483" s="52"/>
      <c r="Z483" s="101">
        <f t="shared" si="300"/>
        <v>1</v>
      </c>
    </row>
    <row r="484" spans="1:26" s="101" customFormat="1" ht="15.75" hidden="1">
      <c r="A484" s="21">
        <v>15</v>
      </c>
      <c r="B484" s="51">
        <v>1911000540</v>
      </c>
      <c r="C484" s="50" t="str">
        <f t="shared" si="291"/>
        <v>540</v>
      </c>
      <c r="D484" s="50" t="str">
        <f t="shared" si="292"/>
        <v>911000</v>
      </c>
      <c r="E484" s="50" t="str">
        <f t="shared" si="293"/>
        <v>91</v>
      </c>
      <c r="F484" s="51" t="s">
        <v>397</v>
      </c>
      <c r="G484" s="52">
        <v>3000</v>
      </c>
      <c r="H484" s="52">
        <v>0</v>
      </c>
      <c r="I484" s="52">
        <v>3001</v>
      </c>
      <c r="J484" s="52">
        <v>0</v>
      </c>
      <c r="K484" s="52">
        <f>+J484</f>
        <v>0</v>
      </c>
      <c r="L484" s="52">
        <f>+K484</f>
        <v>0</v>
      </c>
      <c r="M484" s="52"/>
      <c r="N484" s="52">
        <f t="shared" si="306"/>
        <v>0</v>
      </c>
      <c r="O484" s="52">
        <f>VLOOKUP(B:B,'דוח כספי 1-10.17'!A:D,4,0)</f>
        <v>0</v>
      </c>
      <c r="P484" s="52">
        <f t="shared" si="307"/>
        <v>0</v>
      </c>
      <c r="Q484" s="52">
        <f>P484</f>
        <v>0</v>
      </c>
      <c r="R484" s="52"/>
      <c r="S484" s="52"/>
      <c r="T484" s="52"/>
      <c r="U484" s="261">
        <f>VLOOKUP(B484,'ביצוע 2019'!$A$3:$H$1103,7,0)</f>
        <v>0</v>
      </c>
      <c r="V484" s="261">
        <f t="shared" ref="V484:V486" si="323">U484</f>
        <v>0</v>
      </c>
      <c r="W484" s="52"/>
      <c r="X484" s="52"/>
      <c r="Y484" s="52"/>
      <c r="Z484" s="101">
        <f t="shared" si="300"/>
        <v>0</v>
      </c>
    </row>
    <row r="485" spans="1:26" s="101" customFormat="1" ht="15.75">
      <c r="A485" s="21">
        <v>15</v>
      </c>
      <c r="B485" s="51">
        <v>1913000720</v>
      </c>
      <c r="C485" s="50" t="str">
        <f t="shared" si="291"/>
        <v>720</v>
      </c>
      <c r="D485" s="50" t="str">
        <f t="shared" si="292"/>
        <v>913000</v>
      </c>
      <c r="E485" s="50" t="str">
        <f t="shared" si="293"/>
        <v>91</v>
      </c>
      <c r="F485" s="51" t="s">
        <v>32</v>
      </c>
      <c r="G485" s="52">
        <v>402000</v>
      </c>
      <c r="H485" s="52">
        <v>86966</v>
      </c>
      <c r="I485" s="52">
        <v>315038</v>
      </c>
      <c r="J485" s="52">
        <v>80000</v>
      </c>
      <c r="K485" s="52">
        <v>80000</v>
      </c>
      <c r="L485" s="52">
        <v>20000</v>
      </c>
      <c r="M485" s="52"/>
      <c r="N485" s="52">
        <f t="shared" si="306"/>
        <v>20000</v>
      </c>
      <c r="O485" s="52">
        <f>VLOOKUP(B:B,'דוח כספי 1-10.17'!A:D,4,0)</f>
        <v>17588.61</v>
      </c>
      <c r="P485" s="52">
        <f t="shared" si="307"/>
        <v>21106.332000000002</v>
      </c>
      <c r="Q485" s="52">
        <v>21000</v>
      </c>
      <c r="R485" s="52">
        <f>VLOOKUP(B485,'2174'!$A$182:$G$567,6,0)</f>
        <v>25315.5</v>
      </c>
      <c r="S485" s="52">
        <f>R485*12/11</f>
        <v>27616.909090909092</v>
      </c>
      <c r="T485" s="52">
        <v>20000</v>
      </c>
      <c r="U485" s="261">
        <f>VLOOKUP(B485,'ביצוע 2019'!$A$3:$H$1103,7,0)</f>
        <v>27582.58</v>
      </c>
      <c r="V485" s="261">
        <f t="shared" si="323"/>
        <v>27582.58</v>
      </c>
      <c r="W485" s="52"/>
      <c r="X485" s="52"/>
      <c r="Y485" s="52"/>
      <c r="Z485" s="101">
        <f t="shared" si="300"/>
        <v>1</v>
      </c>
    </row>
    <row r="486" spans="1:26" s="101" customFormat="1" ht="15.75" hidden="1">
      <c r="A486" s="21">
        <v>15</v>
      </c>
      <c r="B486" s="51">
        <v>1913000740</v>
      </c>
      <c r="C486" s="50" t="str">
        <f t="shared" ref="C486:C519" si="324">RIGHT(B486,3)</f>
        <v>740</v>
      </c>
      <c r="D486" s="50" t="str">
        <f t="shared" ref="D486:D519" si="325">MID(B486,2,6)</f>
        <v>913000</v>
      </c>
      <c r="E486" s="50" t="str">
        <f t="shared" ref="E486:E517" si="326">LEFT(D486,2)</f>
        <v>91</v>
      </c>
      <c r="F486" s="51" t="s">
        <v>155</v>
      </c>
      <c r="G486" s="52">
        <v>3000</v>
      </c>
      <c r="H486" s="52">
        <v>0</v>
      </c>
      <c r="I486" s="52">
        <v>3001</v>
      </c>
      <c r="J486" s="52">
        <v>0</v>
      </c>
      <c r="K486" s="52">
        <f>+J486</f>
        <v>0</v>
      </c>
      <c r="L486" s="52">
        <f>+K486</f>
        <v>0</v>
      </c>
      <c r="M486" s="52"/>
      <c r="N486" s="52">
        <f t="shared" si="306"/>
        <v>0</v>
      </c>
      <c r="O486" s="52">
        <f>VLOOKUP(B:B,'דוח כספי 1-10.17'!A:D,4,0)</f>
        <v>0</v>
      </c>
      <c r="P486" s="52">
        <f t="shared" si="307"/>
        <v>0</v>
      </c>
      <c r="Q486" s="52">
        <f>P486</f>
        <v>0</v>
      </c>
      <c r="R486" s="52"/>
      <c r="S486" s="52"/>
      <c r="T486" s="52">
        <v>0</v>
      </c>
      <c r="U486" s="261">
        <f>VLOOKUP(B486,'ביצוע 2019'!$A$3:$H$1103,7,0)</f>
        <v>0</v>
      </c>
      <c r="V486" s="261">
        <f t="shared" si="323"/>
        <v>0</v>
      </c>
      <c r="W486" s="52"/>
      <c r="X486" s="52"/>
      <c r="Y486" s="52"/>
      <c r="Z486" s="101">
        <f t="shared" si="300"/>
        <v>0</v>
      </c>
    </row>
    <row r="487" spans="1:26" s="101" customFormat="1" ht="15.75">
      <c r="A487" s="21">
        <v>15</v>
      </c>
      <c r="B487" s="51">
        <v>1913000750</v>
      </c>
      <c r="C487" s="50" t="str">
        <f t="shared" si="324"/>
        <v>750</v>
      </c>
      <c r="D487" s="50" t="str">
        <f t="shared" si="325"/>
        <v>913000</v>
      </c>
      <c r="E487" s="50" t="str">
        <f t="shared" si="326"/>
        <v>91</v>
      </c>
      <c r="F487" s="51" t="s">
        <v>62</v>
      </c>
      <c r="G487" s="52">
        <v>37000</v>
      </c>
      <c r="H487" s="52">
        <v>67726</v>
      </c>
      <c r="I487" s="52">
        <v>-30727</v>
      </c>
      <c r="J487" s="52">
        <v>50000</v>
      </c>
      <c r="K487" s="52">
        <v>60000</v>
      </c>
      <c r="L487" s="52">
        <v>15000</v>
      </c>
      <c r="M487" s="52"/>
      <c r="N487" s="52">
        <f t="shared" si="306"/>
        <v>15000</v>
      </c>
      <c r="O487" s="52">
        <f>VLOOKUP(B:B,'דוח כספי 1-10.17'!A:D,4,0)</f>
        <v>3978</v>
      </c>
      <c r="P487" s="52">
        <f t="shared" si="307"/>
        <v>4773.6000000000004</v>
      </c>
      <c r="Q487" s="52">
        <v>5000</v>
      </c>
      <c r="R487" s="52">
        <f>VLOOKUP(B487,'2174'!$A$182:$G$567,6,0)</f>
        <v>21076</v>
      </c>
      <c r="S487" s="52">
        <f t="shared" ref="S487:S488" si="327">R487*12/11</f>
        <v>22992</v>
      </c>
      <c r="T487" s="52">
        <v>40000</v>
      </c>
      <c r="U487" s="261">
        <v>30000</v>
      </c>
      <c r="V487" s="261">
        <v>30000</v>
      </c>
      <c r="W487" s="52"/>
      <c r="X487" s="52"/>
      <c r="Y487" s="52"/>
      <c r="Z487" s="101">
        <f t="shared" si="300"/>
        <v>1</v>
      </c>
    </row>
    <row r="488" spans="1:26" s="101" customFormat="1" ht="15.75">
      <c r="A488" s="21">
        <v>27</v>
      </c>
      <c r="B488" s="51">
        <v>1913000780</v>
      </c>
      <c r="C488" s="50" t="str">
        <f t="shared" si="324"/>
        <v>780</v>
      </c>
      <c r="D488" s="50" t="str">
        <f t="shared" si="325"/>
        <v>913000</v>
      </c>
      <c r="E488" s="50" t="str">
        <f t="shared" si="326"/>
        <v>91</v>
      </c>
      <c r="F488" s="51" t="s">
        <v>398</v>
      </c>
      <c r="G488" s="52">
        <v>629000</v>
      </c>
      <c r="H488" s="52">
        <v>510459</v>
      </c>
      <c r="I488" s="52">
        <v>118544</v>
      </c>
      <c r="J488" s="52">
        <v>250000</v>
      </c>
      <c r="K488" s="52">
        <v>610000</v>
      </c>
      <c r="L488" s="52">
        <v>152500</v>
      </c>
      <c r="M488" s="52"/>
      <c r="N488" s="52">
        <f t="shared" si="306"/>
        <v>152500</v>
      </c>
      <c r="O488" s="52">
        <f>VLOOKUP(B:B,'דוח כספי 1-10.17'!A:D,4,0)</f>
        <v>735929.81</v>
      </c>
      <c r="P488" s="52">
        <f t="shared" si="307"/>
        <v>883115.77200000011</v>
      </c>
      <c r="Q488" s="52">
        <v>884000</v>
      </c>
      <c r="R488" s="52">
        <f>VLOOKUP(B488,'2174'!$A$182:$G$567,6,0)</f>
        <v>133145.01999999999</v>
      </c>
      <c r="S488" s="52">
        <f t="shared" si="327"/>
        <v>145249.1127272727</v>
      </c>
      <c r="T488" s="52">
        <v>60000</v>
      </c>
      <c r="U488" s="261">
        <f>VLOOKUP(B488,'ביצוע 2019'!$A$3:$H$1103,7,0)</f>
        <v>185836.6</v>
      </c>
      <c r="V488" s="261">
        <v>100000</v>
      </c>
      <c r="W488" s="52"/>
      <c r="X488" s="52"/>
      <c r="Y488" s="52"/>
      <c r="Z488" s="101">
        <f t="shared" si="300"/>
        <v>1</v>
      </c>
    </row>
    <row r="489" spans="1:26" s="101" customFormat="1" ht="15.75">
      <c r="A489" s="21">
        <v>27</v>
      </c>
      <c r="B489" s="51">
        <v>1913100772</v>
      </c>
      <c r="C489" s="50" t="str">
        <f t="shared" si="324"/>
        <v>772</v>
      </c>
      <c r="D489" s="50" t="str">
        <f t="shared" si="325"/>
        <v>913100</v>
      </c>
      <c r="E489" s="50" t="str">
        <f t="shared" si="326"/>
        <v>91</v>
      </c>
      <c r="F489" s="51" t="s">
        <v>399</v>
      </c>
      <c r="G489" s="52">
        <v>7010000</v>
      </c>
      <c r="H489" s="52">
        <v>8250646</v>
      </c>
      <c r="I489" s="52">
        <v>-1240646</v>
      </c>
      <c r="J489" s="52">
        <v>4083000</v>
      </c>
      <c r="K489" s="52">
        <v>4260000</v>
      </c>
      <c r="L489" s="52">
        <v>1560000</v>
      </c>
      <c r="M489" s="52"/>
      <c r="N489" s="52">
        <f t="shared" si="306"/>
        <v>1560000</v>
      </c>
      <c r="O489" s="52">
        <f>VLOOKUP(B:B,'דוח כספי 1-10.17'!A:D,4,0)</f>
        <v>2162712.7799999998</v>
      </c>
      <c r="P489" s="52">
        <v>5000000</v>
      </c>
      <c r="Q489" s="52">
        <f>P489</f>
        <v>5000000</v>
      </c>
      <c r="R489" s="52">
        <f>VLOOKUP(B489,'2174'!$A$182:$G$567,6,0)</f>
        <v>2301972.9</v>
      </c>
      <c r="S489" s="52">
        <v>4000000</v>
      </c>
      <c r="T489" s="52">
        <v>3000000</v>
      </c>
      <c r="U489" s="261">
        <f>VLOOKUP(B489,'ביצוע 2019'!$A$3:$H$1103,7,0)</f>
        <v>4941034.33</v>
      </c>
      <c r="V489" s="261">
        <v>2500000</v>
      </c>
      <c r="W489" s="52"/>
      <c r="X489" s="52"/>
      <c r="Y489" s="52"/>
      <c r="Z489" s="101">
        <f t="shared" si="300"/>
        <v>1</v>
      </c>
    </row>
    <row r="490" spans="1:26" s="101" customFormat="1" ht="15.75">
      <c r="A490" s="21"/>
      <c r="B490" s="237"/>
      <c r="C490" s="238"/>
      <c r="D490" s="226"/>
      <c r="E490" s="226"/>
      <c r="F490" s="239" t="s">
        <v>725</v>
      </c>
      <c r="G490" s="228">
        <f>SUM(G483:G489)</f>
        <v>8233000</v>
      </c>
      <c r="H490" s="228">
        <f t="shared" ref="H490:N490" si="328">SUM(H483:H489)</f>
        <v>9081098.4100000001</v>
      </c>
      <c r="I490" s="228">
        <f t="shared" si="328"/>
        <v>-848087.40999999992</v>
      </c>
      <c r="J490" s="228">
        <f t="shared" si="328"/>
        <v>4633000</v>
      </c>
      <c r="K490" s="228">
        <f t="shared" si="328"/>
        <v>5100000</v>
      </c>
      <c r="L490" s="228">
        <f t="shared" si="328"/>
        <v>1839500</v>
      </c>
      <c r="M490" s="228">
        <f t="shared" si="328"/>
        <v>0</v>
      </c>
      <c r="N490" s="228">
        <f t="shared" si="328"/>
        <v>1839500</v>
      </c>
      <c r="O490" s="228">
        <f>SUM(O483:O489)</f>
        <v>2993852.4299999997</v>
      </c>
      <c r="P490" s="228">
        <f>SUM(P483:P489)</f>
        <v>6001995.7039999999</v>
      </c>
      <c r="Q490" s="228">
        <f>SUM(Q483:Q489)</f>
        <v>6005000</v>
      </c>
      <c r="R490" s="228">
        <f t="shared" ref="R490:T490" si="329">SUM(R483:R489)</f>
        <v>2557736.33</v>
      </c>
      <c r="S490" s="228">
        <f t="shared" si="329"/>
        <v>4294789.5218181815</v>
      </c>
      <c r="T490" s="228">
        <f t="shared" si="329"/>
        <v>3221078.3135500001</v>
      </c>
      <c r="U490" s="228">
        <f t="shared" ref="U490:W490" si="330">SUM(U483:U489)</f>
        <v>5283854.62</v>
      </c>
      <c r="V490" s="228">
        <f t="shared" si="330"/>
        <v>2762582.58</v>
      </c>
      <c r="W490" s="228">
        <f t="shared" si="330"/>
        <v>1</v>
      </c>
      <c r="X490" s="52"/>
      <c r="Y490" s="104"/>
      <c r="Z490" s="101">
        <f t="shared" si="300"/>
        <v>1</v>
      </c>
    </row>
    <row r="491" spans="1:26" s="101" customFormat="1" ht="15.75" hidden="1">
      <c r="A491" s="21"/>
      <c r="B491" s="51"/>
      <c r="C491" s="100" t="s">
        <v>724</v>
      </c>
      <c r="D491" s="50"/>
      <c r="E491" s="50"/>
      <c r="F491" s="51"/>
      <c r="G491" s="52"/>
      <c r="H491" s="52"/>
      <c r="I491" s="52"/>
      <c r="J491" s="52"/>
      <c r="K491" s="52">
        <f>+J491</f>
        <v>0</v>
      </c>
      <c r="L491" s="52"/>
      <c r="M491" s="52"/>
      <c r="N491" s="52"/>
      <c r="O491" s="52"/>
      <c r="P491" s="52">
        <f t="shared" si="307"/>
        <v>0</v>
      </c>
      <c r="Q491" s="52">
        <f>P491</f>
        <v>0</v>
      </c>
      <c r="R491" s="52"/>
      <c r="S491" s="52"/>
      <c r="T491" s="52"/>
      <c r="U491" s="261"/>
      <c r="V491" s="261"/>
      <c r="W491" s="52"/>
      <c r="X491" s="52"/>
      <c r="Y491" s="52"/>
      <c r="Z491" s="101">
        <f t="shared" si="300"/>
        <v>0</v>
      </c>
    </row>
    <row r="492" spans="1:26" s="101" customFormat="1" ht="15.75" hidden="1">
      <c r="A492" s="21">
        <v>15</v>
      </c>
      <c r="B492" s="51">
        <v>1938000420</v>
      </c>
      <c r="C492" s="50" t="str">
        <f t="shared" si="324"/>
        <v>420</v>
      </c>
      <c r="D492" s="50" t="str">
        <f t="shared" si="325"/>
        <v>938000</v>
      </c>
      <c r="E492" s="50" t="str">
        <f t="shared" si="326"/>
        <v>93</v>
      </c>
      <c r="F492" s="51" t="s">
        <v>150</v>
      </c>
      <c r="G492" s="52">
        <v>25000</v>
      </c>
      <c r="H492" s="52">
        <v>16618</v>
      </c>
      <c r="I492" s="52">
        <v>8388</v>
      </c>
      <c r="J492" s="52">
        <v>35000</v>
      </c>
      <c r="K492" s="52">
        <v>35000</v>
      </c>
      <c r="L492" s="52">
        <v>35000</v>
      </c>
      <c r="M492" s="52"/>
      <c r="N492" s="52">
        <f t="shared" si="306"/>
        <v>35000</v>
      </c>
      <c r="O492" s="52">
        <f>VLOOKUP(B:B,'דוח כספי 1-10.17'!A:D,4,0)</f>
        <v>0</v>
      </c>
      <c r="P492" s="52">
        <f t="shared" si="307"/>
        <v>0</v>
      </c>
      <c r="Q492" s="52">
        <f>P492</f>
        <v>0</v>
      </c>
      <c r="R492" s="52">
        <f>VLOOKUP(B492,'2174'!$A$182:$G$567,6,0)</f>
        <v>0</v>
      </c>
      <c r="S492" s="52">
        <f t="shared" ref="S492:S497" si="331">R492*12/11</f>
        <v>0</v>
      </c>
      <c r="T492" s="52">
        <v>0</v>
      </c>
      <c r="U492" s="261">
        <f>VLOOKUP(B492,'ביצוע 2019'!$A$3:$H$1103,7,0)</f>
        <v>0</v>
      </c>
      <c r="V492" s="261">
        <f t="shared" ref="V492:V498" si="332">U492</f>
        <v>0</v>
      </c>
      <c r="W492" s="52"/>
      <c r="X492" s="52"/>
      <c r="Y492" s="52"/>
      <c r="Z492" s="101">
        <f t="shared" si="300"/>
        <v>0</v>
      </c>
    </row>
    <row r="493" spans="1:26" s="101" customFormat="1" ht="15.75" hidden="1">
      <c r="A493" s="21">
        <v>15</v>
      </c>
      <c r="B493" s="51">
        <v>1938000432</v>
      </c>
      <c r="C493" s="50" t="str">
        <f t="shared" si="324"/>
        <v>432</v>
      </c>
      <c r="D493" s="50" t="str">
        <f t="shared" si="325"/>
        <v>938000</v>
      </c>
      <c r="E493" s="50" t="str">
        <f t="shared" si="326"/>
        <v>93</v>
      </c>
      <c r="F493" s="51" t="s">
        <v>165</v>
      </c>
      <c r="G493" s="52">
        <v>21000</v>
      </c>
      <c r="H493" s="52">
        <v>47826.9</v>
      </c>
      <c r="I493" s="52">
        <v>-26829.9</v>
      </c>
      <c r="J493" s="52">
        <v>50000</v>
      </c>
      <c r="K493" s="52">
        <v>50000</v>
      </c>
      <c r="L493" s="52">
        <v>50000</v>
      </c>
      <c r="M493" s="52"/>
      <c r="N493" s="52">
        <f t="shared" si="306"/>
        <v>50000</v>
      </c>
      <c r="O493" s="52">
        <f>VLOOKUP(B:B,'דוח כספי 1-10.17'!A:D,4,0)</f>
        <v>0</v>
      </c>
      <c r="P493" s="52">
        <f t="shared" si="307"/>
        <v>0</v>
      </c>
      <c r="Q493" s="52">
        <f>P493</f>
        <v>0</v>
      </c>
      <c r="R493" s="52">
        <f>VLOOKUP(B493,'2174'!$A$182:$G$567,6,0)</f>
        <v>0</v>
      </c>
      <c r="S493" s="52">
        <f t="shared" si="331"/>
        <v>0</v>
      </c>
      <c r="T493" s="52">
        <v>0</v>
      </c>
      <c r="U493" s="261">
        <f>VLOOKUP(B493,'ביצוע 2019'!$A$3:$H$1103,7,0)</f>
        <v>0</v>
      </c>
      <c r="V493" s="261">
        <f t="shared" si="332"/>
        <v>0</v>
      </c>
      <c r="W493" s="52"/>
      <c r="X493" s="52"/>
      <c r="Y493" s="52"/>
      <c r="Z493" s="101">
        <f t="shared" si="300"/>
        <v>0</v>
      </c>
    </row>
    <row r="494" spans="1:26" s="101" customFormat="1" ht="15.75" hidden="1">
      <c r="A494" s="21">
        <v>15</v>
      </c>
      <c r="B494" s="51">
        <v>1938000511</v>
      </c>
      <c r="C494" s="50" t="str">
        <f t="shared" si="324"/>
        <v>511</v>
      </c>
      <c r="D494" s="50" t="str">
        <f t="shared" si="325"/>
        <v>938000</v>
      </c>
      <c r="E494" s="50" t="str">
        <f t="shared" si="326"/>
        <v>93</v>
      </c>
      <c r="F494" s="51" t="s">
        <v>400</v>
      </c>
      <c r="G494" s="52">
        <v>8000</v>
      </c>
      <c r="H494" s="52">
        <v>4970</v>
      </c>
      <c r="I494" s="52">
        <v>3026</v>
      </c>
      <c r="J494" s="52">
        <v>10000</v>
      </c>
      <c r="K494" s="52">
        <v>30000</v>
      </c>
      <c r="L494" s="52">
        <v>30000</v>
      </c>
      <c r="M494" s="52"/>
      <c r="N494" s="52">
        <f t="shared" si="306"/>
        <v>30000</v>
      </c>
      <c r="O494" s="52">
        <f>VLOOKUP(B:B,'דוח כספי 1-10.17'!A:D,4,0)</f>
        <v>0</v>
      </c>
      <c r="P494" s="52">
        <f t="shared" si="307"/>
        <v>0</v>
      </c>
      <c r="Q494" s="52">
        <f>P494</f>
        <v>0</v>
      </c>
      <c r="R494" s="52">
        <f>VLOOKUP(B494,'2174'!$A$182:$G$567,6,0)</f>
        <v>0</v>
      </c>
      <c r="S494" s="52">
        <f t="shared" si="331"/>
        <v>0</v>
      </c>
      <c r="T494" s="52">
        <v>0</v>
      </c>
      <c r="U494" s="261">
        <f>VLOOKUP(B494,'ביצוע 2019'!$A$3:$H$1103,7,0)</f>
        <v>0</v>
      </c>
      <c r="V494" s="261">
        <f t="shared" si="332"/>
        <v>0</v>
      </c>
      <c r="W494" s="52"/>
      <c r="X494" s="52"/>
      <c r="Y494" s="52"/>
      <c r="Z494" s="101">
        <f t="shared" si="300"/>
        <v>0</v>
      </c>
    </row>
    <row r="495" spans="1:26" s="101" customFormat="1" ht="15.75">
      <c r="A495" s="21">
        <v>15</v>
      </c>
      <c r="B495" s="51">
        <v>1938000540</v>
      </c>
      <c r="C495" s="50" t="str">
        <f t="shared" si="324"/>
        <v>540</v>
      </c>
      <c r="D495" s="50" t="str">
        <f t="shared" si="325"/>
        <v>938000</v>
      </c>
      <c r="E495" s="50" t="str">
        <f t="shared" si="326"/>
        <v>93</v>
      </c>
      <c r="F495" s="51" t="s">
        <v>401</v>
      </c>
      <c r="G495" s="52">
        <v>75000</v>
      </c>
      <c r="H495" s="52">
        <v>75508.800000000003</v>
      </c>
      <c r="I495" s="52">
        <v>-502.8</v>
      </c>
      <c r="J495" s="52">
        <v>75000</v>
      </c>
      <c r="K495" s="52">
        <v>75000</v>
      </c>
      <c r="L495" s="52">
        <v>75000</v>
      </c>
      <c r="M495" s="52"/>
      <c r="N495" s="52">
        <f t="shared" si="306"/>
        <v>75000</v>
      </c>
      <c r="O495" s="52">
        <f>VLOOKUP(B:B,'דוח כספי 1-10.17'!A:D,4,0)</f>
        <v>1822.43</v>
      </c>
      <c r="P495" s="52">
        <f t="shared" si="307"/>
        <v>2186.9160000000002</v>
      </c>
      <c r="Q495" s="52">
        <v>2000</v>
      </c>
      <c r="R495" s="52">
        <f>VLOOKUP(B495,'2174'!$A$182:$G$567,6,0)</f>
        <v>936</v>
      </c>
      <c r="S495" s="52">
        <f t="shared" si="331"/>
        <v>1021.0909090909091</v>
      </c>
      <c r="T495" s="52">
        <v>1000</v>
      </c>
      <c r="U495" s="261">
        <f>VLOOKUP(B495,'ביצוע 2019'!$A$3:$H$1103,7,0)</f>
        <v>0</v>
      </c>
      <c r="V495" s="261">
        <f t="shared" si="332"/>
        <v>0</v>
      </c>
      <c r="W495" s="52"/>
      <c r="X495" s="52"/>
      <c r="Y495" s="52"/>
      <c r="Z495" s="101">
        <f t="shared" si="300"/>
        <v>1</v>
      </c>
    </row>
    <row r="496" spans="1:26" s="101" customFormat="1" ht="15.75">
      <c r="A496" s="21">
        <v>15</v>
      </c>
      <c r="B496" s="51">
        <v>1938000560</v>
      </c>
      <c r="C496" s="50" t="str">
        <f t="shared" si="324"/>
        <v>560</v>
      </c>
      <c r="D496" s="50" t="str">
        <f t="shared" si="325"/>
        <v>938000</v>
      </c>
      <c r="E496" s="50" t="str">
        <f t="shared" si="326"/>
        <v>93</v>
      </c>
      <c r="F496" s="51" t="s">
        <v>14</v>
      </c>
      <c r="G496" s="52">
        <v>15000</v>
      </c>
      <c r="H496" s="52">
        <v>40748.410000000003</v>
      </c>
      <c r="I496" s="52">
        <v>-25742.41</v>
      </c>
      <c r="J496" s="52">
        <v>30000</v>
      </c>
      <c r="K496" s="52">
        <v>50000</v>
      </c>
      <c r="L496" s="52">
        <v>110000</v>
      </c>
      <c r="M496" s="52"/>
      <c r="N496" s="52">
        <f t="shared" si="306"/>
        <v>110000</v>
      </c>
      <c r="O496" s="52">
        <f>VLOOKUP(B:B,'דוח כספי 1-10.17'!A:D,4,0)</f>
        <v>105121</v>
      </c>
      <c r="P496" s="52">
        <f t="shared" si="307"/>
        <v>126145.2</v>
      </c>
      <c r="Q496" s="52">
        <v>126000</v>
      </c>
      <c r="R496" s="52">
        <f>VLOOKUP(B496,'2174'!$A$182:$G$567,6,0)</f>
        <v>59583</v>
      </c>
      <c r="S496" s="52">
        <f t="shared" si="331"/>
        <v>64999.63636363636</v>
      </c>
      <c r="T496" s="52">
        <v>0</v>
      </c>
      <c r="U496" s="261">
        <f>VLOOKUP(B496,'ביצוע 2019'!$A$3:$H$1103,7,0)</f>
        <v>59475</v>
      </c>
      <c r="V496" s="261">
        <v>50000</v>
      </c>
      <c r="W496" s="52"/>
      <c r="X496" s="52"/>
      <c r="Y496" s="52"/>
      <c r="Z496" s="101">
        <f t="shared" si="300"/>
        <v>1</v>
      </c>
    </row>
    <row r="497" spans="1:26" s="101" customFormat="1" ht="15.75">
      <c r="A497" s="21">
        <v>15</v>
      </c>
      <c r="B497" s="51">
        <v>1938000750</v>
      </c>
      <c r="C497" s="50" t="str">
        <f t="shared" si="324"/>
        <v>750</v>
      </c>
      <c r="D497" s="50" t="str">
        <f t="shared" si="325"/>
        <v>938000</v>
      </c>
      <c r="E497" s="50" t="str">
        <f t="shared" si="326"/>
        <v>93</v>
      </c>
      <c r="F497" s="51" t="s">
        <v>62</v>
      </c>
      <c r="G497" s="52">
        <v>0</v>
      </c>
      <c r="H497" s="52">
        <v>7139</v>
      </c>
      <c r="I497" s="52">
        <v>-7139</v>
      </c>
      <c r="J497" s="52">
        <v>10000</v>
      </c>
      <c r="K497" s="52">
        <v>10000</v>
      </c>
      <c r="L497" s="52">
        <v>22000</v>
      </c>
      <c r="M497" s="52"/>
      <c r="N497" s="52">
        <f t="shared" si="306"/>
        <v>22000</v>
      </c>
      <c r="O497" s="52">
        <f>VLOOKUP(B:B,'דוח כספי 1-10.17'!A:D,4,0)</f>
        <v>3700</v>
      </c>
      <c r="P497" s="52">
        <f t="shared" si="307"/>
        <v>4440</v>
      </c>
      <c r="Q497" s="52">
        <v>5000</v>
      </c>
      <c r="R497" s="52">
        <f>VLOOKUP(B497,'2174'!$A$182:$G$567,6,0)</f>
        <v>93322</v>
      </c>
      <c r="S497" s="52">
        <f t="shared" si="331"/>
        <v>101805.81818181818</v>
      </c>
      <c r="T497" s="52">
        <v>100000</v>
      </c>
      <c r="U497" s="261">
        <f>VLOOKUP(B497,'ביצוע 2019'!$A$3:$H$1103,7,0)</f>
        <v>99564</v>
      </c>
      <c r="V497" s="261">
        <v>300000</v>
      </c>
      <c r="W497" s="52"/>
      <c r="X497" s="52"/>
      <c r="Y497" s="52"/>
      <c r="Z497" s="101">
        <f t="shared" si="300"/>
        <v>1</v>
      </c>
    </row>
    <row r="498" spans="1:26" s="101" customFormat="1" ht="15.75" hidden="1">
      <c r="A498" s="21">
        <v>15</v>
      </c>
      <c r="B498" s="51">
        <v>1938000930</v>
      </c>
      <c r="C498" s="50" t="str">
        <f t="shared" si="324"/>
        <v>930</v>
      </c>
      <c r="D498" s="50" t="str">
        <f t="shared" si="325"/>
        <v>938000</v>
      </c>
      <c r="E498" s="50" t="str">
        <f t="shared" si="326"/>
        <v>93</v>
      </c>
      <c r="F498" s="51" t="s">
        <v>19</v>
      </c>
      <c r="G498" s="52">
        <v>5000</v>
      </c>
      <c r="H498" s="52">
        <v>0</v>
      </c>
      <c r="I498" s="52">
        <v>5006</v>
      </c>
      <c r="J498" s="52">
        <v>0</v>
      </c>
      <c r="K498" s="52">
        <f>+J498</f>
        <v>0</v>
      </c>
      <c r="L498" s="52">
        <f>+K498</f>
        <v>0</v>
      </c>
      <c r="M498" s="52"/>
      <c r="N498" s="52">
        <f t="shared" si="306"/>
        <v>0</v>
      </c>
      <c r="O498" s="52">
        <f>VLOOKUP(B:B,'דוח כספי 1-10.17'!A:D,4,0)</f>
        <v>0</v>
      </c>
      <c r="P498" s="52">
        <f t="shared" si="307"/>
        <v>0</v>
      </c>
      <c r="Q498" s="52">
        <f>P498</f>
        <v>0</v>
      </c>
      <c r="R498" s="52"/>
      <c r="S498" s="52"/>
      <c r="T498" s="52"/>
      <c r="U498" s="261">
        <f>VLOOKUP(B498,'ביצוע 2019'!$A$3:$H$1103,7,0)</f>
        <v>0</v>
      </c>
      <c r="V498" s="261">
        <f t="shared" si="332"/>
        <v>0</v>
      </c>
      <c r="W498" s="52"/>
      <c r="X498" s="52"/>
      <c r="Y498" s="52"/>
      <c r="Z498" s="101">
        <f t="shared" si="300"/>
        <v>0</v>
      </c>
    </row>
    <row r="499" spans="1:26" s="101" customFormat="1" ht="15.75">
      <c r="A499" s="21"/>
      <c r="B499" s="237"/>
      <c r="C499" s="238"/>
      <c r="D499" s="226"/>
      <c r="E499" s="226"/>
      <c r="F499" s="239" t="s">
        <v>1984</v>
      </c>
      <c r="G499" s="228">
        <f>SUM(G492:G498)</f>
        <v>149000</v>
      </c>
      <c r="H499" s="228">
        <f t="shared" ref="H499:N499" si="333">SUM(H492:H498)</f>
        <v>192811.11000000002</v>
      </c>
      <c r="I499" s="228">
        <f t="shared" si="333"/>
        <v>-43794.11</v>
      </c>
      <c r="J499" s="228">
        <f t="shared" si="333"/>
        <v>210000</v>
      </c>
      <c r="K499" s="228">
        <f t="shared" si="333"/>
        <v>250000</v>
      </c>
      <c r="L499" s="228">
        <f t="shared" si="333"/>
        <v>322000</v>
      </c>
      <c r="M499" s="228">
        <f t="shared" si="333"/>
        <v>0</v>
      </c>
      <c r="N499" s="228">
        <f t="shared" si="333"/>
        <v>322000</v>
      </c>
      <c r="O499" s="228">
        <f>SUM(O492:O498)</f>
        <v>110643.43</v>
      </c>
      <c r="P499" s="228">
        <f>SUM(P492:P498)</f>
        <v>132772.11599999998</v>
      </c>
      <c r="Q499" s="228">
        <f>SUM(Q492:Q498)</f>
        <v>133000</v>
      </c>
      <c r="R499" s="228">
        <f t="shared" ref="R499:T499" si="334">SUM(R492:R498)</f>
        <v>153841</v>
      </c>
      <c r="S499" s="228">
        <f t="shared" si="334"/>
        <v>167826.54545454544</v>
      </c>
      <c r="T499" s="228">
        <f t="shared" si="334"/>
        <v>101000</v>
      </c>
      <c r="U499" s="228">
        <f t="shared" ref="U499:W499" si="335">SUM(U492:U498)</f>
        <v>159039</v>
      </c>
      <c r="V499" s="228">
        <f t="shared" si="335"/>
        <v>350000</v>
      </c>
      <c r="W499" s="228">
        <f t="shared" si="335"/>
        <v>0</v>
      </c>
      <c r="X499" s="52"/>
      <c r="Y499" s="104"/>
      <c r="Z499" s="101">
        <f t="shared" si="300"/>
        <v>1</v>
      </c>
    </row>
    <row r="500" spans="1:26" s="101" customFormat="1" ht="15.75" hidden="1">
      <c r="A500" s="21"/>
      <c r="B500" s="51"/>
      <c r="C500" s="100" t="s">
        <v>727</v>
      </c>
      <c r="D500" s="50"/>
      <c r="E500" s="50"/>
      <c r="F500" s="51"/>
      <c r="G500" s="52"/>
      <c r="H500" s="52"/>
      <c r="I500" s="52"/>
      <c r="J500" s="52"/>
      <c r="K500" s="52">
        <f>+J500</f>
        <v>0</v>
      </c>
      <c r="L500" s="52"/>
      <c r="M500" s="52"/>
      <c r="N500" s="52"/>
      <c r="O500" s="52"/>
      <c r="P500" s="52">
        <f t="shared" si="307"/>
        <v>0</v>
      </c>
      <c r="Q500" s="52">
        <f>P500</f>
        <v>0</v>
      </c>
      <c r="R500" s="52"/>
      <c r="S500" s="52"/>
      <c r="T500" s="52"/>
      <c r="U500" s="261"/>
      <c r="V500" s="261"/>
      <c r="W500" s="52"/>
      <c r="X500" s="52"/>
      <c r="Y500" s="52"/>
      <c r="Z500" s="101">
        <f t="shared" si="300"/>
        <v>0</v>
      </c>
    </row>
    <row r="501" spans="1:26" s="101" customFormat="1" ht="15.75">
      <c r="A501" s="21">
        <v>23</v>
      </c>
      <c r="B501" s="51">
        <v>1972000691</v>
      </c>
      <c r="C501" s="50" t="str">
        <f t="shared" si="324"/>
        <v>691</v>
      </c>
      <c r="D501" s="50" t="str">
        <f t="shared" si="325"/>
        <v>972000</v>
      </c>
      <c r="E501" s="50" t="str">
        <f t="shared" si="326"/>
        <v>97</v>
      </c>
      <c r="F501" s="51" t="s">
        <v>402</v>
      </c>
      <c r="G501" s="52">
        <v>643000</v>
      </c>
      <c r="H501" s="52">
        <v>757154.89</v>
      </c>
      <c r="I501" s="52">
        <v>-114153.89</v>
      </c>
      <c r="J501" s="52">
        <v>650000</v>
      </c>
      <c r="K501" s="52">
        <v>610000</v>
      </c>
      <c r="L501" s="52">
        <v>592500</v>
      </c>
      <c r="M501" s="52"/>
      <c r="N501" s="52">
        <f t="shared" si="306"/>
        <v>592500</v>
      </c>
      <c r="O501" s="52">
        <f>VLOOKUP(B:B,'דוח כספי 1-10.17'!A:D,4,0)</f>
        <v>396746.2</v>
      </c>
      <c r="P501" s="52">
        <f t="shared" si="307"/>
        <v>476095.44000000006</v>
      </c>
      <c r="Q501" s="52">
        <v>552000</v>
      </c>
      <c r="R501" s="52">
        <f>VLOOKUP(B501,'2174'!$A$182:$G$567,6,0)</f>
        <v>523976.7</v>
      </c>
      <c r="S501" s="52">
        <f t="shared" ref="S501:S503" si="336">R501*12/11</f>
        <v>571610.94545454544</v>
      </c>
      <c r="T501" s="52">
        <v>350000</v>
      </c>
      <c r="U501" s="261">
        <f>VLOOKUP(B501,'ביצוע 2019'!$A$3:$H$1103,7,0)</f>
        <v>470934.99</v>
      </c>
      <c r="V501" s="261">
        <v>235000</v>
      </c>
      <c r="W501" s="52"/>
      <c r="X501" s="52"/>
      <c r="Y501" s="52" t="s">
        <v>2133</v>
      </c>
      <c r="Z501" s="101">
        <f t="shared" si="300"/>
        <v>1</v>
      </c>
    </row>
    <row r="502" spans="1:26" s="101" customFormat="1" ht="15.75">
      <c r="A502" s="21">
        <v>23</v>
      </c>
      <c r="B502" s="51">
        <v>1972000692</v>
      </c>
      <c r="C502" s="50" t="str">
        <f t="shared" si="324"/>
        <v>692</v>
      </c>
      <c r="D502" s="50" t="str">
        <f t="shared" si="325"/>
        <v>972000</v>
      </c>
      <c r="E502" s="50" t="str">
        <f t="shared" si="326"/>
        <v>97</v>
      </c>
      <c r="F502" s="51" t="s">
        <v>403</v>
      </c>
      <c r="G502" s="52">
        <v>309000</v>
      </c>
      <c r="H502" s="52">
        <v>265294.83</v>
      </c>
      <c r="I502" s="52">
        <v>43708.17</v>
      </c>
      <c r="J502" s="52">
        <v>240000</v>
      </c>
      <c r="K502" s="52">
        <v>204000</v>
      </c>
      <c r="L502" s="52">
        <v>181000</v>
      </c>
      <c r="M502" s="52"/>
      <c r="N502" s="52">
        <f t="shared" si="306"/>
        <v>181000</v>
      </c>
      <c r="O502" s="52">
        <f>VLOOKUP(B:B,'דוח כספי 1-10.17'!A:D,4,0)</f>
        <v>121529.58</v>
      </c>
      <c r="P502" s="52">
        <f t="shared" si="307"/>
        <v>145835.49599999998</v>
      </c>
      <c r="Q502" s="52">
        <v>160000</v>
      </c>
      <c r="R502" s="52">
        <f>VLOOKUP(B502,'2174'!$A$182:$G$567,6,0)</f>
        <v>144277.51999999999</v>
      </c>
      <c r="S502" s="52">
        <f t="shared" si="336"/>
        <v>157393.65818181817</v>
      </c>
      <c r="T502" s="52">
        <v>93000</v>
      </c>
      <c r="U502" s="261">
        <f>VLOOKUP(B502,'ביצוע 2019'!$A$3:$H$1103,7,0)</f>
        <v>124052.47</v>
      </c>
      <c r="V502" s="261">
        <v>62000</v>
      </c>
      <c r="W502" s="52"/>
      <c r="X502" s="52"/>
      <c r="Y502" s="52"/>
      <c r="Z502" s="101">
        <f t="shared" si="300"/>
        <v>1</v>
      </c>
    </row>
    <row r="503" spans="1:26" s="101" customFormat="1" ht="15.75">
      <c r="A503" s="21">
        <v>23</v>
      </c>
      <c r="B503" s="51">
        <v>1972000693</v>
      </c>
      <c r="C503" s="50" t="str">
        <f t="shared" si="324"/>
        <v>693</v>
      </c>
      <c r="D503" s="50" t="str">
        <f t="shared" si="325"/>
        <v>972000</v>
      </c>
      <c r="E503" s="50" t="str">
        <f t="shared" si="326"/>
        <v>97</v>
      </c>
      <c r="F503" s="51" t="s">
        <v>404</v>
      </c>
      <c r="G503" s="52">
        <v>212000</v>
      </c>
      <c r="H503" s="52">
        <v>242494.24</v>
      </c>
      <c r="I503" s="52">
        <v>-30490.240000000002</v>
      </c>
      <c r="J503" s="52">
        <v>213000</v>
      </c>
      <c r="K503" s="52">
        <v>200000</v>
      </c>
      <c r="L503" s="52">
        <v>140000</v>
      </c>
      <c r="M503" s="52"/>
      <c r="N503" s="52">
        <f t="shared" si="306"/>
        <v>140000</v>
      </c>
      <c r="O503" s="52">
        <f>VLOOKUP(B:B,'דוח כספי 1-10.17'!A:D,4,0)</f>
        <v>117511.3</v>
      </c>
      <c r="P503" s="52">
        <f t="shared" si="307"/>
        <v>141013.56</v>
      </c>
      <c r="Q503" s="52">
        <v>159000</v>
      </c>
      <c r="R503" s="52">
        <f>VLOOKUP(B503,'2174'!$A$182:$G$567,6,0)</f>
        <v>152562.10999999999</v>
      </c>
      <c r="S503" s="52">
        <f t="shared" si="336"/>
        <v>166431.3927272727</v>
      </c>
      <c r="T503" s="52">
        <v>90000</v>
      </c>
      <c r="U503" s="261">
        <f>VLOOKUP(B503,'ביצוע 2019'!$A$3:$H$1103,7,0)</f>
        <v>131463.85999999999</v>
      </c>
      <c r="V503" s="261">
        <v>63000</v>
      </c>
      <c r="W503" s="52"/>
      <c r="X503" s="52"/>
      <c r="Y503" s="52"/>
      <c r="Z503" s="101">
        <f t="shared" si="300"/>
        <v>1</v>
      </c>
    </row>
    <row r="504" spans="1:26" s="101" customFormat="1" ht="15.75">
      <c r="A504" s="21"/>
      <c r="B504" s="234"/>
      <c r="C504" s="235"/>
      <c r="D504" s="235"/>
      <c r="E504" s="235"/>
      <c r="F504" s="234" t="s">
        <v>1982</v>
      </c>
      <c r="G504" s="236"/>
      <c r="H504" s="236"/>
      <c r="I504" s="236"/>
      <c r="J504" s="236"/>
      <c r="K504" s="236"/>
      <c r="L504" s="236">
        <f>SUM(L501:L503)</f>
        <v>913500</v>
      </c>
      <c r="M504" s="236"/>
      <c r="N504" s="236">
        <f>SUM(N501:N503)</f>
        <v>913500</v>
      </c>
      <c r="O504" s="236">
        <f>SUM(O501:O503)</f>
        <v>635787.08000000007</v>
      </c>
      <c r="P504" s="236">
        <f>SUM(P501:P503)</f>
        <v>762944.49600000004</v>
      </c>
      <c r="Q504" s="236">
        <f>SUM(Q501:Q503)</f>
        <v>871000</v>
      </c>
      <c r="R504" s="236">
        <f t="shared" ref="R504:W504" si="337">SUM(R501:R503)</f>
        <v>820816.33</v>
      </c>
      <c r="S504" s="236">
        <f t="shared" si="337"/>
        <v>895435.99636363634</v>
      </c>
      <c r="T504" s="236">
        <f t="shared" si="337"/>
        <v>533000</v>
      </c>
      <c r="U504" s="236">
        <f t="shared" si="337"/>
        <v>726451.32</v>
      </c>
      <c r="V504" s="236">
        <f t="shared" si="337"/>
        <v>360000</v>
      </c>
      <c r="W504" s="236">
        <f t="shared" si="337"/>
        <v>0</v>
      </c>
      <c r="X504" s="52"/>
      <c r="Y504" s="52"/>
      <c r="Z504" s="101">
        <f t="shared" si="300"/>
        <v>1</v>
      </c>
    </row>
    <row r="505" spans="1:26" s="101" customFormat="1" ht="15.75">
      <c r="A505" s="21">
        <v>15</v>
      </c>
      <c r="B505" s="51">
        <v>1972000750</v>
      </c>
      <c r="C505" s="50" t="str">
        <f t="shared" si="324"/>
        <v>750</v>
      </c>
      <c r="D505" s="50" t="str">
        <f t="shared" si="325"/>
        <v>972000</v>
      </c>
      <c r="E505" s="50" t="str">
        <f t="shared" si="326"/>
        <v>97</v>
      </c>
      <c r="F505" s="51" t="s">
        <v>406</v>
      </c>
      <c r="G505" s="52">
        <v>165000</v>
      </c>
      <c r="H505" s="52">
        <v>314573.88</v>
      </c>
      <c r="I505" s="52">
        <v>-149567.88</v>
      </c>
      <c r="J505" s="52">
        <v>140000</v>
      </c>
      <c r="K505" s="52">
        <v>400000</v>
      </c>
      <c r="L505" s="52">
        <v>400000</v>
      </c>
      <c r="M505" s="52"/>
      <c r="N505" s="52">
        <f t="shared" si="306"/>
        <v>400000</v>
      </c>
      <c r="O505" s="52">
        <f>VLOOKUP(B:B,'דוח כספי 1-10.17'!A:D,4,0)</f>
        <v>368701.52</v>
      </c>
      <c r="P505" s="52">
        <f t="shared" si="307"/>
        <v>442441.82400000002</v>
      </c>
      <c r="Q505" s="52">
        <v>500000</v>
      </c>
      <c r="R505" s="52">
        <f>VLOOKUP(B505,'2174'!$A$182:$G$567,6,0)</f>
        <v>678488.7</v>
      </c>
      <c r="S505" s="52">
        <f t="shared" ref="S505:S507" si="338">R505*12/11</f>
        <v>740169.49090909085</v>
      </c>
      <c r="T505" s="52">
        <v>400000</v>
      </c>
      <c r="U505" s="261">
        <f>VLOOKUP(B505,'ביצוע 2019'!$A$3:$H$1103,7,0)</f>
        <v>792595.5</v>
      </c>
      <c r="V505" s="261">
        <v>200000</v>
      </c>
      <c r="W505" s="52"/>
      <c r="X505" s="52"/>
      <c r="Y505" s="52"/>
      <c r="Z505" s="101">
        <f t="shared" si="300"/>
        <v>1</v>
      </c>
    </row>
    <row r="506" spans="1:26" s="101" customFormat="1" ht="15.75" hidden="1">
      <c r="A506" s="21">
        <v>15</v>
      </c>
      <c r="B506" s="51">
        <v>1972000751</v>
      </c>
      <c r="C506" s="50" t="str">
        <f t="shared" si="324"/>
        <v>751</v>
      </c>
      <c r="D506" s="50" t="str">
        <f t="shared" si="325"/>
        <v>972000</v>
      </c>
      <c r="E506" s="50" t="str">
        <f t="shared" si="326"/>
        <v>97</v>
      </c>
      <c r="F506" s="51" t="s">
        <v>407</v>
      </c>
      <c r="G506" s="52">
        <v>90000</v>
      </c>
      <c r="H506" s="52">
        <v>253897.60000000001</v>
      </c>
      <c r="I506" s="52">
        <v>-163897.60000000001</v>
      </c>
      <c r="J506" s="52">
        <v>90000</v>
      </c>
      <c r="K506" s="52">
        <v>25000</v>
      </c>
      <c r="L506" s="52">
        <v>85000</v>
      </c>
      <c r="M506" s="52"/>
      <c r="N506" s="52">
        <f t="shared" si="306"/>
        <v>85000</v>
      </c>
      <c r="O506" s="52">
        <f>VLOOKUP(B:B,'דוח כספי 1-10.17'!A:D,4,0)</f>
        <v>67933.7</v>
      </c>
      <c r="P506" s="52">
        <f t="shared" si="307"/>
        <v>81520.439999999988</v>
      </c>
      <c r="Q506" s="52">
        <v>81000</v>
      </c>
      <c r="R506" s="52">
        <f>VLOOKUP(B506,'2174'!$A$182:$G$567,6,0)</f>
        <v>0</v>
      </c>
      <c r="S506" s="52">
        <f t="shared" si="338"/>
        <v>0</v>
      </c>
      <c r="T506" s="52">
        <v>0</v>
      </c>
      <c r="U506" s="261">
        <f>VLOOKUP(B506,'ביצוע 2019'!$A$3:$H$1103,7,0)</f>
        <v>0</v>
      </c>
      <c r="V506" s="261">
        <f t="shared" ref="V506" si="339">U506</f>
        <v>0</v>
      </c>
      <c r="W506" s="52"/>
      <c r="X506" s="52"/>
      <c r="Y506" s="52"/>
      <c r="Z506" s="101">
        <f t="shared" si="300"/>
        <v>0</v>
      </c>
    </row>
    <row r="507" spans="1:26" s="101" customFormat="1" ht="15.75">
      <c r="A507" s="21">
        <v>15</v>
      </c>
      <c r="B507" s="51">
        <v>1972000771</v>
      </c>
      <c r="C507" s="50" t="str">
        <f t="shared" si="324"/>
        <v>771</v>
      </c>
      <c r="D507" s="50" t="str">
        <f t="shared" si="325"/>
        <v>972000</v>
      </c>
      <c r="E507" s="50" t="str">
        <f t="shared" si="326"/>
        <v>97</v>
      </c>
      <c r="F507" s="51" t="s">
        <v>408</v>
      </c>
      <c r="G507" s="52">
        <v>25000</v>
      </c>
      <c r="H507" s="52">
        <v>82103.16</v>
      </c>
      <c r="I507" s="52">
        <v>-57097.16</v>
      </c>
      <c r="J507" s="52">
        <v>25000</v>
      </c>
      <c r="K507" s="52">
        <v>100000</v>
      </c>
      <c r="L507" s="52">
        <v>55000</v>
      </c>
      <c r="M507" s="52"/>
      <c r="N507" s="52">
        <f t="shared" si="306"/>
        <v>55000</v>
      </c>
      <c r="O507" s="52">
        <f>VLOOKUP(B:B,'דוח כספי 1-10.17'!A:D,4,0)</f>
        <v>50696.57</v>
      </c>
      <c r="P507" s="52">
        <f t="shared" si="307"/>
        <v>60835.883999999998</v>
      </c>
      <c r="Q507" s="52">
        <v>61000</v>
      </c>
      <c r="R507" s="52">
        <f>VLOOKUP(B507,'2174'!$A$182:$G$567,6,0)</f>
        <v>79417.100000000006</v>
      </c>
      <c r="S507" s="52">
        <f t="shared" si="338"/>
        <v>86636.836363636365</v>
      </c>
      <c r="T507" s="52">
        <v>60000</v>
      </c>
      <c r="U507" s="261">
        <f>VLOOKUP(B507,'ביצוע 2019'!$A$3:$H$1103,7,0)</f>
        <v>83299.28</v>
      </c>
      <c r="V507" s="261">
        <v>40000</v>
      </c>
      <c r="W507" s="52"/>
      <c r="X507" s="52"/>
      <c r="Y507" s="52"/>
      <c r="Z507" s="101">
        <f t="shared" si="300"/>
        <v>1</v>
      </c>
    </row>
    <row r="508" spans="1:26" s="101" customFormat="1" ht="15.75">
      <c r="A508" s="21">
        <v>15</v>
      </c>
      <c r="B508" s="51">
        <v>1973000760</v>
      </c>
      <c r="C508" s="50" t="str">
        <f t="shared" si="324"/>
        <v>760</v>
      </c>
      <c r="D508" s="50" t="str">
        <f t="shared" si="325"/>
        <v>973000</v>
      </c>
      <c r="E508" s="50" t="str">
        <f t="shared" si="326"/>
        <v>97</v>
      </c>
      <c r="F508" s="51" t="s">
        <v>409</v>
      </c>
      <c r="G508" s="52">
        <v>800000</v>
      </c>
      <c r="H508" s="52">
        <v>1167316.01</v>
      </c>
      <c r="I508" s="52">
        <v>-367316.01</v>
      </c>
      <c r="J508" s="52">
        <v>800000</v>
      </c>
      <c r="K508" s="52">
        <v>1100000</v>
      </c>
      <c r="L508" s="52">
        <v>675000</v>
      </c>
      <c r="M508" s="52"/>
      <c r="N508" s="52">
        <f t="shared" si="306"/>
        <v>675000</v>
      </c>
      <c r="O508" s="52">
        <f>VLOOKUP(B:B,'דוח כספי 1-10.17'!A:D,4,0)</f>
        <v>647164.03</v>
      </c>
      <c r="P508" s="52">
        <f t="shared" si="307"/>
        <v>776596.83600000001</v>
      </c>
      <c r="Q508" s="52">
        <v>900000</v>
      </c>
      <c r="R508" s="52">
        <f>VLOOKUP(B508,'2174'!$A$182:$G$567,6,0)</f>
        <v>611974.56999999995</v>
      </c>
      <c r="S508" s="52">
        <v>900000</v>
      </c>
      <c r="T508" s="52">
        <v>800000</v>
      </c>
      <c r="U508" s="261">
        <f>VLOOKUP(B508,'ביצוע 2019'!$A$3:$H$1103,7,0)</f>
        <v>1137354.54</v>
      </c>
      <c r="V508" s="261">
        <v>500000</v>
      </c>
      <c r="W508" s="52"/>
      <c r="X508" s="52"/>
      <c r="Y508" s="52"/>
      <c r="Z508" s="101">
        <f t="shared" si="300"/>
        <v>1</v>
      </c>
    </row>
    <row r="509" spans="1:26" s="101" customFormat="1" ht="15.75">
      <c r="A509" s="21"/>
      <c r="B509" s="234"/>
      <c r="C509" s="235"/>
      <c r="D509" s="235"/>
      <c r="E509" s="235"/>
      <c r="F509" s="234" t="s">
        <v>1983</v>
      </c>
      <c r="G509" s="236"/>
      <c r="H509" s="236"/>
      <c r="I509" s="236"/>
      <c r="J509" s="236"/>
      <c r="K509" s="236"/>
      <c r="L509" s="236">
        <f>SUM(L505:L508)</f>
        <v>1215000</v>
      </c>
      <c r="M509" s="236"/>
      <c r="N509" s="236">
        <f>SUM(N505:N508)</f>
        <v>1215000</v>
      </c>
      <c r="O509" s="236">
        <f>SUM(O505:O508)</f>
        <v>1134495.82</v>
      </c>
      <c r="P509" s="236">
        <f>SUM(P505:P508)</f>
        <v>1361394.9840000002</v>
      </c>
      <c r="Q509" s="236">
        <f>SUM(Q505:Q508)</f>
        <v>1542000</v>
      </c>
      <c r="R509" s="236">
        <f t="shared" ref="R509:T509" si="340">SUM(R505:R508)</f>
        <v>1369880.3699999999</v>
      </c>
      <c r="S509" s="236">
        <f t="shared" si="340"/>
        <v>1726806.3272727272</v>
      </c>
      <c r="T509" s="236">
        <f t="shared" si="340"/>
        <v>1260000</v>
      </c>
      <c r="U509" s="236">
        <f t="shared" ref="U509:W509" si="341">SUM(U505:U508)</f>
        <v>2013249.32</v>
      </c>
      <c r="V509" s="236">
        <f t="shared" si="341"/>
        <v>740000</v>
      </c>
      <c r="W509" s="236">
        <f t="shared" si="341"/>
        <v>0</v>
      </c>
      <c r="X509" s="52"/>
      <c r="Y509" s="52"/>
      <c r="Z509" s="101">
        <f t="shared" si="300"/>
        <v>1</v>
      </c>
    </row>
    <row r="510" spans="1:26" s="101" customFormat="1" ht="15.75">
      <c r="A510" s="21"/>
      <c r="B510" s="237"/>
      <c r="C510" s="238"/>
      <c r="D510" s="226"/>
      <c r="E510" s="226"/>
      <c r="F510" s="239" t="s">
        <v>728</v>
      </c>
      <c r="G510" s="228">
        <f>SUM(G501:G508)</f>
        <v>2244000</v>
      </c>
      <c r="H510" s="228">
        <f>SUM(H501:H508)</f>
        <v>3082834.61</v>
      </c>
      <c r="I510" s="228">
        <f>SUM(I501:I508)</f>
        <v>-838814.6100000001</v>
      </c>
      <c r="J510" s="228">
        <f>SUM(J501:J508)</f>
        <v>2158000</v>
      </c>
      <c r="K510" s="228">
        <f>SUM(K501:K508)</f>
        <v>2639000</v>
      </c>
      <c r="L510" s="228">
        <f t="shared" ref="L510:Q510" si="342">L504+L509</f>
        <v>2128500</v>
      </c>
      <c r="M510" s="228">
        <f t="shared" si="342"/>
        <v>0</v>
      </c>
      <c r="N510" s="228">
        <f t="shared" si="342"/>
        <v>2128500</v>
      </c>
      <c r="O510" s="228">
        <f t="shared" si="342"/>
        <v>1770282.9000000001</v>
      </c>
      <c r="P510" s="228">
        <f t="shared" si="342"/>
        <v>2124339.4800000004</v>
      </c>
      <c r="Q510" s="228">
        <f t="shared" si="342"/>
        <v>2413000</v>
      </c>
      <c r="R510" s="228">
        <f t="shared" ref="R510:T510" si="343">R504+R509</f>
        <v>2190696.6999999997</v>
      </c>
      <c r="S510" s="228">
        <f t="shared" si="343"/>
        <v>2622242.3236363633</v>
      </c>
      <c r="T510" s="228">
        <f t="shared" si="343"/>
        <v>1793000</v>
      </c>
      <c r="U510" s="228">
        <f t="shared" ref="U510:W510" si="344">U504+U509</f>
        <v>2739700.64</v>
      </c>
      <c r="V510" s="228">
        <f t="shared" si="344"/>
        <v>1100000</v>
      </c>
      <c r="W510" s="228">
        <f t="shared" si="344"/>
        <v>0</v>
      </c>
      <c r="X510" s="52"/>
      <c r="Y510" s="104"/>
      <c r="Z510" s="101">
        <f t="shared" si="300"/>
        <v>1</v>
      </c>
    </row>
    <row r="511" spans="1:26" s="101" customFormat="1" ht="15.75" hidden="1">
      <c r="A511" s="21"/>
      <c r="B511" s="51"/>
      <c r="C511" s="100" t="s">
        <v>730</v>
      </c>
      <c r="D511" s="50"/>
      <c r="E511" s="50"/>
      <c r="F511" s="51"/>
      <c r="G511" s="52"/>
      <c r="H511" s="52"/>
      <c r="I511" s="52"/>
      <c r="J511" s="52"/>
      <c r="K511" s="52">
        <f>+J511</f>
        <v>0</v>
      </c>
      <c r="L511" s="52"/>
      <c r="M511" s="52"/>
      <c r="N511" s="52"/>
      <c r="O511" s="52"/>
      <c r="P511" s="52">
        <f t="shared" si="307"/>
        <v>0</v>
      </c>
      <c r="Q511" s="52">
        <f>P511</f>
        <v>0</v>
      </c>
      <c r="R511" s="52"/>
      <c r="S511" s="52"/>
      <c r="T511" s="52"/>
      <c r="U511" s="261"/>
      <c r="V511" s="261"/>
      <c r="W511" s="52"/>
      <c r="X511" s="52"/>
      <c r="Y511" s="52"/>
      <c r="Z511" s="101">
        <f t="shared" si="300"/>
        <v>0</v>
      </c>
    </row>
    <row r="512" spans="1:26" s="101" customFormat="1" ht="15.75">
      <c r="A512" s="21">
        <v>24</v>
      </c>
      <c r="B512" s="51">
        <v>1993000780</v>
      </c>
      <c r="C512" s="50" t="str">
        <f t="shared" si="324"/>
        <v>780</v>
      </c>
      <c r="D512" s="50" t="str">
        <f t="shared" si="325"/>
        <v>993000</v>
      </c>
      <c r="E512" s="50" t="str">
        <f t="shared" si="326"/>
        <v>99</v>
      </c>
      <c r="F512" s="51" t="s">
        <v>410</v>
      </c>
      <c r="G512" s="52">
        <v>0</v>
      </c>
      <c r="H512" s="52">
        <v>190114</v>
      </c>
      <c r="I512" s="52">
        <v>-190114</v>
      </c>
      <c r="J512" s="52">
        <v>500000</v>
      </c>
      <c r="K512" s="52">
        <v>500000</v>
      </c>
      <c r="L512" s="52">
        <v>150000</v>
      </c>
      <c r="M512" s="52"/>
      <c r="N512" s="52">
        <f t="shared" si="306"/>
        <v>150000</v>
      </c>
      <c r="O512" s="52">
        <f>VLOOKUP(B:B,'דוח כספי 1-10.17'!A:D,4,0)</f>
        <v>70000</v>
      </c>
      <c r="P512" s="52">
        <v>200000</v>
      </c>
      <c r="Q512" s="52">
        <v>150000</v>
      </c>
      <c r="R512" s="52">
        <f>VLOOKUP(B512,'2174'!$A$182:$G$567,6,0)</f>
        <v>64245</v>
      </c>
      <c r="S512" s="52">
        <f t="shared" ref="S512:S516" si="345">R512*12/11</f>
        <v>70085.454545454544</v>
      </c>
      <c r="T512" s="52">
        <v>0</v>
      </c>
      <c r="U512" s="261">
        <f>VLOOKUP(B512,'ביצוע 2019'!$A$3:$H$1103,7,0)</f>
        <v>694150.99</v>
      </c>
      <c r="V512" s="261">
        <v>300000</v>
      </c>
      <c r="W512" s="52"/>
      <c r="X512" s="52"/>
      <c r="Y512" s="52"/>
      <c r="Z512" s="101">
        <f t="shared" si="300"/>
        <v>1</v>
      </c>
    </row>
    <row r="513" spans="1:26" s="101" customFormat="1" ht="15.75">
      <c r="A513" s="21">
        <v>25</v>
      </c>
      <c r="B513" s="51">
        <v>1995000860</v>
      </c>
      <c r="C513" s="50" t="str">
        <f t="shared" si="324"/>
        <v>860</v>
      </c>
      <c r="D513" s="50" t="str">
        <f t="shared" si="325"/>
        <v>995000</v>
      </c>
      <c r="E513" s="50" t="str">
        <f t="shared" si="326"/>
        <v>99</v>
      </c>
      <c r="F513" s="51" t="s">
        <v>411</v>
      </c>
      <c r="G513" s="52">
        <v>3000000</v>
      </c>
      <c r="H513" s="52">
        <v>3490523.85</v>
      </c>
      <c r="I513" s="52">
        <v>-490523.85</v>
      </c>
      <c r="J513" s="52">
        <v>3500000</v>
      </c>
      <c r="K513" s="52">
        <v>3500000</v>
      </c>
      <c r="L513" s="52">
        <v>4000000</v>
      </c>
      <c r="M513" s="52"/>
      <c r="N513" s="52">
        <f t="shared" si="306"/>
        <v>4000000</v>
      </c>
      <c r="O513" s="52">
        <f>VLOOKUP(B:B,'דוח כספי 1-10.17'!A:D,4,0)</f>
        <v>3536485.83</v>
      </c>
      <c r="P513" s="52">
        <v>4000000</v>
      </c>
      <c r="Q513" s="52">
        <f>P513</f>
        <v>4000000</v>
      </c>
      <c r="R513" s="52">
        <f>VLOOKUP(B513,'2174'!$A$182:$G$567,6,0)</f>
        <v>2943000</v>
      </c>
      <c r="S513" s="52">
        <v>4100000</v>
      </c>
      <c r="T513" s="52">
        <v>4000000</v>
      </c>
      <c r="U513" s="261">
        <f>VLOOKUP(B513,'ביצוע 2019'!$A$3:$H$1103,7,0)</f>
        <v>3892654.4</v>
      </c>
      <c r="V513" s="261">
        <v>4333000</v>
      </c>
      <c r="W513" s="52"/>
      <c r="X513" s="52"/>
      <c r="Y513" s="52"/>
      <c r="Z513" s="101">
        <f t="shared" si="300"/>
        <v>1</v>
      </c>
    </row>
    <row r="514" spans="1:26" s="101" customFormat="1" ht="15.75">
      <c r="A514" s="21">
        <v>16</v>
      </c>
      <c r="B514" s="51">
        <v>1999000110</v>
      </c>
      <c r="C514" s="50" t="str">
        <f t="shared" si="324"/>
        <v>110</v>
      </c>
      <c r="D514" s="50" t="str">
        <f t="shared" si="325"/>
        <v>999000</v>
      </c>
      <c r="E514" s="50" t="str">
        <f t="shared" si="326"/>
        <v>99</v>
      </c>
      <c r="F514" s="51" t="s">
        <v>412</v>
      </c>
      <c r="G514" s="52">
        <v>0</v>
      </c>
      <c r="H514" s="52">
        <v>36112.5</v>
      </c>
      <c r="I514" s="52">
        <v>-36112.5</v>
      </c>
      <c r="J514" s="52">
        <v>0</v>
      </c>
      <c r="K514" s="52">
        <f>+J514</f>
        <v>0</v>
      </c>
      <c r="L514" s="52">
        <v>14000</v>
      </c>
      <c r="M514" s="52"/>
      <c r="N514" s="52">
        <f t="shared" si="306"/>
        <v>14000</v>
      </c>
      <c r="O514" s="52"/>
      <c r="P514" s="52">
        <f t="shared" si="307"/>
        <v>0</v>
      </c>
      <c r="Q514" s="52">
        <f>P514</f>
        <v>0</v>
      </c>
      <c r="R514" s="52">
        <f>VLOOKUP(B514,'2174'!$A$182:$G$567,6,0)</f>
        <v>13948.21</v>
      </c>
      <c r="S514" s="63"/>
      <c r="T514" s="56"/>
      <c r="U514" s="56">
        <f>VLOOKUP(B514,'ביצוע 2019'!$A$3:$H$1103,7,0)</f>
        <v>18254.66</v>
      </c>
      <c r="V514" s="56"/>
      <c r="W514" s="257"/>
      <c r="X514" s="52"/>
      <c r="Y514" s="52"/>
      <c r="Z514" s="101">
        <f t="shared" si="300"/>
        <v>1</v>
      </c>
    </row>
    <row r="515" spans="1:26" s="101" customFormat="1" ht="15.75">
      <c r="A515" s="21">
        <v>16</v>
      </c>
      <c r="B515" s="51">
        <v>1999000310</v>
      </c>
      <c r="C515" s="54" t="str">
        <f t="shared" si="324"/>
        <v>310</v>
      </c>
      <c r="D515" s="54" t="str">
        <f t="shared" si="325"/>
        <v>999000</v>
      </c>
      <c r="E515" s="54" t="str">
        <f t="shared" si="326"/>
        <v>99</v>
      </c>
      <c r="F515" s="55" t="s">
        <v>413</v>
      </c>
      <c r="G515" s="56">
        <v>515000</v>
      </c>
      <c r="H515" s="56">
        <v>506164.09</v>
      </c>
      <c r="I515" s="52">
        <v>8841.91</v>
      </c>
      <c r="J515" s="56">
        <v>510000</v>
      </c>
      <c r="K515" s="56">
        <v>537000</v>
      </c>
      <c r="L515" s="56">
        <v>552000</v>
      </c>
      <c r="M515" s="56"/>
      <c r="N515" s="56">
        <f t="shared" si="306"/>
        <v>552000</v>
      </c>
      <c r="O515" s="52">
        <f>VLOOKUP(B:B,'דוח כספי 1-10.17'!A:D,4,0)</f>
        <v>390328.2</v>
      </c>
      <c r="P515" s="56">
        <v>540000</v>
      </c>
      <c r="Q515" s="56">
        <v>572000</v>
      </c>
      <c r="R515" s="56">
        <f>VLOOKUP(B515,'2174'!$A$182:$G$567,6,0)</f>
        <v>435420.45</v>
      </c>
      <c r="S515" s="64">
        <v>598000</v>
      </c>
      <c r="T515" s="56">
        <f>S515*1.0217</f>
        <v>610976.6</v>
      </c>
      <c r="U515" s="56">
        <f>VLOOKUP(B515,'ביצוע 2019'!$A$3:$H$1103,7,0)</f>
        <v>580560.6</v>
      </c>
      <c r="V515" s="56">
        <v>620000</v>
      </c>
      <c r="W515" s="258">
        <v>1.1599999999999999</v>
      </c>
      <c r="X515" s="52"/>
      <c r="Y515" s="52"/>
      <c r="Z515" s="101">
        <f t="shared" si="300"/>
        <v>1</v>
      </c>
    </row>
    <row r="516" spans="1:26" s="101" customFormat="1" ht="15.75" hidden="1">
      <c r="A516" s="21">
        <v>15</v>
      </c>
      <c r="B516" s="51">
        <v>1999000980</v>
      </c>
      <c r="C516" s="50" t="str">
        <f t="shared" si="324"/>
        <v>980</v>
      </c>
      <c r="D516" s="50" t="str">
        <f t="shared" si="325"/>
        <v>999000</v>
      </c>
      <c r="E516" s="50" t="str">
        <f t="shared" si="326"/>
        <v>99</v>
      </c>
      <c r="F516" s="51" t="s">
        <v>414</v>
      </c>
      <c r="G516" s="52">
        <v>0</v>
      </c>
      <c r="H516" s="52">
        <v>129264.1</v>
      </c>
      <c r="I516" s="52">
        <v>-129264.1</v>
      </c>
      <c r="J516" s="52">
        <v>600000</v>
      </c>
      <c r="K516" s="52">
        <v>600000</v>
      </c>
      <c r="L516" s="52">
        <v>878400</v>
      </c>
      <c r="M516" s="52"/>
      <c r="N516" s="52">
        <f t="shared" si="306"/>
        <v>878400</v>
      </c>
      <c r="O516" s="184">
        <v>611665</v>
      </c>
      <c r="P516" s="52">
        <f t="shared" si="307"/>
        <v>733998</v>
      </c>
      <c r="Q516" s="52"/>
      <c r="R516" s="52">
        <f>VLOOKUP(B516,'2174'!$A$182:$G$567,6,0)</f>
        <v>0</v>
      </c>
      <c r="S516" s="52">
        <f t="shared" si="345"/>
        <v>0</v>
      </c>
      <c r="T516" s="52">
        <v>0</v>
      </c>
      <c r="U516" s="52">
        <f>VLOOKUP(B516,'ביצוע 2019'!$A$3:$H$1103,7,0)</f>
        <v>0</v>
      </c>
      <c r="V516" s="52">
        <f t="shared" ref="V516:V518" si="346">U516</f>
        <v>0</v>
      </c>
      <c r="W516" s="52"/>
      <c r="X516" s="52"/>
      <c r="Y516" s="52"/>
      <c r="Z516" s="101">
        <f t="shared" si="300"/>
        <v>0</v>
      </c>
    </row>
    <row r="517" spans="1:26" s="101" customFormat="1" ht="15.75">
      <c r="A517" s="21">
        <v>26</v>
      </c>
      <c r="B517" s="51">
        <v>1999100980</v>
      </c>
      <c r="C517" s="50" t="str">
        <f t="shared" si="324"/>
        <v>980</v>
      </c>
      <c r="D517" s="50" t="str">
        <f t="shared" si="325"/>
        <v>999100</v>
      </c>
      <c r="E517" s="50" t="str">
        <f t="shared" si="326"/>
        <v>99</v>
      </c>
      <c r="F517" s="51" t="s">
        <v>415</v>
      </c>
      <c r="G517" s="52">
        <v>0</v>
      </c>
      <c r="H517" s="52">
        <v>1395000</v>
      </c>
      <c r="I517" s="52">
        <v>-1395000</v>
      </c>
      <c r="J517" s="52">
        <v>0</v>
      </c>
      <c r="K517" s="52"/>
      <c r="L517" s="52">
        <v>0</v>
      </c>
      <c r="M517" s="52"/>
      <c r="N517" s="52">
        <f t="shared" si="306"/>
        <v>0</v>
      </c>
      <c r="O517" s="52">
        <f>VLOOKUP(B:B,'דוח כספי 1-10.17'!A:D,4,0)</f>
        <v>0</v>
      </c>
      <c r="P517" s="52">
        <f t="shared" si="307"/>
        <v>0</v>
      </c>
      <c r="Q517" s="52">
        <f>P517</f>
        <v>0</v>
      </c>
      <c r="R517" s="52"/>
      <c r="S517" s="52"/>
      <c r="T517" s="52"/>
      <c r="U517" s="52">
        <f>VLOOKUP(B517,'ביצוע 2019'!$A$3:$H$1103,7,0)</f>
        <v>2808000</v>
      </c>
      <c r="V517" s="52"/>
      <c r="W517" s="52"/>
      <c r="X517" s="52"/>
      <c r="Y517" s="52"/>
      <c r="Z517" s="101">
        <f t="shared" ref="Z517:Z521" si="347">IF((V517+U517+T517)&lt;&gt;0,1,0)</f>
        <v>1</v>
      </c>
    </row>
    <row r="518" spans="1:26" s="101" customFormat="1" ht="15.75" hidden="1">
      <c r="A518" s="21">
        <v>26</v>
      </c>
      <c r="B518" s="51">
        <v>1999900980</v>
      </c>
      <c r="C518" s="50" t="str">
        <f t="shared" si="324"/>
        <v>980</v>
      </c>
      <c r="D518" s="50" t="str">
        <f t="shared" si="325"/>
        <v>999900</v>
      </c>
      <c r="E518" s="50">
        <v>99</v>
      </c>
      <c r="F518" s="51" t="s">
        <v>1122</v>
      </c>
      <c r="G518" s="52">
        <v>0</v>
      </c>
      <c r="H518" s="52">
        <v>3200000</v>
      </c>
      <c r="I518" s="52">
        <v>-3200000</v>
      </c>
      <c r="J518" s="52">
        <v>0</v>
      </c>
      <c r="K518" s="52">
        <f>+J518</f>
        <v>0</v>
      </c>
      <c r="L518" s="52">
        <f>+K518</f>
        <v>0</v>
      </c>
      <c r="M518" s="52"/>
      <c r="N518" s="52">
        <f t="shared" si="306"/>
        <v>0</v>
      </c>
      <c r="O518" s="52">
        <f>VLOOKUP(B:B,'דוח כספי 1-10.17'!A:D,4,0)</f>
        <v>0</v>
      </c>
      <c r="P518" s="52">
        <f t="shared" si="307"/>
        <v>0</v>
      </c>
      <c r="Q518" s="52">
        <f>P518</f>
        <v>0</v>
      </c>
      <c r="R518" s="52"/>
      <c r="S518" s="52"/>
      <c r="T518" s="52"/>
      <c r="U518" s="52">
        <f>VLOOKUP(B518,'ביצוע 2019'!$A$3:$H$1103,7,0)</f>
        <v>0</v>
      </c>
      <c r="V518" s="52">
        <f t="shared" si="346"/>
        <v>0</v>
      </c>
      <c r="W518" s="52"/>
      <c r="X518" s="52"/>
      <c r="Y518" s="52"/>
      <c r="Z518" s="101">
        <f t="shared" si="347"/>
        <v>0</v>
      </c>
    </row>
    <row r="519" spans="1:26" s="101" customFormat="1" ht="15.75">
      <c r="A519" s="21">
        <v>28</v>
      </c>
      <c r="B519" s="51">
        <v>1999900990</v>
      </c>
      <c r="C519" s="50" t="str">
        <f t="shared" si="324"/>
        <v>990</v>
      </c>
      <c r="D519" s="50" t="str">
        <f t="shared" si="325"/>
        <v>999900</v>
      </c>
      <c r="E519" s="50">
        <v>99</v>
      </c>
      <c r="F519" s="51" t="s">
        <v>1121</v>
      </c>
      <c r="G519" s="52">
        <v>2235000</v>
      </c>
      <c r="H519" s="52">
        <v>0</v>
      </c>
      <c r="I519" s="52">
        <v>2235006</v>
      </c>
      <c r="J519" s="52">
        <v>2126000</v>
      </c>
      <c r="K519" s="52"/>
      <c r="L519" s="52">
        <v>2741000</v>
      </c>
      <c r="M519" s="52"/>
      <c r="N519" s="52">
        <f t="shared" si="306"/>
        <v>2741000</v>
      </c>
      <c r="O519" s="52">
        <f>VLOOKUP(B:B,'דוח כספי 1-10.17'!A:D,4,0)</f>
        <v>0</v>
      </c>
      <c r="P519" s="52">
        <f t="shared" si="307"/>
        <v>0</v>
      </c>
      <c r="Q519" s="52">
        <f>16966000*0.15</f>
        <v>2544900</v>
      </c>
      <c r="R519" s="52">
        <f>VLOOKUP(B519,'2174'!$A$182:$G$567,6,0)</f>
        <v>0</v>
      </c>
      <c r="S519" s="52">
        <f>R519*12/11</f>
        <v>0</v>
      </c>
      <c r="T519" s="52">
        <v>2470800</v>
      </c>
      <c r="U519" s="52">
        <f>VLOOKUP(B519,'ביצוע 2019'!$A$3:$H$1103,7,0)</f>
        <v>0</v>
      </c>
      <c r="V519" s="52">
        <f>2476000+400000</f>
        <v>2876000</v>
      </c>
      <c r="W519" s="52"/>
      <c r="X519" s="52"/>
      <c r="Y519" s="52"/>
      <c r="Z519" s="101">
        <f t="shared" si="347"/>
        <v>1</v>
      </c>
    </row>
    <row r="520" spans="1:26" s="105" customFormat="1" ht="15.75">
      <c r="A520" s="102"/>
      <c r="B520" s="237"/>
      <c r="C520" s="238"/>
      <c r="D520" s="226"/>
      <c r="E520" s="226"/>
      <c r="F520" s="239" t="s">
        <v>729</v>
      </c>
      <c r="G520" s="228">
        <f>SUM(G512:G519)</f>
        <v>5750000</v>
      </c>
      <c r="H520" s="228">
        <f t="shared" ref="H520:N520" si="348">SUM(H512:H519)</f>
        <v>8947178.5399999991</v>
      </c>
      <c r="I520" s="228">
        <f t="shared" si="348"/>
        <v>-3197166.54</v>
      </c>
      <c r="J520" s="228">
        <f t="shared" si="348"/>
        <v>7236000</v>
      </c>
      <c r="K520" s="228">
        <f t="shared" si="348"/>
        <v>5137000</v>
      </c>
      <c r="L520" s="228">
        <f t="shared" si="348"/>
        <v>8335400</v>
      </c>
      <c r="M520" s="228">
        <f t="shared" si="348"/>
        <v>0</v>
      </c>
      <c r="N520" s="228">
        <f t="shared" si="348"/>
        <v>8335400</v>
      </c>
      <c r="O520" s="228">
        <f>SUM(O512:O519)</f>
        <v>4608479.03</v>
      </c>
      <c r="P520" s="228">
        <f>SUM(P512:P519)</f>
        <v>5473998</v>
      </c>
      <c r="Q520" s="228">
        <f>SUM(Q512:Q519)</f>
        <v>7266900</v>
      </c>
      <c r="R520" s="228">
        <f t="shared" ref="R520:T520" si="349">SUM(R512:R519)</f>
        <v>3456613.66</v>
      </c>
      <c r="S520" s="228">
        <f t="shared" si="349"/>
        <v>4768085.4545454551</v>
      </c>
      <c r="T520" s="228">
        <f t="shared" si="349"/>
        <v>7081776.5999999996</v>
      </c>
      <c r="U520" s="228">
        <f t="shared" ref="U520:W520" si="350">SUM(U512:U519)</f>
        <v>7993620.6499999994</v>
      </c>
      <c r="V520" s="228">
        <f t="shared" si="350"/>
        <v>8129000</v>
      </c>
      <c r="W520" s="228">
        <f t="shared" si="350"/>
        <v>1.1599999999999999</v>
      </c>
      <c r="X520" s="52"/>
      <c r="Y520" s="104"/>
      <c r="Z520" s="101">
        <f t="shared" si="347"/>
        <v>1</v>
      </c>
    </row>
    <row r="521" spans="1:26" s="109" customFormat="1" ht="18.75">
      <c r="A521" s="65"/>
      <c r="B521" s="240"/>
      <c r="C521" s="284" t="s">
        <v>731</v>
      </c>
      <c r="D521" s="285"/>
      <c r="E521" s="285"/>
      <c r="F521" s="286"/>
      <c r="G521" s="232">
        <f t="shared" ref="G521:W521" si="351">G78+G155+G325+G363+G373+G473+G481+G520+G510+G499+G490</f>
        <v>67007000</v>
      </c>
      <c r="H521" s="232">
        <f t="shared" si="351"/>
        <v>78623841.179999992</v>
      </c>
      <c r="I521" s="232">
        <f t="shared" si="351"/>
        <v>-11616602.18</v>
      </c>
      <c r="J521" s="232">
        <f t="shared" si="351"/>
        <v>79725000</v>
      </c>
      <c r="K521" s="232">
        <f t="shared" si="351"/>
        <v>82717800</v>
      </c>
      <c r="L521" s="233">
        <f t="shared" si="351"/>
        <v>91699682.888888896</v>
      </c>
      <c r="M521" s="233">
        <f t="shared" si="351"/>
        <v>0</v>
      </c>
      <c r="N521" s="233">
        <f t="shared" si="351"/>
        <v>89576890.888888896</v>
      </c>
      <c r="O521" s="233" t="e">
        <f t="shared" si="351"/>
        <v>#N/A</v>
      </c>
      <c r="P521" s="233">
        <f t="shared" si="351"/>
        <v>89403095.501142845</v>
      </c>
      <c r="Q521" s="233">
        <f t="shared" si="351"/>
        <v>95943249.392000005</v>
      </c>
      <c r="R521" s="233">
        <f t="shared" si="351"/>
        <v>78979587.769999996</v>
      </c>
      <c r="S521" s="233">
        <f t="shared" si="351"/>
        <v>96467764.762727275</v>
      </c>
      <c r="T521" s="233">
        <f t="shared" si="351"/>
        <v>98737526.461758897</v>
      </c>
      <c r="U521" s="233">
        <f t="shared" si="351"/>
        <v>111384914.76000002</v>
      </c>
      <c r="V521" s="233">
        <f t="shared" si="351"/>
        <v>107129000.73</v>
      </c>
      <c r="W521" s="233">
        <f t="shared" si="351"/>
        <v>203.94</v>
      </c>
      <c r="X521" s="52"/>
      <c r="Y521" s="90"/>
      <c r="Z521" s="101">
        <f t="shared" si="347"/>
        <v>1</v>
      </c>
    </row>
  </sheetData>
  <autoFilter ref="A2:Z521" xr:uid="{00000000-0009-0000-0000-000007000000}">
    <filterColumn colId="25">
      <filters>
        <filter val="1"/>
      </filters>
    </filterColumn>
  </autoFilter>
  <mergeCells count="1">
    <mergeCell ref="C521:F521"/>
  </mergeCells>
  <conditionalFormatting sqref="C521 C511:J519 G521:W521 R462:T467 X460:X461 W157 O140:Q145 W152:W153 O125:Q129 O115:Q116 O105:Q109 O95:Q96 O92:Q93 C152:O153 C156:O157 O150 O103:Q103 O137:Q137 N146:O146">
    <cfRule type="expression" dxfId="587" priority="739">
      <formula>$C623="310"</formula>
    </cfRule>
    <cfRule type="expression" dxfId="586" priority="743">
      <formula>$C92="110"</formula>
    </cfRule>
  </conditionalFormatting>
  <conditionalFormatting sqref="K511:O514 K516:O519 O513:O519 W516:W519 W512:W514 C505:J508 C482:J489 C491:J498 C500:J503 C480:J480 X450:X452 X454:X459 R460:T461 O119:Q121 O130:Q135 X73:X77 O151 X326">
    <cfRule type="expression" dxfId="585" priority="747">
      <formula>$C605="310"</formula>
    </cfRule>
    <cfRule type="expression" dxfId="584" priority="748">
      <formula>$C73="110"</formula>
    </cfRule>
  </conditionalFormatting>
  <conditionalFormatting sqref="O361 O357:O358 O342:O343 O328:O329 O331:O332 O338:O339 C259:O259 W259 C258:E258 W296 G296:O296 W256:W257 C229:O240 W229:W240 R210:T215 R218:T223 R226:T229 R231:T232 R238:T239 X194:X206 X180:X181 R217 R225 R240 R236:T236 R242 R234 R207:T207 R179 P214:Q214 E254:O254 W254 C154:X154 R208 C256:O257 O460:O461 N364:O364">
    <cfRule type="expression" dxfId="583" priority="767">
      <formula>$C709="310"</formula>
    </cfRule>
    <cfRule type="expression" dxfId="582" priority="768">
      <formula>$C154="110"</formula>
    </cfRule>
  </conditionalFormatting>
  <conditionalFormatting sqref="O480">
    <cfRule type="expression" dxfId="581" priority="771">
      <formula>$C1035="310"</formula>
    </cfRule>
    <cfRule type="expression" dxfId="580" priority="772">
      <formula>$C480="110"</formula>
    </cfRule>
  </conditionalFormatting>
  <conditionalFormatting sqref="C403:E403 O412:O420 C396:J402 C404:J405 G403:J403 R259:T266 R258 X258 C223:O225 W223:W225 N212:O213 P210:Q211 N202:O206 N199:O200 P166:Q174 X119:X121 R115:R116 X233 P208:Q208 X235 P209:T209 P179:Q179 N138:W138 X237">
    <cfRule type="expression" dxfId="579" priority="803">
      <formula>$C663="310"</formula>
    </cfRule>
    <cfRule type="expression" dxfId="578" priority="804">
      <formula>$C115="110"</formula>
    </cfRule>
  </conditionalFormatting>
  <conditionalFormatting sqref="K515:O515 W515">
    <cfRule type="expression" dxfId="577" priority="731">
      <formula>$C1046="310"</formula>
    </cfRule>
    <cfRule type="expression" dxfId="576" priority="732">
      <formula>$C515="110"</formula>
    </cfRule>
  </conditionalFormatting>
  <conditionalFormatting sqref="N476:O479 N471:O471 O466:O468 O435:O443 N447:O449 N455:O459 O450:O459 O374:O380 N365:O367 N361:O361 N335:O337 N326:O327 L320:O320 E320 C333:D333 C323:E323 W313:W315 C316:E318 C313:O314 C274:O276 W274:W276 C262:O266 W262:W266 W297 E315:O315 C296:F296 C297:O297 C253:D254 N223:O225 P218:Q219 O227:O228 P222:Q222 O445">
    <cfRule type="expression" dxfId="575" priority="805">
      <formula>$C777="310"</formula>
    </cfRule>
    <cfRule type="expression" dxfId="574" priority="806">
      <formula>$C218="110"</formula>
    </cfRule>
  </conditionalFormatting>
  <conditionalFormatting sqref="O445 O424:O425 O427:O434 N435:O443 O450:O459 N466:O468 N374:O380 O321:O322 W301:W304 O293:O295 C301:O304 C300:D300 O242:O247 P222:Q222 O258">
    <cfRule type="expression" dxfId="573" priority="843">
      <formula>$C784="310"</formula>
    </cfRule>
    <cfRule type="expression" dxfId="572" priority="844">
      <formula>$C222="110"</formula>
    </cfRule>
  </conditionalFormatting>
  <conditionalFormatting sqref="O511:O519 O345:O356 W321:W322 C320:D321 C322:O322 O330 O359:O360 F258:O258 O222:O225 N218:O219 X210:X215 X217:X223 X225:X229 X231:X232 X238:X242 R243:T251 X207:X208 R177:T178 X236 P216:T216 P215:Q215 P217:Q217 X234 N147:W147 X179 W258">
    <cfRule type="expression" dxfId="571" priority="1149">
      <formula>$C701="310"</formula>
    </cfRule>
    <cfRule type="expression" dxfId="570" priority="1150">
      <formula>$C147="110"</formula>
    </cfRule>
  </conditionalFormatting>
  <conditionalFormatting sqref="N511:O519 O474:O475 N521:W521 O462:O465 O450:O454 O368:O372 N359:O360 O333:O334 E320 O323 N345:O356 W313:W315 C316:E318 C313:O314 C284:O288 W284:W288 W268:W273 C260:O261 W260:W261 C268:O273 P285:T285 E315:O315 C248:O249 W248:W249 R182:T193 P217:Q217 P216:T216 W253 E253:O253 N222:O222 P215:Q215 N330:O330 O320 O469:O471">
    <cfRule type="expression" dxfId="569" priority="1171">
      <formula>$C739="310"</formula>
    </cfRule>
    <cfRule type="expression" dxfId="568" priority="1172">
      <formula>$C182="110"</formula>
    </cfRule>
  </conditionalFormatting>
  <conditionalFormatting sqref="P517:T518 P516:Q516 P512:Q514 P519:Q519 P511:T511 P460:Q461 P448:Q449 P301:Q304 W511">
    <cfRule type="expression" dxfId="567" priority="713">
      <formula>$C879="310"</formula>
    </cfRule>
    <cfRule type="expression" dxfId="566" priority="714">
      <formula>$C301="110"</formula>
    </cfRule>
  </conditionalFormatting>
  <conditionalFormatting sqref="P505:Q508 P484:T484 P483:Q483 P486:T486 P485:Q485 P487:Q489 P498:T498 P492:Q497 P501:Q503 P480:Q480 P482:T482 P491:T491 P500:T500 P450:Q452 P454:Q459 P365:Q367 P377:Q380 P374:T374 P298:Q300 P375:Q375 W374 W500 W491 W482">
    <cfRule type="expression" dxfId="565" priority="1659">
      <formula>$C877="310"</formula>
    </cfRule>
    <cfRule type="expression" dxfId="564" priority="1660">
      <formula>$C298="110"</formula>
    </cfRule>
  </conditionalFormatting>
  <conditionalFormatting sqref="P505:Q508 P484:T484 P483:Q483 P486:T486 P485:Q485 P487:Q489 P498:T498 P492:Q497 P501:Q503 P480:Q480 P482:T482 P491:T491 P500:T500 P427:Q430 P432:Q434 P450:Q452 P454:Q459 P466:Q468 P377:Q380 P375:Q375 P374:T374 P376:T376 W374 W500 W491 W482">
    <cfRule type="expression" dxfId="563" priority="1699">
      <formula>$C956="310"</formula>
    </cfRule>
    <cfRule type="expression" dxfId="562" priority="1700">
      <formula>$C374="110"</formula>
    </cfRule>
  </conditionalFormatting>
  <conditionalFormatting sqref="O320 O466:O468 N424:O425 O427:O434 O412:O420 N321:O322 O313:O315 O284:O288 O268:O276 O260:O266 O297 N258:O258 O248:O249 O253">
    <cfRule type="expression" dxfId="561" priority="2019">
      <formula>$C813="310"</formula>
    </cfRule>
    <cfRule type="expression" dxfId="560" priority="2020">
      <formula>$C248="110"</formula>
    </cfRule>
  </conditionalFormatting>
  <conditionalFormatting sqref="N381:O381 O386:O387 O462:O465 O435:O443 O421:O425 C298:O299 W298:W300 O284:O288 O268:O273 O259:O261 O296 E300:O300 O256:O257 O253:O254 O248:O249 O229:O240 C165:W165 P226:Q226 O471">
    <cfRule type="expression" dxfId="559" priority="2591">
      <formula>$C728="310"</formula>
    </cfRule>
    <cfRule type="expression" dxfId="558" priority="2592">
      <formula>$C165="110"</formula>
    </cfRule>
  </conditionalFormatting>
  <conditionalFormatting sqref="P421:Q421 P425:T425 P423:Q423 P424:R424 P397:T397 P398:Q405 P386:Q387 P396:Q396">
    <cfRule type="expression" dxfId="557" priority="2621">
      <formula>$C972="310"</formula>
    </cfRule>
    <cfRule type="expression" dxfId="556" priority="2622">
      <formula>$C386="110"</formula>
    </cfRule>
  </conditionalFormatting>
  <conditionalFormatting sqref="O482:O489 O491:O498 O500:O503 O505:O508">
    <cfRule type="expression" dxfId="555" priority="2823">
      <formula>$C1037="310"</formula>
    </cfRule>
    <cfRule type="expression" dxfId="554" priority="2824">
      <formula>$C482="110"</formula>
    </cfRule>
  </conditionalFormatting>
  <conditionalFormatting sqref="P517:T518 P516:Q516 P512:Q514 P519:Q519 P475:Q475 S475:T475 P474:T474 P511:T511 P460:Q461 P448:Q449 P382:Q385 P389:Q390 P447:T447 P469:Q470 W511 W474">
    <cfRule type="expression" dxfId="553" priority="3039">
      <formula>$C963="310"</formula>
    </cfRule>
    <cfRule type="expression" dxfId="552" priority="3040">
      <formula>$C382="110"</formula>
    </cfRule>
  </conditionalFormatting>
  <conditionalFormatting sqref="P475:Q475 S475:T475 P474:T474 P382:Q385 P389:Q390 P469:Q470 W474">
    <cfRule type="expression" dxfId="551" priority="3687">
      <formula>$C966="310"</formula>
    </cfRule>
    <cfRule type="expression" dxfId="550" priority="3688">
      <formula>$C382="110"</formula>
    </cfRule>
  </conditionalFormatting>
  <conditionalFormatting sqref="P431:T431">
    <cfRule type="expression" dxfId="549" priority="14205">
      <formula>$C1013="310"</formula>
    </cfRule>
    <cfRule type="expression" dxfId="548" priority="14206">
      <formula>$C431="110"</formula>
    </cfRule>
  </conditionalFormatting>
  <conditionalFormatting sqref="N474:O475 N450:O454 O435:O443 N462:O465 N368:O372 N333:O334 L321:O322 N323:O323 E321 C320:D321 C333:D333 C322:E322 C277:O282 W277:W282 C311:O312 W311:W312 C314:E314 E315 O258 W250:W251 C250:O251 O381 O471 N469:O470">
    <cfRule type="expression" dxfId="547" priority="14211">
      <formula>$C810="310"</formula>
    </cfRule>
    <cfRule type="expression" dxfId="546" priority="14212">
      <formula>$C250="110"</formula>
    </cfRule>
  </conditionalFormatting>
  <conditionalFormatting sqref="O445 O450:O459 C427:J434 C381:J381 K374:O380 W375:W380 O340 X286:X292 X283:X284 O196:O198 O182:O193 N177:O178 X92:X93 R90:T91 N175:O175 O207 P162:Q162 N104:W104 N110:W110 X87:X89">
    <cfRule type="expression" dxfId="545" priority="15527">
      <formula>$C629="310"</formula>
    </cfRule>
    <cfRule type="expression" dxfId="544" priority="15528">
      <formula>$C87="110"</formula>
    </cfRule>
  </conditionalFormatting>
  <conditionalFormatting sqref="K381:O381 O462:O465 O435:O443 C424:J425 K427:O434 W427:W434 C382:J385 W381 C389:J390 O345:O356 W330 F330:O330 C338:T338 O359:O360 W338 R286:T288 R291:R292 T291:T292 R284 R290:T290 O208:O213 C218:O219 W218:W219 O202:O206 O199:O200 N166:O174 P159:Q160 X94:X102 R92:T93 P176:Q176 N179:O179 O471">
    <cfRule type="expression" dxfId="543" priority="15533">
      <formula>$C635="310"</formula>
    </cfRule>
    <cfRule type="expression" dxfId="542" priority="15534">
      <formula>$C92="110"</formula>
    </cfRule>
  </conditionalFormatting>
  <conditionalFormatting sqref="O323 O408:O410 N396:O405 O305:O310 O298:O300 P293:Q295 N290:O292 P227:Q228 P242:Q247 N316:O319">
    <cfRule type="expression" dxfId="541" priority="16185">
      <formula>$C796="310"</formula>
    </cfRule>
    <cfRule type="expression" dxfId="540" priority="16186">
      <formula>$C227="110"</formula>
    </cfRule>
  </conditionalFormatting>
  <conditionalFormatting sqref="O445 O447:O449 N460:O461 N357:O358 N342:O343 N338:O339 O321:O322 N328:O329 N331:O332 C320:D321 C322:E322 C333:D333 E321 C311:O312 W311:W312 E315 W290:W292 C290:O292 C314:E314 P220:Q221 N154:X154 O226 C316:O319 W316:W319 O361 O469:O470">
    <cfRule type="expression" dxfId="539" priority="16217">
      <formula>$C712="310"</formula>
    </cfRule>
    <cfRule type="expression" dxfId="538" priority="16218">
      <formula>$C154="110"</formula>
    </cfRule>
  </conditionalFormatting>
  <conditionalFormatting sqref="K505:O508 W505:W508 K482:O489 K491:O498 K500:O503 W501:W503 W492:W498 W483:W489 C476:J479 C475:E475 K480:O480 W480 R450:T452 X435:X438 X440:X446 X448:X449 R454:T459 C159:O160 W159:W160 O156:O157 N148:O149 O152:O153 O136:Q136 O139:Q139 O146:Q146 O122:Q122 O124:Q124">
    <cfRule type="expression" dxfId="537" priority="16329">
      <formula>$C655="310"</formula>
    </cfRule>
    <cfRule type="expression" dxfId="536" priority="16330">
      <formula>$C122="110"</formula>
    </cfRule>
  </conditionalFormatting>
  <conditionalFormatting sqref="P371:T371 P368:Q370 P372:Q372 P333:Q334 P323:Q323 P307:Q310 P306:T306 P305:Q305">
    <cfRule type="expression" dxfId="535" priority="16425">
      <formula>$C882="310"</formula>
    </cfRule>
    <cfRule type="expression" dxfId="534" priority="16426">
      <formula>$C305="110"</formula>
    </cfRule>
  </conditionalFormatting>
  <conditionalFormatting sqref="P376:T376">
    <cfRule type="expression" dxfId="533" priority="17049">
      <formula>$C955="310"</formula>
    </cfRule>
    <cfRule type="expression" dxfId="532" priority="17050">
      <formula>$C376="110"</formula>
    </cfRule>
  </conditionalFormatting>
  <conditionalFormatting sqref="N480:O480">
    <cfRule type="expression" dxfId="531" priority="17087">
      <formula>$C1038="310"</formula>
    </cfRule>
    <cfRule type="expression" dxfId="530" priority="17088">
      <formula>$C480="110"</formula>
    </cfRule>
  </conditionalFormatting>
  <conditionalFormatting sqref="P421:Q421 P462:Q465 P440:Q443 P435:Q438 P423:Q423 P422:T422 P424:R424 P386:Q387 P381:Q381 P425:T425 P439:T439 P471:Q471">
    <cfRule type="expression" dxfId="529" priority="17093">
      <formula>$C964="310"</formula>
    </cfRule>
    <cfRule type="expression" dxfId="528" priority="17094">
      <formula>$C381="110"</formula>
    </cfRule>
  </conditionalFormatting>
  <conditionalFormatting sqref="P453:T453">
    <cfRule type="expression" dxfId="527" priority="17115">
      <formula>$C1032="310"</formula>
    </cfRule>
    <cfRule type="expression" dxfId="526" priority="17116">
      <formula>$C453="110"</formula>
    </cfRule>
  </conditionalFormatting>
  <conditionalFormatting sqref="P453:T453">
    <cfRule type="expression" dxfId="525" priority="17119">
      <formula>$C1035="310"</formula>
    </cfRule>
    <cfRule type="expression" dxfId="524" priority="17120">
      <formula>$C453="110"</formula>
    </cfRule>
  </conditionalFormatting>
  <conditionalFormatting sqref="N482:O489 N491:O498 N500:O503 N505:O508">
    <cfRule type="expression" dxfId="523" priority="17271">
      <formula>$C1040="310"</formula>
    </cfRule>
    <cfRule type="expression" dxfId="522" priority="17272">
      <formula>$C482="110"</formula>
    </cfRule>
  </conditionalFormatting>
  <conditionalFormatting sqref="K445:O445 K466:O468 W466:W468 C436:J443 W444:W445 X406:X407 X382:X388 R381:T381 C368:J372 K365:O367 W365:W367 K361:O361 W361 R389:T392 O357:O358 C354:D354 C340:E340 F354:O354 X321:X322 R331:R332 X330 W354 R319:T319 R298:T300 R303:R304 X270 R302:T302 R301 X296 R297 O194:O195 O180:O181 O177:O178 W163:W164 C163:O164 X81:X85 O150:Q150 O175 C214:O214 W214 N161:O161 C104:W104 C110:W110 X79">
    <cfRule type="expression" dxfId="521" priority="17873">
      <formula>$C618="310"</formula>
    </cfRule>
    <cfRule type="expression" dxfId="520" priority="17874">
      <formula>$C79="110"</formula>
    </cfRule>
  </conditionalFormatting>
  <conditionalFormatting sqref="W327 O466:O468 O427:O434 K421:O423 W421:W423 C386:J387 W333:W334 O335:O337 E333:O334 C326:O326 E327:O327 X271:X273 X267:X269 R274:T282 W220:W221 O212:O214 O199:O200 O202:O206 N182:O193 C220:O221 P166:Q174 X104:X113 P179:Q179 P162:Q162 R103:T103 C138:W138 N196:O196">
    <cfRule type="expression" dxfId="519" priority="17907">
      <formula>$C648="310"</formula>
    </cfRule>
    <cfRule type="expression" dxfId="518" priority="17908">
      <formula>$C103="110"</formula>
    </cfRule>
  </conditionalFormatting>
  <conditionalFormatting sqref="N320:O320 N427:O434 N389:O390 N382:O385 O316:O319 O290:O295 N227:O228 O242:O247 P224:T224 P223:Q223 P225:Q225 O469:O470">
    <cfRule type="expression" dxfId="517" priority="17929">
      <formula>$C787="310"</formula>
    </cfRule>
    <cfRule type="expression" dxfId="516" priority="17930">
      <formula>$C223="110"</formula>
    </cfRule>
  </conditionalFormatting>
  <conditionalFormatting sqref="P447:T447">
    <cfRule type="expression" dxfId="515" priority="17973">
      <formula>$C1025="310"</formula>
    </cfRule>
    <cfRule type="expression" dxfId="514" priority="17974">
      <formula>$C447="110"</formula>
    </cfRule>
  </conditionalFormatting>
  <conditionalFormatting sqref="P476:Q479 P435:Q438 P440:Q443 P462:Q465 P368:Q370 P371:T371 P372:Q372 P439:T439 P381:Q381 P471:Q471">
    <cfRule type="expression" dxfId="513" priority="17989">
      <formula>$C948="310"</formula>
    </cfRule>
    <cfRule type="expression" dxfId="512" priority="17990">
      <formula>$C368="110"</formula>
    </cfRule>
  </conditionalFormatting>
  <conditionalFormatting sqref="C510:T510 W510">
    <cfRule type="expression" dxfId="511" priority="533">
      <formula>$C1125="310"</formula>
    </cfRule>
    <cfRule type="expression" dxfId="510" priority="534">
      <formula>$C510="110"</formula>
    </cfRule>
  </conditionalFormatting>
  <conditionalFormatting sqref="N510:T510 C388:T388 W388 W510">
    <cfRule type="expression" dxfId="509" priority="535">
      <formula>$C1006="310"</formula>
    </cfRule>
    <cfRule type="expression" dxfId="508" priority="536">
      <formula>$C388="110"</formula>
    </cfRule>
  </conditionalFormatting>
  <conditionalFormatting sqref="C520:W520">
    <cfRule type="expression" dxfId="507" priority="529">
      <formula>$C1135="310"</formula>
    </cfRule>
    <cfRule type="expression" dxfId="506" priority="530">
      <formula>$C520="110"</formula>
    </cfRule>
  </conditionalFormatting>
  <conditionalFormatting sqref="N520:W520">
    <cfRule type="expression" dxfId="505" priority="531">
      <formula>$C1138="310"</formula>
    </cfRule>
    <cfRule type="expression" dxfId="504" priority="532">
      <formula>$C520="110"</formula>
    </cfRule>
  </conditionalFormatting>
  <conditionalFormatting sqref="C509:T509 N388:T388 W388 W509">
    <cfRule type="expression" dxfId="503" priority="517">
      <formula>$C1009="310"</formula>
    </cfRule>
    <cfRule type="expression" dxfId="502" priority="518">
      <formula>$C388="110"</formula>
    </cfRule>
  </conditionalFormatting>
  <conditionalFormatting sqref="N509:T509 W509">
    <cfRule type="expression" dxfId="501" priority="519">
      <formula>$C1133="310"</formula>
    </cfRule>
    <cfRule type="expression" dxfId="500" priority="520">
      <formula>$C509="110"</formula>
    </cfRule>
  </conditionalFormatting>
  <conditionalFormatting sqref="X416 D462:J464 K455:O459 W455:W459 C450:J450 K447:O449 W447:W449 X418:X420 X413 X411 K465:O465 W465 D451:J454 X362:X363 X365:X370 X372:X373 X377:X380 X375 X394:X396 X398:X405 X333:X337 R357:R358 K359:O360 W359:W360 C357:J357 R316:R317 C315:D315 X307:X310 X305 R311:T314 C212:O213 W212:W213 W204:W206 C197:O198 W197:W198 C204:O206 C177:O178 W177:W178 C175:O175 W175 O162 C94:W94 C97:W97 O151:Q151 O471 G358:J358">
    <cfRule type="expression" dxfId="499" priority="38701">
      <formula>$C631="310"</formula>
    </cfRule>
    <cfRule type="expression" dxfId="498" priority="38702">
      <formula>$C94="110"</formula>
    </cfRule>
  </conditionalFormatting>
  <conditionalFormatting sqref="K474:O475 W475 W471 K471:O471 C471 X426:X430 X432:X434 X421 T433:T434 D460:J461 K364:O364 X359:X360 X339:X356 X318 X285 C208:O211 W208:W211 W186:W193 C186:O193 C180:O181 W180:W181 O159:O160 O148:Q149 O130:Q133 W162 C162:O162 N151:O151 W196 C196:O196 X423 D469:J470">
    <cfRule type="expression" dxfId="497" priority="38799">
      <formula>$C665="310"</formula>
    </cfRule>
    <cfRule type="expression" dxfId="496" priority="38800">
      <formula>$C130="110"</formula>
    </cfRule>
  </conditionalFormatting>
  <conditionalFormatting sqref="O361 R406:T407 R382:T387 K368:O372 W368:W372 K436:O443 W436:W443 E353:E354 C345:O352 W345:W353 F353:O353 X323:X325 X327:X329 R322:T322 S330:T330 C353:D353 X293:X295 R296 O182:O193 O166:O174 N162:O162 P159:Q160 O151:Q151 O179 N94:W94 N97:W97 O196">
    <cfRule type="expression" dxfId="495" priority="38965">
      <formula>$C634="310"</formula>
    </cfRule>
    <cfRule type="expression" dxfId="494" priority="38966">
      <formula>$C94="110"</formula>
    </cfRule>
  </conditionalFormatting>
  <conditionalFormatting sqref="C435:J435">
    <cfRule type="expression" dxfId="493" priority="41177">
      <formula>$C975="310"</formula>
    </cfRule>
    <cfRule type="expression" dxfId="492" priority="41178">
      <formula>$C435="110"</formula>
    </cfRule>
  </conditionalFormatting>
  <conditionalFormatting sqref="K435:O435 O460:O461 O447:O449 R408:T410 W435 C374:J379 F380:J380 C342:O343 W342:W343 C339:O340 W339:W340 R327:T328 R329:R330 R323:T323 S329:T329 R293:T295 O208:O211 C215:O217 W215:W217 O194:O195 O180:O181 O163:O164 P157:Q157 X90:X91 O152:Q153 P161:Q161 X86 C114:W114 P156:W156 N176:O176">
    <cfRule type="expression" dxfId="491" priority="41181">
      <formula>$C627="310"</formula>
    </cfRule>
    <cfRule type="expression" dxfId="490" priority="41182">
      <formula>$C86="110"</formula>
    </cfRule>
  </conditionalFormatting>
  <conditionalFormatting sqref="X439 C134:O135 W134:W135 C119:O121 W119:W121 O117:O118 C105:O109 W105:W109 W111:W113 X40:X46 C111:O113 X37 R39:T39 C33:W33 C38:W38 N60:W60 R34">
    <cfRule type="expression" dxfId="489" priority="47049">
      <formula>$C555="310"</formula>
    </cfRule>
    <cfRule type="expression" dxfId="488" priority="47050">
      <formula>$C33="110"</formula>
    </cfRule>
  </conditionalFormatting>
  <conditionalFormatting sqref="X482 X484 X486 X491 X498 X500 X511 X517:X518 U516:U519 U327:U330 U342 U319 U332 U334 U336 U346:U356 U359 U339:U340 U322:U323">
    <cfRule type="expression" dxfId="487" priority="48353">
      <formula>$C832="310"</formula>
    </cfRule>
    <cfRule type="expression" dxfId="486" priority="48354">
      <formula>$C319="110"</formula>
    </cfRule>
  </conditionalFormatting>
  <conditionalFormatting sqref="R421:T421 K460:O461 W460:W461 R427:T430 R423:T423 R433:S434 C447:J449 D455:J459 D465:J465 R359:T359 R360 C359:J360 X357:X358 R339:T340 R346:T356 R345 R343 X338 R342:T342 X311:X317 R318 C182:O185 W182:W185 N156:O157 N152:O153 O150:Q150 O146:Q146 C176:O176 C207:O207 W207 W176 O161 X361 R432 W469:W470 K469:O470 C451:C470">
    <cfRule type="expression" dxfId="485" priority="52253">
      <formula>$C682="310"</formula>
    </cfRule>
    <cfRule type="expression" dxfId="484" priority="52254">
      <formula>$C146="110"</formula>
    </cfRule>
  </conditionalFormatting>
  <conditionalFormatting sqref="R416:T416 K462:O464 W462:W464 K450:O454 W450:W454 R418:T420 R413 C445:J445 D466:J468 R398:T405 R396 R394:T394 X381 C365:J367 R365:T366 R377:T378 R375:T375 R372:T372 R368:T370 R367 R379:R380 C361:J361 C380:E380 X389:X392 O359:O360 K357:O358 C355:O356 W355:W357 R335 R333 X331:X332 R334:T334 C344:D344 X319:X320 R307:T310 X297:X304 R305 C202:O203 W202:W203 C199:O200 W199:W200 W166:W174 C166:O174 N159:O160 P157:Q157 O148:Q149 O152:Q153 O179 O176 X78 P156:W156 X80 O469:O470">
    <cfRule type="expression" dxfId="483" priority="52373">
      <formula>$C616="310"</formula>
    </cfRule>
    <cfRule type="expression" dxfId="482" priority="52374">
      <formula>$C78="110"</formula>
    </cfRule>
  </conditionalFormatting>
  <conditionalFormatting sqref="P445:Q445">
    <cfRule type="expression" dxfId="481" priority="56981">
      <formula>$C1024="310"</formula>
    </cfRule>
    <cfRule type="expression" dxfId="480" priority="56982">
      <formula>$C445="110"</formula>
    </cfRule>
  </conditionalFormatting>
  <conditionalFormatting sqref="C481:T481 C490:T490 C499:T499 W499 W490 W481">
    <cfRule type="expression" dxfId="479" priority="58515">
      <formula>$C1095="310"</formula>
    </cfRule>
    <cfRule type="expression" dxfId="478" priority="58516">
      <formula>$C481="110"</formula>
    </cfRule>
  </conditionalFormatting>
  <conditionalFormatting sqref="N481:T481 N490:T490 N499:T499 W499 W490 W481">
    <cfRule type="expression" dxfId="477" priority="59365">
      <formula>$C1098="310"</formula>
    </cfRule>
    <cfRule type="expression" dxfId="476" priority="59366">
      <formula>$C481="110"</formula>
    </cfRule>
  </conditionalFormatting>
  <conditionalFormatting sqref="C504:T504 W504">
    <cfRule type="expression" dxfId="475" priority="59379">
      <formula>$C1124="310"</formula>
    </cfRule>
    <cfRule type="expression" dxfId="474" priority="59380">
      <formula>$C504="110"</formula>
    </cfRule>
  </conditionalFormatting>
  <conditionalFormatting sqref="N504:T504 C411:T411 C395:T395 W395 W411 W504">
    <cfRule type="expression" dxfId="473" priority="59381">
      <formula>$C1018="310"</formula>
    </cfRule>
    <cfRule type="expression" dxfId="472" priority="59382">
      <formula>$C395="110"</formula>
    </cfRule>
  </conditionalFormatting>
  <conditionalFormatting sqref="N446:T446 W446">
    <cfRule type="expression" dxfId="471" priority="60253">
      <formula>$C1067="310"</formula>
    </cfRule>
    <cfRule type="expression" dxfId="470" priority="60254">
      <formula>$C446="110"</formula>
    </cfRule>
  </conditionalFormatting>
  <conditionalFormatting sqref="N426:T426 W426">
    <cfRule type="expression" dxfId="469" priority="60265">
      <formula>$C1050="310"</formula>
    </cfRule>
    <cfRule type="expression" dxfId="468" priority="60266">
      <formula>$C426="110"</formula>
    </cfRule>
  </conditionalFormatting>
  <conditionalFormatting sqref="C446:T446 W446">
    <cfRule type="expression" dxfId="467" priority="60269">
      <formula>$C1064="310"</formula>
    </cfRule>
    <cfRule type="expression" dxfId="466" priority="60270">
      <formula>$C446="110"</formula>
    </cfRule>
  </conditionalFormatting>
  <conditionalFormatting sqref="R483 R485:T485 R487:T489 R492:T497 R501:T503 R505:T508 R512:T513 R519:T519 R516:T516 R514 R480:T480 X476:X479 X414:X415 X397 X393 X364 X376 X371 X374 O140:O145 O125:O129 N115:O116 N111:O113 C95:O96 W95:W96 C92:O93 W92:W93 O90:O91 R58:T59 R61 O103 C146:O146 W146 O137 X412">
    <cfRule type="expression" dxfId="465" priority="63311">
      <formula>$C584="310"</formula>
    </cfRule>
    <cfRule type="expression" dxfId="464" priority="63312">
      <formula>$C58="110"</formula>
    </cfRule>
  </conditionalFormatting>
  <conditionalFormatting sqref="P515:Q515">
    <cfRule type="expression" dxfId="463" priority="513">
      <formula>$C1046="310"</formula>
    </cfRule>
    <cfRule type="expression" dxfId="462" priority="514">
      <formula>$C515="110"</formula>
    </cfRule>
  </conditionalFormatting>
  <conditionalFormatting sqref="O364 O408:O410 W321:W322 C320:D321 C322:O322 E321:O321 N215:O217 P197:Q198 X162:X176 X156 X140:X153 R139 X130:X133 R125:T129 R137:T137 R157 O222 X253 X255 P207:Q207 P214:Q214 N155:W155 R161:T161">
    <cfRule type="expression" dxfId="461" priority="509">
      <formula>$C677="310"</formula>
    </cfRule>
    <cfRule type="expression" dxfId="460" priority="510">
      <formula>$C125="110"</formula>
    </cfRule>
  </conditionalFormatting>
  <conditionalFormatting sqref="P422:T422">
    <cfRule type="expression" dxfId="459" priority="811">
      <formula>$C1008="310"</formula>
    </cfRule>
    <cfRule type="expression" dxfId="458" priority="812">
      <formula>$C422="110"</formula>
    </cfRule>
  </conditionalFormatting>
  <conditionalFormatting sqref="P445:Q445">
    <cfRule type="expression" dxfId="457" priority="869">
      <formula>$C1027="310"</formula>
    </cfRule>
    <cfRule type="expression" dxfId="456" priority="870">
      <formula>$C445="110"</formula>
    </cfRule>
  </conditionalFormatting>
  <conditionalFormatting sqref="C426:T426 W426">
    <cfRule type="expression" dxfId="455" priority="1497">
      <formula>$C1047="310"</formula>
    </cfRule>
    <cfRule type="expression" dxfId="454" priority="1498">
      <formula>$C426="110"</formula>
    </cfRule>
  </conditionalFormatting>
  <conditionalFormatting sqref="K444:O444">
    <cfRule type="expression" dxfId="453" priority="499">
      <formula>$C983="310"</formula>
    </cfRule>
    <cfRule type="expression" dxfId="452" priority="500">
      <formula>$C444="110"</formula>
    </cfRule>
  </conditionalFormatting>
  <conditionalFormatting sqref="O444">
    <cfRule type="expression" dxfId="451" priority="497">
      <formula>$C1006="310"</formula>
    </cfRule>
    <cfRule type="expression" dxfId="450" priority="498">
      <formula>$C444="110"</formula>
    </cfRule>
  </conditionalFormatting>
  <conditionalFormatting sqref="O447:O449 O427:O434 O460:O461 O382:O385 O389:O390 C323:E323 O320 C333:D333 W305:W310 C305:O310 O259 O296 O256:O257 O227:O240 P220:Q221 O254 N226:O226 P225:Q225 P224:T224 P223:Q223 N444:O445 O469:O470">
    <cfRule type="expression" dxfId="449" priority="495">
      <formula>$C781="310"</formula>
    </cfRule>
    <cfRule type="expression" dxfId="448" priority="496">
      <formula>$C220="110"</formula>
    </cfRule>
  </conditionalFormatting>
  <conditionalFormatting sqref="O444">
    <cfRule type="expression" dxfId="447" priority="493">
      <formula>$C1002="310"</formula>
    </cfRule>
    <cfRule type="expression" dxfId="446" priority="494">
      <formula>$C444="110"</formula>
    </cfRule>
  </conditionalFormatting>
  <conditionalFormatting sqref="O444">
    <cfRule type="expression" dxfId="445" priority="491">
      <formula>$C1003="310"</formula>
    </cfRule>
    <cfRule type="expression" dxfId="444" priority="492">
      <formula>$C444="110"</formula>
    </cfRule>
  </conditionalFormatting>
  <conditionalFormatting sqref="O444">
    <cfRule type="expression" dxfId="443" priority="489">
      <formula>$C986="310"</formula>
    </cfRule>
    <cfRule type="expression" dxfId="442" priority="490">
      <formula>$C444="110"</formula>
    </cfRule>
  </conditionalFormatting>
  <conditionalFormatting sqref="C444:J444">
    <cfRule type="expression" dxfId="441" priority="487">
      <formula>$C982="310"</formula>
    </cfRule>
    <cfRule type="expression" dxfId="440" priority="488">
      <formula>$C444="110"</formula>
    </cfRule>
  </conditionalFormatting>
  <conditionalFormatting sqref="P444:Q444">
    <cfRule type="expression" dxfId="439" priority="485">
      <formula>$C1023="310"</formula>
    </cfRule>
    <cfRule type="expression" dxfId="438" priority="486">
      <formula>$C444="110"</formula>
    </cfRule>
  </conditionalFormatting>
  <conditionalFormatting sqref="P444:Q444">
    <cfRule type="expression" dxfId="437" priority="483">
      <formula>$C1026="310"</formula>
    </cfRule>
    <cfRule type="expression" dxfId="436" priority="484">
      <formula>$C444="110"</formula>
    </cfRule>
  </conditionalFormatting>
  <conditionalFormatting sqref="X462:X468 O148:O149 N130:O133 O117:Q118 O111:Q113 N95:O96 O98:Q102 N92:O93 O90:Q91 O122:Q122 W151 O136:Q136 O139:Q139 O124:Q124 X68 C151:O151 X72 R469:T470">
    <cfRule type="expression" dxfId="435" priority="8983">
      <formula>$C598="310"</formula>
    </cfRule>
    <cfRule type="expression" dxfId="434" priority="8984">
      <formula>$C68="110"</formula>
    </cfRule>
  </conditionalFormatting>
  <conditionalFormatting sqref="X483 X485 X487:X490 X492:X497 X499 X501:X510 X512:X516 X519:X521 X480:X481 W130:W133 C130:O133 N117:O118 O98:O102 X58:X62 R53:T57 C90:O91 W90:W91 O124 O139 O136">
    <cfRule type="expression" dxfId="433" priority="13475">
      <formula>$C578="310"</formula>
    </cfRule>
    <cfRule type="expression" dxfId="432" priority="13476">
      <formula>$C53="110"</formula>
    </cfRule>
  </conditionalFormatting>
  <conditionalFormatting sqref="S468:T468">
    <cfRule type="expression" dxfId="431" priority="14123">
      <formula>$C999="310"</formula>
    </cfRule>
    <cfRule type="expression" dxfId="430" priority="14124">
      <formula>$C468="110"</formula>
    </cfRule>
  </conditionalFormatting>
  <conditionalFormatting sqref="R515">
    <cfRule type="expression" dxfId="429" priority="445">
      <formula>$C1046="310"</formula>
    </cfRule>
    <cfRule type="expression" dxfId="428" priority="446">
      <formula>$C515="110"</formula>
    </cfRule>
  </conditionalFormatting>
  <conditionalFormatting sqref="X431 X424:X425 X422 C140:O145 W140:W145 O134:O135 O119:O121 C125:O129 W125:W129 O105:O109 X53:X57 R50:T52 R48:R49 G98:O98 W103 W98 C103:O103 W137 C137:O137">
    <cfRule type="expression" dxfId="427" priority="67605">
      <formula>$C572="310"</formula>
    </cfRule>
    <cfRule type="expression" dxfId="426" priority="67606">
      <formula>$C48="110"</formula>
    </cfRule>
  </conditionalFormatting>
  <conditionalFormatting sqref="X447 W115:W116 C115:O116 X38:X39 X33:X36 C111:E113">
    <cfRule type="expression" dxfId="425" priority="68835">
      <formula>$C554="310"</formula>
    </cfRule>
    <cfRule type="expression" dxfId="424" priority="68836">
      <formula>$C33="110"</formula>
    </cfRule>
  </conditionalFormatting>
  <conditionalFormatting sqref="X453 C117:O118 W117:W118 N58:Q59 N34:Q36 N37:T37 N47:W47">
    <cfRule type="expression" dxfId="423" priority="68857">
      <formula>$C554="310"</formula>
    </cfRule>
    <cfRule type="expression" dxfId="422" priority="68858">
      <formula>$C34="110"</formula>
    </cfRule>
  </conditionalFormatting>
  <conditionalFormatting sqref="X474:X475 C48:Q52 W48:W52 C46:Q46">
    <cfRule type="expression" dxfId="421" priority="69309">
      <formula>$C561="310"</formula>
    </cfRule>
    <cfRule type="expression" dxfId="420" priority="69310">
      <formula>$C46="110"</formula>
    </cfRule>
  </conditionalFormatting>
  <conditionalFormatting sqref="X417">
    <cfRule type="expression" dxfId="419" priority="80499">
      <formula>$C943="310"</formula>
    </cfRule>
    <cfRule type="expression" dxfId="418" priority="80500">
      <formula>$C417="110"</formula>
    </cfRule>
  </conditionalFormatting>
  <conditionalFormatting sqref="R321:T321 P365:Q367 P321:Q322 P335:Q335 P327:Q327 P326:W326 P311:Q312 P298:Q300 P277:Q282 P250:Q251">
    <cfRule type="expression" dxfId="417" priority="97829">
      <formula>$C826="310"</formula>
    </cfRule>
    <cfRule type="expression" dxfId="416" priority="97830">
      <formula>$C250="110"</formula>
    </cfRule>
  </conditionalFormatting>
  <conditionalFormatting sqref="F414:J414 O421:O425 C412:J413 C415:J420 K386:O387 W386:W387 O333:O334 E333:E334 R271:T273 R268 N208:O211 P194:Q195 P180:Q181 P163:Q164 X117:X118 R105:T109 R112:R113 P176:Q176 C222:O222 W222 R111:T111">
    <cfRule type="expression" dxfId="415" priority="327">
      <formula>$C651="310"</formula>
    </cfRule>
    <cfRule type="expression" dxfId="414" priority="328">
      <formula>$C105="110"</formula>
    </cfRule>
  </conditionalFormatting>
  <conditionalFormatting sqref="O323 O393:O394 O320 O313:O315 O305:O310 N293:O295 O274:O276 O262:O266 O297 P258:Q258 N242:O247">
    <cfRule type="expression" dxfId="413" priority="329">
      <formula>$C809="310"</formula>
    </cfRule>
    <cfRule type="expression" dxfId="412" priority="330">
      <formula>$C242="110"</formula>
    </cfRule>
  </conditionalFormatting>
  <conditionalFormatting sqref="E344:T344 P357:Q358 P342:Q343 P331:Q332 P328:Q329 P320:T320 P339:Q339 W344 P313:Q315 P301:Q304 P274:Q276 P262:Q266 P297:Q297 R315:T315 P361:Q361 P364:T364 W364">
    <cfRule type="expression" dxfId="411" priority="101643">
      <formula>$C837="310"</formula>
    </cfRule>
    <cfRule type="expression" dxfId="410" priority="101644">
      <formula>$C262="110"</formula>
    </cfRule>
  </conditionalFormatting>
  <conditionalFormatting sqref="N373:T373 W373">
    <cfRule type="expression" dxfId="409" priority="105811">
      <formula>$C984="310"</formula>
    </cfRule>
    <cfRule type="expression" dxfId="408" priority="105812">
      <formula>$C373="110"</formula>
    </cfRule>
  </conditionalFormatting>
  <conditionalFormatting sqref="T483 T514:T515 S331:S332">
    <cfRule type="expression" dxfId="407" priority="106669">
      <formula>$C830="310"</formula>
    </cfRule>
    <cfRule type="expression" dxfId="406" priority="106670">
      <formula>$C331="110"</formula>
    </cfRule>
  </conditionalFormatting>
  <conditionalFormatting sqref="K406:O406 K408:O410 W408:W410 O406:O407 W406 K391:O392 W391:W392 E320:O320 W320 O218:O221 P210:Q211 R159:T160 X157:X158 X137:X139 X125:X129 R136:T136 X155 X209 P208:Q208 P209:T209 X161 C147:W147 R124">
    <cfRule type="expression" dxfId="405" priority="106835">
      <formula>$C675="310"</formula>
    </cfRule>
    <cfRule type="expression" dxfId="404" priority="106836">
      <formula>$C124="110"</formula>
    </cfRule>
  </conditionalFormatting>
  <conditionalFormatting sqref="R361:T361">
    <cfRule type="expression" dxfId="403" priority="106967">
      <formula>$C936="310"</formula>
    </cfRule>
    <cfRule type="expression" dxfId="402" priority="106968">
      <formula>$C361="110"</formula>
    </cfRule>
  </conditionalFormatting>
  <conditionalFormatting sqref="E321:O321">
    <cfRule type="expression" dxfId="401" priority="107217">
      <formula>$C875="310"</formula>
    </cfRule>
    <cfRule type="expression" dxfId="400" priority="107218">
      <formula>$C321="110"</formula>
    </cfRule>
  </conditionalFormatting>
  <conditionalFormatting sqref="P323:Q323 P345:Q356 P333:Q334 P330:Q330 P359:Q360 P307:Q310 N298:O300 P290:Q292 P305:Q305 P306:T306 N201:W201 P316:Q319">
    <cfRule type="expression" dxfId="399" priority="107425">
      <formula>$C775="310"</formula>
    </cfRule>
    <cfRule type="expression" dxfId="398" priority="107426">
      <formula>$C201="110"</formula>
    </cfRule>
  </conditionalFormatting>
  <conditionalFormatting sqref="X306 R471:T471 X469:X470 X408:X410 N140:O145 O134:Q135 O119:Q121 N125:O129 N90:O91 X69:X71 N137:O137 X67 N103:O103 C150:O150 W150">
    <cfRule type="expression" dxfId="397" priority="107775">
      <formula>$C596="310"</formula>
    </cfRule>
    <cfRule type="expression" dxfId="396" priority="107776">
      <formula>$C67="110"</formula>
    </cfRule>
  </conditionalFormatting>
  <conditionalFormatting sqref="K407:O407 W407 C408:J410 K393:O394 W393:W394 C391:J392 C406:J406 P212:Q213 P202:Q206 P199:Q200 P182:Q193 C226:O226 P196:Q196 R134:T135 X123:X124 X136 R122:T122 X159:X160 X216 R256:R257 R254 N214:O214 W226">
    <cfRule type="expression" dxfId="395" priority="108839">
      <formula>$C672="310"</formula>
    </cfRule>
    <cfRule type="expression" dxfId="394" priority="108840">
      <formula>$C122="110"</formula>
    </cfRule>
  </conditionalFormatting>
  <conditionalFormatting sqref="P364:T364 N408:O410 P361:T361 P357:Q358 P342:Q343 E344:T344 P328:Q329 P331:Q332 O323 P320:T320 P339:Q339 W344 P313:Q315 N305:O310 P293:Q295 P274:Q276 P262:Q266 P297:Q297 R315:T315 P242:Q247 W364">
    <cfRule type="expression" dxfId="393" priority="109457">
      <formula>$C814="310"</formula>
    </cfRule>
    <cfRule type="expression" dxfId="392" priority="109458">
      <formula>$C242="110"</formula>
    </cfRule>
  </conditionalFormatting>
  <conditionalFormatting sqref="C407:J407 K396:O405 W396:W405 C393:J394 S258:T258 X256:X257 O215:O219 P197:Q198 P194:Q195 P180:Q181 P163:Q164 X134:X135 R119:T121 X230 X254 P207:Q207 X224 C155:W155 X122">
    <cfRule type="expression" dxfId="391" priority="110917">
      <formula>$C668="310"</formula>
    </cfRule>
    <cfRule type="expression" dxfId="390" priority="110918">
      <formula>$C119="110"</formula>
    </cfRule>
  </conditionalFormatting>
  <conditionalFormatting sqref="P330:Q330 N391:O392 N406:O407 P359:Q360 P345:Q356 N321:O322 P296:Q296 P316:Q319 N311:O312 O298:O300 P290:Q292 N277:O282 P259:Q259 P256:Q257 P231:Q232 P238:Q240 P229:Q229 P233:T233 P234:Q234 P235:T235 N250:O251 P237:T237 P236:Q236 P230:T230 C201:W201 P254:Q254">
    <cfRule type="expression" dxfId="389" priority="111533">
      <formula>$C772="310"</formula>
    </cfRule>
    <cfRule type="expression" dxfId="388" priority="111534">
      <formula>$C201="110"</formula>
    </cfRule>
  </conditionalFormatting>
  <conditionalFormatting sqref="N320:O320 N393:O394 P340:Q340 N313:O315 O301:O304 P286:Q288 N274:O276 P268:Q269 P271:Q273 N262:O266 P260:Q261 P270:T270 P284:Q284 N297:O297 R269:T269 P258:Q258 P248:Q249 P253:Q253">
    <cfRule type="expression" dxfId="387" priority="113569">
      <formula>$C818="310"</formula>
    </cfRule>
    <cfRule type="expression" dxfId="386" priority="113570">
      <formula>$C248="110"</formula>
    </cfRule>
  </conditionalFormatting>
  <conditionalFormatting sqref="C472:T472 W472">
    <cfRule type="expression" dxfId="385" priority="114111">
      <formula>$C1094="310"</formula>
    </cfRule>
    <cfRule type="expression" dxfId="384" priority="114112">
      <formula>$C472="110"</formula>
    </cfRule>
  </conditionalFormatting>
  <conditionalFormatting sqref="W323 K412:O420 W412:W420 C323:O323 X259:X266 O214:O217 P182:Q193 N197:O198 P177:Q178 R117:T118 X114:X116 P196:Q196 P175:Q175 N123:W123 N207:O207">
    <cfRule type="expression" dxfId="383" priority="116721">
      <formula>$C661="310"</formula>
    </cfRule>
    <cfRule type="expression" dxfId="382" priority="116722">
      <formula>$C114="110"</formula>
    </cfRule>
  </conditionalFormatting>
  <conditionalFormatting sqref="C255:W255 P408:Q410">
    <cfRule type="expression" dxfId="381" priority="117365">
      <formula>$C847="310"</formula>
    </cfRule>
    <cfRule type="expression" dxfId="380" priority="117366">
      <formula>$C255="110"</formula>
    </cfRule>
  </conditionalFormatting>
  <conditionalFormatting sqref="P296:Q296 N412:O420 O391:O392 O406:O407 O321:O322 O311:O312 O301:O304 N284:O288 O277:O282 N268:O273 N260:O261 P259:Q259 P256:Q257 N248:O249 P231:Q232 P238:Q240 P236:Q236 P230:T230 P229:Q229 O250:O251 P233:T233 P235:T235 P254:Q254 N253:O253 P234:Q234 P237:T237">
    <cfRule type="expression" dxfId="379" priority="117841">
      <formula>$C797="310"</formula>
    </cfRule>
    <cfRule type="expression" dxfId="378" priority="117842">
      <formula>$C229="110"</formula>
    </cfRule>
  </conditionalFormatting>
  <conditionalFormatting sqref="C241:W241 P406:Q407 P391:Q392">
    <cfRule type="expression" dxfId="377" priority="119575">
      <formula>$C832="310"</formula>
    </cfRule>
    <cfRule type="expression" dxfId="376" priority="119576">
      <formula>$C241="110"</formula>
    </cfRule>
  </conditionalFormatting>
  <conditionalFormatting sqref="C328:O328 K424:O425 W424:W425 C421:J423 K389:O390 W389:W390 K382:O385 W382:W385 O342:O343 O357:O358 W335:W337 P336:T337 W328:W329 C329:E330 W331:W332 C327:D327 C331:O332 C334:D334 O338:O339 C335:O337 F329:O329 X274:X282 O197:O198 N194:O195 N180:O181 P177:Q178 N163:O164 R95:R96 R98:T102 P175:Q175 P161:Q161 X103 N114:W114 C123:W123 O207 O361 O469:O470">
    <cfRule type="expression" dxfId="375" priority="119793">
      <formula>$C639="310"</formula>
    </cfRule>
    <cfRule type="expression" dxfId="374" priority="119794">
      <formula>$C95="110"</formula>
    </cfRule>
  </conditionalFormatting>
  <conditionalFormatting sqref="P393:T393 P394:Q394">
    <cfRule type="expression" dxfId="373" priority="121701">
      <formula>$C983="310"</formula>
    </cfRule>
    <cfRule type="expression" dxfId="372" priority="121702">
      <formula>$C393="110"</formula>
    </cfRule>
  </conditionalFormatting>
  <conditionalFormatting sqref="N296:O296 O421:O425 N421:O423 O396:O405 N386:O387 O321:O322 O316:O319 O311:O312 O290:O292 O277:O282 N259:O259 N256:O257 N229:O240 P226:Q228 O250:O251 N165:W165 N254:O254">
    <cfRule type="expression" dxfId="371" priority="122171">
      <formula>$C731="310"</formula>
    </cfRule>
    <cfRule type="expression" dxfId="370" priority="122172">
      <formula>$C165="110"</formula>
    </cfRule>
  </conditionalFormatting>
  <conditionalFormatting sqref="P397:T397 P408:Q410 P398:Q405 P396:Q396">
    <cfRule type="expression" dxfId="369" priority="123985">
      <formula>$C985="310"</formula>
    </cfRule>
    <cfRule type="expression" dxfId="368" priority="123986">
      <formula>$C396="110"</formula>
    </cfRule>
  </conditionalFormatting>
  <conditionalFormatting sqref="P417:T417 P415:T415 P418:Q420 P416:Q416 P412:T412 P413:Q413 P414:R414 P406:Q407 P391:Q392">
    <cfRule type="expression" dxfId="367" priority="126275">
      <formula>$C979="310"</formula>
    </cfRule>
    <cfRule type="expression" dxfId="366" priority="126276">
      <formula>$C391="110"</formula>
    </cfRule>
  </conditionalFormatting>
  <conditionalFormatting sqref="R468">
    <cfRule type="expression" dxfId="365" priority="315">
      <formula>$C998="310"</formula>
    </cfRule>
    <cfRule type="expression" dxfId="364" priority="316">
      <formula>$C468="110"</formula>
    </cfRule>
  </conditionalFormatting>
  <conditionalFormatting sqref="R475 R476:T479 X472:X473 N134:O135 N119:O121 O130:O133 O117:Q118 N105:O109 O111:Q113 O95:O96 O98:Q102 O92:O93 O90:Q91 X63">
    <cfRule type="expression" dxfId="363" priority="313">
      <formula>$C590="310"</formula>
    </cfRule>
    <cfRule type="expression" dxfId="362" priority="314">
      <formula>$C63="110"</formula>
    </cfRule>
  </conditionalFormatting>
  <conditionalFormatting sqref="S483 S514:S515 S291:S292 S284:T284">
    <cfRule type="expression" dxfId="361" priority="138897">
      <formula>$C784="310"</formula>
    </cfRule>
    <cfRule type="expression" dxfId="360" priority="138898">
      <formula>$C284="110"</formula>
    </cfRule>
  </conditionalFormatting>
  <conditionalFormatting sqref="C414:D414">
    <cfRule type="expression" dxfId="359" priority="209">
      <formula>$C957="310"</formula>
    </cfRule>
    <cfRule type="expression" dxfId="358" priority="210">
      <formula>$C414="110"</formula>
    </cfRule>
  </conditionalFormatting>
  <conditionalFormatting sqref="E414">
    <cfRule type="expression" dxfId="357" priority="207">
      <formula>$C957="310"</formula>
    </cfRule>
    <cfRule type="expression" dxfId="356" priority="208">
      <formula>$C414="110"</formula>
    </cfRule>
  </conditionalFormatting>
  <conditionalFormatting sqref="N362:T362 W362">
    <cfRule type="expression" dxfId="355" priority="146459">
      <formula>$C972="310"</formula>
    </cfRule>
    <cfRule type="expression" dxfId="354" priority="146460">
      <formula>$C362="110"</formula>
    </cfRule>
  </conditionalFormatting>
  <conditionalFormatting sqref="S396">
    <cfRule type="expression" dxfId="353" priority="149565">
      <formula>$C895="310"</formula>
    </cfRule>
    <cfRule type="expression" dxfId="352" priority="149566">
      <formula>$C396="110"</formula>
    </cfRule>
  </conditionalFormatting>
  <conditionalFormatting sqref="C373:T373 W373">
    <cfRule type="expression" dxfId="351" priority="152117">
      <formula>$C981="310"</formula>
    </cfRule>
    <cfRule type="expression" dxfId="350" priority="152118">
      <formula>$C373="110"</formula>
    </cfRule>
  </conditionalFormatting>
  <conditionalFormatting sqref="T396 T331:T332 S335 S333 S296:S297 S303:S304 S301">
    <cfRule type="expression" dxfId="349" priority="152123">
      <formula>$C794="310"</formula>
    </cfRule>
    <cfRule type="expression" dxfId="348" priority="152124">
      <formula>$C296="110"</formula>
    </cfRule>
  </conditionalFormatting>
  <conditionalFormatting sqref="P393:T393 P394:Q394">
    <cfRule type="expression" dxfId="347" priority="154331">
      <formula>$C980="310"</formula>
    </cfRule>
    <cfRule type="expression" dxfId="346" priority="154332">
      <formula>$C393="110"</formula>
    </cfRule>
  </conditionalFormatting>
  <conditionalFormatting sqref="C362:T362 W362">
    <cfRule type="expression" dxfId="345" priority="154555">
      <formula>$C969="310"</formula>
    </cfRule>
    <cfRule type="expression" dxfId="344" priority="154556">
      <formula>$C362="110"</formula>
    </cfRule>
  </conditionalFormatting>
  <conditionalFormatting sqref="S367 S379:S380 S357:S358 S345 T333 T335 S343 T296:T297 T303:T304 S305 T301">
    <cfRule type="expression" dxfId="343" priority="154559">
      <formula>$C793="310"</formula>
    </cfRule>
    <cfRule type="expression" dxfId="342" priority="154560">
      <formula>$C296="110"</formula>
    </cfRule>
  </conditionalFormatting>
  <conditionalFormatting sqref="N363:T363 W363">
    <cfRule type="expression" dxfId="341" priority="154633">
      <formula>$C967="310"</formula>
    </cfRule>
    <cfRule type="expression" dxfId="340" priority="154634">
      <formula>$C363="110"</formula>
    </cfRule>
  </conditionalFormatting>
  <conditionalFormatting sqref="C363:T363 W363">
    <cfRule type="expression" dxfId="339" priority="154637">
      <formula>$C964="310"</formula>
    </cfRule>
    <cfRule type="expression" dxfId="338" priority="154638">
      <formula>$C363="110"</formula>
    </cfRule>
  </conditionalFormatting>
  <conditionalFormatting sqref="T367 T379:T380 S360 T357 T345 T343 S316:S318 T305">
    <cfRule type="expression" dxfId="337" priority="154647">
      <formula>$C801="310"</formula>
    </cfRule>
    <cfRule type="expression" dxfId="336" priority="154648">
      <formula>$C305="110"</formula>
    </cfRule>
  </conditionalFormatting>
  <conditionalFormatting sqref="R23 N53:Q57 N41:Q44 C34:Q36 W34:W36 R24:T32 R35:T36 N61:Q61 C60:W60 N45:W45 N39:Q39">
    <cfRule type="expression" dxfId="335" priority="155353">
      <formula>$C542="310"</formula>
    </cfRule>
    <cfRule type="expression" dxfId="334" priority="155354">
      <formula>$C23="110"</formula>
    </cfRule>
  </conditionalFormatting>
  <conditionalFormatting sqref="F403">
    <cfRule type="expression" dxfId="333" priority="183">
      <formula>$C951="310"</formula>
    </cfRule>
    <cfRule type="expression" dxfId="332" priority="184">
      <formula>$C403="110"</formula>
    </cfRule>
  </conditionalFormatting>
  <conditionalFormatting sqref="P476:Q479">
    <cfRule type="expression" dxfId="331" priority="160277">
      <formula>$C1059="310"</formula>
    </cfRule>
    <cfRule type="expression" dxfId="330" priority="160278">
      <formula>$C476="110"</formula>
    </cfRule>
  </conditionalFormatting>
  <conditionalFormatting sqref="O476:O479 O447:O449 O455:O459 O365:O367 O335:O337 O326:O327 N340:O340 W293:W295 C293:O295 O223:O226 P218:Q219 N220:O221 W242:W247 C242:O247 R180:T181 X182:X193 R203:T206 R198:T200 R195:R197 R202 R194:T194 W316:W319 C316:O319 O361 O471">
    <cfRule type="expression" dxfId="329" priority="160351">
      <formula>$C736="310"</formula>
    </cfRule>
    <cfRule type="expression" dxfId="328" priority="160352">
      <formula>$C180="110"</formula>
    </cfRule>
  </conditionalFormatting>
  <conditionalFormatting sqref="K476:O479 W476:W479 F475:J475 C474:J474 R435:T438 R440:T445 R448:T449 W194:W195 C194:O195 O140:Q145 O125:Q129 C179:O179 C161:O161 W161 O137:Q137 N150:O150 W179 C364:J364 D471:J471">
    <cfRule type="expression" dxfId="327" priority="160725">
      <formula>$C659="310"</formula>
    </cfRule>
    <cfRule type="expression" dxfId="326" priority="160726">
      <formula>$C125="110"</formula>
    </cfRule>
  </conditionalFormatting>
  <conditionalFormatting sqref="C473:T473 W473">
    <cfRule type="expression" dxfId="325" priority="160963">
      <formula>$C1089="310"</formula>
    </cfRule>
    <cfRule type="expression" dxfId="324" priority="160964">
      <formula>$C473="110"</formula>
    </cfRule>
  </conditionalFormatting>
  <conditionalFormatting sqref="N473:T473 W473">
    <cfRule type="expression" dxfId="323" priority="160965">
      <formula>$C1092="310"</formula>
    </cfRule>
    <cfRule type="expression" dxfId="322" priority="160966">
      <formula>$C473="110"</formula>
    </cfRule>
  </conditionalFormatting>
  <conditionalFormatting sqref="N472:T472 W472">
    <cfRule type="expression" dxfId="321" priority="160971">
      <formula>$C1097="310"</formula>
    </cfRule>
    <cfRule type="expression" dxfId="320" priority="160972">
      <formula>$C472="110"</formula>
    </cfRule>
  </conditionalFormatting>
  <conditionalFormatting sqref="S432 S413:S414 S424 S253:T254 S256:T257 S166:T166">
    <cfRule type="expression" dxfId="319" priority="162403">
      <formula>$C668="310"</formula>
    </cfRule>
    <cfRule type="expression" dxfId="318" priority="162404">
      <formula>$C166="110"</formula>
    </cfRule>
  </conditionalFormatting>
  <conditionalFormatting sqref="W14 N48:Q52 N24:Q32 X14:X32 R19 N46:Q46 S23:T23 R16:T18 C15:W15 R22:T22 C14:R14">
    <cfRule type="expression" dxfId="317" priority="163903">
      <formula>$C532="310"</formula>
    </cfRule>
    <cfRule type="expression" dxfId="316" priority="163904">
      <formula>$C14="110"</formula>
    </cfRule>
  </conditionalFormatting>
  <conditionalFormatting sqref="S95:T96 S112:T113">
    <cfRule type="expression" dxfId="315" priority="165781">
      <formula>$C603="310"</formula>
    </cfRule>
    <cfRule type="expression" dxfId="314" priority="165782">
      <formula>$C95="110"</formula>
    </cfRule>
  </conditionalFormatting>
  <conditionalFormatting sqref="O340 W320 E320:O320 C227:O228 W227:W228 O220:O221 P212:Q213 X243:X251 P199:Q200 P202:Q206 R167:T176 X177:X178 R162:T164 R140:T146 R148:T153 R130:T133 R253 R166">
    <cfRule type="expression" dxfId="313" priority="178199">
      <formula>$C683="310"</formula>
    </cfRule>
    <cfRule type="expression" dxfId="312" priority="178200">
      <formula>$C130="110"</formula>
    </cfRule>
  </conditionalFormatting>
  <conditionalFormatting sqref="P340:Q340 P321:Q322 P327:Q327 R321:T321 P335:Q335 P326:W326 P311:Q312 N301:O304 P286:Q288 P277:Q282 P268:Q269 P271:Q273 P260:Q261 P284:Q284 P270:T270 R269:T269 P248:Q251 P253:Q253">
    <cfRule type="expression" dxfId="311" priority="178759">
      <formula>$C821="310"</formula>
    </cfRule>
    <cfRule type="expression" dxfId="310" priority="178760">
      <formula>$C248="110"</formula>
    </cfRule>
  </conditionalFormatting>
  <conditionalFormatting sqref="V516:V519 U268:U282 U284:U288 U290:U318 U258:U266 S61:T61">
    <cfRule type="expression" dxfId="309" priority="179313">
      <formula>$C571="310"</formula>
    </cfRule>
    <cfRule type="expression" dxfId="308" priority="179314">
      <formula>$C61="110"</formula>
    </cfRule>
  </conditionalFormatting>
  <conditionalFormatting sqref="S115:T116">
    <cfRule type="expression" dxfId="307" priority="181387">
      <formula>$C622="310"</formula>
    </cfRule>
    <cfRule type="expression" dxfId="306" priority="181388">
      <formula>$C115="110"</formula>
    </cfRule>
  </conditionalFormatting>
  <conditionalFormatting sqref="S240:T240 S195:T197 S242:T242 S179:T179 S202:T202 S157:T157 S208:T208 S217:T217 S225:T225 S234:T234">
    <cfRule type="expression" dxfId="305" priority="181465">
      <formula>$C660="310"</formula>
    </cfRule>
    <cfRule type="expression" dxfId="304" priority="181466">
      <formula>$C157="110"</formula>
    </cfRule>
  </conditionalFormatting>
  <conditionalFormatting sqref="W122 O115:O116 O111:O113 C99:O102 W99:W102 X47:X52 R46:T46 C98:F98 W124 C136:O136 W136 C139:O139 C124:O124 R41:T44 C40:W40 W139 C122:O122">
    <cfRule type="expression" dxfId="303" priority="184205">
      <formula>$C563="310"</formula>
    </cfRule>
    <cfRule type="expression" dxfId="302" priority="184206">
      <formula>$C40="110"</formula>
    </cfRule>
  </conditionalFormatting>
  <conditionalFormatting sqref="O122">
    <cfRule type="expression" dxfId="301" priority="184465">
      <formula>$C647="310"</formula>
    </cfRule>
    <cfRule type="expression" dxfId="300" priority="184466">
      <formula>$C122="110"</formula>
    </cfRule>
  </conditionalFormatting>
  <conditionalFormatting sqref="C20:R20 C58:Q59 W58:W59 C24:Q32 C16:Q19 N22:Q23 W24:W32 W16:W20 S20:T21 N21:R21 C13:T13 W13:X13 C47:W47 C37:T37 W37">
    <cfRule type="expression" dxfId="299" priority="184573">
      <formula>$C530="310"</formula>
    </cfRule>
    <cfRule type="expression" dxfId="298" priority="184574">
      <formula>$C13="110"</formula>
    </cfRule>
  </conditionalFormatting>
  <conditionalFormatting sqref="S139:T139">
    <cfRule type="expression" dxfId="297" priority="185329">
      <formula>$C643="310"</formula>
    </cfRule>
    <cfRule type="expression" dxfId="296" priority="185330">
      <formula>$C139="110"</formula>
    </cfRule>
  </conditionalFormatting>
  <conditionalFormatting sqref="W46">
    <cfRule type="expression" dxfId="295" priority="186439">
      <formula>$C561="310"</formula>
    </cfRule>
    <cfRule type="expression" dxfId="294" priority="186440">
      <formula>$C46="110"</formula>
    </cfRule>
  </conditionalFormatting>
  <conditionalFormatting sqref="L283:W283">
    <cfRule type="expression" dxfId="293" priority="186829">
      <formula>$C881="310"</formula>
    </cfRule>
    <cfRule type="expression" dxfId="292" priority="186830">
      <formula>$C283="110"</formula>
    </cfRule>
  </conditionalFormatting>
  <conditionalFormatting sqref="C283:W283 N255:W255">
    <cfRule type="expression" dxfId="291" priority="187365">
      <formula>$C850="310"</formula>
    </cfRule>
    <cfRule type="expression" dxfId="290" priority="187366">
      <formula>$C255="110"</formula>
    </cfRule>
  </conditionalFormatting>
  <conditionalFormatting sqref="O96">
    <cfRule type="expression" dxfId="289" priority="187379">
      <formula>$C623="310"</formula>
    </cfRule>
    <cfRule type="expression" dxfId="288" priority="187380">
      <formula>$F96="110"</formula>
    </cfRule>
  </conditionalFormatting>
  <conditionalFormatting sqref="C325:W325 N289:W289">
    <cfRule type="expression" dxfId="287" priority="189471">
      <formula>$C889="310"</formula>
    </cfRule>
    <cfRule type="expression" dxfId="286" priority="189472">
      <formula>$C289="110"</formula>
    </cfRule>
  </conditionalFormatting>
  <conditionalFormatting sqref="N324:W324 L341:W341">
    <cfRule type="expression" dxfId="285" priority="189475">
      <formula>$C933="310"</formula>
    </cfRule>
    <cfRule type="expression" dxfId="284" priority="189476">
      <formula>$C324="110"</formula>
    </cfRule>
  </conditionalFormatting>
  <conditionalFormatting sqref="C341:W341 C324:W324">
    <cfRule type="expression" dxfId="283" priority="189493">
      <formula>$C930="310"</formula>
    </cfRule>
    <cfRule type="expression" dxfId="282" priority="189494">
      <formula>$C324="110"</formula>
    </cfRule>
  </conditionalFormatting>
  <conditionalFormatting sqref="N325:W325">
    <cfRule type="expression" dxfId="281" priority="189543">
      <formula>$C928="310"</formula>
    </cfRule>
    <cfRule type="expression" dxfId="280" priority="189544">
      <formula>$C325="110"</formula>
    </cfRule>
  </conditionalFormatting>
  <conditionalFormatting sqref="T360 T316:T318">
    <cfRule type="expression" dxfId="279" priority="189545">
      <formula>$C811="310"</formula>
    </cfRule>
    <cfRule type="expression" dxfId="278" priority="189546">
      <formula>$C316="110"</formula>
    </cfRule>
  </conditionalFormatting>
  <conditionalFormatting sqref="N267:W267 C289:W289 N252:X252">
    <cfRule type="expression" dxfId="277" priority="190047">
      <formula>$C849="310"</formula>
    </cfRule>
    <cfRule type="expression" dxfId="276" priority="190048">
      <formula>$C252="110"</formula>
    </cfRule>
  </conditionalFormatting>
  <conditionalFormatting sqref="S124:T124">
    <cfRule type="expression" dxfId="275" priority="190053">
      <formula>$C630="310"</formula>
    </cfRule>
    <cfRule type="expression" dxfId="274" priority="190054">
      <formula>$C124="110"</formula>
    </cfRule>
  </conditionalFormatting>
  <conditionalFormatting sqref="C267:W267 C252:X252 N241:W241">
    <cfRule type="expression" dxfId="273" priority="190057">
      <formula>$C835="310"</formula>
    </cfRule>
    <cfRule type="expression" dxfId="272" priority="190058">
      <formula>$C241="110"</formula>
    </cfRule>
  </conditionalFormatting>
  <conditionalFormatting sqref="N96:O96">
    <cfRule type="expression" dxfId="271" priority="190063">
      <formula>$C626="310"</formula>
    </cfRule>
    <cfRule type="expression" dxfId="270" priority="190064">
      <formula>$F96="110"</formula>
    </cfRule>
  </conditionalFormatting>
  <conditionalFormatting sqref="D96:O96 W96">
    <cfRule type="expression" dxfId="269" priority="190065">
      <formula>$C622="310"</formula>
    </cfRule>
    <cfRule type="expression" dxfId="268" priority="190066">
      <formula>$F96="110"</formula>
    </cfRule>
  </conditionalFormatting>
  <conditionalFormatting sqref="P466:Q468 P427:Q430 P432:Q434 P415:T415 P418:Q420 P431:T431 P417:T417 P416:Q416 P413:Q413 P414:R414 P412:T412">
    <cfRule type="expression" dxfId="267" priority="190549">
      <formula>$C997="310"</formula>
    </cfRule>
    <cfRule type="expression" dxfId="266" priority="190550">
      <formula>$C412="110"</formula>
    </cfRule>
  </conditionalFormatting>
  <conditionalFormatting sqref="W12:X12 C12:T12">
    <cfRule type="expression" dxfId="265" priority="191343">
      <formula>$C526="310"</formula>
    </cfRule>
    <cfRule type="expression" dxfId="264" priority="191344">
      <formula>$C12="110"</formula>
    </cfRule>
  </conditionalFormatting>
  <conditionalFormatting sqref="C41:Q44 W41:W44 C22:Q23 W21:W23 C21:T21 W61 C53:Q57 W53:W57 C61:Q61 W39 C45:W45 C39:Q39">
    <cfRule type="expression" dxfId="263" priority="191783">
      <formula>$C537="310"</formula>
    </cfRule>
    <cfRule type="expression" dxfId="262" priority="191784">
      <formula>$C21="110"</formula>
    </cfRule>
  </conditionalFormatting>
  <conditionalFormatting sqref="X471 C148:O149 W148:W149 O115:Q116 O105:Q109 N98:O102 O95:Q96 O92:Q93 X64:X66 N122:O122 O103:Q103 N124:O124 N136:O136 N139:O139 O146">
    <cfRule type="expression" dxfId="261" priority="192037">
      <formula>$C592="310"</formula>
    </cfRule>
    <cfRule type="expression" dxfId="260" priority="192038">
      <formula>$C64="110"</formula>
    </cfRule>
  </conditionalFormatting>
  <conditionalFormatting sqref="T413:T414 T424 S268:T268 T432">
    <cfRule type="expression" dxfId="259" priority="192531">
      <formula>$C769="310"</formula>
    </cfRule>
    <cfRule type="expression" dxfId="258" priority="192532">
      <formula>$C268="110"</formula>
    </cfRule>
  </conditionalFormatting>
  <conditionalFormatting sqref="L411:T411 N395:T395 W395 W411">
    <cfRule type="expression" dxfId="257" priority="192743">
      <formula>$C1021="310"</formula>
    </cfRule>
    <cfRule type="expression" dxfId="256" priority="192744">
      <formula>$C395="110"</formula>
    </cfRule>
  </conditionalFormatting>
  <conditionalFormatting sqref="S48:T49 S14:T14 S19:T19 C5:T11 W5:X11 C4:X4 U256:U257 U5:V14 U16:V19 S34:V34 U39:V39 U41:V44 U46:V46 U48:V59 U61:V61 U90:V93 U98:V103 U105:V109 U111:V111 U117:V122 U125:V131 U140:V146 U148:V153 U157:V157 U166:V200 U202:V240 U242:V251 U253:V254 V256:V266 V268:V282 V284:V288 V290:V319 V327:V336 V342:V343 X3 U22:V32 U37:V37 V95:V96 U113:V113 V112 V115 V124 U133:V137 V132 V139 V345:V357 V359:V360 U159:V164 V339:V340 V322:V323">
    <cfRule type="expression" dxfId="255" priority="192861">
      <formula>$C514="310"</formula>
    </cfRule>
    <cfRule type="expression" dxfId="254" priority="192862">
      <formula>$C3="110"</formula>
    </cfRule>
  </conditionalFormatting>
  <conditionalFormatting sqref="U20:V21">
    <cfRule type="expression" dxfId="253" priority="157">
      <formula>$C537="310"</formula>
    </cfRule>
    <cfRule type="expression" dxfId="252" priority="158">
      <formula>$C20="110"</formula>
    </cfRule>
  </conditionalFormatting>
  <conditionalFormatting sqref="U35:V36">
    <cfRule type="expression" dxfId="251" priority="155">
      <formula>$C552="310"</formula>
    </cfRule>
    <cfRule type="expression" dxfId="250" priority="156">
      <formula>$C35="110"</formula>
    </cfRule>
  </conditionalFormatting>
  <conditionalFormatting sqref="C63:W67 C62:T62 V62:W62 C70:W72 C68:T68 V68:W68 C88:T89 V88:W89 C74:W76 C79:W84 C86:W86">
    <cfRule type="expression" dxfId="249" priority="153">
      <formula>$C579="310"</formula>
    </cfRule>
    <cfRule type="expression" dxfId="248" priority="154">
      <formula>$C62="110"</formula>
    </cfRule>
  </conditionalFormatting>
  <conditionalFormatting sqref="U62">
    <cfRule type="expression" dxfId="247" priority="151">
      <formula>$C579="310"</formula>
    </cfRule>
    <cfRule type="expression" dxfId="246" priority="152">
      <formula>$C62="110"</formula>
    </cfRule>
  </conditionalFormatting>
  <conditionalFormatting sqref="U68">
    <cfRule type="expression" dxfId="245" priority="149">
      <formula>$C585="310"</formula>
    </cfRule>
    <cfRule type="expression" dxfId="244" priority="150">
      <formula>$C68="110"</formula>
    </cfRule>
  </conditionalFormatting>
  <conditionalFormatting sqref="U88">
    <cfRule type="expression" dxfId="243" priority="147">
      <formula>$C605="310"</formula>
    </cfRule>
    <cfRule type="expression" dxfId="242" priority="148">
      <formula>$C88="110"</formula>
    </cfRule>
  </conditionalFormatting>
  <conditionalFormatting sqref="U89">
    <cfRule type="expression" dxfId="241" priority="145">
      <formula>$C606="310"</formula>
    </cfRule>
    <cfRule type="expression" dxfId="240" priority="146">
      <formula>$C89="110"</formula>
    </cfRule>
  </conditionalFormatting>
  <conditionalFormatting sqref="U95">
    <cfRule type="expression" dxfId="239" priority="143">
      <formula>$C612="310"</formula>
    </cfRule>
    <cfRule type="expression" dxfId="238" priority="144">
      <formula>$C95="110"</formula>
    </cfRule>
  </conditionalFormatting>
  <conditionalFormatting sqref="U96">
    <cfRule type="expression" dxfId="237" priority="141">
      <formula>$C613="310"</formula>
    </cfRule>
    <cfRule type="expression" dxfId="236" priority="142">
      <formula>$C96="110"</formula>
    </cfRule>
  </conditionalFormatting>
  <conditionalFormatting sqref="U112">
    <cfRule type="expression" dxfId="235" priority="139">
      <formula>$C629="310"</formula>
    </cfRule>
    <cfRule type="expression" dxfId="234" priority="140">
      <formula>$C112="110"</formula>
    </cfRule>
  </conditionalFormatting>
  <conditionalFormatting sqref="U115">
    <cfRule type="expression" dxfId="233" priority="137">
      <formula>$C632="310"</formula>
    </cfRule>
    <cfRule type="expression" dxfId="232" priority="138">
      <formula>$C115="110"</formula>
    </cfRule>
  </conditionalFormatting>
  <conditionalFormatting sqref="U124">
    <cfRule type="expression" dxfId="231" priority="133">
      <formula>$C641="310"</formula>
    </cfRule>
    <cfRule type="expression" dxfId="230" priority="134">
      <formula>$C124="110"</formula>
    </cfRule>
  </conditionalFormatting>
  <conditionalFormatting sqref="U132">
    <cfRule type="expression" dxfId="229" priority="131">
      <formula>$C649="310"</formula>
    </cfRule>
    <cfRule type="expression" dxfId="228" priority="132">
      <formula>$C132="110"</formula>
    </cfRule>
  </conditionalFormatting>
  <conditionalFormatting sqref="U139">
    <cfRule type="expression" dxfId="227" priority="129">
      <formula>$C656="310"</formula>
    </cfRule>
    <cfRule type="expression" dxfId="226" priority="130">
      <formula>$C139="110"</formula>
    </cfRule>
  </conditionalFormatting>
  <conditionalFormatting sqref="U331">
    <cfRule type="expression" dxfId="225" priority="127">
      <formula>$C848="310"</formula>
    </cfRule>
    <cfRule type="expression" dxfId="224" priority="128">
      <formula>$C331="110"</formula>
    </cfRule>
  </conditionalFormatting>
  <conditionalFormatting sqref="U333">
    <cfRule type="expression" dxfId="223" priority="125">
      <formula>$C850="310"</formula>
    </cfRule>
    <cfRule type="expression" dxfId="222" priority="126">
      <formula>$C333="110"</formula>
    </cfRule>
  </conditionalFormatting>
  <conditionalFormatting sqref="U335">
    <cfRule type="expression" dxfId="221" priority="123">
      <formula>$C852="310"</formula>
    </cfRule>
    <cfRule type="expression" dxfId="220" priority="124">
      <formula>$C335="110"</formula>
    </cfRule>
  </conditionalFormatting>
  <conditionalFormatting sqref="U343">
    <cfRule type="expression" dxfId="219" priority="121">
      <formula>$C860="310"</formula>
    </cfRule>
    <cfRule type="expression" dxfId="218" priority="122">
      <formula>$C343="110"</formula>
    </cfRule>
  </conditionalFormatting>
  <conditionalFormatting sqref="U345">
    <cfRule type="expression" dxfId="217" priority="117">
      <formula>$C862="310"</formula>
    </cfRule>
    <cfRule type="expression" dxfId="216" priority="118">
      <formula>$C345="110"</formula>
    </cfRule>
  </conditionalFormatting>
  <conditionalFormatting sqref="U357">
    <cfRule type="expression" dxfId="215" priority="115">
      <formula>$C874="310"</formula>
    </cfRule>
    <cfRule type="expression" dxfId="214" priority="116">
      <formula>$C357="110"</formula>
    </cfRule>
  </conditionalFormatting>
  <conditionalFormatting sqref="U358">
    <cfRule type="expression" dxfId="213" priority="113">
      <formula>$C875="310"</formula>
    </cfRule>
    <cfRule type="expression" dxfId="212" priority="114">
      <formula>$C358="110"</formula>
    </cfRule>
  </conditionalFormatting>
  <conditionalFormatting sqref="U360">
    <cfRule type="expression" dxfId="211" priority="111">
      <formula>$C877="310"</formula>
    </cfRule>
    <cfRule type="expression" dxfId="210" priority="112">
      <formula>$C360="110"</formula>
    </cfRule>
  </conditionalFormatting>
  <conditionalFormatting sqref="U344">
    <cfRule type="expression" dxfId="209" priority="109">
      <formula>$C861="310"</formula>
    </cfRule>
    <cfRule type="expression" dxfId="208" priority="110">
      <formula>$C344="110"</formula>
    </cfRule>
  </conditionalFormatting>
  <conditionalFormatting sqref="U116">
    <cfRule type="expression" dxfId="207" priority="107">
      <formula>$C633="310"</formula>
    </cfRule>
    <cfRule type="expression" dxfId="206" priority="108">
      <formula>$C116="110"</formula>
    </cfRule>
  </conditionalFormatting>
  <conditionalFormatting sqref="V116">
    <cfRule type="expression" dxfId="205" priority="105">
      <formula>$C633="310"</formula>
    </cfRule>
    <cfRule type="expression" dxfId="204" priority="106">
      <formula>$C116="110"</formula>
    </cfRule>
  </conditionalFormatting>
  <conditionalFormatting sqref="V344">
    <cfRule type="expression" dxfId="203" priority="103">
      <formula>$C861="310"</formula>
    </cfRule>
    <cfRule type="expression" dxfId="202" priority="104">
      <formula>$C344="110"</formula>
    </cfRule>
  </conditionalFormatting>
  <conditionalFormatting sqref="F358">
    <cfRule type="expression" dxfId="201" priority="101">
      <formula>$C875="310"</formula>
    </cfRule>
    <cfRule type="expression" dxfId="200" priority="102">
      <formula>$C358="110"</formula>
    </cfRule>
  </conditionalFormatting>
  <conditionalFormatting sqref="T358">
    <cfRule type="expression" dxfId="199" priority="99">
      <formula>$C875="310"</formula>
    </cfRule>
    <cfRule type="expression" dxfId="198" priority="100">
      <formula>$C358="110"</formula>
    </cfRule>
  </conditionalFormatting>
  <conditionalFormatting sqref="C358">
    <cfRule type="expression" dxfId="197" priority="97">
      <formula>$C875="310"</formula>
    </cfRule>
    <cfRule type="expression" dxfId="196" priority="98">
      <formula>$C358="110"</formula>
    </cfRule>
  </conditionalFormatting>
  <conditionalFormatting sqref="D358">
    <cfRule type="expression" dxfId="195" priority="95">
      <formula>$C875="310"</formula>
    </cfRule>
    <cfRule type="expression" dxfId="194" priority="96">
      <formula>$C358="110"</formula>
    </cfRule>
  </conditionalFormatting>
  <conditionalFormatting sqref="E358">
    <cfRule type="expression" dxfId="193" priority="93">
      <formula>$C875="310"</formula>
    </cfRule>
    <cfRule type="expression" dxfId="192" priority="94">
      <formula>$C358="110"</formula>
    </cfRule>
  </conditionalFormatting>
  <conditionalFormatting sqref="W358">
    <cfRule type="expression" dxfId="191" priority="91">
      <formula>$C875="310"</formula>
    </cfRule>
    <cfRule type="expression" dxfId="190" priority="92">
      <formula>$C358="110"</formula>
    </cfRule>
  </conditionalFormatting>
  <conditionalFormatting sqref="V358">
    <cfRule type="expression" dxfId="189" priority="89">
      <formula>$C875="310"</formula>
    </cfRule>
    <cfRule type="expression" dxfId="188" priority="90">
      <formula>$C358="110"</formula>
    </cfRule>
  </conditionalFormatting>
  <conditionalFormatting sqref="U511:V515 U505:V508 U500:V503 U491:V498 U482:V489 U474:V480 U447:V471 U427:V445 U415:V425 U413:V413 U396:V410 U389:V394 U381:V387 U375:V379 V374 U364:V372">
    <cfRule type="expression" dxfId="187" priority="87">
      <formula>$C881="310"</formula>
    </cfRule>
    <cfRule type="expression" dxfId="186" priority="88">
      <formula>$C364="110"</formula>
    </cfRule>
  </conditionalFormatting>
  <conditionalFormatting sqref="C158:W158">
    <cfRule type="expression" dxfId="185" priority="83">
      <formula>$C689="310"</formula>
    </cfRule>
    <cfRule type="expression" dxfId="184" priority="84">
      <formula>$C158="110"</formula>
    </cfRule>
  </conditionalFormatting>
  <conditionalFormatting sqref="U509:V509">
    <cfRule type="expression" dxfId="183" priority="79">
      <formula>$C1130="310"</formula>
    </cfRule>
    <cfRule type="expression" dxfId="182" priority="80">
      <formula>$C509="110"</formula>
    </cfRule>
  </conditionalFormatting>
  <conditionalFormatting sqref="U509:V509">
    <cfRule type="expression" dxfId="181" priority="81">
      <formula>$C1133="310"</formula>
    </cfRule>
    <cfRule type="expression" dxfId="180" priority="82">
      <formula>$C509="110"</formula>
    </cfRule>
  </conditionalFormatting>
  <conditionalFormatting sqref="U510:V510">
    <cfRule type="expression" dxfId="179" priority="75">
      <formula>$C1125="310"</formula>
    </cfRule>
    <cfRule type="expression" dxfId="178" priority="76">
      <formula>$C510="110"</formula>
    </cfRule>
  </conditionalFormatting>
  <conditionalFormatting sqref="U510:V510">
    <cfRule type="expression" dxfId="177" priority="77">
      <formula>$C1128="310"</formula>
    </cfRule>
    <cfRule type="expression" dxfId="176" priority="78">
      <formula>$C510="110"</formula>
    </cfRule>
  </conditionalFormatting>
  <conditionalFormatting sqref="U504:V504">
    <cfRule type="expression" dxfId="175" priority="71">
      <formula>$C1124="310"</formula>
    </cfRule>
    <cfRule type="expression" dxfId="174" priority="72">
      <formula>$C504="110"</formula>
    </cfRule>
  </conditionalFormatting>
  <conditionalFormatting sqref="U504:V504">
    <cfRule type="expression" dxfId="173" priority="73">
      <formula>$C1127="310"</formula>
    </cfRule>
    <cfRule type="expression" dxfId="172" priority="74">
      <formula>$C504="110"</formula>
    </cfRule>
  </conditionalFormatting>
  <conditionalFormatting sqref="U499:V499">
    <cfRule type="expression" dxfId="171" priority="67">
      <formula>$C1113="310"</formula>
    </cfRule>
    <cfRule type="expression" dxfId="170" priority="68">
      <formula>$C499="110"</formula>
    </cfRule>
  </conditionalFormatting>
  <conditionalFormatting sqref="U499:V499">
    <cfRule type="expression" dxfId="169" priority="69">
      <formula>$C1116="310"</formula>
    </cfRule>
    <cfRule type="expression" dxfId="168" priority="70">
      <formula>$C499="110"</formula>
    </cfRule>
  </conditionalFormatting>
  <conditionalFormatting sqref="U490:V490">
    <cfRule type="expression" dxfId="167" priority="63">
      <formula>$C1104="310"</formula>
    </cfRule>
    <cfRule type="expression" dxfId="166" priority="64">
      <formula>$C490="110"</formula>
    </cfRule>
  </conditionalFormatting>
  <conditionalFormatting sqref="U490:V490">
    <cfRule type="expression" dxfId="165" priority="65">
      <formula>$C1107="310"</formula>
    </cfRule>
    <cfRule type="expression" dxfId="164" priority="66">
      <formula>$C490="110"</formula>
    </cfRule>
  </conditionalFormatting>
  <conditionalFormatting sqref="U481:V481">
    <cfRule type="expression" dxfId="163" priority="59">
      <formula>$C1095="310"</formula>
    </cfRule>
    <cfRule type="expression" dxfId="162" priority="60">
      <formula>$C481="110"</formula>
    </cfRule>
  </conditionalFormatting>
  <conditionalFormatting sqref="U481:V481">
    <cfRule type="expression" dxfId="161" priority="61">
      <formula>$C1098="310"</formula>
    </cfRule>
    <cfRule type="expression" dxfId="160" priority="62">
      <formula>$C481="110"</formula>
    </cfRule>
  </conditionalFormatting>
  <conditionalFormatting sqref="U472:V472">
    <cfRule type="expression" dxfId="159" priority="57">
      <formula>$C1094="310"</formula>
    </cfRule>
    <cfRule type="expression" dxfId="158" priority="58">
      <formula>$C472="110"</formula>
    </cfRule>
  </conditionalFormatting>
  <conditionalFormatting sqref="U473:V473">
    <cfRule type="expression" dxfId="157" priority="55">
      <formula>$C1089="310"</formula>
    </cfRule>
    <cfRule type="expression" dxfId="156" priority="56">
      <formula>$C473="110"</formula>
    </cfRule>
  </conditionalFormatting>
  <conditionalFormatting sqref="U473:V473">
    <cfRule type="expression" dxfId="155" priority="53">
      <formula>$C1092="310"</formula>
    </cfRule>
    <cfRule type="expression" dxfId="154" priority="54">
      <formula>$C473="110"</formula>
    </cfRule>
  </conditionalFormatting>
  <conditionalFormatting sqref="U472:V472">
    <cfRule type="expression" dxfId="153" priority="51">
      <formula>$C1097="310"</formula>
    </cfRule>
    <cfRule type="expression" dxfId="152" priority="52">
      <formula>$C472="110"</formula>
    </cfRule>
  </conditionalFormatting>
  <conditionalFormatting sqref="U446:V446">
    <cfRule type="expression" dxfId="151" priority="47">
      <formula>$C1067="310"</formula>
    </cfRule>
    <cfRule type="expression" dxfId="150" priority="48">
      <formula>$C446="110"</formula>
    </cfRule>
  </conditionalFormatting>
  <conditionalFormatting sqref="U446:V446">
    <cfRule type="expression" dxfId="149" priority="49">
      <formula>$C1064="310"</formula>
    </cfRule>
    <cfRule type="expression" dxfId="148" priority="50">
      <formula>$C446="110"</formula>
    </cfRule>
  </conditionalFormatting>
  <conditionalFormatting sqref="U426:V426">
    <cfRule type="expression" dxfId="147" priority="45">
      <formula>$C1050="310"</formula>
    </cfRule>
    <cfRule type="expression" dxfId="146" priority="46">
      <formula>$C426="110"</formula>
    </cfRule>
  </conditionalFormatting>
  <conditionalFormatting sqref="U426:V426">
    <cfRule type="expression" dxfId="145" priority="43">
      <formula>$C1047="310"</formula>
    </cfRule>
    <cfRule type="expression" dxfId="144" priority="44">
      <formula>$C426="110"</formula>
    </cfRule>
  </conditionalFormatting>
  <conditionalFormatting sqref="U414:V414">
    <cfRule type="expression" dxfId="143" priority="41">
      <formula>$C915="310"</formula>
    </cfRule>
    <cfRule type="expression" dxfId="142" priority="42">
      <formula>$C414="110"</formula>
    </cfRule>
  </conditionalFormatting>
  <conditionalFormatting sqref="U411:V412">
    <cfRule type="expression" dxfId="141" priority="39">
      <formula>$C1034="310"</formula>
    </cfRule>
    <cfRule type="expression" dxfId="140" priority="40">
      <formula>$C411="110"</formula>
    </cfRule>
  </conditionalFormatting>
  <conditionalFormatting sqref="U411:V412">
    <cfRule type="expression" dxfId="139" priority="37">
      <formula>$C1037="310"</formula>
    </cfRule>
    <cfRule type="expression" dxfId="138" priority="38">
      <formula>$C411="110"</formula>
    </cfRule>
  </conditionalFormatting>
  <conditionalFormatting sqref="U395:V395">
    <cfRule type="expression" dxfId="137" priority="35">
      <formula>$C1018="310"</formula>
    </cfRule>
    <cfRule type="expression" dxfId="136" priority="36">
      <formula>$C395="110"</formula>
    </cfRule>
  </conditionalFormatting>
  <conditionalFormatting sqref="U395:V395">
    <cfRule type="expression" dxfId="135" priority="33">
      <formula>$C1021="310"</formula>
    </cfRule>
    <cfRule type="expression" dxfId="134" priority="34">
      <formula>$C395="110"</formula>
    </cfRule>
  </conditionalFormatting>
  <conditionalFormatting sqref="U388:V388">
    <cfRule type="expression" dxfId="133" priority="31">
      <formula>$C1006="310"</formula>
    </cfRule>
    <cfRule type="expression" dxfId="132" priority="32">
      <formula>$C388="110"</formula>
    </cfRule>
  </conditionalFormatting>
  <conditionalFormatting sqref="U388:V388">
    <cfRule type="expression" dxfId="131" priority="29">
      <formula>$C1009="310"</formula>
    </cfRule>
    <cfRule type="expression" dxfId="130" priority="30">
      <formula>$C388="110"</formula>
    </cfRule>
  </conditionalFormatting>
  <conditionalFormatting sqref="U380:V380">
    <cfRule type="expression" dxfId="129" priority="27">
      <formula>$C876="310"</formula>
    </cfRule>
    <cfRule type="expression" dxfId="128" priority="28">
      <formula>$C380="110"</formula>
    </cfRule>
  </conditionalFormatting>
  <conditionalFormatting sqref="U373:V373">
    <cfRule type="expression" dxfId="127" priority="25">
      <formula>$C984="310"</formula>
    </cfRule>
    <cfRule type="expression" dxfId="126" priority="26">
      <formula>$C373="110"</formula>
    </cfRule>
  </conditionalFormatting>
  <conditionalFormatting sqref="U373:V373">
    <cfRule type="expression" dxfId="125" priority="23">
      <formula>$C981="310"</formula>
    </cfRule>
    <cfRule type="expression" dxfId="124" priority="24">
      <formula>$C373="110"</formula>
    </cfRule>
  </conditionalFormatting>
  <conditionalFormatting sqref="U374">
    <cfRule type="expression" dxfId="123" priority="21">
      <formula>$C985="310"</formula>
    </cfRule>
    <cfRule type="expression" dxfId="122" priority="22">
      <formula>$C374="110"</formula>
    </cfRule>
  </conditionalFormatting>
  <conditionalFormatting sqref="U374">
    <cfRule type="expression" dxfId="121" priority="19">
      <formula>$C982="310"</formula>
    </cfRule>
    <cfRule type="expression" dxfId="120" priority="20">
      <formula>$C374="110"</formula>
    </cfRule>
  </conditionalFormatting>
  <conditionalFormatting sqref="U362:V362">
    <cfRule type="expression" dxfId="119" priority="17">
      <formula>$C972="310"</formula>
    </cfRule>
    <cfRule type="expression" dxfId="118" priority="18">
      <formula>$C362="110"</formula>
    </cfRule>
  </conditionalFormatting>
  <conditionalFormatting sqref="U362:V362">
    <cfRule type="expression" dxfId="117" priority="15">
      <formula>$C969="310"</formula>
    </cfRule>
    <cfRule type="expression" dxfId="116" priority="16">
      <formula>$C362="110"</formula>
    </cfRule>
  </conditionalFormatting>
  <conditionalFormatting sqref="U363:V363">
    <cfRule type="expression" dxfId="115" priority="13">
      <formula>$C967="310"</formula>
    </cfRule>
    <cfRule type="expression" dxfId="114" priority="14">
      <formula>$C363="110"</formula>
    </cfRule>
  </conditionalFormatting>
  <conditionalFormatting sqref="U363:V363">
    <cfRule type="expression" dxfId="113" priority="11">
      <formula>$C964="310"</formula>
    </cfRule>
    <cfRule type="expression" dxfId="112" priority="12">
      <formula>$C363="110"</formula>
    </cfRule>
  </conditionalFormatting>
  <conditionalFormatting sqref="U361:V361">
    <cfRule type="expression" dxfId="111" priority="9">
      <formula>$C936="310"</formula>
    </cfRule>
    <cfRule type="expression" dxfId="110" priority="10">
      <formula>$C361="110"</formula>
    </cfRule>
  </conditionalFormatting>
  <conditionalFormatting sqref="U361:V361">
    <cfRule type="expression" dxfId="109" priority="7">
      <formula>$C933="310"</formula>
    </cfRule>
    <cfRule type="expression" dxfId="108" priority="8">
      <formula>$C361="110"</formula>
    </cfRule>
  </conditionalFormatting>
  <conditionalFormatting sqref="U337:V338">
    <cfRule type="expression" dxfId="107" priority="5">
      <formula>$C881="310"</formula>
    </cfRule>
    <cfRule type="expression" dxfId="106" priority="6">
      <formula>$C337="110"</formula>
    </cfRule>
  </conditionalFormatting>
  <conditionalFormatting sqref="U320:V321">
    <cfRule type="expression" dxfId="105" priority="3">
      <formula>$C895="310"</formula>
    </cfRule>
    <cfRule type="expression" dxfId="104" priority="4">
      <formula>$C320="110"</formula>
    </cfRule>
  </conditionalFormatting>
  <conditionalFormatting sqref="U320:V321">
    <cfRule type="expression" dxfId="103" priority="1">
      <formula>$C892="310"</formula>
    </cfRule>
    <cfRule type="expression" dxfId="102" priority="2">
      <formula>$C320="110"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headerFooter>
    <oddFooter>&amp;C&amp;"David,רגיל"&amp;P</oddFooter>
  </headerFooter>
  <rowBreaks count="10" manualBreakCount="10">
    <brk id="64" min="1" max="23" man="1"/>
    <brk id="94" max="16383" man="1"/>
    <brk id="138" max="16383" man="1"/>
    <brk id="184" max="16383" man="1"/>
    <brk id="223" min="1" max="21" man="1"/>
    <brk id="289" min="1" max="21" man="1"/>
    <brk id="353" max="16383" man="1"/>
    <brk id="400" max="16383" man="1"/>
    <brk id="452" max="16383" man="1"/>
    <brk id="50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H1108"/>
  <sheetViews>
    <sheetView rightToLeft="1" topLeftCell="A1069" workbookViewId="0">
      <selection activeCell="G788" sqref="G788:G840"/>
    </sheetView>
  </sheetViews>
  <sheetFormatPr defaultRowHeight="14.25"/>
  <cols>
    <col min="1" max="1" width="11.125" bestFit="1" customWidth="1"/>
    <col min="2" max="2" width="25.625" bestFit="1" customWidth="1"/>
    <col min="3" max="3" width="9.5" bestFit="1" customWidth="1"/>
    <col min="4" max="5" width="12.5" bestFit="1" customWidth="1"/>
    <col min="6" max="6" width="34" customWidth="1"/>
    <col min="7" max="7" width="12.5" bestFit="1" customWidth="1"/>
  </cols>
  <sheetData>
    <row r="3" spans="1:8">
      <c r="A3" t="s">
        <v>0</v>
      </c>
      <c r="B3" t="s">
        <v>1</v>
      </c>
      <c r="C3" t="s">
        <v>2045</v>
      </c>
      <c r="D3" t="s">
        <v>1667</v>
      </c>
      <c r="E3" t="s">
        <v>2090</v>
      </c>
      <c r="F3" t="s">
        <v>417</v>
      </c>
      <c r="G3" t="s">
        <v>2091</v>
      </c>
    </row>
    <row r="4" spans="1:8">
      <c r="A4">
        <v>1111000100</v>
      </c>
      <c r="B4" t="s">
        <v>426</v>
      </c>
      <c r="C4">
        <v>-5300000</v>
      </c>
      <c r="D4">
        <v>-4733311.84</v>
      </c>
      <c r="G4">
        <v>-4733311.84</v>
      </c>
      <c r="H4">
        <f>VLOOKUP(A4,הכנסות!$B$2:$X$257,11,0)</f>
        <v>5200000</v>
      </c>
    </row>
    <row r="5" spans="1:8">
      <c r="A5">
        <v>1111000102</v>
      </c>
      <c r="B5" t="s">
        <v>1668</v>
      </c>
      <c r="C5">
        <v>0</v>
      </c>
      <c r="D5">
        <v>0</v>
      </c>
      <c r="G5">
        <v>0</v>
      </c>
      <c r="H5" t="e">
        <f>VLOOKUP(A5,הכנסות!$B$2:$X$257,11,0)</f>
        <v>#N/A</v>
      </c>
    </row>
    <row r="6" spans="1:8">
      <c r="A6">
        <v>1111000109</v>
      </c>
      <c r="B6" t="s">
        <v>1669</v>
      </c>
      <c r="C6">
        <v>0</v>
      </c>
      <c r="D6">
        <v>0</v>
      </c>
      <c r="G6">
        <v>0</v>
      </c>
      <c r="H6" t="e">
        <f>VLOOKUP(A6,הכנסות!$B$2:$X$257,11,0)</f>
        <v>#N/A</v>
      </c>
    </row>
    <row r="7" spans="1:8">
      <c r="A7">
        <v>1111000110</v>
      </c>
      <c r="B7" t="s">
        <v>1670</v>
      </c>
      <c r="C7">
        <v>0</v>
      </c>
      <c r="D7">
        <v>0</v>
      </c>
      <c r="G7">
        <v>0</v>
      </c>
      <c r="H7" t="e">
        <f>VLOOKUP(A7,הכנסות!$B$2:$X$257,11,0)</f>
        <v>#N/A</v>
      </c>
    </row>
    <row r="8" spans="1:8">
      <c r="A8">
        <v>1111000114</v>
      </c>
      <c r="B8" t="s">
        <v>2005</v>
      </c>
      <c r="C8">
        <v>-100000</v>
      </c>
      <c r="D8">
        <v>-111579.65</v>
      </c>
      <c r="G8">
        <v>-111579.65</v>
      </c>
      <c r="H8">
        <f>VLOOKUP(A8,הכנסות!$B$2:$X$257,11,0)</f>
        <v>0</v>
      </c>
    </row>
    <row r="9" spans="1:8">
      <c r="A9">
        <v>1111000120</v>
      </c>
      <c r="B9" t="s">
        <v>1672</v>
      </c>
      <c r="C9">
        <v>0</v>
      </c>
      <c r="D9">
        <v>0</v>
      </c>
      <c r="G9">
        <v>0</v>
      </c>
      <c r="H9" t="e">
        <f>VLOOKUP(A9,הכנסות!$B$2:$X$257,11,0)</f>
        <v>#N/A</v>
      </c>
    </row>
    <row r="10" spans="1:8">
      <c r="A10">
        <v>1111000123</v>
      </c>
      <c r="B10" t="s">
        <v>1673</v>
      </c>
      <c r="C10">
        <v>0</v>
      </c>
      <c r="D10">
        <v>0</v>
      </c>
      <c r="G10">
        <v>0</v>
      </c>
      <c r="H10" t="e">
        <f>VLOOKUP(A10,הכנסות!$B$2:$X$257,11,0)</f>
        <v>#N/A</v>
      </c>
    </row>
    <row r="11" spans="1:8">
      <c r="A11">
        <v>1111000137</v>
      </c>
      <c r="B11" t="s">
        <v>1674</v>
      </c>
      <c r="C11">
        <v>0</v>
      </c>
      <c r="D11">
        <v>0</v>
      </c>
      <c r="G11">
        <v>0</v>
      </c>
      <c r="H11" t="e">
        <f>VLOOKUP(A11,הכנסות!$B$2:$X$257,11,0)</f>
        <v>#N/A</v>
      </c>
    </row>
    <row r="12" spans="1:8">
      <c r="A12">
        <v>1111000140</v>
      </c>
      <c r="B12" t="s">
        <v>1675</v>
      </c>
      <c r="C12">
        <v>0</v>
      </c>
      <c r="D12">
        <v>0</v>
      </c>
      <c r="G12">
        <v>0</v>
      </c>
      <c r="H12" t="e">
        <f>VLOOKUP(A12,הכנסות!$B$2:$X$257,11,0)</f>
        <v>#N/A</v>
      </c>
    </row>
    <row r="13" spans="1:8">
      <c r="A13">
        <v>1111000196</v>
      </c>
      <c r="B13" t="s">
        <v>1676</v>
      </c>
      <c r="C13">
        <v>0</v>
      </c>
      <c r="D13">
        <v>5538.84</v>
      </c>
      <c r="G13">
        <v>0</v>
      </c>
      <c r="H13" t="e">
        <f>VLOOKUP(A13,הכנסות!$B$2:$X$257,11,0)</f>
        <v>#N/A</v>
      </c>
    </row>
    <row r="14" spans="1:8">
      <c r="A14">
        <v>1111000500</v>
      </c>
      <c r="B14" t="s">
        <v>1677</v>
      </c>
      <c r="C14">
        <v>0</v>
      </c>
      <c r="D14">
        <v>0</v>
      </c>
      <c r="G14">
        <v>0</v>
      </c>
      <c r="H14" t="e">
        <f>VLOOKUP(A14,הכנסות!$B$2:$X$257,11,0)</f>
        <v>#N/A</v>
      </c>
    </row>
    <row r="15" spans="1:8">
      <c r="A15">
        <v>1111000600</v>
      </c>
      <c r="B15" t="s">
        <v>1678</v>
      </c>
      <c r="C15">
        <v>0</v>
      </c>
      <c r="D15">
        <v>0</v>
      </c>
      <c r="G15">
        <v>0</v>
      </c>
      <c r="H15" t="e">
        <f>VLOOKUP(A15,הכנסות!$B$2:$X$257,11,0)</f>
        <v>#N/A</v>
      </c>
    </row>
    <row r="16" spans="1:8">
      <c r="A16">
        <v>1111000700</v>
      </c>
      <c r="B16" t="s">
        <v>1679</v>
      </c>
      <c r="C16">
        <v>0</v>
      </c>
      <c r="D16">
        <v>0</v>
      </c>
      <c r="G16">
        <v>0</v>
      </c>
      <c r="H16" t="e">
        <f>VLOOKUP(A16,הכנסות!$B$2:$X$257,11,0)</f>
        <v>#N/A</v>
      </c>
    </row>
    <row r="17" spans="1:8">
      <c r="A17">
        <v>1111000899</v>
      </c>
      <c r="B17" t="s">
        <v>1680</v>
      </c>
      <c r="C17">
        <v>0</v>
      </c>
      <c r="D17">
        <v>0</v>
      </c>
      <c r="G17">
        <v>0</v>
      </c>
      <c r="H17" t="e">
        <f>VLOOKUP(A17,הכנסות!$B$2:$X$257,11,0)</f>
        <v>#N/A</v>
      </c>
    </row>
    <row r="18" spans="1:8">
      <c r="A18">
        <v>1111000915</v>
      </c>
      <c r="B18" t="s">
        <v>1681</v>
      </c>
      <c r="C18">
        <v>0</v>
      </c>
      <c r="D18">
        <v>0</v>
      </c>
      <c r="G18">
        <v>0</v>
      </c>
      <c r="H18" t="e">
        <f>VLOOKUP(A18,הכנסות!$B$2:$X$257,11,0)</f>
        <v>#N/A</v>
      </c>
    </row>
    <row r="19" spans="1:8">
      <c r="A19">
        <v>1111000922</v>
      </c>
      <c r="B19" t="s">
        <v>1682</v>
      </c>
      <c r="C19">
        <v>0</v>
      </c>
      <c r="D19">
        <v>0</v>
      </c>
      <c r="G19">
        <v>0</v>
      </c>
      <c r="H19" t="e">
        <f>VLOOKUP(A19,הכנסות!$B$2:$X$257,11,0)</f>
        <v>#N/A</v>
      </c>
    </row>
    <row r="20" spans="1:8">
      <c r="A20">
        <v>1111200100</v>
      </c>
      <c r="B20" t="s">
        <v>427</v>
      </c>
      <c r="C20">
        <v>-1700000</v>
      </c>
      <c r="D20">
        <v>-1665987.48</v>
      </c>
      <c r="G20">
        <v>-1665987.48</v>
      </c>
      <c r="H20">
        <f>VLOOKUP(A20,הכנסות!$B$2:$X$257,11,0)</f>
        <v>1000000</v>
      </c>
    </row>
    <row r="21" spans="1:8">
      <c r="A21">
        <v>1116000100</v>
      </c>
      <c r="B21" t="s">
        <v>428</v>
      </c>
      <c r="C21">
        <v>-4000000</v>
      </c>
      <c r="D21">
        <v>-3892654.4</v>
      </c>
      <c r="G21">
        <v>-3892654.4</v>
      </c>
      <c r="H21">
        <f>VLOOKUP(A21,הכנסות!$B$2:$X$257,11,0)</f>
        <v>3500000</v>
      </c>
    </row>
    <row r="22" spans="1:8">
      <c r="A22">
        <v>1121000290</v>
      </c>
      <c r="B22" t="s">
        <v>429</v>
      </c>
      <c r="C22">
        <v>0</v>
      </c>
      <c r="D22">
        <v>0</v>
      </c>
      <c r="G22">
        <v>0</v>
      </c>
      <c r="H22" t="e">
        <f>VLOOKUP(A22,הכנסות!$B$2:$X$257,11,0)</f>
        <v>#N/A</v>
      </c>
    </row>
    <row r="23" spans="1:8">
      <c r="A23">
        <v>1121000291</v>
      </c>
      <c r="B23" t="s">
        <v>430</v>
      </c>
      <c r="C23">
        <v>-60000</v>
      </c>
      <c r="D23">
        <v>-75200</v>
      </c>
      <c r="G23">
        <v>-75200</v>
      </c>
      <c r="H23">
        <f>VLOOKUP(A23,הכנסות!$B$2:$X$257,11,0)</f>
        <v>50000</v>
      </c>
    </row>
    <row r="24" spans="1:8">
      <c r="A24">
        <v>1191000910</v>
      </c>
      <c r="B24" t="s">
        <v>431</v>
      </c>
      <c r="C24">
        <v>-14001200</v>
      </c>
      <c r="D24">
        <v>-14001580.82</v>
      </c>
      <c r="G24">
        <v>-14001580.82</v>
      </c>
      <c r="H24">
        <f>VLOOKUP(A24,הכנסות!$B$2:$X$257,11,0)</f>
        <v>12048000</v>
      </c>
    </row>
    <row r="25" spans="1:8">
      <c r="A25">
        <v>1192000910</v>
      </c>
      <c r="B25" t="s">
        <v>432</v>
      </c>
      <c r="C25">
        <v>0</v>
      </c>
      <c r="D25">
        <v>-196033</v>
      </c>
      <c r="F25" t="s">
        <v>2092</v>
      </c>
      <c r="G25">
        <v>-196033</v>
      </c>
      <c r="H25">
        <f>VLOOKUP(A25,הכנסות!$B$2:$X$257,11,0)</f>
        <v>240000</v>
      </c>
    </row>
    <row r="26" spans="1:8">
      <c r="A26">
        <v>1192010910</v>
      </c>
      <c r="B26" t="s">
        <v>433</v>
      </c>
      <c r="C26">
        <v>-2470800</v>
      </c>
      <c r="D26">
        <v>-823621</v>
      </c>
      <c r="G26">
        <v>-823621</v>
      </c>
      <c r="H26">
        <f>VLOOKUP(A26,הכנסות!$B$2:$X$257,11,0)</f>
        <v>2126000</v>
      </c>
    </row>
    <row r="27" spans="1:8">
      <c r="A27">
        <v>1194000910</v>
      </c>
      <c r="B27" t="s">
        <v>2093</v>
      </c>
      <c r="C27">
        <v>0</v>
      </c>
      <c r="D27">
        <v>-187990</v>
      </c>
      <c r="E27">
        <v>-229022.2</v>
      </c>
      <c r="F27" t="s">
        <v>2094</v>
      </c>
      <c r="G27">
        <v>-417012.2</v>
      </c>
      <c r="H27">
        <f>VLOOKUP(A27,הכנסות!$B$2:$X$257,11,0)</f>
        <v>0</v>
      </c>
    </row>
    <row r="28" spans="1:8">
      <c r="A28">
        <v>1196000910</v>
      </c>
      <c r="B28" t="s">
        <v>434</v>
      </c>
      <c r="C28">
        <v>-1240000</v>
      </c>
      <c r="D28">
        <v>-2397036</v>
      </c>
      <c r="F28" t="s">
        <v>2095</v>
      </c>
      <c r="G28">
        <v>-2397036</v>
      </c>
      <c r="H28">
        <f>VLOOKUP(A28,הכנסות!$B$2:$X$257,11,0)</f>
        <v>0</v>
      </c>
    </row>
    <row r="29" spans="1:8">
      <c r="A29">
        <v>1197000910</v>
      </c>
      <c r="B29" t="s">
        <v>435</v>
      </c>
      <c r="C29">
        <v>0</v>
      </c>
      <c r="D29">
        <v>0</v>
      </c>
      <c r="G29">
        <v>0</v>
      </c>
      <c r="H29" t="e">
        <f>VLOOKUP(A29,הכנסות!$B$2:$X$257,11,0)</f>
        <v>#N/A</v>
      </c>
    </row>
    <row r="30" spans="1:8">
      <c r="A30">
        <v>1212300220</v>
      </c>
      <c r="B30" t="s">
        <v>436</v>
      </c>
      <c r="C30">
        <v>-3000</v>
      </c>
      <c r="D30">
        <v>-8069.83</v>
      </c>
      <c r="G30">
        <v>-8069.83</v>
      </c>
      <c r="H30">
        <f>VLOOKUP(A30,הכנסות!$B$2:$X$257,11,0)</f>
        <v>10000</v>
      </c>
    </row>
    <row r="31" spans="1:8">
      <c r="A31">
        <v>1215300990</v>
      </c>
      <c r="B31" t="s">
        <v>437</v>
      </c>
      <c r="C31">
        <v>0</v>
      </c>
      <c r="D31">
        <v>0</v>
      </c>
      <c r="G31">
        <v>0</v>
      </c>
      <c r="H31" t="e">
        <f>VLOOKUP(A31,הכנסות!$B$2:$X$257,11,0)</f>
        <v>#N/A</v>
      </c>
    </row>
    <row r="32" spans="1:8">
      <c r="A32">
        <v>1224000970</v>
      </c>
      <c r="B32" t="s">
        <v>92</v>
      </c>
      <c r="C32">
        <v>-357850</v>
      </c>
      <c r="D32">
        <v>-507806</v>
      </c>
      <c r="G32">
        <v>-507806</v>
      </c>
      <c r="H32">
        <f>VLOOKUP(A32,הכנסות!$B$2:$X$257,11,0)</f>
        <v>243000</v>
      </c>
    </row>
    <row r="33" spans="1:8">
      <c r="A33">
        <v>1232100420</v>
      </c>
      <c r="B33" t="s">
        <v>438</v>
      </c>
      <c r="C33">
        <v>0</v>
      </c>
      <c r="D33">
        <v>0</v>
      </c>
      <c r="G33">
        <v>0</v>
      </c>
      <c r="H33" t="e">
        <f>VLOOKUP(A33,הכנסות!$B$2:$X$257,11,0)</f>
        <v>#N/A</v>
      </c>
    </row>
    <row r="34" spans="1:8">
      <c r="A34">
        <v>1233100220</v>
      </c>
      <c r="B34" t="s">
        <v>439</v>
      </c>
      <c r="C34">
        <v>0</v>
      </c>
      <c r="D34">
        <v>0</v>
      </c>
      <c r="E34">
        <v>0</v>
      </c>
      <c r="G34">
        <v>0</v>
      </c>
      <c r="H34" t="e">
        <f>VLOOKUP(A34,הכנסות!$B$2:$X$257,11,0)</f>
        <v>#N/A</v>
      </c>
    </row>
    <row r="35" spans="1:8">
      <c r="A35">
        <v>1233100710</v>
      </c>
      <c r="B35" t="s">
        <v>440</v>
      </c>
      <c r="C35">
        <v>-500000</v>
      </c>
      <c r="D35">
        <v>-200000</v>
      </c>
      <c r="E35">
        <v>-300000</v>
      </c>
      <c r="F35" t="s">
        <v>2096</v>
      </c>
      <c r="G35">
        <v>-500000</v>
      </c>
      <c r="H35">
        <f>VLOOKUP(A35,הכנסות!$B$2:$X$257,11,0)</f>
        <v>700000</v>
      </c>
    </row>
    <row r="36" spans="1:8">
      <c r="A36">
        <v>1233400290</v>
      </c>
      <c r="B36" t="s">
        <v>441</v>
      </c>
      <c r="C36">
        <v>0</v>
      </c>
      <c r="D36">
        <v>0</v>
      </c>
      <c r="G36">
        <v>0</v>
      </c>
      <c r="H36" t="e">
        <f>VLOOKUP(A36,הכנסות!$B$2:$X$257,11,0)</f>
        <v>#N/A</v>
      </c>
    </row>
    <row r="37" spans="1:8">
      <c r="A37">
        <v>1233400710</v>
      </c>
      <c r="B37" t="s">
        <v>442</v>
      </c>
      <c r="C37">
        <v>0</v>
      </c>
      <c r="D37">
        <v>0</v>
      </c>
      <c r="G37">
        <v>0</v>
      </c>
      <c r="H37" t="e">
        <f>VLOOKUP(A37,הכנסות!$B$2:$X$257,11,0)</f>
        <v>#N/A</v>
      </c>
    </row>
    <row r="38" spans="1:8">
      <c r="A38">
        <v>1233400790</v>
      </c>
      <c r="B38" t="s">
        <v>443</v>
      </c>
      <c r="C38">
        <v>0</v>
      </c>
      <c r="D38">
        <v>0</v>
      </c>
      <c r="G38">
        <v>0</v>
      </c>
      <c r="H38" t="e">
        <f>VLOOKUP(A38,הכנסות!$B$2:$X$257,11,0)</f>
        <v>#N/A</v>
      </c>
    </row>
    <row r="39" spans="1:8">
      <c r="A39">
        <v>1233410290</v>
      </c>
      <c r="B39" t="s">
        <v>444</v>
      </c>
      <c r="C39">
        <v>-500000</v>
      </c>
      <c r="D39">
        <v>-85641</v>
      </c>
      <c r="E39">
        <v>-1000000</v>
      </c>
      <c r="F39" t="s">
        <v>2097</v>
      </c>
      <c r="G39">
        <v>-1085641</v>
      </c>
      <c r="H39">
        <f>VLOOKUP(A39,הכנסות!$B$2:$X$257,11,0)</f>
        <v>1000000</v>
      </c>
    </row>
    <row r="40" spans="1:8">
      <c r="A40">
        <v>1242200810</v>
      </c>
      <c r="B40" t="s">
        <v>445</v>
      </c>
      <c r="C40">
        <v>0</v>
      </c>
      <c r="D40">
        <v>0</v>
      </c>
      <c r="G40">
        <v>0</v>
      </c>
      <c r="H40" t="e">
        <f>VLOOKUP(A40,הכנסות!$B$2:$X$257,11,0)</f>
        <v>#N/A</v>
      </c>
    </row>
    <row r="41" spans="1:8">
      <c r="A41">
        <v>1244000990</v>
      </c>
      <c r="B41" t="s">
        <v>94</v>
      </c>
      <c r="C41">
        <v>0</v>
      </c>
      <c r="D41">
        <v>0</v>
      </c>
      <c r="G41">
        <v>0</v>
      </c>
      <c r="H41">
        <f>VLOOKUP(A41,הכנסות!$B$2:$X$257,11,0)</f>
        <v>18000</v>
      </c>
    </row>
    <row r="42" spans="1:8">
      <c r="A42">
        <v>1269000690</v>
      </c>
      <c r="B42" t="s">
        <v>446</v>
      </c>
      <c r="C42">
        <v>-120000</v>
      </c>
      <c r="D42">
        <v>-950936.89</v>
      </c>
      <c r="G42">
        <v>-950936.89</v>
      </c>
      <c r="H42">
        <f>VLOOKUP(A42,הכנסות!$B$2:$X$257,11,0)</f>
        <v>0</v>
      </c>
    </row>
    <row r="43" spans="1:8" ht="14.25" customHeight="1">
      <c r="A43">
        <v>1269000691</v>
      </c>
      <c r="B43" t="s">
        <v>447</v>
      </c>
      <c r="C43">
        <v>0</v>
      </c>
      <c r="D43">
        <v>-257</v>
      </c>
      <c r="G43">
        <v>-257</v>
      </c>
      <c r="H43">
        <f>VLOOKUP(A43,הכנסות!$B$2:$X$257,11,0)</f>
        <v>15000</v>
      </c>
    </row>
    <row r="44" spans="1:8" ht="27.75" customHeight="1">
      <c r="A44">
        <v>1269000692</v>
      </c>
      <c r="B44" t="s">
        <v>1683</v>
      </c>
      <c r="C44">
        <v>0</v>
      </c>
      <c r="D44">
        <v>0</v>
      </c>
      <c r="G44">
        <v>0</v>
      </c>
      <c r="H44">
        <f>VLOOKUP(A44,הכנסות!$B$2:$X$257,11,0)</f>
        <v>0</v>
      </c>
    </row>
    <row r="45" spans="1:8">
      <c r="A45">
        <v>1269000693</v>
      </c>
      <c r="B45" t="s">
        <v>2098</v>
      </c>
      <c r="C45">
        <v>0</v>
      </c>
      <c r="D45">
        <v>-290063.62</v>
      </c>
      <c r="G45">
        <f>-290063.62+5538.84</f>
        <v>-284524.77999999997</v>
      </c>
      <c r="H45">
        <f>VLOOKUP(A45,הכנסות!$B$2:$X$257,11,0)</f>
        <v>0</v>
      </c>
    </row>
    <row r="46" spans="1:8">
      <c r="A46">
        <v>1269000694</v>
      </c>
      <c r="B46" t="s">
        <v>1684</v>
      </c>
      <c r="C46">
        <v>0</v>
      </c>
      <c r="D46">
        <v>0</v>
      </c>
      <c r="G46">
        <v>0</v>
      </c>
      <c r="H46">
        <f>VLOOKUP(A46,הכנסות!$B$2:$X$257,11,0)</f>
        <v>0</v>
      </c>
    </row>
    <row r="47" spans="1:8">
      <c r="A47">
        <v>1311000740</v>
      </c>
      <c r="B47" t="s">
        <v>448</v>
      </c>
      <c r="C47">
        <v>0</v>
      </c>
      <c r="D47">
        <v>0</v>
      </c>
      <c r="G47">
        <v>0</v>
      </c>
      <c r="H47" t="e">
        <f>VLOOKUP(A47,הכנסות!$B$2:$X$257,11,0)</f>
        <v>#N/A</v>
      </c>
    </row>
    <row r="48" spans="1:8">
      <c r="A48">
        <v>1311000920</v>
      </c>
      <c r="B48" t="s">
        <v>449</v>
      </c>
      <c r="C48">
        <v>0</v>
      </c>
      <c r="D48">
        <v>0</v>
      </c>
      <c r="G48">
        <v>0</v>
      </c>
      <c r="H48" t="e">
        <f>VLOOKUP(A48,הכנסות!$B$2:$X$257,11,0)</f>
        <v>#N/A</v>
      </c>
    </row>
    <row r="49" spans="1:8">
      <c r="A49">
        <v>1311020920</v>
      </c>
      <c r="B49" t="s">
        <v>139</v>
      </c>
      <c r="C49">
        <v>-130000</v>
      </c>
      <c r="D49">
        <v>0</v>
      </c>
      <c r="G49">
        <v>0</v>
      </c>
      <c r="H49">
        <f>VLOOKUP(A49,הכנסות!$B$2:$X$257,11,0)</f>
        <v>130000</v>
      </c>
    </row>
    <row r="50" spans="1:8">
      <c r="A50">
        <v>1312000920</v>
      </c>
      <c r="B50" t="s">
        <v>450</v>
      </c>
      <c r="C50">
        <v>0</v>
      </c>
      <c r="D50">
        <v>0</v>
      </c>
      <c r="G50">
        <v>0</v>
      </c>
      <c r="H50">
        <f>VLOOKUP(A50,הכנסות!$B$2:$X$257,11,0)</f>
        <v>100000</v>
      </c>
    </row>
    <row r="51" spans="1:8">
      <c r="A51">
        <v>1312200410</v>
      </c>
      <c r="B51" t="s">
        <v>142</v>
      </c>
      <c r="C51">
        <v>-15000</v>
      </c>
      <c r="D51">
        <v>-6500</v>
      </c>
      <c r="G51">
        <v>-6500</v>
      </c>
      <c r="H51">
        <f>VLOOKUP(A51,הכנסות!$B$2:$X$257,11,0)</f>
        <v>0</v>
      </c>
    </row>
    <row r="52" spans="1:8">
      <c r="A52">
        <v>1312200690</v>
      </c>
      <c r="B52" t="s">
        <v>2099</v>
      </c>
      <c r="C52">
        <v>0</v>
      </c>
      <c r="D52">
        <v>0</v>
      </c>
      <c r="G52">
        <v>0</v>
      </c>
      <c r="H52" t="e">
        <f>VLOOKUP(A52,הכנסות!$B$2:$X$257,11,0)</f>
        <v>#N/A</v>
      </c>
    </row>
    <row r="53" spans="1:8">
      <c r="A53">
        <v>1312200920</v>
      </c>
      <c r="B53" t="s">
        <v>451</v>
      </c>
      <c r="C53">
        <v>0</v>
      </c>
      <c r="D53">
        <v>0</v>
      </c>
      <c r="G53">
        <v>0</v>
      </c>
      <c r="H53">
        <f>VLOOKUP(A53,הכנסות!$B$2:$X$257,11,0)</f>
        <v>65000</v>
      </c>
    </row>
    <row r="54" spans="1:8">
      <c r="A54">
        <v>1312200990</v>
      </c>
      <c r="B54" t="s">
        <v>2006</v>
      </c>
      <c r="C54">
        <v>-300000</v>
      </c>
      <c r="D54">
        <v>-263660.64</v>
      </c>
      <c r="G54">
        <v>-263660.64</v>
      </c>
      <c r="H54">
        <f>VLOOKUP(A54,הכנסות!$B$2:$X$257,11,0)</f>
        <v>0</v>
      </c>
    </row>
    <row r="55" spans="1:8">
      <c r="A55">
        <v>1312201920</v>
      </c>
      <c r="B55" t="s">
        <v>452</v>
      </c>
      <c r="C55">
        <v>-2270000</v>
      </c>
      <c r="D55">
        <v>-3756721.46</v>
      </c>
      <c r="G55">
        <v>-3756721.46</v>
      </c>
      <c r="H55">
        <f>VLOOKUP(A55,הכנסות!$B$2:$X$257,11,0)</f>
        <v>1900000</v>
      </c>
    </row>
    <row r="56" spans="1:8">
      <c r="A56">
        <v>1312201923</v>
      </c>
      <c r="B56" t="s">
        <v>1685</v>
      </c>
      <c r="C56">
        <v>0</v>
      </c>
      <c r="D56">
        <v>0</v>
      </c>
      <c r="G56">
        <v>0</v>
      </c>
      <c r="H56" t="e">
        <f>VLOOKUP(A56,הכנסות!$B$2:$X$257,11,0)</f>
        <v>#N/A</v>
      </c>
    </row>
    <row r="57" spans="1:8">
      <c r="A57">
        <v>1312202920</v>
      </c>
      <c r="B57" t="s">
        <v>1686</v>
      </c>
      <c r="C57">
        <v>-84031</v>
      </c>
      <c r="D57">
        <v>-16800</v>
      </c>
      <c r="G57">
        <v>-16800</v>
      </c>
      <c r="H57">
        <f>VLOOKUP(A57,הכנסות!$B$2:$X$257,11,0)</f>
        <v>0</v>
      </c>
    </row>
    <row r="58" spans="1:8">
      <c r="A58">
        <v>1312203920</v>
      </c>
      <c r="B58" t="s">
        <v>1687</v>
      </c>
      <c r="C58">
        <v>0</v>
      </c>
      <c r="D58">
        <v>0</v>
      </c>
      <c r="G58">
        <v>0</v>
      </c>
      <c r="H58" t="e">
        <f>VLOOKUP(A58,הכנסות!$B$2:$X$257,11,0)</f>
        <v>#N/A</v>
      </c>
    </row>
    <row r="59" spans="1:8">
      <c r="A59">
        <v>1312300410</v>
      </c>
      <c r="B59" t="s">
        <v>453</v>
      </c>
      <c r="C59">
        <v>0</v>
      </c>
      <c r="D59">
        <v>0</v>
      </c>
      <c r="G59">
        <v>0</v>
      </c>
      <c r="H59">
        <f>VLOOKUP(A59,הכנסות!$B$2:$X$257,11,0)</f>
        <v>0</v>
      </c>
    </row>
    <row r="60" spans="1:8">
      <c r="A60">
        <v>1312300920</v>
      </c>
      <c r="B60" t="s">
        <v>454</v>
      </c>
      <c r="C60">
        <v>-5350000</v>
      </c>
      <c r="D60">
        <v>-5312776.08</v>
      </c>
      <c r="G60">
        <v>-5312776.08</v>
      </c>
      <c r="H60">
        <f>VLOOKUP(A60,הכנסות!$B$2:$X$257,11,0)</f>
        <v>4800000</v>
      </c>
    </row>
    <row r="61" spans="1:8">
      <c r="A61">
        <v>1312300923</v>
      </c>
      <c r="B61" t="s">
        <v>455</v>
      </c>
      <c r="C61">
        <v>0</v>
      </c>
      <c r="D61">
        <v>0</v>
      </c>
      <c r="G61">
        <v>0</v>
      </c>
      <c r="H61" t="e">
        <f>VLOOKUP(A61,הכנסות!$B$2:$X$257,11,0)</f>
        <v>#N/A</v>
      </c>
    </row>
    <row r="62" spans="1:8">
      <c r="A62">
        <v>1312300929</v>
      </c>
      <c r="B62" t="s">
        <v>456</v>
      </c>
      <c r="C62">
        <v>0</v>
      </c>
      <c r="D62">
        <v>0</v>
      </c>
      <c r="G62">
        <v>0</v>
      </c>
      <c r="H62" t="e">
        <f>VLOOKUP(A62,הכנסות!$B$2:$X$257,11,0)</f>
        <v>#N/A</v>
      </c>
    </row>
    <row r="63" spans="1:8">
      <c r="A63">
        <v>1312301920</v>
      </c>
      <c r="B63" t="s">
        <v>1892</v>
      </c>
      <c r="C63">
        <v>-57000</v>
      </c>
      <c r="D63">
        <v>-59567</v>
      </c>
      <c r="G63">
        <v>-59567</v>
      </c>
      <c r="H63">
        <f>VLOOKUP(A63,הכנסות!$B$2:$X$257,11,0)</f>
        <v>0</v>
      </c>
    </row>
    <row r="64" spans="1:8">
      <c r="A64">
        <v>1312302920</v>
      </c>
      <c r="B64" t="s">
        <v>1889</v>
      </c>
      <c r="C64">
        <v>-30000</v>
      </c>
      <c r="D64">
        <v>-32947</v>
      </c>
      <c r="G64">
        <v>-32947</v>
      </c>
      <c r="H64">
        <f>VLOOKUP(A64,הכנסות!$B$2:$X$257,11,0)</f>
        <v>0</v>
      </c>
    </row>
    <row r="65" spans="1:8">
      <c r="A65">
        <v>1312310920</v>
      </c>
      <c r="B65" t="s">
        <v>1628</v>
      </c>
      <c r="C65">
        <v>0</v>
      </c>
      <c r="D65">
        <v>114</v>
      </c>
      <c r="G65">
        <v>114</v>
      </c>
      <c r="H65">
        <f>VLOOKUP(A65,הכנסות!$B$2:$X$257,11,0)</f>
        <v>0</v>
      </c>
    </row>
    <row r="66" spans="1:8">
      <c r="A66">
        <v>1312311920</v>
      </c>
      <c r="B66" t="s">
        <v>1886</v>
      </c>
      <c r="C66">
        <v>-3200000</v>
      </c>
      <c r="D66">
        <v>-2059884.56</v>
      </c>
      <c r="G66">
        <v>-2059884.56</v>
      </c>
      <c r="H66">
        <f>VLOOKUP(A66,הכנסות!$B$2:$X$257,11,0)</f>
        <v>0</v>
      </c>
    </row>
    <row r="67" spans="1:8">
      <c r="A67">
        <v>1313200410</v>
      </c>
      <c r="B67" t="s">
        <v>457</v>
      </c>
      <c r="C67">
        <v>0</v>
      </c>
      <c r="D67">
        <v>0</v>
      </c>
      <c r="G67">
        <v>0</v>
      </c>
      <c r="H67">
        <f>VLOOKUP(A67,הכנסות!$B$2:$X$257,11,0)</f>
        <v>0</v>
      </c>
    </row>
    <row r="68" spans="1:8">
      <c r="A68">
        <v>1313200920</v>
      </c>
      <c r="B68" t="s">
        <v>458</v>
      </c>
      <c r="C68">
        <v>-5000</v>
      </c>
      <c r="D68">
        <v>-781772.31</v>
      </c>
      <c r="G68">
        <v>-781772.31</v>
      </c>
      <c r="H68">
        <f>VLOOKUP(A68,הכנסות!$B$2:$X$257,11,0)</f>
        <v>450000</v>
      </c>
    </row>
    <row r="69" spans="1:8">
      <c r="A69">
        <v>1313200921</v>
      </c>
      <c r="B69" t="s">
        <v>459</v>
      </c>
      <c r="C69">
        <v>-3750000</v>
      </c>
      <c r="D69">
        <v>-2574087.04</v>
      </c>
      <c r="G69">
        <v>-2574087.04</v>
      </c>
      <c r="H69">
        <f>VLOOKUP(A69,הכנסות!$B$2:$X$257,11,0)</f>
        <v>2345000</v>
      </c>
    </row>
    <row r="70" spans="1:8">
      <c r="A70">
        <v>1313200922</v>
      </c>
      <c r="B70" t="s">
        <v>455</v>
      </c>
      <c r="C70">
        <v>-50000</v>
      </c>
      <c r="D70">
        <v>-218596.76</v>
      </c>
      <c r="G70">
        <v>-218596.76</v>
      </c>
      <c r="H70">
        <f>VLOOKUP(A70,הכנסות!$B$2:$X$257,11,0)</f>
        <v>0</v>
      </c>
    </row>
    <row r="71" spans="1:8">
      <c r="A71">
        <v>1313200923</v>
      </c>
      <c r="B71" t="s">
        <v>2100</v>
      </c>
      <c r="C71">
        <v>0</v>
      </c>
      <c r="D71">
        <v>-36925.68</v>
      </c>
      <c r="G71">
        <v>-36925.68</v>
      </c>
      <c r="H71">
        <f>VLOOKUP(A71,הכנסות!$B$2:$X$257,11,0)</f>
        <v>0</v>
      </c>
    </row>
    <row r="72" spans="1:8">
      <c r="A72">
        <v>1313200925</v>
      </c>
      <c r="B72" t="s">
        <v>460</v>
      </c>
      <c r="C72">
        <v>-126000</v>
      </c>
      <c r="D72">
        <v>-110997.26</v>
      </c>
      <c r="G72">
        <v>-110997.26</v>
      </c>
      <c r="H72">
        <f>VLOOKUP(A72,הכנסות!$B$2:$X$257,11,0)</f>
        <v>0</v>
      </c>
    </row>
    <row r="73" spans="1:8">
      <c r="A73">
        <v>1313200927</v>
      </c>
      <c r="B73" t="s">
        <v>461</v>
      </c>
      <c r="C73">
        <v>0</v>
      </c>
      <c r="D73">
        <v>0</v>
      </c>
      <c r="G73">
        <v>0</v>
      </c>
      <c r="H73" t="e">
        <f>VLOOKUP(A73,הכנסות!$B$2:$X$257,11,0)</f>
        <v>#N/A</v>
      </c>
    </row>
    <row r="74" spans="1:8">
      <c r="A74">
        <v>1313200990</v>
      </c>
      <c r="B74" t="s">
        <v>1650</v>
      </c>
      <c r="C74">
        <v>0</v>
      </c>
      <c r="D74">
        <v>0</v>
      </c>
      <c r="G74">
        <v>0</v>
      </c>
      <c r="H74">
        <f>VLOOKUP(A74,הכנסות!$B$2:$X$257,11,0)</f>
        <v>0</v>
      </c>
    </row>
    <row r="75" spans="1:8">
      <c r="A75">
        <v>1313201920</v>
      </c>
      <c r="B75" t="s">
        <v>2101</v>
      </c>
      <c r="C75">
        <v>0</v>
      </c>
      <c r="D75">
        <v>-119430</v>
      </c>
      <c r="E75">
        <v>-224754.27000000002</v>
      </c>
      <c r="F75" t="s">
        <v>2102</v>
      </c>
      <c r="G75">
        <v>-344184.27</v>
      </c>
      <c r="H75">
        <f>VLOOKUP(A75,הכנסות!$B$2:$X$257,11,0)</f>
        <v>0</v>
      </c>
    </row>
    <row r="76" spans="1:8">
      <c r="A76">
        <v>1313202920</v>
      </c>
      <c r="B76" t="s">
        <v>2007</v>
      </c>
      <c r="C76">
        <v>-120000</v>
      </c>
      <c r="D76">
        <v>-110942.76</v>
      </c>
      <c r="G76">
        <v>-110942.76</v>
      </c>
      <c r="H76">
        <f>VLOOKUP(A76,הכנסות!$B$2:$X$257,11,0)</f>
        <v>0</v>
      </c>
    </row>
    <row r="77" spans="1:8">
      <c r="A77">
        <v>1313203920</v>
      </c>
      <c r="B77" t="s">
        <v>2008</v>
      </c>
      <c r="C77">
        <v>105000</v>
      </c>
      <c r="D77">
        <v>0</v>
      </c>
      <c r="G77">
        <v>0</v>
      </c>
      <c r="H77" t="e">
        <f>VLOOKUP(A77,הכנסות!$B$2:$X$257,11,0)</f>
        <v>#N/A</v>
      </c>
    </row>
    <row r="78" spans="1:8">
      <c r="A78">
        <v>1313204920</v>
      </c>
      <c r="B78" t="s">
        <v>2009</v>
      </c>
      <c r="C78">
        <v>100000</v>
      </c>
      <c r="D78">
        <v>-295020</v>
      </c>
      <c r="G78">
        <v>-295020</v>
      </c>
      <c r="H78">
        <f>VLOOKUP(A78,הכנסות!$B$2:$X$257,11,0)</f>
        <v>0</v>
      </c>
    </row>
    <row r="79" spans="1:8">
      <c r="A79">
        <v>1313205920</v>
      </c>
      <c r="B79" t="s">
        <v>1658</v>
      </c>
      <c r="C79">
        <v>-952000</v>
      </c>
      <c r="D79">
        <v>-107731.2</v>
      </c>
      <c r="E79">
        <v>-1288895.8</v>
      </c>
      <c r="F79" t="s">
        <v>2103</v>
      </c>
      <c r="G79">
        <v>-1396627</v>
      </c>
      <c r="H79">
        <f>VLOOKUP(A79,הכנסות!$B$2:$X$257,11,0)</f>
        <v>0</v>
      </c>
    </row>
    <row r="80" spans="1:8">
      <c r="A80">
        <v>1313210420</v>
      </c>
      <c r="B80" t="s">
        <v>462</v>
      </c>
      <c r="C80">
        <v>0</v>
      </c>
      <c r="D80">
        <v>0</v>
      </c>
      <c r="G80">
        <v>0</v>
      </c>
      <c r="H80" t="e">
        <f>VLOOKUP(A80,הכנסות!$B$2:$X$257,11,0)</f>
        <v>#N/A</v>
      </c>
    </row>
    <row r="81" spans="1:8">
      <c r="A81">
        <v>1313210920</v>
      </c>
      <c r="B81" t="s">
        <v>463</v>
      </c>
      <c r="C81">
        <v>0</v>
      </c>
      <c r="D81">
        <v>0</v>
      </c>
      <c r="G81">
        <v>0</v>
      </c>
      <c r="H81" t="e">
        <f>VLOOKUP(A81,הכנסות!$B$2:$X$257,11,0)</f>
        <v>#N/A</v>
      </c>
    </row>
    <row r="82" spans="1:8">
      <c r="A82">
        <v>1313210921</v>
      </c>
      <c r="B82" t="s">
        <v>464</v>
      </c>
      <c r="C82">
        <v>0</v>
      </c>
      <c r="D82">
        <v>-300514.40000000002</v>
      </c>
      <c r="G82">
        <v>-300514.40000000002</v>
      </c>
      <c r="H82">
        <f>VLOOKUP(A82,הכנסות!$B$2:$X$257,11,0)</f>
        <v>80000</v>
      </c>
    </row>
    <row r="83" spans="1:8">
      <c r="A83">
        <v>1313210922</v>
      </c>
      <c r="B83" t="s">
        <v>465</v>
      </c>
      <c r="C83">
        <v>0</v>
      </c>
      <c r="D83">
        <v>0</v>
      </c>
      <c r="G83">
        <v>0</v>
      </c>
      <c r="H83">
        <f>VLOOKUP(A83,הכנסות!$B$2:$X$257,11,0)</f>
        <v>17000</v>
      </c>
    </row>
    <row r="84" spans="1:8">
      <c r="A84">
        <v>1313210923</v>
      </c>
      <c r="B84" t="s">
        <v>466</v>
      </c>
      <c r="C84">
        <v>0</v>
      </c>
      <c r="D84">
        <v>0</v>
      </c>
      <c r="G84">
        <v>0</v>
      </c>
      <c r="H84" t="e">
        <f>VLOOKUP(A84,הכנסות!$B$2:$X$257,11,0)</f>
        <v>#N/A</v>
      </c>
    </row>
    <row r="85" spans="1:8">
      <c r="A85">
        <v>1313210924</v>
      </c>
      <c r="B85" t="s">
        <v>467</v>
      </c>
      <c r="C85">
        <v>-2000</v>
      </c>
      <c r="D85">
        <v>-12307.95</v>
      </c>
      <c r="G85">
        <v>-12307.95</v>
      </c>
      <c r="H85">
        <f>VLOOKUP(A85,הכנסות!$B$2:$X$257,11,0)</f>
        <v>18000</v>
      </c>
    </row>
    <row r="86" spans="1:8">
      <c r="A86">
        <v>1313210925</v>
      </c>
      <c r="B86" t="s">
        <v>468</v>
      </c>
      <c r="C86">
        <v>0</v>
      </c>
      <c r="D86">
        <v>0</v>
      </c>
      <c r="G86">
        <v>0</v>
      </c>
      <c r="H86">
        <f>VLOOKUP(A86,הכנסות!$B$2:$X$257,11,0)</f>
        <v>315000</v>
      </c>
    </row>
    <row r="87" spans="1:8">
      <c r="A87">
        <v>1313210926</v>
      </c>
      <c r="B87" t="s">
        <v>469</v>
      </c>
      <c r="C87">
        <v>-17000</v>
      </c>
      <c r="D87">
        <v>-17892</v>
      </c>
      <c r="G87">
        <v>-17892</v>
      </c>
      <c r="H87">
        <f>VLOOKUP(A87,הכנסות!$B$2:$X$257,11,0)</f>
        <v>0</v>
      </c>
    </row>
    <row r="88" spans="1:8">
      <c r="A88">
        <v>1313210927</v>
      </c>
      <c r="B88" t="s">
        <v>1689</v>
      </c>
      <c r="C88">
        <v>0</v>
      </c>
      <c r="D88">
        <v>0</v>
      </c>
      <c r="G88">
        <v>0</v>
      </c>
      <c r="H88" t="e">
        <f>VLOOKUP(A88,הכנסות!$B$2:$X$257,11,0)</f>
        <v>#N/A</v>
      </c>
    </row>
    <row r="89" spans="1:8">
      <c r="A89">
        <v>1313210928</v>
      </c>
      <c r="B89" t="s">
        <v>1690</v>
      </c>
      <c r="C89">
        <v>0</v>
      </c>
      <c r="D89">
        <v>0</v>
      </c>
      <c r="G89">
        <v>0</v>
      </c>
      <c r="H89" t="e">
        <f>VLOOKUP(A89,הכנסות!$B$2:$X$257,11,0)</f>
        <v>#N/A</v>
      </c>
    </row>
    <row r="90" spans="1:8">
      <c r="A90">
        <v>1313210929</v>
      </c>
      <c r="B90" t="s">
        <v>470</v>
      </c>
      <c r="C90">
        <v>-170000</v>
      </c>
      <c r="D90">
        <v>-175071.75</v>
      </c>
      <c r="G90">
        <v>-175071.75</v>
      </c>
      <c r="H90">
        <f>VLOOKUP(A90,הכנסות!$B$2:$X$257,11,0)</f>
        <v>80000</v>
      </c>
    </row>
    <row r="91" spans="1:8">
      <c r="A91">
        <v>1313220420</v>
      </c>
      <c r="B91" t="s">
        <v>471</v>
      </c>
      <c r="C91">
        <v>0</v>
      </c>
      <c r="D91">
        <v>0</v>
      </c>
      <c r="G91">
        <v>0</v>
      </c>
      <c r="H91">
        <f>VLOOKUP(A91,הכנסות!$B$2:$X$257,11,0)</f>
        <v>0</v>
      </c>
    </row>
    <row r="92" spans="1:8">
      <c r="A92">
        <v>1313220740</v>
      </c>
      <c r="B92" t="s">
        <v>472</v>
      </c>
      <c r="C92">
        <v>0</v>
      </c>
      <c r="D92">
        <v>0</v>
      </c>
      <c r="G92">
        <v>0</v>
      </c>
      <c r="H92" t="e">
        <f>VLOOKUP(A92,הכנסות!$B$2:$X$257,11,0)</f>
        <v>#N/A</v>
      </c>
    </row>
    <row r="93" spans="1:8">
      <c r="A93">
        <v>1313220920</v>
      </c>
      <c r="B93" t="s">
        <v>473</v>
      </c>
      <c r="C93">
        <v>0</v>
      </c>
      <c r="D93">
        <v>0</v>
      </c>
      <c r="G93">
        <v>0</v>
      </c>
      <c r="H93" t="e">
        <f>VLOOKUP(A93,הכנסות!$B$2:$X$257,11,0)</f>
        <v>#N/A</v>
      </c>
    </row>
    <row r="94" spans="1:8">
      <c r="A94">
        <v>1313220921</v>
      </c>
      <c r="B94" t="s">
        <v>474</v>
      </c>
      <c r="C94">
        <v>-342000</v>
      </c>
      <c r="D94">
        <v>-52599.68</v>
      </c>
      <c r="G94">
        <v>-52599.68</v>
      </c>
      <c r="H94">
        <f>VLOOKUP(A94,הכנסות!$B$2:$X$257,11,0)</f>
        <v>80000</v>
      </c>
    </row>
    <row r="95" spans="1:8">
      <c r="A95">
        <v>1313220922</v>
      </c>
      <c r="B95" t="s">
        <v>475</v>
      </c>
      <c r="C95">
        <v>0</v>
      </c>
      <c r="D95">
        <v>0</v>
      </c>
      <c r="G95">
        <v>0</v>
      </c>
      <c r="H95">
        <f>VLOOKUP(A95,הכנסות!$B$2:$X$257,11,0)</f>
        <v>17000</v>
      </c>
    </row>
    <row r="96" spans="1:8">
      <c r="A96">
        <v>1313220923</v>
      </c>
      <c r="B96" t="s">
        <v>476</v>
      </c>
      <c r="C96">
        <v>0</v>
      </c>
      <c r="D96">
        <v>0</v>
      </c>
      <c r="G96">
        <v>0</v>
      </c>
      <c r="H96" t="e">
        <f>VLOOKUP(A96,הכנסות!$B$2:$X$257,11,0)</f>
        <v>#N/A</v>
      </c>
    </row>
    <row r="97" spans="1:8">
      <c r="A97">
        <v>1313220924</v>
      </c>
      <c r="B97" t="s">
        <v>477</v>
      </c>
      <c r="C97">
        <v>0</v>
      </c>
      <c r="D97">
        <v>0</v>
      </c>
      <c r="G97">
        <v>0</v>
      </c>
      <c r="H97" t="e">
        <f>VLOOKUP(A97,הכנסות!$B$2:$X$257,11,0)</f>
        <v>#N/A</v>
      </c>
    </row>
    <row r="98" spans="1:8">
      <c r="A98">
        <v>1313220925</v>
      </c>
      <c r="B98" t="s">
        <v>478</v>
      </c>
      <c r="C98">
        <v>0</v>
      </c>
      <c r="D98">
        <v>0</v>
      </c>
      <c r="G98">
        <v>0</v>
      </c>
      <c r="H98">
        <f>VLOOKUP(A98,הכנסות!$B$2:$X$257,11,0)</f>
        <v>300000</v>
      </c>
    </row>
    <row r="99" spans="1:8">
      <c r="A99">
        <v>1313220926</v>
      </c>
      <c r="B99" t="s">
        <v>469</v>
      </c>
      <c r="C99">
        <v>0</v>
      </c>
      <c r="D99">
        <v>0</v>
      </c>
      <c r="G99">
        <v>0</v>
      </c>
      <c r="H99" t="e">
        <f>VLOOKUP(A99,הכנסות!$B$2:$X$257,11,0)</f>
        <v>#N/A</v>
      </c>
    </row>
    <row r="100" spans="1:8">
      <c r="A100">
        <v>1313220929</v>
      </c>
      <c r="B100" t="s">
        <v>479</v>
      </c>
      <c r="C100">
        <v>-150000</v>
      </c>
      <c r="D100">
        <v>-159118.59</v>
      </c>
      <c r="G100">
        <v>-159118.59</v>
      </c>
      <c r="H100">
        <f>VLOOKUP(A100,הכנסות!$B$2:$X$257,11,0)</f>
        <v>70000</v>
      </c>
    </row>
    <row r="101" spans="1:8">
      <c r="A101">
        <v>1313230420</v>
      </c>
      <c r="B101" t="s">
        <v>480</v>
      </c>
      <c r="C101">
        <v>0</v>
      </c>
      <c r="D101">
        <v>0</v>
      </c>
      <c r="G101">
        <v>0</v>
      </c>
      <c r="H101">
        <f>VLOOKUP(A101,הכנסות!$B$2:$X$257,11,0)</f>
        <v>0</v>
      </c>
    </row>
    <row r="102" spans="1:8">
      <c r="A102">
        <v>1313230920</v>
      </c>
      <c r="B102" t="s">
        <v>481</v>
      </c>
      <c r="C102">
        <v>0</v>
      </c>
      <c r="D102">
        <v>0</v>
      </c>
      <c r="G102">
        <v>0</v>
      </c>
      <c r="H102" t="e">
        <f>VLOOKUP(A102,הכנסות!$B$2:$X$257,11,0)</f>
        <v>#N/A</v>
      </c>
    </row>
    <row r="103" spans="1:8">
      <c r="A103">
        <v>1313230921</v>
      </c>
      <c r="B103" t="s">
        <v>482</v>
      </c>
      <c r="C103">
        <v>0</v>
      </c>
      <c r="D103">
        <v>0</v>
      </c>
      <c r="G103">
        <v>0</v>
      </c>
      <c r="H103">
        <f>VLOOKUP(A103,הכנסות!$B$2:$X$257,11,0)</f>
        <v>80000</v>
      </c>
    </row>
    <row r="104" spans="1:8">
      <c r="A104">
        <v>1313230922</v>
      </c>
      <c r="B104" t="s">
        <v>483</v>
      </c>
      <c r="C104">
        <v>0</v>
      </c>
      <c r="D104">
        <v>0</v>
      </c>
      <c r="G104">
        <v>0</v>
      </c>
      <c r="H104">
        <f>VLOOKUP(A104,הכנסות!$B$2:$X$257,11,0)</f>
        <v>17000</v>
      </c>
    </row>
    <row r="105" spans="1:8">
      <c r="A105">
        <v>1313230923</v>
      </c>
      <c r="B105" t="s">
        <v>484</v>
      </c>
      <c r="C105">
        <v>0</v>
      </c>
      <c r="D105">
        <v>0</v>
      </c>
      <c r="G105">
        <v>0</v>
      </c>
      <c r="H105" t="e">
        <f>VLOOKUP(A105,הכנסות!$B$2:$X$257,11,0)</f>
        <v>#N/A</v>
      </c>
    </row>
    <row r="106" spans="1:8">
      <c r="A106">
        <v>1313230924</v>
      </c>
      <c r="B106" t="s">
        <v>485</v>
      </c>
      <c r="C106">
        <v>0</v>
      </c>
      <c r="D106">
        <v>0</v>
      </c>
      <c r="G106">
        <v>0</v>
      </c>
      <c r="H106" t="e">
        <f>VLOOKUP(A106,הכנסות!$B$2:$X$257,11,0)</f>
        <v>#N/A</v>
      </c>
    </row>
    <row r="107" spans="1:8">
      <c r="A107">
        <v>1313230925</v>
      </c>
      <c r="B107" t="s">
        <v>486</v>
      </c>
      <c r="C107">
        <v>-1400000</v>
      </c>
      <c r="D107">
        <v>-1445405.69</v>
      </c>
      <c r="G107">
        <v>-1445405.69</v>
      </c>
      <c r="H107">
        <f>VLOOKUP(A107,הכנסות!$B$2:$X$257,11,0)</f>
        <v>310000</v>
      </c>
    </row>
    <row r="108" spans="1:8">
      <c r="A108">
        <v>1313230926</v>
      </c>
      <c r="B108" t="s">
        <v>469</v>
      </c>
      <c r="C108">
        <v>0</v>
      </c>
      <c r="D108">
        <v>0</v>
      </c>
      <c r="G108">
        <v>0</v>
      </c>
      <c r="H108">
        <f>VLOOKUP(A108,הכנסות!$B$2:$X$257,11,0)</f>
        <v>0</v>
      </c>
    </row>
    <row r="109" spans="1:8">
      <c r="A109">
        <v>1313230929</v>
      </c>
      <c r="B109" t="s">
        <v>487</v>
      </c>
      <c r="C109">
        <v>0</v>
      </c>
      <c r="D109">
        <v>0</v>
      </c>
      <c r="G109">
        <v>0</v>
      </c>
      <c r="H109">
        <f>VLOOKUP(A109,הכנסות!$B$2:$X$257,11,0)</f>
        <v>70000</v>
      </c>
    </row>
    <row r="110" spans="1:8">
      <c r="A110">
        <v>1313240920</v>
      </c>
      <c r="B110" t="s">
        <v>488</v>
      </c>
      <c r="C110">
        <v>0</v>
      </c>
      <c r="D110">
        <v>0</v>
      </c>
      <c r="G110">
        <v>0</v>
      </c>
      <c r="H110" t="e">
        <f>VLOOKUP(A110,הכנסות!$B$2:$X$257,11,0)</f>
        <v>#N/A</v>
      </c>
    </row>
    <row r="111" spans="1:8">
      <c r="A111">
        <v>1313240921</v>
      </c>
      <c r="B111" t="s">
        <v>489</v>
      </c>
      <c r="C111">
        <v>0</v>
      </c>
      <c r="D111">
        <v>0</v>
      </c>
      <c r="G111">
        <v>0</v>
      </c>
      <c r="H111">
        <f>VLOOKUP(A111,הכנסות!$B$2:$X$257,11,0)</f>
        <v>40000</v>
      </c>
    </row>
    <row r="112" spans="1:8">
      <c r="A112">
        <v>1313240922</v>
      </c>
      <c r="B112" t="s">
        <v>490</v>
      </c>
      <c r="C112">
        <v>0</v>
      </c>
      <c r="D112">
        <v>0</v>
      </c>
      <c r="G112">
        <v>0</v>
      </c>
      <c r="H112">
        <f>VLOOKUP(A112,הכנסות!$B$2:$X$257,11,0)</f>
        <v>13000</v>
      </c>
    </row>
    <row r="113" spans="1:8">
      <c r="A113">
        <v>1313300210</v>
      </c>
      <c r="B113" t="s">
        <v>491</v>
      </c>
      <c r="C113">
        <v>0</v>
      </c>
      <c r="D113">
        <v>-3801.4</v>
      </c>
      <c r="G113">
        <v>-3801.4</v>
      </c>
      <c r="H113">
        <f>VLOOKUP(A113,הכנסות!$B$2:$X$257,11,0)</f>
        <v>0</v>
      </c>
    </row>
    <row r="114" spans="1:8">
      <c r="A114">
        <v>1313300690</v>
      </c>
      <c r="B114" t="s">
        <v>492</v>
      </c>
      <c r="C114">
        <v>0</v>
      </c>
      <c r="D114">
        <v>0</v>
      </c>
      <c r="G114">
        <v>0</v>
      </c>
      <c r="H114" t="e">
        <f>VLOOKUP(A114,הכנסות!$B$2:$X$257,11,0)</f>
        <v>#N/A</v>
      </c>
    </row>
    <row r="115" spans="1:8">
      <c r="A115">
        <v>1313300790</v>
      </c>
      <c r="B115" t="s">
        <v>493</v>
      </c>
      <c r="C115">
        <v>0</v>
      </c>
      <c r="D115">
        <v>0</v>
      </c>
      <c r="G115">
        <v>0</v>
      </c>
      <c r="H115" t="e">
        <f>VLOOKUP(A115,הכנסות!$B$2:$X$257,11,0)</f>
        <v>#N/A</v>
      </c>
    </row>
    <row r="116" spans="1:8">
      <c r="A116">
        <v>1313300920</v>
      </c>
      <c r="B116" t="s">
        <v>494</v>
      </c>
      <c r="C116">
        <v>0</v>
      </c>
      <c r="D116">
        <v>0</v>
      </c>
      <c r="G116">
        <v>0</v>
      </c>
      <c r="H116">
        <f>VLOOKUP(A116,הכנסות!$B$2:$X$257,11,0)</f>
        <v>180000</v>
      </c>
    </row>
    <row r="117" spans="1:8">
      <c r="A117">
        <v>1313300921</v>
      </c>
      <c r="B117" t="s">
        <v>495</v>
      </c>
      <c r="C117">
        <v>0</v>
      </c>
      <c r="D117">
        <v>0</v>
      </c>
      <c r="G117">
        <v>0</v>
      </c>
      <c r="H117">
        <f>VLOOKUP(A117,הכנסות!$B$2:$X$257,11,0)</f>
        <v>150000</v>
      </c>
    </row>
    <row r="118" spans="1:8">
      <c r="A118">
        <v>1313300922</v>
      </c>
      <c r="B118" t="s">
        <v>496</v>
      </c>
      <c r="C118">
        <v>0</v>
      </c>
      <c r="D118">
        <v>0</v>
      </c>
      <c r="G118">
        <v>0</v>
      </c>
      <c r="H118">
        <f>VLOOKUP(A118,הכנסות!$B$2:$X$257,11,0)</f>
        <v>17000</v>
      </c>
    </row>
    <row r="119" spans="1:8">
      <c r="A119">
        <v>1313300923</v>
      </c>
      <c r="B119" t="s">
        <v>497</v>
      </c>
      <c r="C119">
        <v>0</v>
      </c>
      <c r="D119">
        <v>0</v>
      </c>
      <c r="G119">
        <v>0</v>
      </c>
      <c r="H119">
        <f>VLOOKUP(A119,הכנסות!$B$2:$X$257,11,0)</f>
        <v>0</v>
      </c>
    </row>
    <row r="120" spans="1:8">
      <c r="A120">
        <v>1313300924</v>
      </c>
      <c r="B120" t="s">
        <v>498</v>
      </c>
      <c r="C120">
        <v>0</v>
      </c>
      <c r="D120">
        <v>0</v>
      </c>
      <c r="G120">
        <v>0</v>
      </c>
      <c r="H120">
        <f>VLOOKUP(A120,הכנסות!$B$2:$X$257,11,0)</f>
        <v>0</v>
      </c>
    </row>
    <row r="121" spans="1:8">
      <c r="A121">
        <v>1313300925</v>
      </c>
      <c r="B121" t="s">
        <v>499</v>
      </c>
      <c r="C121">
        <v>-302000</v>
      </c>
      <c r="D121">
        <v>-566397.12</v>
      </c>
      <c r="G121">
        <v>-566397.12</v>
      </c>
      <c r="H121">
        <f>VLOOKUP(A121,הכנסות!$B$2:$X$257,11,0)</f>
        <v>600000</v>
      </c>
    </row>
    <row r="122" spans="1:8">
      <c r="A122">
        <v>1313300926</v>
      </c>
      <c r="B122" t="s">
        <v>500</v>
      </c>
      <c r="C122">
        <v>0</v>
      </c>
      <c r="D122">
        <v>0</v>
      </c>
      <c r="G122">
        <v>0</v>
      </c>
      <c r="H122" t="e">
        <f>VLOOKUP(A122,הכנסות!$B$2:$X$257,11,0)</f>
        <v>#N/A</v>
      </c>
    </row>
    <row r="123" spans="1:8">
      <c r="A123">
        <v>1313300929</v>
      </c>
      <c r="B123" t="s">
        <v>501</v>
      </c>
      <c r="C123">
        <v>-164000</v>
      </c>
      <c r="D123">
        <v>-132362.70000000001</v>
      </c>
      <c r="G123">
        <v>-132362.70000000001</v>
      </c>
      <c r="H123">
        <f>VLOOKUP(A123,הכנסות!$B$2:$X$257,11,0)</f>
        <v>0</v>
      </c>
    </row>
    <row r="124" spans="1:8">
      <c r="A124">
        <v>1313600420</v>
      </c>
      <c r="B124" t="s">
        <v>1691</v>
      </c>
      <c r="C124">
        <v>-15000</v>
      </c>
      <c r="D124">
        <v>-13150</v>
      </c>
      <c r="G124">
        <v>-13150</v>
      </c>
      <c r="H124">
        <f>VLOOKUP(A124,הכנסות!$B$2:$X$257,11,0)</f>
        <v>500000</v>
      </c>
    </row>
    <row r="125" spans="1:8">
      <c r="A125">
        <v>1313800920</v>
      </c>
      <c r="B125" t="s">
        <v>1692</v>
      </c>
      <c r="C125">
        <v>-700000</v>
      </c>
      <c r="D125">
        <v>-1346202.4</v>
      </c>
      <c r="G125">
        <v>-1346202.4</v>
      </c>
      <c r="H125">
        <f>VLOOKUP(A125,הכנסות!$B$2:$X$257,11,0)</f>
        <v>500000</v>
      </c>
    </row>
    <row r="126" spans="1:8">
      <c r="A126">
        <v>1314000420</v>
      </c>
      <c r="B126" t="s">
        <v>480</v>
      </c>
      <c r="C126">
        <v>0</v>
      </c>
      <c r="D126">
        <v>0</v>
      </c>
      <c r="G126">
        <v>0</v>
      </c>
      <c r="H126">
        <f>VLOOKUP(A126,הכנסות!$B$2:$X$257,11,0)</f>
        <v>0</v>
      </c>
    </row>
    <row r="127" spans="1:8">
      <c r="A127">
        <v>1314000920</v>
      </c>
      <c r="B127" t="s">
        <v>502</v>
      </c>
      <c r="C127">
        <v>-2100000</v>
      </c>
      <c r="D127">
        <v>-2024307.51</v>
      </c>
      <c r="G127">
        <v>-2024307.51</v>
      </c>
      <c r="H127">
        <f>VLOOKUP(A127,הכנסות!$B$2:$X$257,11,0)</f>
        <v>2269000</v>
      </c>
    </row>
    <row r="128" spans="1:8">
      <c r="A128">
        <v>1314000921</v>
      </c>
      <c r="B128" t="s">
        <v>503</v>
      </c>
      <c r="C128">
        <v>0</v>
      </c>
      <c r="D128">
        <v>0</v>
      </c>
      <c r="G128">
        <v>0</v>
      </c>
      <c r="H128" t="e">
        <f>VLOOKUP(A128,הכנסות!$B$2:$X$257,11,0)</f>
        <v>#N/A</v>
      </c>
    </row>
    <row r="129" spans="1:8">
      <c r="A129">
        <v>1314000922</v>
      </c>
      <c r="B129" t="s">
        <v>504</v>
      </c>
      <c r="C129">
        <v>0</v>
      </c>
      <c r="D129">
        <v>-149517.72</v>
      </c>
      <c r="G129">
        <v>-149517.72</v>
      </c>
      <c r="H129">
        <f>VLOOKUP(A129,הכנסות!$B$2:$X$257,11,0)</f>
        <v>0</v>
      </c>
    </row>
    <row r="130" spans="1:8">
      <c r="A130">
        <v>1314000923</v>
      </c>
      <c r="B130" t="s">
        <v>505</v>
      </c>
      <c r="C130">
        <v>0</v>
      </c>
      <c r="D130">
        <v>0</v>
      </c>
      <c r="G130">
        <v>0</v>
      </c>
      <c r="H130" t="e">
        <f>VLOOKUP(A130,הכנסות!$B$2:$X$257,11,0)</f>
        <v>#N/A</v>
      </c>
    </row>
    <row r="131" spans="1:8">
      <c r="A131">
        <v>1314000924</v>
      </c>
      <c r="B131" t="s">
        <v>506</v>
      </c>
      <c r="C131">
        <v>0</v>
      </c>
      <c r="D131">
        <v>-11217.67</v>
      </c>
      <c r="G131">
        <v>-11217.67</v>
      </c>
      <c r="H131">
        <f>VLOOKUP(A131,הכנסות!$B$2:$X$257,11,0)</f>
        <v>30000</v>
      </c>
    </row>
    <row r="132" spans="1:8">
      <c r="A132">
        <v>1314001920</v>
      </c>
      <c r="B132" t="s">
        <v>507</v>
      </c>
      <c r="C132">
        <v>0</v>
      </c>
      <c r="D132">
        <v>0</v>
      </c>
      <c r="G132">
        <v>0</v>
      </c>
      <c r="H132" t="e">
        <f>VLOOKUP(A132,הכנסות!$B$2:$X$257,11,0)</f>
        <v>#N/A</v>
      </c>
    </row>
    <row r="133" spans="1:8">
      <c r="A133">
        <v>1315200490</v>
      </c>
      <c r="B133" t="s">
        <v>508</v>
      </c>
      <c r="C133">
        <v>0</v>
      </c>
      <c r="D133">
        <v>0</v>
      </c>
      <c r="G133">
        <v>0</v>
      </c>
      <c r="H133">
        <f>VLOOKUP(A133,הכנסות!$B$2:$X$257,11,0)</f>
        <v>0</v>
      </c>
    </row>
    <row r="134" spans="1:8">
      <c r="A134">
        <v>1315200920</v>
      </c>
      <c r="B134" t="s">
        <v>509</v>
      </c>
      <c r="C134">
        <v>-260000</v>
      </c>
      <c r="D134">
        <v>-96.24</v>
      </c>
      <c r="G134">
        <v>-96.24</v>
      </c>
      <c r="H134">
        <f>VLOOKUP(A134,הכנסות!$B$2:$X$257,11,0)</f>
        <v>1941000</v>
      </c>
    </row>
    <row r="135" spans="1:8">
      <c r="A135">
        <v>1315200921</v>
      </c>
      <c r="B135" t="s">
        <v>510</v>
      </c>
      <c r="C135">
        <v>0</v>
      </c>
      <c r="D135">
        <v>0</v>
      </c>
      <c r="G135">
        <v>0</v>
      </c>
      <c r="H135">
        <f>VLOOKUP(A135,הכנסות!$B$2:$X$257,11,0)</f>
        <v>4000</v>
      </c>
    </row>
    <row r="136" spans="1:8">
      <c r="A136">
        <v>1315200922</v>
      </c>
      <c r="B136" t="s">
        <v>511</v>
      </c>
      <c r="C136">
        <v>0</v>
      </c>
      <c r="D136">
        <v>0</v>
      </c>
      <c r="G136">
        <v>0</v>
      </c>
      <c r="H136">
        <f>VLOOKUP(A136,הכנסות!$B$2:$X$257,11,0)</f>
        <v>38000</v>
      </c>
    </row>
    <row r="137" spans="1:8">
      <c r="A137">
        <v>1315200925</v>
      </c>
      <c r="B137" t="s">
        <v>513</v>
      </c>
      <c r="C137">
        <v>0</v>
      </c>
      <c r="D137">
        <v>-9081.75</v>
      </c>
      <c r="G137">
        <v>-9081.75</v>
      </c>
      <c r="H137">
        <f>VLOOKUP(A137,הכנסות!$B$2:$X$257,11,0)</f>
        <v>295000</v>
      </c>
    </row>
    <row r="138" spans="1:8">
      <c r="A138">
        <v>1315201920</v>
      </c>
      <c r="B138" t="s">
        <v>517</v>
      </c>
      <c r="C138">
        <v>-5900000</v>
      </c>
      <c r="D138">
        <v>-6546539.0700000003</v>
      </c>
      <c r="G138">
        <v>-6546539.0700000003</v>
      </c>
      <c r="H138">
        <f>VLOOKUP(A138,הכנסות!$B$2:$X$257,11,0)</f>
        <v>5500000</v>
      </c>
    </row>
    <row r="139" spans="1:8">
      <c r="A139">
        <v>1315201921</v>
      </c>
      <c r="B139" t="s">
        <v>461</v>
      </c>
      <c r="C139">
        <v>0</v>
      </c>
      <c r="D139">
        <v>0</v>
      </c>
      <c r="G139">
        <v>0</v>
      </c>
      <c r="H139">
        <f>VLOOKUP(A139,הכנסות!$B$2:$X$257,11,0)</f>
        <v>0</v>
      </c>
    </row>
    <row r="140" spans="1:8">
      <c r="A140">
        <v>1315202920</v>
      </c>
      <c r="B140" t="s">
        <v>518</v>
      </c>
      <c r="C140">
        <v>-340000</v>
      </c>
      <c r="D140">
        <v>-367671.66</v>
      </c>
      <c r="G140">
        <v>-367671.66</v>
      </c>
      <c r="H140">
        <f>VLOOKUP(A140,הכנסות!$B$2:$X$257,11,0)</f>
        <v>295000</v>
      </c>
    </row>
    <row r="141" spans="1:8">
      <c r="A141">
        <v>1315203920</v>
      </c>
      <c r="B141" t="s">
        <v>519</v>
      </c>
      <c r="C141">
        <v>-65000</v>
      </c>
      <c r="D141">
        <v>-59592</v>
      </c>
      <c r="G141">
        <v>-59592</v>
      </c>
      <c r="H141">
        <f>VLOOKUP(A141,הכנסות!$B$2:$X$257,11,0)</f>
        <v>7000</v>
      </c>
    </row>
    <row r="142" spans="1:8">
      <c r="A142">
        <v>1315204920</v>
      </c>
      <c r="B142" t="s">
        <v>520</v>
      </c>
      <c r="C142">
        <v>0</v>
      </c>
      <c r="D142">
        <v>0</v>
      </c>
      <c r="G142">
        <v>0</v>
      </c>
      <c r="H142">
        <f>VLOOKUP(A142,הכנסות!$B$2:$X$257,11,0)</f>
        <v>0</v>
      </c>
    </row>
    <row r="143" spans="1:8">
      <c r="A143">
        <v>1315205920</v>
      </c>
      <c r="B143" t="s">
        <v>521</v>
      </c>
      <c r="C143">
        <v>0</v>
      </c>
      <c r="D143">
        <v>0</v>
      </c>
      <c r="G143">
        <v>0</v>
      </c>
      <c r="H143" t="e">
        <f>VLOOKUP(A143,הכנסות!$B$2:$X$257,11,0)</f>
        <v>#N/A</v>
      </c>
    </row>
    <row r="144" spans="1:8">
      <c r="A144">
        <v>1315206920</v>
      </c>
      <c r="B144" t="s">
        <v>522</v>
      </c>
      <c r="C144">
        <v>0</v>
      </c>
      <c r="D144">
        <v>0</v>
      </c>
      <c r="G144">
        <v>0</v>
      </c>
      <c r="H144">
        <f>VLOOKUP(A144,הכנסות!$B$2:$X$257,11,0)</f>
        <v>35000</v>
      </c>
    </row>
    <row r="145" spans="1:8">
      <c r="A145">
        <v>1315207420</v>
      </c>
      <c r="B145" t="s">
        <v>480</v>
      </c>
      <c r="C145">
        <v>0</v>
      </c>
      <c r="D145">
        <v>0</v>
      </c>
      <c r="G145">
        <v>0</v>
      </c>
      <c r="H145" t="e">
        <f>VLOOKUP(A145,הכנסות!$B$2:$X$257,11,0)</f>
        <v>#N/A</v>
      </c>
    </row>
    <row r="146" spans="1:8">
      <c r="A146">
        <v>1315208920</v>
      </c>
      <c r="B146" t="s">
        <v>523</v>
      </c>
      <c r="C146">
        <v>0</v>
      </c>
      <c r="D146">
        <v>0</v>
      </c>
      <c r="G146">
        <v>0</v>
      </c>
      <c r="H146" t="e">
        <f>VLOOKUP(A146,הכנסות!$B$2:$X$257,11,0)</f>
        <v>#N/A</v>
      </c>
    </row>
    <row r="147" spans="1:8">
      <c r="A147">
        <v>1315209920</v>
      </c>
      <c r="B147" t="s">
        <v>2010</v>
      </c>
      <c r="C147">
        <v>-460000</v>
      </c>
      <c r="D147">
        <v>-522535.48</v>
      </c>
      <c r="G147">
        <v>-522535.48</v>
      </c>
      <c r="H147">
        <f>VLOOKUP(A147,הכנסות!$B$2:$X$257,11,0)</f>
        <v>0</v>
      </c>
    </row>
    <row r="148" spans="1:8">
      <c r="A148">
        <v>1315210920</v>
      </c>
      <c r="B148" t="s">
        <v>510</v>
      </c>
      <c r="C148">
        <v>-5000</v>
      </c>
      <c r="D148">
        <v>-6001.92</v>
      </c>
      <c r="G148">
        <v>-6001.92</v>
      </c>
      <c r="H148">
        <f>VLOOKUP(A148,הכנסות!$B$2:$X$257,11,0)</f>
        <v>0</v>
      </c>
    </row>
    <row r="149" spans="1:8">
      <c r="A149">
        <v>1315211920</v>
      </c>
      <c r="B149" t="s">
        <v>2011</v>
      </c>
      <c r="C149">
        <v>-11000</v>
      </c>
      <c r="D149">
        <v>-13297.56</v>
      </c>
      <c r="G149">
        <v>-13297.56</v>
      </c>
      <c r="H149">
        <f>VLOOKUP(A149,הכנסות!$B$2:$X$257,11,0)</f>
        <v>0</v>
      </c>
    </row>
    <row r="150" spans="1:8">
      <c r="A150">
        <v>1315212920</v>
      </c>
      <c r="B150" t="s">
        <v>506</v>
      </c>
      <c r="C150">
        <v>-9000</v>
      </c>
      <c r="D150">
        <v>-72540.899999999994</v>
      </c>
      <c r="G150">
        <v>-72540.899999999994</v>
      </c>
      <c r="H150">
        <f>VLOOKUP(A150,הכנסות!$B$2:$X$257,11,0)</f>
        <v>0</v>
      </c>
    </row>
    <row r="151" spans="1:8">
      <c r="A151">
        <v>1315213920</v>
      </c>
      <c r="B151" t="s">
        <v>512</v>
      </c>
      <c r="C151">
        <v>-120000</v>
      </c>
      <c r="D151">
        <v>-144394.84</v>
      </c>
      <c r="G151">
        <v>-144394.84</v>
      </c>
      <c r="H151">
        <f>VLOOKUP(A151,הכנסות!$B$2:$X$257,11,0)</f>
        <v>0</v>
      </c>
    </row>
    <row r="152" spans="1:8">
      <c r="A152">
        <v>1315214920</v>
      </c>
      <c r="B152" t="s">
        <v>513</v>
      </c>
      <c r="C152">
        <v>-200000</v>
      </c>
      <c r="D152">
        <v>-222546.94</v>
      </c>
      <c r="G152">
        <v>-222546.94</v>
      </c>
      <c r="H152">
        <f>VLOOKUP(A152,הכנסות!$B$2:$X$257,11,0)</f>
        <v>0</v>
      </c>
    </row>
    <row r="153" spans="1:8">
      <c r="A153">
        <v>1315215920</v>
      </c>
      <c r="B153" t="s">
        <v>514</v>
      </c>
      <c r="C153">
        <v>0</v>
      </c>
      <c r="D153">
        <v>-16123.68</v>
      </c>
      <c r="G153">
        <v>-16123.68</v>
      </c>
      <c r="H153">
        <f>VLOOKUP(A153,הכנסות!$B$2:$X$257,11,0)</f>
        <v>0</v>
      </c>
    </row>
    <row r="154" spans="1:8">
      <c r="A154">
        <v>1315216920</v>
      </c>
      <c r="B154" t="s">
        <v>515</v>
      </c>
      <c r="C154">
        <v>0</v>
      </c>
      <c r="D154">
        <v>0</v>
      </c>
      <c r="G154">
        <v>0</v>
      </c>
      <c r="H154" t="e">
        <f>VLOOKUP(A154,הכנסות!$B$2:$X$257,11,0)</f>
        <v>#N/A</v>
      </c>
    </row>
    <row r="155" spans="1:8">
      <c r="A155">
        <v>1315217920</v>
      </c>
      <c r="B155" t="s">
        <v>516</v>
      </c>
      <c r="C155">
        <v>0</v>
      </c>
      <c r="D155">
        <v>0</v>
      </c>
      <c r="G155">
        <v>0</v>
      </c>
      <c r="H155" t="e">
        <f>VLOOKUP(A155,הכנסות!$B$2:$X$257,11,0)</f>
        <v>#N/A</v>
      </c>
    </row>
    <row r="156" spans="1:8">
      <c r="A156">
        <v>1315218920</v>
      </c>
      <c r="B156" t="s">
        <v>2012</v>
      </c>
      <c r="C156">
        <v>-209000</v>
      </c>
      <c r="D156">
        <v>-1704119.78</v>
      </c>
      <c r="G156">
        <v>-1704119.78</v>
      </c>
      <c r="H156">
        <f>VLOOKUP(A156,הכנסות!$B$2:$X$257,11,0)</f>
        <v>0</v>
      </c>
    </row>
    <row r="157" spans="1:8">
      <c r="A157">
        <v>1315219920</v>
      </c>
      <c r="B157" t="s">
        <v>2013</v>
      </c>
      <c r="C157">
        <v>-14000</v>
      </c>
      <c r="D157">
        <v>-8558.5499999999993</v>
      </c>
      <c r="G157">
        <v>-8558.5499999999993</v>
      </c>
      <c r="H157">
        <f>VLOOKUP(A157,הכנסות!$B$2:$X$257,11,0)</f>
        <v>0</v>
      </c>
    </row>
    <row r="158" spans="1:8">
      <c r="A158">
        <v>1315220920</v>
      </c>
      <c r="B158" t="s">
        <v>2014</v>
      </c>
      <c r="C158">
        <v>-1000000</v>
      </c>
      <c r="D158">
        <v>-1149292.3400000001</v>
      </c>
      <c r="G158">
        <v>-1149292.3400000001</v>
      </c>
      <c r="H158">
        <f>VLOOKUP(A158,הכנסות!$B$2:$X$257,11,0)</f>
        <v>0</v>
      </c>
    </row>
    <row r="159" spans="1:8">
      <c r="A159">
        <v>1315221920</v>
      </c>
      <c r="B159" t="s">
        <v>2015</v>
      </c>
      <c r="C159">
        <v>-7500</v>
      </c>
      <c r="D159">
        <v>-7371.79</v>
      </c>
      <c r="G159">
        <v>-7371.79</v>
      </c>
      <c r="H159">
        <f>VLOOKUP(A159,הכנסות!$B$2:$X$257,11,0)</f>
        <v>0</v>
      </c>
    </row>
    <row r="160" spans="1:8">
      <c r="A160">
        <v>1315222920</v>
      </c>
      <c r="B160" t="s">
        <v>2016</v>
      </c>
      <c r="C160">
        <v>-56713</v>
      </c>
      <c r="D160">
        <v>-56856.71</v>
      </c>
      <c r="G160">
        <v>-56856.71</v>
      </c>
      <c r="H160">
        <f>VLOOKUP(A160,הכנסות!$B$2:$X$257,11,0)</f>
        <v>0</v>
      </c>
    </row>
    <row r="161" spans="1:8">
      <c r="A161">
        <v>1315223920</v>
      </c>
      <c r="B161" t="s">
        <v>1916</v>
      </c>
      <c r="C161">
        <v>-522144</v>
      </c>
      <c r="D161">
        <v>-551337.07999999996</v>
      </c>
      <c r="G161">
        <v>-551337.07999999996</v>
      </c>
      <c r="H161">
        <f>VLOOKUP(A161,הכנסות!$B$2:$X$257,11,0)</f>
        <v>0</v>
      </c>
    </row>
    <row r="162" spans="1:8">
      <c r="A162">
        <v>1315224920</v>
      </c>
      <c r="B162" t="s">
        <v>1906</v>
      </c>
      <c r="C162">
        <v>-77667</v>
      </c>
      <c r="D162">
        <v>-85339.14</v>
      </c>
      <c r="G162">
        <v>-85339.14</v>
      </c>
      <c r="H162">
        <f>VLOOKUP(A162,הכנסות!$B$2:$X$257,11,0)</f>
        <v>0</v>
      </c>
    </row>
    <row r="163" spans="1:8">
      <c r="A163">
        <v>1315225920</v>
      </c>
      <c r="B163" t="s">
        <v>2017</v>
      </c>
      <c r="C163">
        <v>-32082</v>
      </c>
      <c r="D163">
        <v>-35550.97</v>
      </c>
      <c r="G163">
        <v>-35550.97</v>
      </c>
      <c r="H163">
        <f>VLOOKUP(A163,הכנסות!$B$2:$X$257,11,0)</f>
        <v>0</v>
      </c>
    </row>
    <row r="164" spans="1:8">
      <c r="A164">
        <v>1315226920</v>
      </c>
      <c r="B164" t="s">
        <v>1919</v>
      </c>
      <c r="C164">
        <v>-10000</v>
      </c>
      <c r="D164">
        <v>0</v>
      </c>
      <c r="G164">
        <v>0</v>
      </c>
      <c r="H164">
        <f>VLOOKUP(A164,הכנסות!$B$2:$X$257,11,0)</f>
        <v>0</v>
      </c>
    </row>
    <row r="165" spans="1:8">
      <c r="A165">
        <v>1315227920</v>
      </c>
      <c r="B165" t="s">
        <v>2018</v>
      </c>
      <c r="C165">
        <v>-30795</v>
      </c>
      <c r="D165">
        <v>-35971.14</v>
      </c>
      <c r="G165">
        <v>-35971.14</v>
      </c>
      <c r="H165">
        <f>VLOOKUP(A165,הכנסות!$B$2:$X$257,11,0)</f>
        <v>0</v>
      </c>
    </row>
    <row r="166" spans="1:8">
      <c r="A166">
        <v>1315228920</v>
      </c>
      <c r="B166" t="s">
        <v>1907</v>
      </c>
      <c r="C166">
        <v>-227095</v>
      </c>
      <c r="D166">
        <v>-296272.51</v>
      </c>
      <c r="G166">
        <v>-296272.51</v>
      </c>
      <c r="H166">
        <f>VLOOKUP(A166,הכנסות!$B$2:$X$257,11,0)</f>
        <v>0</v>
      </c>
    </row>
    <row r="167" spans="1:8">
      <c r="A167">
        <v>1315229920</v>
      </c>
      <c r="B167" t="s">
        <v>2019</v>
      </c>
      <c r="C167">
        <v>-254839</v>
      </c>
      <c r="D167">
        <v>-271026.09999999998</v>
      </c>
      <c r="G167">
        <v>-271026.09999999998</v>
      </c>
      <c r="H167">
        <f>VLOOKUP(A167,הכנסות!$B$2:$X$257,11,0)</f>
        <v>0</v>
      </c>
    </row>
    <row r="168" spans="1:8">
      <c r="A168">
        <v>1315230920</v>
      </c>
      <c r="B168" t="s">
        <v>2020</v>
      </c>
      <c r="C168">
        <v>-40387</v>
      </c>
      <c r="D168">
        <v>-43335.96</v>
      </c>
      <c r="G168">
        <v>-43335.96</v>
      </c>
      <c r="H168">
        <f>VLOOKUP(A168,הכנסות!$B$2:$X$257,11,0)</f>
        <v>0</v>
      </c>
    </row>
    <row r="169" spans="1:8">
      <c r="A169">
        <v>1315231920</v>
      </c>
      <c r="B169" t="s">
        <v>1910</v>
      </c>
      <c r="C169">
        <v>0</v>
      </c>
      <c r="D169">
        <v>-13465.64</v>
      </c>
      <c r="G169">
        <v>-13465.64</v>
      </c>
      <c r="H169">
        <f>VLOOKUP(A169,הכנסות!$B$2:$X$257,11,0)</f>
        <v>0</v>
      </c>
    </row>
    <row r="170" spans="1:8">
      <c r="A170">
        <v>1315232920</v>
      </c>
      <c r="B170" t="s">
        <v>2021</v>
      </c>
      <c r="C170">
        <v>-33247</v>
      </c>
      <c r="D170">
        <v>-4697.3999999999996</v>
      </c>
      <c r="G170">
        <v>-4697.3999999999996</v>
      </c>
      <c r="H170">
        <f>VLOOKUP(A170,הכנסות!$B$2:$X$257,11,0)</f>
        <v>0</v>
      </c>
    </row>
    <row r="171" spans="1:8">
      <c r="A171">
        <v>1315233920</v>
      </c>
      <c r="B171" t="s">
        <v>2022</v>
      </c>
      <c r="C171">
        <v>-1341040</v>
      </c>
      <c r="D171">
        <v>-306141.74</v>
      </c>
      <c r="G171">
        <v>-306141.74</v>
      </c>
      <c r="H171">
        <f>VLOOKUP(A171,הכנסות!$B$2:$X$257,11,0)</f>
        <v>0</v>
      </c>
    </row>
    <row r="172" spans="1:8">
      <c r="A172">
        <v>1315234920</v>
      </c>
      <c r="B172" t="s">
        <v>2104</v>
      </c>
      <c r="C172">
        <v>0</v>
      </c>
      <c r="D172">
        <v>-19728.84</v>
      </c>
      <c r="G172">
        <v>-19728.84</v>
      </c>
      <c r="H172">
        <f>VLOOKUP(A172,הכנסות!$B$2:$X$257,11,0)</f>
        <v>0</v>
      </c>
    </row>
    <row r="173" spans="1:8">
      <c r="A173">
        <v>1317100990</v>
      </c>
      <c r="B173" t="s">
        <v>524</v>
      </c>
      <c r="C173">
        <v>-364583</v>
      </c>
      <c r="D173">
        <v>-382441.47</v>
      </c>
      <c r="E173">
        <v>-300000</v>
      </c>
      <c r="F173" t="s">
        <v>2105</v>
      </c>
      <c r="G173">
        <v>-682441.47</v>
      </c>
      <c r="H173">
        <f>VLOOKUP(A173,הכנסות!$B$2:$X$257,11,0)</f>
        <v>0</v>
      </c>
    </row>
    <row r="174" spans="1:8">
      <c r="A174">
        <v>1317301920</v>
      </c>
      <c r="B174" t="s">
        <v>2023</v>
      </c>
      <c r="C174">
        <v>-737325</v>
      </c>
      <c r="D174">
        <v>-742443.22</v>
      </c>
      <c r="G174">
        <v>-742443.22</v>
      </c>
      <c r="H174">
        <f>VLOOKUP(A174,הכנסות!$B$2:$X$257,11,0)</f>
        <v>0</v>
      </c>
    </row>
    <row r="175" spans="1:8">
      <c r="A175">
        <v>1317302920</v>
      </c>
      <c r="B175" t="s">
        <v>526</v>
      </c>
      <c r="C175">
        <v>-45117</v>
      </c>
      <c r="D175">
        <v>-42570</v>
      </c>
      <c r="G175">
        <v>-42570</v>
      </c>
      <c r="H175">
        <f>VLOOKUP(A175,הכנסות!$B$2:$X$257,11,0)</f>
        <v>0</v>
      </c>
    </row>
    <row r="176" spans="1:8">
      <c r="A176">
        <v>1317610920</v>
      </c>
      <c r="B176" t="s">
        <v>527</v>
      </c>
      <c r="C176">
        <v>-90000</v>
      </c>
      <c r="D176">
        <v>0</v>
      </c>
      <c r="G176">
        <v>0</v>
      </c>
      <c r="H176">
        <f>VLOOKUP(A176,הכנסות!$B$2:$X$257,11,0)</f>
        <v>0</v>
      </c>
    </row>
    <row r="177" spans="1:8">
      <c r="A177">
        <v>1317610921</v>
      </c>
      <c r="B177" t="s">
        <v>528</v>
      </c>
      <c r="C177">
        <v>0</v>
      </c>
      <c r="D177">
        <v>0</v>
      </c>
      <c r="G177">
        <v>0</v>
      </c>
      <c r="H177" t="e">
        <f>VLOOKUP(A177,הכנסות!$B$2:$X$257,11,0)</f>
        <v>#N/A</v>
      </c>
    </row>
    <row r="178" spans="1:8">
      <c r="A178">
        <v>1317610980</v>
      </c>
      <c r="B178" t="s">
        <v>529</v>
      </c>
      <c r="C178">
        <v>0</v>
      </c>
      <c r="D178">
        <v>0</v>
      </c>
      <c r="G178">
        <v>0</v>
      </c>
      <c r="H178" t="e">
        <f>VLOOKUP(A178,הכנסות!$B$2:$X$257,11,0)</f>
        <v>#N/A</v>
      </c>
    </row>
    <row r="179" spans="1:8">
      <c r="A179">
        <v>1317620420</v>
      </c>
      <c r="B179" t="s">
        <v>530</v>
      </c>
      <c r="C179">
        <v>0</v>
      </c>
      <c r="D179">
        <v>0</v>
      </c>
      <c r="G179">
        <v>0</v>
      </c>
      <c r="H179" t="e">
        <f>VLOOKUP(A179,הכנסות!$B$2:$X$257,11,0)</f>
        <v>#N/A</v>
      </c>
    </row>
    <row r="180" spans="1:8">
      <c r="A180">
        <v>1317620920</v>
      </c>
      <c r="B180" t="s">
        <v>391</v>
      </c>
      <c r="C180">
        <v>0</v>
      </c>
      <c r="D180">
        <v>0</v>
      </c>
      <c r="G180">
        <v>0</v>
      </c>
      <c r="H180">
        <f>VLOOKUP(A180,הכנסות!$B$2:$X$257,11,0)</f>
        <v>215000</v>
      </c>
    </row>
    <row r="181" spans="1:8">
      <c r="A181">
        <v>1317630920</v>
      </c>
      <c r="B181" t="s">
        <v>531</v>
      </c>
      <c r="C181">
        <v>0</v>
      </c>
      <c r="D181">
        <v>0</v>
      </c>
      <c r="G181">
        <v>0</v>
      </c>
      <c r="H181" t="e">
        <f>VLOOKUP(A181,הכנסות!$B$2:$X$257,11,0)</f>
        <v>#N/A</v>
      </c>
    </row>
    <row r="182" spans="1:8">
      <c r="A182">
        <v>1317700410</v>
      </c>
      <c r="B182" t="s">
        <v>532</v>
      </c>
      <c r="C182">
        <v>0</v>
      </c>
      <c r="D182">
        <v>0</v>
      </c>
      <c r="G182">
        <v>0</v>
      </c>
      <c r="H182" t="e">
        <f>VLOOKUP(A182,הכנסות!$B$2:$X$257,11,0)</f>
        <v>#N/A</v>
      </c>
    </row>
    <row r="183" spans="1:8">
      <c r="A183">
        <v>1317700920</v>
      </c>
      <c r="B183" t="s">
        <v>533</v>
      </c>
      <c r="C183">
        <v>0</v>
      </c>
      <c r="D183">
        <v>0</v>
      </c>
      <c r="G183">
        <v>0</v>
      </c>
      <c r="H183" t="e">
        <f>VLOOKUP(A183,הכנסות!$B$2:$X$257,11,0)</f>
        <v>#N/A</v>
      </c>
    </row>
    <row r="184" spans="1:8">
      <c r="A184">
        <v>1317701920</v>
      </c>
      <c r="B184" t="s">
        <v>534</v>
      </c>
      <c r="C184">
        <v>0</v>
      </c>
      <c r="D184">
        <v>0</v>
      </c>
      <c r="G184">
        <v>0</v>
      </c>
      <c r="H184" t="e">
        <f>VLOOKUP(A184,הכנסות!$B$2:$X$257,11,0)</f>
        <v>#N/A</v>
      </c>
    </row>
    <row r="185" spans="1:8">
      <c r="A185">
        <v>1317710920</v>
      </c>
      <c r="B185" t="s">
        <v>535</v>
      </c>
      <c r="C185">
        <v>-252938</v>
      </c>
      <c r="D185">
        <v>-244449.38</v>
      </c>
      <c r="G185">
        <v>-244449.38</v>
      </c>
      <c r="H185">
        <f>VLOOKUP(A185,הכנסות!$B$2:$X$257,11,0)</f>
        <v>120000</v>
      </c>
    </row>
    <row r="186" spans="1:8">
      <c r="A186">
        <v>1317720920</v>
      </c>
      <c r="B186" t="s">
        <v>1662</v>
      </c>
      <c r="C186">
        <v>-68000</v>
      </c>
      <c r="D186">
        <v>0</v>
      </c>
      <c r="G186">
        <v>0</v>
      </c>
      <c r="H186">
        <f>VLOOKUP(A186,הכנסות!$B$2:$X$257,11,0)</f>
        <v>0</v>
      </c>
    </row>
    <row r="187" spans="1:8">
      <c r="A187">
        <v>1317721920</v>
      </c>
      <c r="B187" t="s">
        <v>2024</v>
      </c>
      <c r="C187">
        <v>-47009</v>
      </c>
      <c r="D187">
        <v>-47476.3</v>
      </c>
      <c r="G187">
        <v>-47476.3</v>
      </c>
      <c r="H187">
        <f>VLOOKUP(A187,הכנסות!$B$2:$X$257,11,0)</f>
        <v>0</v>
      </c>
    </row>
    <row r="188" spans="1:8">
      <c r="A188">
        <v>1317800420</v>
      </c>
      <c r="B188" t="s">
        <v>536</v>
      </c>
      <c r="C188">
        <v>0</v>
      </c>
      <c r="D188">
        <v>0</v>
      </c>
      <c r="G188">
        <v>0</v>
      </c>
      <c r="H188" t="e">
        <f>VLOOKUP(A188,הכנסות!$B$2:$X$257,11,0)</f>
        <v>#N/A</v>
      </c>
    </row>
    <row r="189" spans="1:8">
      <c r="A189">
        <v>1317800920</v>
      </c>
      <c r="B189" t="s">
        <v>269</v>
      </c>
      <c r="C189">
        <v>-66769</v>
      </c>
      <c r="D189">
        <v>81517.759999999995</v>
      </c>
      <c r="G189">
        <v>81517.759999999995</v>
      </c>
      <c r="H189">
        <f>VLOOKUP(A189,הכנסות!$B$2:$X$257,11,0)</f>
        <v>0</v>
      </c>
    </row>
    <row r="190" spans="1:8">
      <c r="A190">
        <v>1317810920</v>
      </c>
      <c r="B190" t="s">
        <v>537</v>
      </c>
      <c r="C190">
        <v>-934033</v>
      </c>
      <c r="D190">
        <v>-1712504.85</v>
      </c>
      <c r="E190">
        <v>-317740.09500000015</v>
      </c>
      <c r="F190" t="s">
        <v>2106</v>
      </c>
      <c r="G190">
        <v>-2030244.9450000003</v>
      </c>
      <c r="H190">
        <f>VLOOKUP(A190,הכנסות!$B$2:$X$257,11,0)</f>
        <v>1400000</v>
      </c>
    </row>
    <row r="191" spans="1:8">
      <c r="A191">
        <v>1317820690</v>
      </c>
      <c r="B191" t="s">
        <v>538</v>
      </c>
      <c r="C191">
        <v>-3000000</v>
      </c>
      <c r="D191">
        <v>-268187</v>
      </c>
      <c r="E191">
        <v>-500000</v>
      </c>
      <c r="F191" t="s">
        <v>2097</v>
      </c>
      <c r="G191">
        <v>-768187</v>
      </c>
      <c r="H191">
        <f>VLOOKUP(A191,הכנסות!$B$2:$X$257,11,0)</f>
        <v>1330000</v>
      </c>
    </row>
    <row r="192" spans="1:8">
      <c r="A192">
        <v>1317820920</v>
      </c>
      <c r="B192" t="s">
        <v>539</v>
      </c>
      <c r="C192">
        <v>-1433595</v>
      </c>
      <c r="D192">
        <v>-73877.440000000002</v>
      </c>
      <c r="G192">
        <v>-73877.440000000002</v>
      </c>
      <c r="H192">
        <f>VLOOKUP(A192,הכנסות!$B$2:$X$257,11,0)</f>
        <v>615000</v>
      </c>
    </row>
    <row r="193" spans="1:8">
      <c r="A193">
        <v>1317900920</v>
      </c>
      <c r="B193" t="s">
        <v>540</v>
      </c>
      <c r="C193">
        <v>0</v>
      </c>
      <c r="D193">
        <v>0</v>
      </c>
      <c r="G193">
        <v>0</v>
      </c>
      <c r="H193" t="e">
        <f>VLOOKUP(A193,הכנסות!$B$2:$X$257,11,0)</f>
        <v>#N/A</v>
      </c>
    </row>
    <row r="194" spans="1:8">
      <c r="A194">
        <v>1319100920</v>
      </c>
      <c r="B194" t="s">
        <v>1693</v>
      </c>
      <c r="C194">
        <v>-234000</v>
      </c>
      <c r="D194">
        <v>-166910.66</v>
      </c>
      <c r="G194">
        <v>-166910.66</v>
      </c>
      <c r="H194">
        <f>VLOOKUP(A194,הכנסות!$B$2:$X$257,11,0)</f>
        <v>0</v>
      </c>
    </row>
    <row r="195" spans="1:8">
      <c r="A195">
        <v>1319101920</v>
      </c>
      <c r="B195" t="s">
        <v>1923</v>
      </c>
      <c r="C195">
        <v>-101700</v>
      </c>
      <c r="D195">
        <v>-213760</v>
      </c>
      <c r="G195">
        <v>-213760</v>
      </c>
      <c r="H195">
        <f>VLOOKUP(A195,הכנסות!$B$2:$X$257,11,0)</f>
        <v>0</v>
      </c>
    </row>
    <row r="196" spans="1:8">
      <c r="A196">
        <v>1319103920</v>
      </c>
      <c r="B196" t="s">
        <v>1925</v>
      </c>
      <c r="C196">
        <v>-230220</v>
      </c>
      <c r="D196">
        <v>-52456</v>
      </c>
      <c r="E196">
        <v>-311937.58150000003</v>
      </c>
      <c r="F196" t="s">
        <v>2107</v>
      </c>
      <c r="G196">
        <v>-364393.58150000003</v>
      </c>
      <c r="H196">
        <f>VLOOKUP(A196,הכנסות!$B$2:$X$257,11,0)</f>
        <v>0</v>
      </c>
    </row>
    <row r="197" spans="1:8">
      <c r="A197">
        <v>1324000740</v>
      </c>
      <c r="B197" t="s">
        <v>1694</v>
      </c>
      <c r="C197">
        <v>0</v>
      </c>
      <c r="D197">
        <v>0</v>
      </c>
      <c r="G197">
        <v>0</v>
      </c>
      <c r="H197" t="e">
        <f>VLOOKUP(A197,הכנסות!$B$2:$X$257,11,0)</f>
        <v>#N/A</v>
      </c>
    </row>
    <row r="198" spans="1:8">
      <c r="A198">
        <v>1324000760</v>
      </c>
      <c r="B198" t="s">
        <v>1695</v>
      </c>
      <c r="C198">
        <v>0</v>
      </c>
      <c r="D198">
        <v>0</v>
      </c>
      <c r="G198">
        <v>0</v>
      </c>
      <c r="H198" t="e">
        <f>VLOOKUP(A198,הכנסות!$B$2:$X$257,11,0)</f>
        <v>#N/A</v>
      </c>
    </row>
    <row r="199" spans="1:8">
      <c r="A199">
        <v>1324000920</v>
      </c>
      <c r="B199" t="s">
        <v>1696</v>
      </c>
      <c r="C199">
        <v>0</v>
      </c>
      <c r="D199">
        <v>5240</v>
      </c>
      <c r="G199">
        <v>5240</v>
      </c>
      <c r="H199">
        <f>VLOOKUP(A199,הכנסות!$B$2:$X$257,11,0)</f>
        <v>0</v>
      </c>
    </row>
    <row r="200" spans="1:8">
      <c r="A200">
        <v>1328200750</v>
      </c>
      <c r="B200" t="s">
        <v>2001</v>
      </c>
      <c r="C200">
        <v>-750000</v>
      </c>
      <c r="D200">
        <v>0</v>
      </c>
      <c r="G200">
        <v>0</v>
      </c>
      <c r="H200">
        <f>VLOOKUP(A200,הכנסות!$B$2:$X$257,11,0)</f>
        <v>0</v>
      </c>
    </row>
    <row r="201" spans="1:8">
      <c r="A201">
        <v>1328300790</v>
      </c>
      <c r="B201" t="s">
        <v>1697</v>
      </c>
      <c r="C201">
        <v>0</v>
      </c>
      <c r="D201">
        <v>0</v>
      </c>
      <c r="G201">
        <v>0</v>
      </c>
      <c r="H201" t="e">
        <f>VLOOKUP(A201,הכנסות!$B$2:$X$257,11,0)</f>
        <v>#N/A</v>
      </c>
    </row>
    <row r="202" spans="1:8">
      <c r="A202">
        <v>1328300920</v>
      </c>
      <c r="B202" t="s">
        <v>1698</v>
      </c>
      <c r="C202">
        <v>0</v>
      </c>
      <c r="D202">
        <v>0</v>
      </c>
      <c r="G202">
        <v>0</v>
      </c>
      <c r="H202">
        <f>VLOOKUP(A202,הכנסות!$B$2:$X$257,11,0)</f>
        <v>0</v>
      </c>
    </row>
    <row r="203" spans="1:8">
      <c r="A203">
        <v>1328400420</v>
      </c>
      <c r="B203" t="s">
        <v>541</v>
      </c>
      <c r="C203">
        <v>0</v>
      </c>
      <c r="D203">
        <v>0</v>
      </c>
      <c r="G203">
        <v>0</v>
      </c>
      <c r="H203" t="e">
        <f>VLOOKUP(A203,הכנסות!$B$2:$X$257,11,0)</f>
        <v>#N/A</v>
      </c>
    </row>
    <row r="204" spans="1:8">
      <c r="A204">
        <v>1328500920</v>
      </c>
      <c r="B204" t="s">
        <v>1658</v>
      </c>
      <c r="C204">
        <v>0</v>
      </c>
      <c r="D204">
        <v>0</v>
      </c>
      <c r="G204">
        <v>0</v>
      </c>
      <c r="H204">
        <f>VLOOKUP(A204,הכנסות!$B$2:$X$257,11,0)</f>
        <v>0</v>
      </c>
    </row>
    <row r="205" spans="1:8">
      <c r="A205">
        <v>1329000420</v>
      </c>
      <c r="B205" t="s">
        <v>1699</v>
      </c>
      <c r="C205">
        <v>0</v>
      </c>
      <c r="D205">
        <v>0</v>
      </c>
      <c r="G205">
        <v>0</v>
      </c>
      <c r="H205">
        <f>VLOOKUP(A205,הכנסות!$B$2:$X$257,11,0)</f>
        <v>30000</v>
      </c>
    </row>
    <row r="206" spans="1:8">
      <c r="A206">
        <v>1329100790</v>
      </c>
      <c r="B206" t="s">
        <v>542</v>
      </c>
      <c r="C206">
        <v>0</v>
      </c>
      <c r="D206">
        <v>0</v>
      </c>
      <c r="G206">
        <v>0</v>
      </c>
      <c r="H206" t="e">
        <f>VLOOKUP(A206,הכנסות!$B$2:$X$257,11,0)</f>
        <v>#N/A</v>
      </c>
    </row>
    <row r="207" spans="1:8">
      <c r="A207">
        <v>1329200420</v>
      </c>
      <c r="B207" t="s">
        <v>543</v>
      </c>
      <c r="C207">
        <v>0</v>
      </c>
      <c r="D207">
        <v>0</v>
      </c>
      <c r="G207">
        <v>0</v>
      </c>
      <c r="H207">
        <f>VLOOKUP(A207,הכנסות!$B$2:$X$257,11,0)</f>
        <v>30000</v>
      </c>
    </row>
    <row r="208" spans="1:8">
      <c r="A208">
        <v>1329200650</v>
      </c>
      <c r="B208" t="s">
        <v>1700</v>
      </c>
      <c r="C208">
        <v>-45000</v>
      </c>
      <c r="D208">
        <v>-35900</v>
      </c>
      <c r="G208">
        <v>-35900</v>
      </c>
      <c r="H208">
        <f>VLOOKUP(A208,הכנסות!$B$2:$X$257,11,0)</f>
        <v>0</v>
      </c>
    </row>
    <row r="209" spans="1:8">
      <c r="A209">
        <v>1329200990</v>
      </c>
      <c r="B209" t="s">
        <v>544</v>
      </c>
      <c r="C209">
        <v>-50000</v>
      </c>
      <c r="D209">
        <v>-205000</v>
      </c>
      <c r="F209" t="s">
        <v>2108</v>
      </c>
      <c r="G209">
        <v>-205000</v>
      </c>
      <c r="H209">
        <f>VLOOKUP(A209,הכנסות!$B$2:$X$257,11,0)</f>
        <v>0</v>
      </c>
    </row>
    <row r="210" spans="1:8">
      <c r="A210">
        <v>1332300940</v>
      </c>
      <c r="B210" t="s">
        <v>545</v>
      </c>
      <c r="C210">
        <v>0</v>
      </c>
      <c r="D210">
        <v>0</v>
      </c>
      <c r="G210">
        <v>0</v>
      </c>
      <c r="H210">
        <f>VLOOKUP(A210,הכנסות!$B$2:$X$257,11,0)</f>
        <v>50000</v>
      </c>
    </row>
    <row r="211" spans="1:8">
      <c r="A211">
        <v>1332400940</v>
      </c>
      <c r="B211" t="s">
        <v>546</v>
      </c>
      <c r="C211">
        <v>0</v>
      </c>
      <c r="D211">
        <v>0</v>
      </c>
      <c r="G211">
        <v>0</v>
      </c>
      <c r="H211" t="e">
        <f>VLOOKUP(A211,הכנסות!$B$2:$X$257,11,0)</f>
        <v>#N/A</v>
      </c>
    </row>
    <row r="212" spans="1:8">
      <c r="A212">
        <v>1341000420</v>
      </c>
      <c r="B212" t="s">
        <v>547</v>
      </c>
      <c r="C212">
        <v>-10000</v>
      </c>
      <c r="D212">
        <v>-23655</v>
      </c>
      <c r="G212">
        <v>-23655</v>
      </c>
      <c r="H212">
        <f>VLOOKUP(A212,הכנסות!$B$2:$X$257,11,0)</f>
        <v>4000</v>
      </c>
    </row>
    <row r="213" spans="1:8">
      <c r="A213">
        <v>1341001930</v>
      </c>
      <c r="B213" t="s">
        <v>548</v>
      </c>
      <c r="C213">
        <v>-1500000</v>
      </c>
      <c r="D213">
        <v>-1643621</v>
      </c>
      <c r="G213">
        <v>-1643621</v>
      </c>
      <c r="H213">
        <f>VLOOKUP(A213,הכנסות!$B$2:$X$257,11,0)</f>
        <v>1100000</v>
      </c>
    </row>
    <row r="214" spans="1:8">
      <c r="A214">
        <v>1341002930</v>
      </c>
      <c r="B214" t="s">
        <v>549</v>
      </c>
      <c r="C214">
        <v>-38537</v>
      </c>
      <c r="D214">
        <v>-30914</v>
      </c>
      <c r="G214">
        <v>-30914</v>
      </c>
      <c r="H214">
        <f>VLOOKUP(A214,הכנסות!$B$2:$X$257,11,0)</f>
        <v>12000</v>
      </c>
    </row>
    <row r="215" spans="1:8">
      <c r="A215">
        <v>1341003930</v>
      </c>
      <c r="B215" t="s">
        <v>1701</v>
      </c>
      <c r="C215">
        <v>0</v>
      </c>
      <c r="D215">
        <v>0</v>
      </c>
      <c r="G215">
        <v>0</v>
      </c>
      <c r="H215" t="e">
        <f>VLOOKUP(A215,הכנסות!$B$2:$X$257,11,0)</f>
        <v>#N/A</v>
      </c>
    </row>
    <row r="216" spans="1:8">
      <c r="A216">
        <v>1341004930</v>
      </c>
      <c r="B216" t="s">
        <v>1702</v>
      </c>
      <c r="C216">
        <v>0</v>
      </c>
      <c r="D216">
        <v>0</v>
      </c>
      <c r="G216">
        <v>0</v>
      </c>
      <c r="H216" t="e">
        <f>VLOOKUP(A216,הכנסות!$B$2:$X$257,11,0)</f>
        <v>#N/A</v>
      </c>
    </row>
    <row r="217" spans="1:8">
      <c r="A217">
        <v>1342201420</v>
      </c>
      <c r="B217" t="s">
        <v>315</v>
      </c>
      <c r="C217">
        <v>0</v>
      </c>
      <c r="D217">
        <v>-90343</v>
      </c>
      <c r="G217">
        <v>-90343</v>
      </c>
      <c r="H217" t="e">
        <f>VLOOKUP(A217,הכנסות!$B$2:$X$257,11,0)</f>
        <v>#N/A</v>
      </c>
    </row>
    <row r="218" spans="1:8">
      <c r="A218">
        <v>1342201930</v>
      </c>
      <c r="B218" t="s">
        <v>1703</v>
      </c>
      <c r="C218">
        <v>0</v>
      </c>
      <c r="D218">
        <v>0</v>
      </c>
      <c r="G218">
        <v>0</v>
      </c>
      <c r="H218">
        <f>VLOOKUP(A218,הכנסות!$B$2:$X$257,11,0)</f>
        <v>0</v>
      </c>
    </row>
    <row r="219" spans="1:8">
      <c r="A219">
        <v>1342202420</v>
      </c>
      <c r="B219" t="s">
        <v>1704</v>
      </c>
      <c r="C219">
        <v>0</v>
      </c>
      <c r="D219">
        <v>0</v>
      </c>
      <c r="G219">
        <v>0</v>
      </c>
      <c r="H219" t="e">
        <f>VLOOKUP(A219,הכנסות!$B$2:$X$257,11,0)</f>
        <v>#N/A</v>
      </c>
    </row>
    <row r="220" spans="1:8">
      <c r="A220">
        <v>1342202930</v>
      </c>
      <c r="B220" t="s">
        <v>550</v>
      </c>
      <c r="C220">
        <v>-120000</v>
      </c>
      <c r="D220">
        <v>-2374</v>
      </c>
      <c r="G220">
        <v>-2374</v>
      </c>
      <c r="H220">
        <f>VLOOKUP(A220,הכנסות!$B$2:$X$257,11,0)</f>
        <v>170000</v>
      </c>
    </row>
    <row r="221" spans="1:8">
      <c r="A221">
        <v>1342203420</v>
      </c>
      <c r="B221" t="s">
        <v>317</v>
      </c>
      <c r="C221">
        <v>0</v>
      </c>
      <c r="D221">
        <v>0</v>
      </c>
      <c r="G221">
        <v>0</v>
      </c>
      <c r="H221" t="e">
        <f>VLOOKUP(A221,הכנסות!$B$2:$X$257,11,0)</f>
        <v>#N/A</v>
      </c>
    </row>
    <row r="222" spans="1:8">
      <c r="A222">
        <v>1342203930</v>
      </c>
      <c r="B222" t="s">
        <v>317</v>
      </c>
      <c r="C222">
        <v>0</v>
      </c>
      <c r="D222">
        <v>0</v>
      </c>
      <c r="G222">
        <v>0</v>
      </c>
      <c r="H222" t="e">
        <f>VLOOKUP(A222,הכנסות!$B$2:$X$257,11,0)</f>
        <v>#N/A</v>
      </c>
    </row>
    <row r="223" spans="1:8">
      <c r="A223">
        <v>1342204930</v>
      </c>
      <c r="B223" t="s">
        <v>551</v>
      </c>
      <c r="C223">
        <v>0</v>
      </c>
      <c r="D223">
        <v>0</v>
      </c>
      <c r="G223">
        <v>0</v>
      </c>
      <c r="H223" t="e">
        <f>VLOOKUP(A223,הכנסות!$B$2:$X$257,11,0)</f>
        <v>#N/A</v>
      </c>
    </row>
    <row r="224" spans="1:8">
      <c r="A224">
        <v>1342205930</v>
      </c>
      <c r="B224" t="s">
        <v>322</v>
      </c>
      <c r="C224">
        <v>0</v>
      </c>
      <c r="D224">
        <v>0</v>
      </c>
      <c r="G224">
        <v>0</v>
      </c>
      <c r="H224" t="e">
        <f>VLOOKUP(A224,הכנסות!$B$2:$X$257,11,0)</f>
        <v>#N/A</v>
      </c>
    </row>
    <row r="225" spans="1:8">
      <c r="A225">
        <v>1342206930</v>
      </c>
      <c r="B225" t="s">
        <v>323</v>
      </c>
      <c r="C225">
        <v>-52500</v>
      </c>
      <c r="D225">
        <v>-44531</v>
      </c>
      <c r="G225">
        <v>-44531</v>
      </c>
      <c r="H225">
        <f>VLOOKUP(A225,הכנסות!$B$2:$X$257,11,0)</f>
        <v>20000</v>
      </c>
    </row>
    <row r="226" spans="1:8">
      <c r="A226">
        <v>1342207930</v>
      </c>
      <c r="B226" t="s">
        <v>383</v>
      </c>
      <c r="C226">
        <v>0</v>
      </c>
      <c r="D226">
        <v>0</v>
      </c>
      <c r="G226">
        <v>0</v>
      </c>
      <c r="H226" t="e">
        <f>VLOOKUP(A226,הכנסות!$B$2:$X$257,11,0)</f>
        <v>#N/A</v>
      </c>
    </row>
    <row r="227" spans="1:8">
      <c r="A227">
        <v>1342208930</v>
      </c>
      <c r="B227" t="s">
        <v>2025</v>
      </c>
      <c r="C227">
        <v>-6000</v>
      </c>
      <c r="D227">
        <v>-23946</v>
      </c>
      <c r="G227">
        <v>-23946</v>
      </c>
      <c r="H227">
        <f>VLOOKUP(A227,הכנסות!$B$2:$X$257,11,0)</f>
        <v>0</v>
      </c>
    </row>
    <row r="228" spans="1:8">
      <c r="A228">
        <v>1342401930</v>
      </c>
      <c r="B228" t="s">
        <v>324</v>
      </c>
      <c r="C228">
        <v>-13000</v>
      </c>
      <c r="D228">
        <v>-4464</v>
      </c>
      <c r="G228">
        <v>-4464</v>
      </c>
      <c r="H228">
        <f>VLOOKUP(A228,הכנסות!$B$2:$X$257,11,0)</f>
        <v>0</v>
      </c>
    </row>
    <row r="229" spans="1:8">
      <c r="A229">
        <v>1342402930</v>
      </c>
      <c r="B229" t="s">
        <v>325</v>
      </c>
      <c r="C229">
        <v>-15700</v>
      </c>
      <c r="D229">
        <v>-5749</v>
      </c>
      <c r="G229">
        <v>-5749</v>
      </c>
      <c r="H229">
        <f>VLOOKUP(A229,הכנסות!$B$2:$X$257,11,0)</f>
        <v>0</v>
      </c>
    </row>
    <row r="230" spans="1:8">
      <c r="A230">
        <v>1343501930</v>
      </c>
      <c r="B230" t="s">
        <v>552</v>
      </c>
      <c r="C230">
        <v>0</v>
      </c>
      <c r="D230">
        <v>0</v>
      </c>
      <c r="G230">
        <v>0</v>
      </c>
      <c r="H230" t="e">
        <f>VLOOKUP(A230,הכנסות!$B$2:$X$257,11,0)</f>
        <v>#N/A</v>
      </c>
    </row>
    <row r="231" spans="1:8">
      <c r="A231">
        <v>1343502930</v>
      </c>
      <c r="B231" t="s">
        <v>553</v>
      </c>
      <c r="C231">
        <v>-180000</v>
      </c>
      <c r="D231">
        <v>-159066</v>
      </c>
      <c r="G231">
        <v>-159066</v>
      </c>
      <c r="H231">
        <f>VLOOKUP(A231,הכנסות!$B$2:$X$257,11,0)</f>
        <v>188000</v>
      </c>
    </row>
    <row r="232" spans="1:8">
      <c r="A232">
        <v>1343503420</v>
      </c>
      <c r="B232" t="s">
        <v>329</v>
      </c>
      <c r="C232">
        <v>0</v>
      </c>
      <c r="D232">
        <v>0</v>
      </c>
      <c r="G232">
        <v>0</v>
      </c>
      <c r="H232" t="e">
        <f>VLOOKUP(A232,הכנסות!$B$2:$X$257,11,0)</f>
        <v>#N/A</v>
      </c>
    </row>
    <row r="233" spans="1:8">
      <c r="A233">
        <v>1343503930</v>
      </c>
      <c r="B233" t="s">
        <v>329</v>
      </c>
      <c r="C233">
        <v>-850000</v>
      </c>
      <c r="D233">
        <v>-673736</v>
      </c>
      <c r="G233">
        <v>-673736</v>
      </c>
      <c r="H233">
        <f>VLOOKUP(A233,הכנסות!$B$2:$X$257,11,0)</f>
        <v>900000</v>
      </c>
    </row>
    <row r="234" spans="1:8">
      <c r="A234">
        <v>1343504420</v>
      </c>
      <c r="B234" t="s">
        <v>334</v>
      </c>
      <c r="C234">
        <v>0</v>
      </c>
      <c r="D234">
        <v>0</v>
      </c>
      <c r="G234">
        <v>0</v>
      </c>
      <c r="H234">
        <f>VLOOKUP(A234,הכנסות!$B$2:$X$257,11,0)</f>
        <v>0</v>
      </c>
    </row>
    <row r="235" spans="1:8">
      <c r="A235">
        <v>1343504930</v>
      </c>
      <c r="B235" t="s">
        <v>334</v>
      </c>
      <c r="C235">
        <v>-115000</v>
      </c>
      <c r="D235">
        <v>0</v>
      </c>
      <c r="G235">
        <v>0</v>
      </c>
      <c r="H235">
        <f>VLOOKUP(A235,הכנסות!$B$2:$X$257,11,0)</f>
        <v>155000</v>
      </c>
    </row>
    <row r="236" spans="1:8">
      <c r="A236">
        <v>1343504932</v>
      </c>
      <c r="B236" t="s">
        <v>327</v>
      </c>
      <c r="C236">
        <v>0</v>
      </c>
      <c r="D236">
        <v>0</v>
      </c>
      <c r="G236">
        <v>0</v>
      </c>
      <c r="H236" t="e">
        <f>VLOOKUP(A236,הכנסות!$B$2:$X$257,11,0)</f>
        <v>#N/A</v>
      </c>
    </row>
    <row r="237" spans="1:8">
      <c r="A237">
        <v>1343504990</v>
      </c>
      <c r="B237" t="s">
        <v>1705</v>
      </c>
      <c r="C237">
        <v>0</v>
      </c>
      <c r="D237">
        <v>0</v>
      </c>
      <c r="G237">
        <v>0</v>
      </c>
      <c r="H237" t="e">
        <f>VLOOKUP(A237,הכנסות!$B$2:$X$257,11,0)</f>
        <v>#N/A</v>
      </c>
    </row>
    <row r="238" spans="1:8">
      <c r="A238">
        <v>1343800930</v>
      </c>
      <c r="B238" t="s">
        <v>1706</v>
      </c>
      <c r="C238">
        <v>0</v>
      </c>
      <c r="D238">
        <v>0</v>
      </c>
      <c r="G238">
        <v>0</v>
      </c>
      <c r="H238" t="e">
        <f>VLOOKUP(A238,הכנסות!$B$2:$X$257,11,0)</f>
        <v>#N/A</v>
      </c>
    </row>
    <row r="239" spans="1:8">
      <c r="A239">
        <v>1343801420</v>
      </c>
      <c r="B239" t="s">
        <v>335</v>
      </c>
      <c r="C239">
        <v>0</v>
      </c>
      <c r="D239">
        <v>0</v>
      </c>
      <c r="G239">
        <v>0</v>
      </c>
      <c r="H239" t="e">
        <f>VLOOKUP(A239,הכנסות!$B$2:$X$257,11,0)</f>
        <v>#N/A</v>
      </c>
    </row>
    <row r="240" spans="1:8">
      <c r="A240">
        <v>1343801930</v>
      </c>
      <c r="B240" t="s">
        <v>335</v>
      </c>
      <c r="C240">
        <v>-2350000</v>
      </c>
      <c r="D240">
        <v>-3331224</v>
      </c>
      <c r="G240">
        <v>-3331224</v>
      </c>
      <c r="H240">
        <f>VLOOKUP(A240,הכנסות!$B$2:$X$257,11,0)</f>
        <v>2350000</v>
      </c>
    </row>
    <row r="241" spans="1:8">
      <c r="A241">
        <v>1343900930</v>
      </c>
      <c r="B241" t="s">
        <v>1636</v>
      </c>
      <c r="C241">
        <v>0</v>
      </c>
      <c r="D241">
        <v>0</v>
      </c>
      <c r="G241">
        <v>0</v>
      </c>
      <c r="H241">
        <f>VLOOKUP(A241,הכנסות!$B$2:$X$257,11,0)</f>
        <v>0</v>
      </c>
    </row>
    <row r="242" spans="1:8">
      <c r="A242">
        <v>1343901930</v>
      </c>
      <c r="B242" t="s">
        <v>338</v>
      </c>
      <c r="C242">
        <v>-1300000</v>
      </c>
      <c r="D242">
        <v>-2209670</v>
      </c>
      <c r="G242">
        <v>-2209670</v>
      </c>
      <c r="H242">
        <f>VLOOKUP(A242,הכנסות!$B$2:$X$257,11,0)</f>
        <v>1330000</v>
      </c>
    </row>
    <row r="243" spans="1:8">
      <c r="A243">
        <v>1343901932</v>
      </c>
      <c r="B243" t="s">
        <v>554</v>
      </c>
      <c r="C243">
        <v>0</v>
      </c>
      <c r="D243">
        <v>0</v>
      </c>
      <c r="G243">
        <v>0</v>
      </c>
      <c r="H243">
        <f>VLOOKUP(A243,הכנסות!$B$2:$X$257,11,0)</f>
        <v>0</v>
      </c>
    </row>
    <row r="244" spans="1:8">
      <c r="A244">
        <v>1343902930</v>
      </c>
      <c r="B244" t="s">
        <v>2026</v>
      </c>
      <c r="C244">
        <v>-14000</v>
      </c>
      <c r="D244">
        <v>-9491</v>
      </c>
      <c r="G244">
        <v>-9491</v>
      </c>
      <c r="H244">
        <f>VLOOKUP(A244,הכנסות!$B$2:$X$257,11,0)</f>
        <v>0</v>
      </c>
    </row>
    <row r="245" spans="1:8">
      <c r="A245">
        <v>1343903930</v>
      </c>
      <c r="B245" t="s">
        <v>2027</v>
      </c>
      <c r="C245">
        <v>-3000</v>
      </c>
      <c r="D245">
        <v>0</v>
      </c>
      <c r="G245">
        <v>0</v>
      </c>
      <c r="H245">
        <f>VLOOKUP(A245,הכנסות!$B$2:$X$257,11,0)</f>
        <v>0</v>
      </c>
    </row>
    <row r="246" spans="1:8">
      <c r="A246">
        <v>1343904930</v>
      </c>
      <c r="B246" t="s">
        <v>2028</v>
      </c>
      <c r="C246">
        <v>-45000</v>
      </c>
      <c r="D246">
        <v>0</v>
      </c>
      <c r="G246">
        <v>0</v>
      </c>
      <c r="H246">
        <f>VLOOKUP(A246,הכנסות!$B$2:$X$257,11,0)</f>
        <v>0</v>
      </c>
    </row>
    <row r="247" spans="1:8">
      <c r="A247">
        <v>1344300930</v>
      </c>
      <c r="B247" t="s">
        <v>340</v>
      </c>
      <c r="C247">
        <v>0</v>
      </c>
      <c r="D247">
        <v>0</v>
      </c>
      <c r="G247">
        <v>0</v>
      </c>
      <c r="H247">
        <f>VLOOKUP(A247,הכנסות!$B$2:$X$257,11,0)</f>
        <v>0</v>
      </c>
    </row>
    <row r="248" spans="1:8">
      <c r="A248">
        <v>1344400430</v>
      </c>
      <c r="B248" t="s">
        <v>1707</v>
      </c>
      <c r="C248">
        <v>0</v>
      </c>
      <c r="D248">
        <v>0</v>
      </c>
      <c r="G248">
        <v>0</v>
      </c>
      <c r="H248" t="e">
        <f>VLOOKUP(A248,הכנסות!$B$2:$X$257,11,0)</f>
        <v>#N/A</v>
      </c>
    </row>
    <row r="249" spans="1:8">
      <c r="A249">
        <v>1344401420</v>
      </c>
      <c r="B249" t="s">
        <v>1708</v>
      </c>
      <c r="C249">
        <v>0</v>
      </c>
      <c r="D249">
        <v>0</v>
      </c>
      <c r="G249">
        <v>0</v>
      </c>
      <c r="H249" t="e">
        <f>VLOOKUP(A249,הכנסות!$B$2:$X$257,11,0)</f>
        <v>#N/A</v>
      </c>
    </row>
    <row r="250" spans="1:8">
      <c r="A250">
        <v>1344401930</v>
      </c>
      <c r="B250" t="s">
        <v>1709</v>
      </c>
      <c r="C250">
        <v>0</v>
      </c>
      <c r="D250">
        <v>0</v>
      </c>
      <c r="G250">
        <v>0</v>
      </c>
      <c r="H250" t="e">
        <f>VLOOKUP(A250,הכנסות!$B$2:$X$257,11,0)</f>
        <v>#N/A</v>
      </c>
    </row>
    <row r="251" spans="1:8">
      <c r="A251">
        <v>1344402420</v>
      </c>
      <c r="B251" t="s">
        <v>345</v>
      </c>
      <c r="C251">
        <v>-30000</v>
      </c>
      <c r="D251">
        <v>-830</v>
      </c>
      <c r="G251">
        <v>-830</v>
      </c>
      <c r="H251">
        <f>VLOOKUP(A251,הכנסות!$B$2:$X$257,11,0)</f>
        <v>0</v>
      </c>
    </row>
    <row r="252" spans="1:8">
      <c r="A252">
        <v>1344402930</v>
      </c>
      <c r="B252" t="s">
        <v>345</v>
      </c>
      <c r="C252">
        <v>-71000</v>
      </c>
      <c r="D252">
        <v>0</v>
      </c>
      <c r="G252">
        <v>0</v>
      </c>
      <c r="H252">
        <f>VLOOKUP(A252,הכנסות!$B$2:$X$257,11,0)</f>
        <v>21000</v>
      </c>
    </row>
    <row r="253" spans="1:8">
      <c r="A253">
        <v>1344403930</v>
      </c>
      <c r="B253" t="s">
        <v>555</v>
      </c>
      <c r="C253">
        <v>0</v>
      </c>
      <c r="D253">
        <v>0</v>
      </c>
      <c r="G253">
        <v>0</v>
      </c>
      <c r="H253" t="e">
        <f>VLOOKUP(A253,הכנסות!$B$2:$X$257,11,0)</f>
        <v>#N/A</v>
      </c>
    </row>
    <row r="254" spans="1:8">
      <c r="A254">
        <v>1344500930</v>
      </c>
      <c r="B254" t="s">
        <v>348</v>
      </c>
      <c r="C254">
        <v>-198000</v>
      </c>
      <c r="D254">
        <v>-180722</v>
      </c>
      <c r="G254">
        <v>-180722</v>
      </c>
      <c r="H254">
        <f>VLOOKUP(A254,הכנסות!$B$2:$X$257,11,0)</f>
        <v>0</v>
      </c>
    </row>
    <row r="255" spans="1:8">
      <c r="A255">
        <v>1345100930</v>
      </c>
      <c r="B255" t="s">
        <v>349</v>
      </c>
      <c r="C255">
        <v>-34000</v>
      </c>
      <c r="D255">
        <v>-44045</v>
      </c>
      <c r="G255">
        <v>-44045</v>
      </c>
      <c r="H255">
        <f>VLOOKUP(A255,הכנסות!$B$2:$X$257,11,0)</f>
        <v>0</v>
      </c>
    </row>
    <row r="256" spans="1:8">
      <c r="A256">
        <v>1345101420</v>
      </c>
      <c r="B256" t="s">
        <v>350</v>
      </c>
      <c r="C256">
        <v>0</v>
      </c>
      <c r="D256">
        <v>0</v>
      </c>
      <c r="G256">
        <v>0</v>
      </c>
      <c r="H256" t="e">
        <f>VLOOKUP(A256,הכנסות!$B$2:$X$257,11,0)</f>
        <v>#N/A</v>
      </c>
    </row>
    <row r="257" spans="1:8">
      <c r="A257">
        <v>1345101930</v>
      </c>
      <c r="B257" t="s">
        <v>350</v>
      </c>
      <c r="C257">
        <v>-4500000</v>
      </c>
      <c r="D257">
        <v>-4750660</v>
      </c>
      <c r="G257">
        <v>-4750660</v>
      </c>
      <c r="H257">
        <f>VLOOKUP(A257,הכנסות!$B$2:$X$257,11,0)</f>
        <v>3495000</v>
      </c>
    </row>
    <row r="258" spans="1:8">
      <c r="A258">
        <v>1345102930</v>
      </c>
      <c r="B258" t="s">
        <v>351</v>
      </c>
      <c r="C258">
        <v>-11000</v>
      </c>
      <c r="D258">
        <v>-7816</v>
      </c>
      <c r="G258">
        <v>-7816</v>
      </c>
      <c r="H258">
        <f>VLOOKUP(A258,הכנסות!$B$2:$X$257,11,0)</f>
        <v>4000</v>
      </c>
    </row>
    <row r="259" spans="1:8">
      <c r="A259">
        <v>1345103930</v>
      </c>
      <c r="B259" t="s">
        <v>352</v>
      </c>
      <c r="C259">
        <v>0</v>
      </c>
      <c r="D259">
        <v>0</v>
      </c>
      <c r="G259">
        <v>0</v>
      </c>
      <c r="H259">
        <f>VLOOKUP(A259,הכנסות!$B$2:$X$257,11,0)</f>
        <v>10000</v>
      </c>
    </row>
    <row r="260" spans="1:8">
      <c r="A260">
        <v>1345104930</v>
      </c>
      <c r="B260" t="s">
        <v>353</v>
      </c>
      <c r="C260">
        <v>0</v>
      </c>
      <c r="D260">
        <v>0</v>
      </c>
      <c r="G260">
        <v>0</v>
      </c>
      <c r="H260" t="e">
        <f>VLOOKUP(A260,הכנסות!$B$2:$X$257,11,0)</f>
        <v>#N/A</v>
      </c>
    </row>
    <row r="261" spans="1:8">
      <c r="A261">
        <v>1345200930</v>
      </c>
      <c r="B261" t="s">
        <v>354</v>
      </c>
      <c r="C261">
        <v>-300000</v>
      </c>
      <c r="D261">
        <v>0</v>
      </c>
      <c r="G261">
        <v>0</v>
      </c>
      <c r="H261">
        <f>VLOOKUP(A261,הכנסות!$B$2:$X$257,11,0)</f>
        <v>100000</v>
      </c>
    </row>
    <row r="262" spans="1:8">
      <c r="A262">
        <v>1345201420</v>
      </c>
      <c r="B262" t="s">
        <v>356</v>
      </c>
      <c r="C262">
        <v>0</v>
      </c>
      <c r="D262">
        <v>0</v>
      </c>
      <c r="G262">
        <v>0</v>
      </c>
      <c r="H262" t="e">
        <f>VLOOKUP(A262,הכנסות!$B$2:$X$257,11,0)</f>
        <v>#N/A</v>
      </c>
    </row>
    <row r="263" spans="1:8">
      <c r="A263">
        <v>1345201930</v>
      </c>
      <c r="B263" t="s">
        <v>356</v>
      </c>
      <c r="C263">
        <v>-600000</v>
      </c>
      <c r="D263">
        <v>-1094967</v>
      </c>
      <c r="G263">
        <v>-1094967</v>
      </c>
      <c r="H263">
        <f>VLOOKUP(A263,הכנסות!$B$2:$X$257,11,0)</f>
        <v>0</v>
      </c>
    </row>
    <row r="264" spans="1:8">
      <c r="A264">
        <v>1345201931</v>
      </c>
      <c r="B264" t="s">
        <v>556</v>
      </c>
      <c r="C264">
        <v>0</v>
      </c>
      <c r="D264">
        <v>0</v>
      </c>
      <c r="G264">
        <v>0</v>
      </c>
      <c r="H264" t="e">
        <f>VLOOKUP(A264,הכנסות!$B$2:$X$257,11,0)</f>
        <v>#N/A</v>
      </c>
    </row>
    <row r="265" spans="1:8">
      <c r="A265">
        <v>1345202930</v>
      </c>
      <c r="B265" t="s">
        <v>357</v>
      </c>
      <c r="C265">
        <v>-57828</v>
      </c>
      <c r="D265">
        <v>-73265</v>
      </c>
      <c r="G265">
        <v>-73265</v>
      </c>
      <c r="H265">
        <f>VLOOKUP(A265,הכנסות!$B$2:$X$257,11,0)</f>
        <v>48000</v>
      </c>
    </row>
    <row r="266" spans="1:8">
      <c r="A266">
        <v>1345202931</v>
      </c>
      <c r="B266" t="s">
        <v>557</v>
      </c>
      <c r="C266">
        <v>0</v>
      </c>
      <c r="D266">
        <v>0</v>
      </c>
      <c r="G266">
        <v>0</v>
      </c>
      <c r="H266" t="e">
        <f>VLOOKUP(A266,הכנסות!$B$2:$X$257,11,0)</f>
        <v>#N/A</v>
      </c>
    </row>
    <row r="267" spans="1:8">
      <c r="A267">
        <v>1345203930</v>
      </c>
      <c r="B267" t="s">
        <v>558</v>
      </c>
      <c r="C267">
        <v>0</v>
      </c>
      <c r="D267">
        <v>-478175</v>
      </c>
      <c r="G267">
        <v>-478175</v>
      </c>
      <c r="H267">
        <f>VLOOKUP(A267,הכנסות!$B$2:$X$257,11,0)</f>
        <v>0</v>
      </c>
    </row>
    <row r="268" spans="1:8">
      <c r="A268">
        <v>1345301930</v>
      </c>
      <c r="B268" t="s">
        <v>361</v>
      </c>
      <c r="C268">
        <v>-100000</v>
      </c>
      <c r="D268">
        <v>-79238</v>
      </c>
      <c r="G268">
        <v>-79238</v>
      </c>
      <c r="H268">
        <f>VLOOKUP(A268,הכנסות!$B$2:$X$257,11,0)</f>
        <v>0</v>
      </c>
    </row>
    <row r="269" spans="1:8">
      <c r="A269">
        <v>1345302420</v>
      </c>
      <c r="B269" t="s">
        <v>362</v>
      </c>
      <c r="C269">
        <v>0</v>
      </c>
      <c r="D269">
        <v>0</v>
      </c>
      <c r="G269">
        <v>0</v>
      </c>
      <c r="H269" t="e">
        <f>VLOOKUP(A269,הכנסות!$B$2:$X$257,11,0)</f>
        <v>#N/A</v>
      </c>
    </row>
    <row r="270" spans="1:8">
      <c r="A270">
        <v>1345302930</v>
      </c>
      <c r="B270" t="s">
        <v>362</v>
      </c>
      <c r="C270">
        <v>0</v>
      </c>
      <c r="D270">
        <v>-31007</v>
      </c>
      <c r="G270">
        <v>-31007</v>
      </c>
      <c r="H270">
        <f>VLOOKUP(A270,הכנסות!$B$2:$X$257,11,0)</f>
        <v>6000</v>
      </c>
    </row>
    <row r="271" spans="1:8">
      <c r="A271">
        <v>1345303930</v>
      </c>
      <c r="B271" t="s">
        <v>559</v>
      </c>
      <c r="C271">
        <v>0</v>
      </c>
      <c r="D271">
        <v>0</v>
      </c>
      <c r="G271">
        <v>0</v>
      </c>
      <c r="H271">
        <f>VLOOKUP(A271,הכנסות!$B$2:$X$257,11,0)</f>
        <v>200000</v>
      </c>
    </row>
    <row r="272" spans="1:8">
      <c r="A272">
        <v>1346301930</v>
      </c>
      <c r="B272" t="s">
        <v>560</v>
      </c>
      <c r="C272">
        <v>0</v>
      </c>
      <c r="D272">
        <v>0</v>
      </c>
      <c r="G272">
        <v>0</v>
      </c>
      <c r="H272" t="e">
        <f>VLOOKUP(A272,הכנסות!$B$2:$X$257,11,0)</f>
        <v>#N/A</v>
      </c>
    </row>
    <row r="273" spans="1:8">
      <c r="A273">
        <v>1346302930</v>
      </c>
      <c r="B273" t="s">
        <v>561</v>
      </c>
      <c r="C273">
        <v>-3750</v>
      </c>
      <c r="D273">
        <v>-3274</v>
      </c>
      <c r="G273">
        <v>-3274</v>
      </c>
      <c r="H273">
        <f>VLOOKUP(A273,הכנסות!$B$2:$X$257,11,0)</f>
        <v>0</v>
      </c>
    </row>
    <row r="274" spans="1:8">
      <c r="A274">
        <v>1346401930</v>
      </c>
      <c r="B274" t="s">
        <v>562</v>
      </c>
      <c r="C274">
        <v>-2250</v>
      </c>
      <c r="D274">
        <v>-5741</v>
      </c>
      <c r="G274">
        <v>-5741</v>
      </c>
      <c r="H274">
        <f>VLOOKUP(A274,הכנסות!$B$2:$X$257,11,0)</f>
        <v>0</v>
      </c>
    </row>
    <row r="275" spans="1:8">
      <c r="A275">
        <v>1346402930</v>
      </c>
      <c r="B275" t="s">
        <v>368</v>
      </c>
      <c r="C275">
        <v>0</v>
      </c>
      <c r="D275">
        <v>0</v>
      </c>
      <c r="G275">
        <v>0</v>
      </c>
      <c r="H275" t="e">
        <f>VLOOKUP(A275,הכנסות!$B$2:$X$257,11,0)</f>
        <v>#N/A</v>
      </c>
    </row>
    <row r="276" spans="1:8">
      <c r="A276">
        <v>1346500930</v>
      </c>
      <c r="B276" t="s">
        <v>364</v>
      </c>
      <c r="C276">
        <v>-270000</v>
      </c>
      <c r="D276">
        <v>-326249</v>
      </c>
      <c r="G276">
        <v>-326249</v>
      </c>
      <c r="H276">
        <f>VLOOKUP(A276,הכנסות!$B$2:$X$257,11,0)</f>
        <v>100000</v>
      </c>
    </row>
    <row r="277" spans="1:8">
      <c r="A277">
        <v>1346501420</v>
      </c>
      <c r="B277" t="s">
        <v>563</v>
      </c>
      <c r="C277">
        <v>0</v>
      </c>
      <c r="D277">
        <v>0</v>
      </c>
      <c r="G277">
        <v>0</v>
      </c>
      <c r="H277">
        <f>VLOOKUP(A277,הכנסות!$B$2:$X$257,11,0)</f>
        <v>0</v>
      </c>
    </row>
    <row r="278" spans="1:8">
      <c r="A278">
        <v>1346501930</v>
      </c>
      <c r="B278" t="s">
        <v>563</v>
      </c>
      <c r="C278">
        <v>0</v>
      </c>
      <c r="D278">
        <v>0</v>
      </c>
      <c r="G278">
        <v>0</v>
      </c>
      <c r="H278">
        <f>VLOOKUP(A278,הכנסות!$B$2:$X$257,11,0)</f>
        <v>50000</v>
      </c>
    </row>
    <row r="279" spans="1:8">
      <c r="A279">
        <v>1346601930</v>
      </c>
      <c r="B279" t="s">
        <v>370</v>
      </c>
      <c r="C279">
        <v>-22500</v>
      </c>
      <c r="D279">
        <v>-38598</v>
      </c>
      <c r="G279">
        <v>-38598</v>
      </c>
      <c r="H279">
        <f>VLOOKUP(A279,הכנסות!$B$2:$X$257,11,0)</f>
        <v>30000</v>
      </c>
    </row>
    <row r="280" spans="1:8">
      <c r="A280">
        <v>1346602930</v>
      </c>
      <c r="B280" t="s">
        <v>371</v>
      </c>
      <c r="C280">
        <v>0</v>
      </c>
      <c r="D280">
        <v>0</v>
      </c>
      <c r="G280">
        <v>0</v>
      </c>
      <c r="H280">
        <f>VLOOKUP(A280,הכנסות!$B$2:$X$257,11,0)</f>
        <v>4000</v>
      </c>
    </row>
    <row r="281" spans="1:8">
      <c r="A281">
        <v>1346603930</v>
      </c>
      <c r="B281" t="s">
        <v>1710</v>
      </c>
      <c r="C281">
        <v>-34000</v>
      </c>
      <c r="D281">
        <v>-23321</v>
      </c>
      <c r="G281">
        <v>-23321</v>
      </c>
      <c r="H281">
        <f>VLOOKUP(A281,הכנסות!$B$2:$X$257,11,0)</f>
        <v>0</v>
      </c>
    </row>
    <row r="282" spans="1:8">
      <c r="A282">
        <v>1346701930</v>
      </c>
      <c r="B282" t="s">
        <v>564</v>
      </c>
      <c r="C282">
        <v>-550000</v>
      </c>
      <c r="D282">
        <v>-653073</v>
      </c>
      <c r="G282">
        <v>-653073</v>
      </c>
      <c r="H282">
        <f>VLOOKUP(A282,הכנסות!$B$2:$X$257,11,0)</f>
        <v>510000</v>
      </c>
    </row>
    <row r="283" spans="1:8">
      <c r="A283">
        <v>1346702930</v>
      </c>
      <c r="B283" t="s">
        <v>373</v>
      </c>
      <c r="C283">
        <v>0</v>
      </c>
      <c r="D283">
        <v>0</v>
      </c>
      <c r="G283">
        <v>0</v>
      </c>
      <c r="H283">
        <f>VLOOKUP(A283,הכנסות!$B$2:$X$257,11,0)</f>
        <v>0</v>
      </c>
    </row>
    <row r="284" spans="1:8">
      <c r="A284">
        <v>1346703930</v>
      </c>
      <c r="B284" t="s">
        <v>374</v>
      </c>
      <c r="C284">
        <v>-390000</v>
      </c>
      <c r="D284">
        <v>-444107</v>
      </c>
      <c r="G284">
        <v>-444107</v>
      </c>
      <c r="H284">
        <f>VLOOKUP(A284,הכנסות!$B$2:$X$257,11,0)</f>
        <v>95000</v>
      </c>
    </row>
    <row r="285" spans="1:8">
      <c r="A285">
        <v>1346704930</v>
      </c>
      <c r="B285" t="s">
        <v>375</v>
      </c>
      <c r="C285">
        <v>-135000</v>
      </c>
      <c r="D285">
        <v>-83121</v>
      </c>
      <c r="G285">
        <v>-83121</v>
      </c>
      <c r="H285">
        <f>VLOOKUP(A285,הכנסות!$B$2:$X$257,11,0)</f>
        <v>82000</v>
      </c>
    </row>
    <row r="286" spans="1:8">
      <c r="A286">
        <v>1346705930</v>
      </c>
      <c r="B286" t="s">
        <v>2029</v>
      </c>
      <c r="C286">
        <v>-52500</v>
      </c>
      <c r="D286">
        <v>-27244</v>
      </c>
      <c r="G286">
        <v>-27244</v>
      </c>
      <c r="H286">
        <f>VLOOKUP(A286,הכנסות!$B$2:$X$257,11,0)</f>
        <v>0</v>
      </c>
    </row>
    <row r="287" spans="1:8">
      <c r="A287">
        <v>1346800930</v>
      </c>
      <c r="B287" t="s">
        <v>565</v>
      </c>
      <c r="C287">
        <v>0</v>
      </c>
      <c r="D287">
        <v>0</v>
      </c>
      <c r="G287">
        <v>0</v>
      </c>
      <c r="H287" t="e">
        <f>VLOOKUP(A287,הכנסות!$B$2:$X$257,11,0)</f>
        <v>#N/A</v>
      </c>
    </row>
    <row r="288" spans="1:8">
      <c r="A288">
        <v>1346801930</v>
      </c>
      <c r="B288" t="s">
        <v>376</v>
      </c>
      <c r="C288">
        <v>-11250</v>
      </c>
      <c r="D288">
        <v>-16938</v>
      </c>
      <c r="G288">
        <v>-16938</v>
      </c>
      <c r="H288">
        <f>VLOOKUP(A288,הכנסות!$B$2:$X$257,11,0)</f>
        <v>46000</v>
      </c>
    </row>
    <row r="289" spans="1:8">
      <c r="A289">
        <v>1346802930</v>
      </c>
      <c r="B289" t="s">
        <v>377</v>
      </c>
      <c r="C289">
        <v>0</v>
      </c>
      <c r="D289">
        <v>0</v>
      </c>
      <c r="G289">
        <v>0</v>
      </c>
      <c r="H289" t="e">
        <f>VLOOKUP(A289,הכנסות!$B$2:$X$257,11,0)</f>
        <v>#N/A</v>
      </c>
    </row>
    <row r="290" spans="1:8">
      <c r="A290">
        <v>1347100930</v>
      </c>
      <c r="B290" t="s">
        <v>566</v>
      </c>
      <c r="C290">
        <v>0</v>
      </c>
      <c r="D290">
        <v>0</v>
      </c>
      <c r="G290">
        <v>0</v>
      </c>
      <c r="H290" t="e">
        <f>VLOOKUP(A290,הכנסות!$B$2:$X$257,11,0)</f>
        <v>#N/A</v>
      </c>
    </row>
    <row r="291" spans="1:8">
      <c r="A291">
        <v>1347101930</v>
      </c>
      <c r="B291" t="s">
        <v>567</v>
      </c>
      <c r="C291">
        <v>-11977</v>
      </c>
      <c r="D291">
        <v>-131624</v>
      </c>
      <c r="G291">
        <v>-131624</v>
      </c>
      <c r="H291">
        <f>VLOOKUP(A291,הכנסות!$B$2:$X$257,11,0)</f>
        <v>30000</v>
      </c>
    </row>
    <row r="292" spans="1:8">
      <c r="A292">
        <v>1347102930</v>
      </c>
      <c r="B292" t="s">
        <v>381</v>
      </c>
      <c r="C292">
        <v>-11250</v>
      </c>
      <c r="D292">
        <v>0</v>
      </c>
      <c r="G292">
        <v>0</v>
      </c>
      <c r="H292">
        <f>VLOOKUP(A292,הכנסות!$B$2:$X$257,11,0)</f>
        <v>0</v>
      </c>
    </row>
    <row r="293" spans="1:8">
      <c r="A293">
        <v>1347103930</v>
      </c>
      <c r="B293" t="s">
        <v>382</v>
      </c>
      <c r="C293">
        <v>-150000</v>
      </c>
      <c r="D293">
        <v>-183352</v>
      </c>
      <c r="G293">
        <v>-183352</v>
      </c>
      <c r="H293">
        <f>VLOOKUP(A293,הכנסות!$B$2:$X$257,11,0)</f>
        <v>0</v>
      </c>
    </row>
    <row r="294" spans="1:8">
      <c r="A294">
        <v>1347104930</v>
      </c>
      <c r="B294" t="s">
        <v>383</v>
      </c>
      <c r="C294">
        <v>-370000</v>
      </c>
      <c r="D294">
        <v>-253022</v>
      </c>
      <c r="G294">
        <v>-253022</v>
      </c>
      <c r="H294">
        <f>VLOOKUP(A294,הכנסות!$B$2:$X$257,11,0)</f>
        <v>25000</v>
      </c>
    </row>
    <row r="295" spans="1:8">
      <c r="A295">
        <v>1347105930</v>
      </c>
      <c r="B295" t="s">
        <v>568</v>
      </c>
      <c r="C295">
        <v>0</v>
      </c>
      <c r="D295">
        <v>0</v>
      </c>
      <c r="G295">
        <v>0</v>
      </c>
      <c r="H295" t="e">
        <f>VLOOKUP(A295,הכנסות!$B$2:$X$257,11,0)</f>
        <v>#N/A</v>
      </c>
    </row>
    <row r="296" spans="1:8">
      <c r="A296">
        <v>1347106930</v>
      </c>
      <c r="B296" t="s">
        <v>384</v>
      </c>
      <c r="C296">
        <v>0</v>
      </c>
      <c r="D296">
        <v>0</v>
      </c>
      <c r="G296">
        <v>0</v>
      </c>
      <c r="H296" t="e">
        <f>VLOOKUP(A296,הכנסות!$B$2:$X$257,11,0)</f>
        <v>#N/A</v>
      </c>
    </row>
    <row r="297" spans="1:8">
      <c r="A297">
        <v>1347201930</v>
      </c>
      <c r="B297" t="s">
        <v>385</v>
      </c>
      <c r="C297">
        <v>0</v>
      </c>
      <c r="D297">
        <v>-10882</v>
      </c>
      <c r="G297">
        <v>-10882</v>
      </c>
      <c r="H297">
        <f>VLOOKUP(A297,הכנסות!$B$2:$X$257,11,0)</f>
        <v>0</v>
      </c>
    </row>
    <row r="298" spans="1:8">
      <c r="A298">
        <v>1347202930</v>
      </c>
      <c r="B298" t="s">
        <v>569</v>
      </c>
      <c r="C298">
        <v>-60000</v>
      </c>
      <c r="D298">
        <v>-63894</v>
      </c>
      <c r="G298">
        <v>-63894</v>
      </c>
      <c r="H298">
        <f>VLOOKUP(A298,הכנסות!$B$2:$X$257,11,0)</f>
        <v>96000</v>
      </c>
    </row>
    <row r="299" spans="1:8">
      <c r="A299">
        <v>1347301930</v>
      </c>
      <c r="B299" t="s">
        <v>570</v>
      </c>
      <c r="C299">
        <v>-60000</v>
      </c>
      <c r="D299">
        <v>-62584</v>
      </c>
      <c r="G299">
        <v>-62584</v>
      </c>
      <c r="H299">
        <f>VLOOKUP(A299,הכנסות!$B$2:$X$257,11,0)</f>
        <v>90000</v>
      </c>
    </row>
    <row r="300" spans="1:8">
      <c r="A300">
        <v>1347302930</v>
      </c>
      <c r="B300" t="s">
        <v>387</v>
      </c>
      <c r="C300">
        <v>0</v>
      </c>
      <c r="D300">
        <v>0</v>
      </c>
      <c r="G300">
        <v>0</v>
      </c>
      <c r="H300" t="e">
        <f>VLOOKUP(A300,הכנסות!$B$2:$X$257,11,0)</f>
        <v>#N/A</v>
      </c>
    </row>
    <row r="301" spans="1:8">
      <c r="A301">
        <v>1347400930</v>
      </c>
      <c r="B301" t="s">
        <v>571</v>
      </c>
      <c r="C301">
        <v>-22500</v>
      </c>
      <c r="D301">
        <v>-18203</v>
      </c>
      <c r="G301">
        <v>-18203</v>
      </c>
      <c r="H301">
        <f>VLOOKUP(A301,הכנסות!$B$2:$X$257,11,0)</f>
        <v>0</v>
      </c>
    </row>
    <row r="302" spans="1:8">
      <c r="A302">
        <v>1347500930</v>
      </c>
      <c r="B302" t="s">
        <v>1639</v>
      </c>
      <c r="C302">
        <v>-120000</v>
      </c>
      <c r="D302">
        <v>-337380</v>
      </c>
      <c r="G302">
        <v>-337380</v>
      </c>
      <c r="H302">
        <f>VLOOKUP(A302,הכנסות!$B$2:$X$257,11,0)</f>
        <v>0</v>
      </c>
    </row>
    <row r="303" spans="1:8">
      <c r="A303">
        <v>1348500930</v>
      </c>
      <c r="B303" t="s">
        <v>1637</v>
      </c>
      <c r="C303">
        <v>-900000</v>
      </c>
      <c r="D303">
        <v>-871751</v>
      </c>
      <c r="G303">
        <v>-871751</v>
      </c>
      <c r="H303">
        <f>VLOOKUP(A303,הכנסות!$B$2:$X$257,11,0)</f>
        <v>0</v>
      </c>
    </row>
    <row r="304" spans="1:8">
      <c r="A304">
        <v>1348501420</v>
      </c>
      <c r="B304" t="s">
        <v>572</v>
      </c>
      <c r="C304">
        <v>0</v>
      </c>
      <c r="D304">
        <v>0</v>
      </c>
      <c r="G304">
        <v>0</v>
      </c>
      <c r="H304" t="e">
        <f>VLOOKUP(A304,הכנסות!$B$2:$X$257,11,0)</f>
        <v>#N/A</v>
      </c>
    </row>
    <row r="305" spans="1:8">
      <c r="A305">
        <v>1348501930</v>
      </c>
      <c r="B305" t="s">
        <v>573</v>
      </c>
      <c r="C305">
        <v>-160000</v>
      </c>
      <c r="D305">
        <v>-183634</v>
      </c>
      <c r="G305">
        <v>-183634</v>
      </c>
      <c r="H305">
        <f>VLOOKUP(A305,הכנסות!$B$2:$X$257,11,0)</f>
        <v>0</v>
      </c>
    </row>
    <row r="306" spans="1:8">
      <c r="A306">
        <v>1348502930</v>
      </c>
      <c r="B306" t="s">
        <v>390</v>
      </c>
      <c r="C306">
        <v>0</v>
      </c>
      <c r="D306">
        <v>0</v>
      </c>
      <c r="G306">
        <v>0</v>
      </c>
      <c r="H306" t="e">
        <f>VLOOKUP(A306,הכנסות!$B$2:$X$257,11,0)</f>
        <v>#N/A</v>
      </c>
    </row>
    <row r="307" spans="1:8">
      <c r="A307">
        <v>1353000690</v>
      </c>
      <c r="B307" t="s">
        <v>1711</v>
      </c>
      <c r="C307">
        <v>0</v>
      </c>
      <c r="D307">
        <v>0</v>
      </c>
      <c r="G307">
        <v>0</v>
      </c>
      <c r="H307" t="e">
        <f>VLOOKUP(A307,הכנסות!$B$2:$X$257,11,0)</f>
        <v>#N/A</v>
      </c>
    </row>
    <row r="308" spans="1:8">
      <c r="A308">
        <v>1353000990</v>
      </c>
      <c r="B308" t="s">
        <v>1712</v>
      </c>
      <c r="C308">
        <v>0</v>
      </c>
      <c r="D308">
        <v>0</v>
      </c>
      <c r="G308">
        <v>0</v>
      </c>
      <c r="H308" t="e">
        <f>VLOOKUP(A308,הכנסות!$B$2:$X$257,11,0)</f>
        <v>#N/A</v>
      </c>
    </row>
    <row r="309" spans="1:8">
      <c r="A309">
        <v>1370000990</v>
      </c>
      <c r="B309" t="s">
        <v>1713</v>
      </c>
      <c r="C309">
        <v>0</v>
      </c>
      <c r="D309">
        <v>0</v>
      </c>
      <c r="G309">
        <v>0</v>
      </c>
      <c r="H309" t="e">
        <f>VLOOKUP(A309,הכנסות!$B$2:$X$257,11,0)</f>
        <v>#N/A</v>
      </c>
    </row>
    <row r="310" spans="1:8">
      <c r="A310">
        <v>1379000990</v>
      </c>
      <c r="B310" t="s">
        <v>1714</v>
      </c>
      <c r="C310">
        <v>0</v>
      </c>
      <c r="D310">
        <v>0</v>
      </c>
      <c r="G310">
        <v>0</v>
      </c>
      <c r="H310" t="e">
        <f>VLOOKUP(A310,הכנסות!$B$2:$X$257,11,0)</f>
        <v>#N/A</v>
      </c>
    </row>
    <row r="311" spans="1:8">
      <c r="A311">
        <v>1413100210</v>
      </c>
      <c r="B311" t="s">
        <v>574</v>
      </c>
      <c r="C311">
        <v>-1600000</v>
      </c>
      <c r="D311">
        <v>-2184077.36</v>
      </c>
      <c r="G311">
        <v>-2184077.36</v>
      </c>
      <c r="H311">
        <f>VLOOKUP(A311,הכנסות!$B$2:$X$257,11,0)</f>
        <v>2500000</v>
      </c>
    </row>
    <row r="312" spans="1:8">
      <c r="A312">
        <v>1413110210</v>
      </c>
      <c r="B312" t="s">
        <v>575</v>
      </c>
      <c r="C312">
        <v>-1600000</v>
      </c>
      <c r="D312">
        <v>-2165140.41</v>
      </c>
      <c r="G312">
        <v>-2165140.41</v>
      </c>
      <c r="H312">
        <f>VLOOKUP(A312,הכנסות!$B$2:$X$257,11,0)</f>
        <v>2000000</v>
      </c>
    </row>
    <row r="313" spans="1:8">
      <c r="A313">
        <v>1413200220</v>
      </c>
      <c r="B313" t="s">
        <v>576</v>
      </c>
      <c r="C313">
        <v>-20000</v>
      </c>
      <c r="D313">
        <v>-40526.39</v>
      </c>
      <c r="G313">
        <v>-40526.39</v>
      </c>
      <c r="H313">
        <f>VLOOKUP(A313,הכנסות!$B$2:$X$257,11,0)</f>
        <v>200000</v>
      </c>
    </row>
    <row r="314" spans="1:8">
      <c r="A314">
        <v>1413300690</v>
      </c>
      <c r="B314" t="s">
        <v>1715</v>
      </c>
      <c r="C314">
        <v>0</v>
      </c>
      <c r="D314">
        <v>0</v>
      </c>
      <c r="G314">
        <v>0</v>
      </c>
      <c r="H314" t="e">
        <f>VLOOKUP(A314,הכנסות!$B$2:$X$257,11,0)</f>
        <v>#N/A</v>
      </c>
    </row>
    <row r="315" spans="1:8">
      <c r="A315">
        <v>1413300810</v>
      </c>
      <c r="B315" t="s">
        <v>577</v>
      </c>
      <c r="C315">
        <v>-100000</v>
      </c>
      <c r="D315">
        <v>0</v>
      </c>
      <c r="G315">
        <v>0</v>
      </c>
      <c r="H315">
        <f>VLOOKUP(A315,הכנסות!$B$2:$X$257,11,0)</f>
        <v>400000</v>
      </c>
    </row>
    <row r="316" spans="1:8">
      <c r="A316">
        <v>1414300810</v>
      </c>
      <c r="B316" t="s">
        <v>578</v>
      </c>
      <c r="C316">
        <v>0</v>
      </c>
      <c r="D316">
        <v>0</v>
      </c>
      <c r="G316">
        <v>0</v>
      </c>
      <c r="H316">
        <f>VLOOKUP(A316,הכנסות!$B$2:$X$257,11,0)</f>
        <v>0</v>
      </c>
    </row>
    <row r="317" spans="1:8">
      <c r="A317">
        <v>1433000290</v>
      </c>
      <c r="B317" t="s">
        <v>579</v>
      </c>
      <c r="C317">
        <v>0</v>
      </c>
      <c r="D317">
        <v>-2908</v>
      </c>
      <c r="G317">
        <v>-2908</v>
      </c>
      <c r="H317">
        <f>VLOOKUP(A317,הכנסות!$B$2:$X$257,11,0)</f>
        <v>0</v>
      </c>
    </row>
    <row r="318" spans="1:8">
      <c r="A318">
        <v>1438000410</v>
      </c>
      <c r="B318" t="s">
        <v>580</v>
      </c>
      <c r="C318">
        <v>0</v>
      </c>
      <c r="D318">
        <v>0</v>
      </c>
      <c r="G318">
        <v>0</v>
      </c>
      <c r="H318">
        <f>VLOOKUP(A318,הכנסות!$B$2:$X$257,11,0)</f>
        <v>0</v>
      </c>
    </row>
    <row r="319" spans="1:8">
      <c r="A319">
        <v>1472000210</v>
      </c>
      <c r="B319" t="s">
        <v>581</v>
      </c>
      <c r="C319">
        <v>-80000</v>
      </c>
      <c r="D319">
        <v>-191518.23</v>
      </c>
      <c r="G319">
        <v>-191518.23</v>
      </c>
      <c r="H319">
        <f>VLOOKUP(A319,הכנסות!$B$2:$X$257,11,0)</f>
        <v>1500000</v>
      </c>
    </row>
    <row r="320" spans="1:8">
      <c r="A320">
        <v>1472000810</v>
      </c>
      <c r="B320" t="s">
        <v>582</v>
      </c>
      <c r="C320">
        <v>-300000</v>
      </c>
      <c r="D320">
        <v>-226979.85</v>
      </c>
      <c r="G320">
        <v>-226979.85</v>
      </c>
      <c r="H320">
        <f>VLOOKUP(A320,הכנסות!$B$2:$X$257,11,0)</f>
        <v>1050000</v>
      </c>
    </row>
    <row r="321" spans="1:8">
      <c r="A321">
        <v>1472100210</v>
      </c>
      <c r="B321" t="s">
        <v>2030</v>
      </c>
      <c r="C321">
        <v>-150000</v>
      </c>
      <c r="D321">
        <v>0</v>
      </c>
      <c r="G321">
        <v>0</v>
      </c>
      <c r="H321">
        <f>VLOOKUP(A321,הכנסות!$B$2:$X$257,11,0)</f>
        <v>0</v>
      </c>
    </row>
    <row r="322" spans="1:8">
      <c r="A322">
        <v>1511000661</v>
      </c>
      <c r="B322" t="s">
        <v>1716</v>
      </c>
      <c r="C322">
        <v>0</v>
      </c>
      <c r="D322">
        <v>-7.91</v>
      </c>
      <c r="G322">
        <v>-7.91</v>
      </c>
      <c r="H322">
        <f>VLOOKUP(A322,הכנסות!$B$2:$X$257,11,0)</f>
        <v>0</v>
      </c>
    </row>
    <row r="323" spans="1:8">
      <c r="A323">
        <v>1513000540</v>
      </c>
      <c r="B323" t="s">
        <v>1717</v>
      </c>
      <c r="C323">
        <v>0</v>
      </c>
      <c r="D323">
        <v>0</v>
      </c>
      <c r="G323">
        <v>0</v>
      </c>
      <c r="H323" t="e">
        <f>VLOOKUP(A323,הכנסות!$B$2:$X$257,11,0)</f>
        <v>#N/A</v>
      </c>
    </row>
    <row r="324" spans="1:8">
      <c r="A324">
        <v>1513000690</v>
      </c>
      <c r="B324" t="s">
        <v>1718</v>
      </c>
      <c r="C324">
        <v>0</v>
      </c>
      <c r="D324">
        <f>-645745.34+1500</f>
        <v>-644245.34</v>
      </c>
      <c r="G324">
        <f>-645745.34+1500</f>
        <v>-644245.34</v>
      </c>
      <c r="H324">
        <f>VLOOKUP(A324,הכנסות!$B$2:$X$257,11,0)</f>
        <v>0</v>
      </c>
    </row>
    <row r="325" spans="1:8">
      <c r="A325">
        <v>1599000590</v>
      </c>
      <c r="B325" t="s">
        <v>2109</v>
      </c>
      <c r="C325">
        <v>0</v>
      </c>
      <c r="D325">
        <v>0</v>
      </c>
      <c r="G325">
        <v>0</v>
      </c>
      <c r="H325" t="e">
        <f>VLOOKUP(A325,הכנסות!$B$2:$X$257,11,0)</f>
        <v>#N/A</v>
      </c>
    </row>
    <row r="326" spans="1:8">
      <c r="A326">
        <v>1599000790</v>
      </c>
      <c r="B326" t="s">
        <v>1719</v>
      </c>
      <c r="C326">
        <v>0</v>
      </c>
      <c r="D326">
        <v>0</v>
      </c>
      <c r="G326">
        <v>0</v>
      </c>
      <c r="H326" t="e">
        <f>VLOOKUP(A326,הכנסות!$B$2:$X$257,11,0)</f>
        <v>#N/A</v>
      </c>
    </row>
    <row r="327" spans="1:8">
      <c r="A327">
        <v>1599100910</v>
      </c>
      <c r="B327" t="s">
        <v>583</v>
      </c>
      <c r="C327">
        <v>0</v>
      </c>
      <c r="D327">
        <v>-2808000</v>
      </c>
      <c r="G327">
        <v>-2808000</v>
      </c>
      <c r="H327">
        <f>VLOOKUP(A327,הכנסות!$B$2:$X$257,11,0)</f>
        <v>0</v>
      </c>
    </row>
    <row r="328" spans="1:8">
      <c r="A328">
        <v>1599200910</v>
      </c>
      <c r="B328" t="s">
        <v>1720</v>
      </c>
      <c r="C328">
        <v>0</v>
      </c>
      <c r="D328">
        <v>0</v>
      </c>
      <c r="G328">
        <v>0</v>
      </c>
      <c r="H328" t="e">
        <f>VLOOKUP(A328,הכנסות!$B$2:$X$257,11,0)</f>
        <v>#N/A</v>
      </c>
    </row>
    <row r="329" spans="1:8">
      <c r="A329">
        <v>1599900790</v>
      </c>
      <c r="B329" t="s">
        <v>584</v>
      </c>
      <c r="C329">
        <v>0</v>
      </c>
      <c r="D329">
        <v>0</v>
      </c>
      <c r="G329">
        <v>0</v>
      </c>
      <c r="H329">
        <f>VLOOKUP(A329,הכנסות!$B$2:$X$257,11,0)</f>
        <v>0</v>
      </c>
    </row>
    <row r="330" spans="1:8">
      <c r="A330" t="s">
        <v>715</v>
      </c>
      <c r="C330">
        <v>-91327221</v>
      </c>
      <c r="D330">
        <v>-96061952.799999982</v>
      </c>
      <c r="E330">
        <v>-4472349.9465000005</v>
      </c>
      <c r="F330">
        <v>0</v>
      </c>
      <c r="G330">
        <v>-100534302.74649997</v>
      </c>
    </row>
    <row r="331" spans="1:8">
      <c r="A331">
        <v>1611100110</v>
      </c>
      <c r="B331" t="s">
        <v>3</v>
      </c>
      <c r="C331">
        <v>1175000</v>
      </c>
      <c r="D331">
        <v>856539.79</v>
      </c>
      <c r="G331">
        <v>856539.79</v>
      </c>
      <c r="H331">
        <f>VLOOKUP(A331,הוצאות!$B$2:$V$519,19,0)</f>
        <v>1175000</v>
      </c>
    </row>
    <row r="332" spans="1:8">
      <c r="A332">
        <v>1611100511</v>
      </c>
      <c r="B332" t="s">
        <v>4</v>
      </c>
      <c r="C332">
        <v>25000</v>
      </c>
      <c r="D332">
        <v>48683.69</v>
      </c>
      <c r="G332">
        <v>48683.69</v>
      </c>
      <c r="H332">
        <f>VLOOKUP(A332,הוצאות!$B$2:$V$519,19,0)</f>
        <v>25000</v>
      </c>
    </row>
    <row r="333" spans="1:8">
      <c r="A333">
        <v>1611100514</v>
      </c>
      <c r="B333" t="s">
        <v>5</v>
      </c>
      <c r="C333">
        <v>0</v>
      </c>
      <c r="D333">
        <v>0</v>
      </c>
      <c r="G333">
        <v>0</v>
      </c>
      <c r="H333">
        <f>VLOOKUP(A333,הוצאות!$B$2:$V$519,19,0)</f>
        <v>0</v>
      </c>
    </row>
    <row r="334" spans="1:8">
      <c r="A334">
        <v>1611100521</v>
      </c>
      <c r="B334" t="s">
        <v>6</v>
      </c>
      <c r="C334">
        <v>5000</v>
      </c>
      <c r="D334">
        <v>71945</v>
      </c>
      <c r="G334">
        <v>71945</v>
      </c>
      <c r="H334">
        <f>VLOOKUP(A334,הוצאות!$B$2:$V$519,19,0)</f>
        <v>5000</v>
      </c>
    </row>
    <row r="335" spans="1:8">
      <c r="A335">
        <v>1611100522</v>
      </c>
      <c r="B335" t="s">
        <v>7</v>
      </c>
      <c r="C335">
        <v>3000</v>
      </c>
      <c r="D335">
        <v>0</v>
      </c>
      <c r="G335">
        <v>0</v>
      </c>
      <c r="H335">
        <f>VLOOKUP(A335,הוצאות!$B$2:$V$519,19,0)</f>
        <v>3000</v>
      </c>
    </row>
    <row r="336" spans="1:8">
      <c r="A336">
        <v>1611100523</v>
      </c>
      <c r="B336" t="s">
        <v>8</v>
      </c>
      <c r="C336">
        <v>2500</v>
      </c>
      <c r="D336">
        <v>0</v>
      </c>
      <c r="G336">
        <v>0</v>
      </c>
      <c r="H336">
        <f>VLOOKUP(A336,הוצאות!$B$2:$V$519,19,0)</f>
        <v>2500</v>
      </c>
    </row>
    <row r="337" spans="1:8">
      <c r="A337">
        <v>1611100530</v>
      </c>
      <c r="B337" t="s">
        <v>9</v>
      </c>
      <c r="C337">
        <v>0</v>
      </c>
      <c r="D337">
        <v>11409.17</v>
      </c>
      <c r="E337">
        <v>4000</v>
      </c>
      <c r="F337" t="s">
        <v>2110</v>
      </c>
      <c r="G337">
        <v>15409.17</v>
      </c>
      <c r="H337">
        <f>VLOOKUP(A337,הוצאות!$B$2:$V$519,19,0)</f>
        <v>0</v>
      </c>
    </row>
    <row r="338" spans="1:8">
      <c r="A338">
        <v>1611100531</v>
      </c>
      <c r="B338" t="s">
        <v>10</v>
      </c>
      <c r="C338">
        <v>0</v>
      </c>
      <c r="D338">
        <v>0</v>
      </c>
      <c r="G338">
        <v>0</v>
      </c>
      <c r="H338">
        <f>VLOOKUP(A338,הוצאות!$B$2:$V$519,19,0)</f>
        <v>0</v>
      </c>
    </row>
    <row r="339" spans="1:8">
      <c r="A339">
        <v>1611100532</v>
      </c>
      <c r="B339" t="s">
        <v>11</v>
      </c>
      <c r="C339">
        <v>0</v>
      </c>
      <c r="D339">
        <v>0</v>
      </c>
      <c r="G339">
        <v>0</v>
      </c>
      <c r="H339" t="e">
        <f>VLOOKUP(A339,הוצאות!$B$2:$V$519,19,0)</f>
        <v>#N/A</v>
      </c>
    </row>
    <row r="340" spans="1:8">
      <c r="A340">
        <v>1611100533</v>
      </c>
      <c r="B340" t="s">
        <v>12</v>
      </c>
      <c r="C340">
        <v>0</v>
      </c>
      <c r="D340">
        <v>0</v>
      </c>
      <c r="G340">
        <v>0</v>
      </c>
      <c r="H340" t="e">
        <f>VLOOKUP(A340,הוצאות!$B$2:$V$519,19,0)</f>
        <v>#N/A</v>
      </c>
    </row>
    <row r="341" spans="1:8">
      <c r="A341">
        <v>1611100540</v>
      </c>
      <c r="B341" t="s">
        <v>13</v>
      </c>
      <c r="C341">
        <v>0</v>
      </c>
      <c r="D341">
        <v>0</v>
      </c>
      <c r="G341">
        <v>0</v>
      </c>
      <c r="H341" t="e">
        <f>VLOOKUP(A341,הוצאות!$B$2:$V$519,19,0)</f>
        <v>#N/A</v>
      </c>
    </row>
    <row r="342" spans="1:8">
      <c r="A342">
        <v>1611100560</v>
      </c>
      <c r="B342" t="s">
        <v>14</v>
      </c>
      <c r="C342">
        <v>20000</v>
      </c>
      <c r="D342">
        <v>18241.3</v>
      </c>
      <c r="G342">
        <v>18241.3</v>
      </c>
      <c r="H342">
        <f>VLOOKUP(A342,הוצאות!$B$2:$V$519,19,0)</f>
        <v>20000</v>
      </c>
    </row>
    <row r="343" spans="1:8">
      <c r="A343">
        <v>1611100750</v>
      </c>
      <c r="B343" t="s">
        <v>15</v>
      </c>
      <c r="C343">
        <v>0</v>
      </c>
      <c r="D343">
        <v>0</v>
      </c>
      <c r="G343">
        <v>0</v>
      </c>
      <c r="H343" t="e">
        <f>VLOOKUP(A343,הוצאות!$B$2:$V$519,19,0)</f>
        <v>#N/A</v>
      </c>
    </row>
    <row r="344" spans="1:8">
      <c r="A344">
        <v>1611100751</v>
      </c>
      <c r="B344" t="s">
        <v>16</v>
      </c>
      <c r="C344">
        <v>0</v>
      </c>
      <c r="D344">
        <v>0</v>
      </c>
      <c r="G344">
        <v>0</v>
      </c>
      <c r="H344" t="e">
        <f>VLOOKUP(A344,הוצאות!$B$2:$V$519,19,0)</f>
        <v>#N/A</v>
      </c>
    </row>
    <row r="345" spans="1:8">
      <c r="A345">
        <v>1611100760</v>
      </c>
      <c r="B345" t="s">
        <v>17</v>
      </c>
      <c r="C345">
        <v>0</v>
      </c>
      <c r="D345">
        <v>0</v>
      </c>
      <c r="G345">
        <v>0</v>
      </c>
      <c r="H345" t="e">
        <f>VLOOKUP(A345,הוצאות!$B$2:$V$519,19,0)</f>
        <v>#N/A</v>
      </c>
    </row>
    <row r="346" spans="1:8">
      <c r="A346">
        <v>1611100780</v>
      </c>
      <c r="B346" t="s">
        <v>18</v>
      </c>
      <c r="C346">
        <v>15000</v>
      </c>
      <c r="D346">
        <v>9345</v>
      </c>
      <c r="G346">
        <v>13236</v>
      </c>
      <c r="H346">
        <f>VLOOKUP(A346,הוצאות!$B$2:$V$519,19,0)</f>
        <v>15000</v>
      </c>
    </row>
    <row r="347" spans="1:8">
      <c r="A347">
        <v>1611100930</v>
      </c>
      <c r="B347" t="s">
        <v>19</v>
      </c>
      <c r="C347">
        <v>0</v>
      </c>
      <c r="D347">
        <v>0</v>
      </c>
      <c r="G347">
        <v>0</v>
      </c>
      <c r="H347" t="e">
        <f>VLOOKUP(A347,הוצאות!$B$2:$V$519,19,0)</f>
        <v>#N/A</v>
      </c>
    </row>
    <row r="348" spans="1:8">
      <c r="A348">
        <v>1611110110</v>
      </c>
      <c r="B348" t="s">
        <v>20</v>
      </c>
      <c r="C348">
        <v>405000</v>
      </c>
      <c r="D348">
        <v>354084.84</v>
      </c>
      <c r="G348">
        <v>354084.84</v>
      </c>
      <c r="H348">
        <f>VLOOKUP(A348,הוצאות!$B$2:$V$519,19,0)</f>
        <v>405000</v>
      </c>
    </row>
    <row r="349" spans="1:8">
      <c r="A349">
        <v>1611200110</v>
      </c>
      <c r="B349" t="s">
        <v>2031</v>
      </c>
      <c r="C349">
        <v>432000</v>
      </c>
      <c r="D349">
        <v>0</v>
      </c>
      <c r="G349">
        <v>0</v>
      </c>
      <c r="H349">
        <f>VLOOKUP(A349,הוצאות!$B$2:$V$519,19,0)</f>
        <v>0</v>
      </c>
    </row>
    <row r="350" spans="1:8">
      <c r="A350">
        <v>1611200780</v>
      </c>
      <c r="B350" t="s">
        <v>1721</v>
      </c>
      <c r="C350">
        <v>0</v>
      </c>
      <c r="D350">
        <v>0</v>
      </c>
      <c r="G350">
        <v>0</v>
      </c>
      <c r="H350" t="e">
        <f>VLOOKUP(A350,הוצאות!$B$2:$V$519,19,0)</f>
        <v>#N/A</v>
      </c>
    </row>
    <row r="351" spans="1:8">
      <c r="A351">
        <v>1611300780</v>
      </c>
      <c r="B351" t="s">
        <v>1722</v>
      </c>
      <c r="C351">
        <v>0</v>
      </c>
      <c r="D351">
        <v>0</v>
      </c>
      <c r="G351">
        <v>0</v>
      </c>
      <c r="H351" t="e">
        <f>VLOOKUP(A351,הוצאות!$B$2:$V$519,19,0)</f>
        <v>#N/A</v>
      </c>
    </row>
    <row r="352" spans="1:8">
      <c r="A352">
        <v>1612000523</v>
      </c>
      <c r="B352" t="s">
        <v>21</v>
      </c>
      <c r="C352">
        <v>1200</v>
      </c>
      <c r="D352">
        <v>1200</v>
      </c>
      <c r="G352">
        <v>1200</v>
      </c>
      <c r="H352">
        <f>VLOOKUP(A352,הוצאות!$B$2:$V$519,19,0)</f>
        <v>1200</v>
      </c>
    </row>
    <row r="353" spans="1:8">
      <c r="A353">
        <v>1612000550</v>
      </c>
      <c r="B353" t="s">
        <v>22</v>
      </c>
      <c r="C353">
        <v>1500</v>
      </c>
      <c r="D353">
        <v>0</v>
      </c>
      <c r="G353">
        <v>0</v>
      </c>
      <c r="H353">
        <f>VLOOKUP(A353,הוצאות!$B$2:$V$519,19,0)</f>
        <v>1500</v>
      </c>
    </row>
    <row r="354" spans="1:8">
      <c r="A354">
        <v>1612000930</v>
      </c>
      <c r="B354" t="s">
        <v>23</v>
      </c>
      <c r="C354">
        <v>1500</v>
      </c>
      <c r="D354">
        <v>0</v>
      </c>
      <c r="G354">
        <v>0</v>
      </c>
      <c r="H354">
        <f>VLOOKUP(A354,הוצאות!$B$2:$V$519,19,0)</f>
        <v>1500</v>
      </c>
    </row>
    <row r="355" spans="1:8">
      <c r="A355">
        <v>1613000110</v>
      </c>
      <c r="B355" t="s">
        <v>24</v>
      </c>
      <c r="C355">
        <v>625849</v>
      </c>
      <c r="D355">
        <v>732737.76</v>
      </c>
      <c r="G355">
        <v>732737.76</v>
      </c>
      <c r="H355">
        <f>VLOOKUP(A355,הוצאות!$B$2:$V$519,19,0)</f>
        <v>625849.93644800002</v>
      </c>
    </row>
    <row r="356" spans="1:8">
      <c r="A356">
        <v>1613000320</v>
      </c>
      <c r="B356" t="s">
        <v>25</v>
      </c>
      <c r="C356">
        <v>0</v>
      </c>
      <c r="D356">
        <v>0</v>
      </c>
      <c r="G356">
        <v>0</v>
      </c>
      <c r="H356">
        <f>VLOOKUP(A356,הוצאות!$B$2:$V$519,19,0)</f>
        <v>0</v>
      </c>
    </row>
    <row r="357" spans="1:8">
      <c r="A357">
        <v>1613000431</v>
      </c>
      <c r="B357" t="s">
        <v>26</v>
      </c>
      <c r="C357">
        <v>40000</v>
      </c>
      <c r="D357">
        <v>23050.1</v>
      </c>
      <c r="G357">
        <v>23050.1</v>
      </c>
      <c r="H357">
        <f>VLOOKUP(A357,הוצאות!$B$2:$V$519,19,0)</f>
        <v>40000</v>
      </c>
    </row>
    <row r="358" spans="1:8">
      <c r="A358">
        <v>1613000511</v>
      </c>
      <c r="B358" t="s">
        <v>27</v>
      </c>
      <c r="C358">
        <v>1500</v>
      </c>
      <c r="D358">
        <v>0</v>
      </c>
      <c r="G358">
        <v>0</v>
      </c>
      <c r="H358">
        <f>VLOOKUP(A358,הוצאות!$B$2:$V$519,19,0)</f>
        <v>1500</v>
      </c>
    </row>
    <row r="359" spans="1:8">
      <c r="A359">
        <v>1613000522</v>
      </c>
      <c r="B359" t="s">
        <v>7</v>
      </c>
      <c r="C359">
        <v>0</v>
      </c>
      <c r="D359">
        <v>0</v>
      </c>
      <c r="G359">
        <v>0</v>
      </c>
      <c r="H359" t="e">
        <f>VLOOKUP(A359,הוצאות!$B$2:$V$519,19,0)</f>
        <v>#N/A</v>
      </c>
    </row>
    <row r="360" spans="1:8">
      <c r="A360">
        <v>1613000523</v>
      </c>
      <c r="B360" t="s">
        <v>28</v>
      </c>
      <c r="C360">
        <v>2000</v>
      </c>
      <c r="D360">
        <v>1700</v>
      </c>
      <c r="G360">
        <v>1700</v>
      </c>
      <c r="H360">
        <f>VLOOKUP(A360,הוצאות!$B$2:$V$519,19,0)</f>
        <v>2000</v>
      </c>
    </row>
    <row r="361" spans="1:8">
      <c r="A361">
        <v>1613000540</v>
      </c>
      <c r="B361" t="s">
        <v>29</v>
      </c>
      <c r="C361">
        <v>50000</v>
      </c>
      <c r="D361">
        <v>56072.480000000003</v>
      </c>
      <c r="E361">
        <v>5000</v>
      </c>
      <c r="F361" t="s">
        <v>2111</v>
      </c>
      <c r="G361">
        <v>61072.480000000003</v>
      </c>
      <c r="H361">
        <f>VLOOKUP(A361,הוצאות!$B$2:$V$519,19,0)</f>
        <v>50000</v>
      </c>
    </row>
    <row r="362" spans="1:8">
      <c r="A362">
        <v>1613000550</v>
      </c>
      <c r="B362" t="s">
        <v>30</v>
      </c>
      <c r="C362">
        <v>40000</v>
      </c>
      <c r="D362">
        <v>51609.1</v>
      </c>
      <c r="G362">
        <v>51609.1</v>
      </c>
      <c r="H362">
        <f>VLOOKUP(A362,הוצאות!$B$2:$V$519,19,0)</f>
        <v>40000</v>
      </c>
    </row>
    <row r="363" spans="1:8">
      <c r="A363">
        <v>1613000560</v>
      </c>
      <c r="B363" t="s">
        <v>1723</v>
      </c>
      <c r="C363">
        <v>30000</v>
      </c>
      <c r="D363">
        <v>53846.2</v>
      </c>
      <c r="G363">
        <v>53846.2</v>
      </c>
      <c r="H363">
        <f>VLOOKUP(A363,הוצאות!$B$2:$V$519,19,0)</f>
        <v>30000</v>
      </c>
    </row>
    <row r="364" spans="1:8">
      <c r="A364">
        <v>1613000710</v>
      </c>
      <c r="B364" t="s">
        <v>31</v>
      </c>
      <c r="C364">
        <v>20000</v>
      </c>
      <c r="D364">
        <v>0</v>
      </c>
      <c r="G364">
        <v>0</v>
      </c>
      <c r="H364">
        <f>VLOOKUP(A364,הוצאות!$B$2:$V$519,19,0)</f>
        <v>20000</v>
      </c>
    </row>
    <row r="365" spans="1:8">
      <c r="A365">
        <v>1613000720</v>
      </c>
      <c r="B365" t="s">
        <v>32</v>
      </c>
      <c r="C365">
        <v>0</v>
      </c>
      <c r="D365">
        <v>0</v>
      </c>
      <c r="G365">
        <v>0</v>
      </c>
      <c r="H365">
        <f>VLOOKUP(A365,הוצאות!$B$2:$V$519,19,0)</f>
        <v>0</v>
      </c>
    </row>
    <row r="366" spans="1:8">
      <c r="A366">
        <v>1613000740</v>
      </c>
      <c r="B366" t="s">
        <v>33</v>
      </c>
      <c r="C366">
        <v>0</v>
      </c>
      <c r="D366">
        <v>0</v>
      </c>
      <c r="G366">
        <v>0</v>
      </c>
      <c r="H366">
        <f>VLOOKUP(A366,הוצאות!$B$2:$V$519,19,0)</f>
        <v>0</v>
      </c>
    </row>
    <row r="367" spans="1:8">
      <c r="A367">
        <v>1613000750</v>
      </c>
      <c r="B367" t="s">
        <v>34</v>
      </c>
      <c r="C367">
        <v>100000</v>
      </c>
      <c r="D367">
        <v>71237.7</v>
      </c>
      <c r="G367">
        <v>80434.5</v>
      </c>
      <c r="H367">
        <f>VLOOKUP(A367,הוצאות!$B$2:$V$519,19,0)</f>
        <v>100000</v>
      </c>
    </row>
    <row r="368" spans="1:8">
      <c r="A368">
        <v>1613000780</v>
      </c>
      <c r="B368" t="s">
        <v>18</v>
      </c>
      <c r="C368">
        <v>50000</v>
      </c>
      <c r="D368">
        <v>35466.11</v>
      </c>
      <c r="G368">
        <v>48996.11</v>
      </c>
      <c r="H368">
        <f>VLOOKUP(A368,הוצאות!$B$2:$V$519,19,0)</f>
        <v>50000</v>
      </c>
    </row>
    <row r="369" spans="1:8">
      <c r="A369">
        <v>1613000810</v>
      </c>
      <c r="B369" t="s">
        <v>35</v>
      </c>
      <c r="C369">
        <v>0</v>
      </c>
      <c r="D369">
        <v>0</v>
      </c>
      <c r="G369">
        <v>0</v>
      </c>
      <c r="H369" t="e">
        <f>VLOOKUP(A369,הוצאות!$B$2:$V$519,19,0)</f>
        <v>#N/A</v>
      </c>
    </row>
    <row r="370" spans="1:8">
      <c r="A370">
        <v>1613000830</v>
      </c>
      <c r="B370" t="s">
        <v>36</v>
      </c>
      <c r="C370">
        <v>0</v>
      </c>
      <c r="D370">
        <v>0</v>
      </c>
      <c r="G370">
        <v>0</v>
      </c>
      <c r="H370" t="e">
        <f>VLOOKUP(A370,הוצאות!$B$2:$V$519,19,0)</f>
        <v>#N/A</v>
      </c>
    </row>
    <row r="371" spans="1:8">
      <c r="A371">
        <v>1613000970</v>
      </c>
      <c r="B371" t="s">
        <v>37</v>
      </c>
      <c r="C371">
        <v>0</v>
      </c>
      <c r="D371">
        <v>0</v>
      </c>
      <c r="G371">
        <v>0</v>
      </c>
      <c r="H371" t="e">
        <f>VLOOKUP(A371,הוצאות!$B$2:$V$519,19,0)</f>
        <v>#N/A</v>
      </c>
    </row>
    <row r="372" spans="1:8">
      <c r="A372">
        <v>1613100110</v>
      </c>
      <c r="B372" t="s">
        <v>1659</v>
      </c>
      <c r="C372">
        <v>70000</v>
      </c>
      <c r="D372">
        <v>0</v>
      </c>
      <c r="G372">
        <v>0</v>
      </c>
      <c r="H372">
        <f>VLOOKUP(A372,הוצאות!$B$2:$V$519,19,0)</f>
        <v>0</v>
      </c>
    </row>
    <row r="373" spans="1:8">
      <c r="A373">
        <v>1615000110</v>
      </c>
      <c r="B373" t="s">
        <v>38</v>
      </c>
      <c r="C373">
        <v>350000</v>
      </c>
      <c r="D373">
        <v>278551.65000000002</v>
      </c>
      <c r="G373">
        <v>278551.65000000002</v>
      </c>
      <c r="H373">
        <f>VLOOKUP(A373,הוצאות!$B$2:$V$519,19,0)</f>
        <v>350000</v>
      </c>
    </row>
    <row r="374" spans="1:8">
      <c r="A374">
        <v>1615000760</v>
      </c>
      <c r="B374" t="s">
        <v>39</v>
      </c>
      <c r="C374">
        <v>0</v>
      </c>
      <c r="D374">
        <v>0</v>
      </c>
      <c r="G374">
        <v>0</v>
      </c>
      <c r="H374">
        <f>VLOOKUP(A374,הוצאות!$B$2:$V$519,19,0)</f>
        <v>0</v>
      </c>
    </row>
    <row r="375" spans="1:8">
      <c r="A375">
        <v>1615100110</v>
      </c>
      <c r="B375" t="s">
        <v>1643</v>
      </c>
      <c r="C375">
        <v>140000</v>
      </c>
      <c r="D375">
        <v>0</v>
      </c>
      <c r="G375">
        <v>0</v>
      </c>
      <c r="H375" t="e">
        <f>VLOOKUP(A375,הוצאות!$B$2:$V$519,19,0)</f>
        <v>#N/A</v>
      </c>
    </row>
    <row r="376" spans="1:8">
      <c r="A376">
        <v>1615101110</v>
      </c>
      <c r="B376" t="s">
        <v>2031</v>
      </c>
      <c r="C376">
        <v>600000</v>
      </c>
      <c r="D376">
        <v>417012.2</v>
      </c>
      <c r="G376">
        <v>417012.2</v>
      </c>
      <c r="H376">
        <f>VLOOKUP(A376,הוצאות!$B$2:$V$519,19,0)</f>
        <v>600000</v>
      </c>
    </row>
    <row r="377" spans="1:8">
      <c r="A377">
        <v>1615200110</v>
      </c>
      <c r="B377" t="s">
        <v>1644</v>
      </c>
      <c r="C377">
        <v>40000</v>
      </c>
      <c r="D377">
        <v>0</v>
      </c>
      <c r="G377">
        <v>0</v>
      </c>
      <c r="H377">
        <f>VLOOKUP(A377,הוצאות!$B$2:$V$519,19,0)</f>
        <v>40000</v>
      </c>
    </row>
    <row r="378" spans="1:8">
      <c r="A378">
        <v>1616000521</v>
      </c>
      <c r="B378" t="s">
        <v>40</v>
      </c>
      <c r="C378">
        <v>160000</v>
      </c>
      <c r="D378">
        <v>183059</v>
      </c>
      <c r="G378">
        <v>189859</v>
      </c>
      <c r="H378">
        <f>VLOOKUP(A378,הוצאות!$B$2:$V$519,19,0)</f>
        <v>160000</v>
      </c>
    </row>
    <row r="379" spans="1:8">
      <c r="A379">
        <v>1616100521</v>
      </c>
      <c r="B379" t="s">
        <v>41</v>
      </c>
      <c r="C379">
        <v>0</v>
      </c>
      <c r="D379">
        <v>0</v>
      </c>
      <c r="G379">
        <v>0</v>
      </c>
      <c r="H379" t="e">
        <f>VLOOKUP(A379,הוצאות!$B$2:$V$519,19,0)</f>
        <v>#N/A</v>
      </c>
    </row>
    <row r="380" spans="1:8">
      <c r="A380">
        <v>1617000581</v>
      </c>
      <c r="B380" t="s">
        <v>42</v>
      </c>
      <c r="C380">
        <v>100000</v>
      </c>
      <c r="D380">
        <v>265822.3</v>
      </c>
      <c r="G380">
        <v>265822.3</v>
      </c>
      <c r="H380">
        <f>VLOOKUP(A380,הוצאות!$B$2:$V$519,19,0)</f>
        <v>100000</v>
      </c>
    </row>
    <row r="381" spans="1:8">
      <c r="A381">
        <v>1617000582</v>
      </c>
      <c r="B381" t="s">
        <v>43</v>
      </c>
      <c r="C381">
        <v>0</v>
      </c>
      <c r="D381">
        <v>174647.24</v>
      </c>
      <c r="G381">
        <v>174647.24</v>
      </c>
      <c r="H381">
        <f>VLOOKUP(A381,הוצאות!$B$2:$V$519,19,0)</f>
        <v>0</v>
      </c>
    </row>
    <row r="382" spans="1:8">
      <c r="A382">
        <v>1617000750</v>
      </c>
      <c r="B382" t="s">
        <v>44</v>
      </c>
      <c r="C382">
        <v>300000</v>
      </c>
      <c r="D382">
        <v>176226.99</v>
      </c>
      <c r="E382">
        <v>24954</v>
      </c>
      <c r="F382" t="s">
        <v>2112</v>
      </c>
      <c r="G382">
        <v>201180.99</v>
      </c>
      <c r="H382">
        <f>VLOOKUP(A382,הוצאות!$B$2:$V$519,19,0)</f>
        <v>300000</v>
      </c>
    </row>
    <row r="383" spans="1:8">
      <c r="A383">
        <v>1617000751</v>
      </c>
      <c r="B383" t="s">
        <v>45</v>
      </c>
      <c r="C383">
        <v>0</v>
      </c>
      <c r="D383">
        <v>0</v>
      </c>
      <c r="G383">
        <v>0</v>
      </c>
      <c r="H383">
        <f>VLOOKUP(A383,הוצאות!$B$2:$V$519,19,0)</f>
        <v>0</v>
      </c>
    </row>
    <row r="384" spans="1:8">
      <c r="A384">
        <v>1619000780</v>
      </c>
      <c r="B384" t="s">
        <v>46</v>
      </c>
      <c r="C384">
        <v>0</v>
      </c>
      <c r="D384">
        <v>0</v>
      </c>
      <c r="G384">
        <v>0</v>
      </c>
      <c r="H384">
        <f>VLOOKUP(A384,הוצאות!$B$2:$V$519,19,0)</f>
        <v>0</v>
      </c>
    </row>
    <row r="385" spans="1:8">
      <c r="A385">
        <v>1619999399</v>
      </c>
      <c r="B385" t="s">
        <v>47</v>
      </c>
      <c r="C385">
        <v>0</v>
      </c>
      <c r="D385">
        <v>0</v>
      </c>
      <c r="G385">
        <v>0</v>
      </c>
      <c r="H385" t="e">
        <f>VLOOKUP(A385,הוצאות!$B$2:$V$519,19,0)</f>
        <v>#N/A</v>
      </c>
    </row>
    <row r="386" spans="1:8">
      <c r="A386">
        <v>1621200110</v>
      </c>
      <c r="B386" t="s">
        <v>48</v>
      </c>
      <c r="C386">
        <v>110000</v>
      </c>
      <c r="D386">
        <v>80790.22</v>
      </c>
      <c r="G386">
        <v>80790.22</v>
      </c>
      <c r="H386">
        <f>VLOOKUP(A386,הוצאות!$B$2:$V$519,19,0)</f>
        <v>110000</v>
      </c>
    </row>
    <row r="387" spans="1:8">
      <c r="A387">
        <v>1621300110</v>
      </c>
      <c r="B387" t="s">
        <v>49</v>
      </c>
      <c r="C387">
        <v>550000</v>
      </c>
      <c r="D387">
        <v>433625.84</v>
      </c>
      <c r="G387">
        <v>433625.84</v>
      </c>
      <c r="H387">
        <f>VLOOKUP(A387,הוצאות!$B$2:$V$519,19,0)</f>
        <v>550000</v>
      </c>
    </row>
    <row r="388" spans="1:8">
      <c r="A388">
        <v>1621300521</v>
      </c>
      <c r="B388" t="s">
        <v>6</v>
      </c>
      <c r="C388">
        <v>5000</v>
      </c>
      <c r="D388">
        <v>5670</v>
      </c>
      <c r="G388">
        <v>5670</v>
      </c>
      <c r="H388">
        <f>VLOOKUP(A388,הוצאות!$B$2:$V$519,19,0)</f>
        <v>5000</v>
      </c>
    </row>
    <row r="389" spans="1:8">
      <c r="A389">
        <v>1621300523</v>
      </c>
      <c r="B389" t="s">
        <v>28</v>
      </c>
      <c r="C389">
        <v>1500</v>
      </c>
      <c r="D389">
        <v>0</v>
      </c>
      <c r="G389">
        <v>0</v>
      </c>
      <c r="H389">
        <f>VLOOKUP(A389,הוצאות!$B$2:$V$519,19,0)</f>
        <v>1500</v>
      </c>
    </row>
    <row r="390" spans="1:8">
      <c r="A390">
        <v>1621300540</v>
      </c>
      <c r="B390" t="s">
        <v>50</v>
      </c>
      <c r="C390">
        <v>2000</v>
      </c>
      <c r="D390">
        <v>1481.94</v>
      </c>
      <c r="G390">
        <v>1481.94</v>
      </c>
      <c r="H390">
        <f>VLOOKUP(A390,הוצאות!$B$2:$V$519,19,0)</f>
        <v>2000</v>
      </c>
    </row>
    <row r="391" spans="1:8">
      <c r="A391">
        <v>1621300550</v>
      </c>
      <c r="B391" t="s">
        <v>51</v>
      </c>
      <c r="C391">
        <v>0</v>
      </c>
      <c r="D391">
        <v>0</v>
      </c>
      <c r="G391">
        <v>0</v>
      </c>
      <c r="H391" t="e">
        <f>VLOOKUP(A391,הוצאות!$B$2:$V$519,19,0)</f>
        <v>#N/A</v>
      </c>
    </row>
    <row r="392" spans="1:8">
      <c r="A392">
        <v>1621300560</v>
      </c>
      <c r="B392" t="s">
        <v>52</v>
      </c>
      <c r="C392">
        <v>5000</v>
      </c>
      <c r="D392">
        <v>6699.83</v>
      </c>
      <c r="G392">
        <v>6699.83</v>
      </c>
      <c r="H392">
        <f>VLOOKUP(A392,הוצאות!$B$2:$V$519,19,0)</f>
        <v>5000</v>
      </c>
    </row>
    <row r="393" spans="1:8">
      <c r="A393">
        <v>1621300570</v>
      </c>
      <c r="B393" t="s">
        <v>53</v>
      </c>
      <c r="C393">
        <v>330000</v>
      </c>
      <c r="D393">
        <v>345174.72</v>
      </c>
      <c r="G393">
        <v>345174.72</v>
      </c>
      <c r="H393">
        <f>VLOOKUP(A393,הוצאות!$B$2:$V$519,19,0)</f>
        <v>330000</v>
      </c>
    </row>
    <row r="394" spans="1:8">
      <c r="A394">
        <v>1621300571</v>
      </c>
      <c r="B394" t="s">
        <v>54</v>
      </c>
      <c r="C394">
        <v>20000</v>
      </c>
      <c r="D394">
        <v>-22932</v>
      </c>
      <c r="G394">
        <v>-6084</v>
      </c>
      <c r="H394">
        <f>VLOOKUP(A394,הוצאות!$B$2:$V$519,19,0)</f>
        <v>0</v>
      </c>
    </row>
    <row r="395" spans="1:8">
      <c r="A395">
        <v>1621300750</v>
      </c>
      <c r="B395" t="s">
        <v>55</v>
      </c>
      <c r="C395">
        <v>0</v>
      </c>
      <c r="D395">
        <v>0</v>
      </c>
      <c r="G395">
        <v>0</v>
      </c>
      <c r="H395">
        <f>VLOOKUP(A395,הוצאות!$B$2:$V$519,19,0)</f>
        <v>0</v>
      </c>
    </row>
    <row r="396" spans="1:8">
      <c r="A396">
        <v>1621300751</v>
      </c>
      <c r="B396" t="s">
        <v>56</v>
      </c>
      <c r="C396">
        <v>300000</v>
      </c>
      <c r="D396">
        <v>521656</v>
      </c>
      <c r="G396">
        <v>541546</v>
      </c>
      <c r="H396">
        <f>VLOOKUP(A396,הוצאות!$B$2:$V$519,19,0)</f>
        <v>300000</v>
      </c>
    </row>
    <row r="397" spans="1:8">
      <c r="A397">
        <v>1621300752</v>
      </c>
      <c r="B397" t="s">
        <v>57</v>
      </c>
      <c r="C397">
        <v>0</v>
      </c>
      <c r="D397">
        <v>0</v>
      </c>
      <c r="G397">
        <v>0</v>
      </c>
      <c r="H397" t="e">
        <f>VLOOKUP(A397,הוצאות!$B$2:$V$519,19,0)</f>
        <v>#N/A</v>
      </c>
    </row>
    <row r="398" spans="1:8">
      <c r="A398">
        <v>1621300780</v>
      </c>
      <c r="B398" t="s">
        <v>58</v>
      </c>
      <c r="C398">
        <v>30000</v>
      </c>
      <c r="D398">
        <v>27099.7</v>
      </c>
      <c r="G398">
        <v>27099.7</v>
      </c>
      <c r="H398">
        <f>VLOOKUP(A398,הוצאות!$B$2:$V$519,19,0)</f>
        <v>30000</v>
      </c>
    </row>
    <row r="399" spans="1:8">
      <c r="A399">
        <v>1621300930</v>
      </c>
      <c r="B399" t="s">
        <v>19</v>
      </c>
      <c r="C399">
        <v>20000</v>
      </c>
      <c r="D399">
        <v>26000</v>
      </c>
      <c r="G399">
        <v>26000</v>
      </c>
      <c r="H399">
        <f>VLOOKUP(A399,הוצאות!$B$2:$V$519,19,0)</f>
        <v>20000</v>
      </c>
    </row>
    <row r="400" spans="1:8">
      <c r="A400">
        <v>1623000110</v>
      </c>
      <c r="B400" t="s">
        <v>59</v>
      </c>
      <c r="C400">
        <v>420000</v>
      </c>
      <c r="D400">
        <v>261454.88</v>
      </c>
      <c r="G400">
        <v>261454.88</v>
      </c>
      <c r="H400">
        <f>VLOOKUP(A400,הוצאות!$B$2:$V$519,19,0)</f>
        <v>420000</v>
      </c>
    </row>
    <row r="401" spans="1:8">
      <c r="A401">
        <v>1623000320</v>
      </c>
      <c r="B401" t="s">
        <v>25</v>
      </c>
      <c r="C401">
        <v>0</v>
      </c>
      <c r="D401">
        <v>21725</v>
      </c>
      <c r="G401">
        <v>21725</v>
      </c>
      <c r="H401">
        <f>VLOOKUP(A401,הוצאות!$B$2:$V$519,19,0)</f>
        <v>0</v>
      </c>
    </row>
    <row r="402" spans="1:8">
      <c r="A402">
        <v>1623000540</v>
      </c>
      <c r="B402" t="s">
        <v>50</v>
      </c>
      <c r="C402">
        <v>0</v>
      </c>
      <c r="D402">
        <v>0</v>
      </c>
      <c r="G402">
        <v>0</v>
      </c>
      <c r="H402" t="e">
        <f>VLOOKUP(A402,הוצאות!$B$2:$V$519,19,0)</f>
        <v>#N/A</v>
      </c>
    </row>
    <row r="403" spans="1:8">
      <c r="A403">
        <v>1623000550</v>
      </c>
      <c r="B403" t="s">
        <v>51</v>
      </c>
      <c r="C403">
        <v>0</v>
      </c>
      <c r="D403">
        <v>0</v>
      </c>
      <c r="G403">
        <v>0</v>
      </c>
      <c r="H403" t="e">
        <f>VLOOKUP(A403,הוצאות!$B$2:$V$519,19,0)</f>
        <v>#N/A</v>
      </c>
    </row>
    <row r="404" spans="1:8">
      <c r="A404">
        <v>1623000560</v>
      </c>
      <c r="B404" t="s">
        <v>1724</v>
      </c>
      <c r="C404">
        <v>10000</v>
      </c>
      <c r="D404">
        <v>0</v>
      </c>
      <c r="G404">
        <v>0</v>
      </c>
      <c r="H404">
        <f>VLOOKUP(A404,הוצאות!$B$2:$V$519,19,0)</f>
        <v>10000</v>
      </c>
    </row>
    <row r="405" spans="1:8">
      <c r="A405">
        <v>1623000570</v>
      </c>
      <c r="B405" t="s">
        <v>60</v>
      </c>
      <c r="C405">
        <v>0</v>
      </c>
      <c r="D405">
        <v>0</v>
      </c>
      <c r="G405">
        <v>0</v>
      </c>
      <c r="H405" t="e">
        <f>VLOOKUP(A405,הוצאות!$B$2:$V$519,19,0)</f>
        <v>#N/A</v>
      </c>
    </row>
    <row r="406" spans="1:8">
      <c r="A406">
        <v>1623000582</v>
      </c>
      <c r="B406" t="s">
        <v>61</v>
      </c>
      <c r="C406">
        <v>100000</v>
      </c>
      <c r="D406">
        <v>411608.9</v>
      </c>
      <c r="G406">
        <v>411608.9</v>
      </c>
      <c r="H406">
        <f>VLOOKUP(A406,הוצאות!$B$2:$V$519,19,0)</f>
        <v>100000</v>
      </c>
    </row>
    <row r="407" spans="1:8">
      <c r="A407">
        <v>1623000750</v>
      </c>
      <c r="B407" t="s">
        <v>62</v>
      </c>
      <c r="C407">
        <v>250000</v>
      </c>
      <c r="D407">
        <v>589248.22</v>
      </c>
      <c r="E407">
        <v>30000</v>
      </c>
      <c r="F407" t="s">
        <v>2113</v>
      </c>
      <c r="G407">
        <v>619248.22</v>
      </c>
      <c r="H407">
        <f>VLOOKUP(A407,הוצאות!$B$2:$V$519,19,0)</f>
        <v>250000</v>
      </c>
    </row>
    <row r="408" spans="1:8">
      <c r="A408">
        <v>1623000751</v>
      </c>
      <c r="B408" t="s">
        <v>63</v>
      </c>
      <c r="C408">
        <v>0</v>
      </c>
      <c r="D408">
        <v>0</v>
      </c>
      <c r="G408">
        <v>0</v>
      </c>
      <c r="H408">
        <f>VLOOKUP(A408,הוצאות!$B$2:$V$519,19,0)</f>
        <v>0</v>
      </c>
    </row>
    <row r="409" spans="1:8">
      <c r="A409">
        <v>1623000780</v>
      </c>
      <c r="B409" t="s">
        <v>58</v>
      </c>
      <c r="C409">
        <v>0</v>
      </c>
      <c r="D409">
        <v>0</v>
      </c>
      <c r="G409">
        <v>0</v>
      </c>
      <c r="H409" t="e">
        <f>VLOOKUP(A409,הוצאות!$B$2:$V$519,19,0)</f>
        <v>#N/A</v>
      </c>
    </row>
    <row r="410" spans="1:8">
      <c r="A410">
        <v>1623000930</v>
      </c>
      <c r="B410" t="s">
        <v>19</v>
      </c>
      <c r="C410">
        <v>0</v>
      </c>
      <c r="D410">
        <v>1272.96</v>
      </c>
      <c r="G410">
        <v>1272.96</v>
      </c>
      <c r="H410">
        <f>VLOOKUP(A410,הוצאות!$B$2:$V$519,19,0)</f>
        <v>0</v>
      </c>
    </row>
    <row r="411" spans="1:8">
      <c r="A411">
        <v>1629999399</v>
      </c>
      <c r="B411" t="s">
        <v>47</v>
      </c>
      <c r="C411">
        <v>0</v>
      </c>
      <c r="D411">
        <v>0</v>
      </c>
      <c r="G411">
        <v>0</v>
      </c>
      <c r="H411">
        <f>VLOOKUP(A411,הוצאות!$B$2:$V$519,19,0)</f>
        <v>0</v>
      </c>
    </row>
    <row r="412" spans="1:8">
      <c r="A412">
        <v>1631000610</v>
      </c>
      <c r="B412" t="s">
        <v>64</v>
      </c>
      <c r="C412">
        <v>125000</v>
      </c>
      <c r="D412">
        <v>149871.35999999999</v>
      </c>
      <c r="G412">
        <v>149871.35999999999</v>
      </c>
      <c r="H412">
        <f>VLOOKUP(A412,הוצאות!$B$2:$V$519,19,0)</f>
        <v>125000</v>
      </c>
    </row>
    <row r="413" spans="1:8">
      <c r="A413">
        <v>1632000620</v>
      </c>
      <c r="B413" t="s">
        <v>65</v>
      </c>
      <c r="C413">
        <v>120000</v>
      </c>
      <c r="D413">
        <v>55347.360000000001</v>
      </c>
      <c r="G413">
        <v>55347.360000000001</v>
      </c>
      <c r="H413">
        <f>VLOOKUP(A413,הוצאות!$B$2:$V$519,19,0)</f>
        <v>120000</v>
      </c>
    </row>
    <row r="414" spans="1:8">
      <c r="A414">
        <v>1632000640</v>
      </c>
      <c r="B414" t="s">
        <v>66</v>
      </c>
      <c r="C414">
        <v>0</v>
      </c>
      <c r="D414">
        <v>0</v>
      </c>
      <c r="G414">
        <v>0</v>
      </c>
      <c r="H414" t="e">
        <f>VLOOKUP(A414,הוצאות!$B$2:$V$519,19,0)</f>
        <v>#N/A</v>
      </c>
    </row>
    <row r="415" spans="1:8">
      <c r="A415">
        <v>1632000650</v>
      </c>
      <c r="B415" t="s">
        <v>67</v>
      </c>
      <c r="C415">
        <v>400000</v>
      </c>
      <c r="D415">
        <v>804098.5</v>
      </c>
      <c r="F415" t="s">
        <v>2114</v>
      </c>
      <c r="G415">
        <v>804098.5</v>
      </c>
      <c r="H415">
        <f>VLOOKUP(A415,הוצאות!$B$2:$V$519,19,0)</f>
        <v>400000</v>
      </c>
    </row>
    <row r="416" spans="1:8">
      <c r="A416">
        <v>1632000660</v>
      </c>
      <c r="B416" t="s">
        <v>68</v>
      </c>
      <c r="C416">
        <v>0</v>
      </c>
      <c r="D416">
        <v>0</v>
      </c>
      <c r="G416">
        <v>0</v>
      </c>
      <c r="H416" t="e">
        <f>VLOOKUP(A416,הוצאות!$B$2:$V$519,19,0)</f>
        <v>#N/A</v>
      </c>
    </row>
    <row r="417" spans="1:8">
      <c r="A417">
        <v>1640000690</v>
      </c>
      <c r="B417" t="s">
        <v>69</v>
      </c>
      <c r="C417">
        <v>0</v>
      </c>
      <c r="D417">
        <v>0</v>
      </c>
      <c r="G417">
        <v>0</v>
      </c>
      <c r="H417" t="e">
        <f>VLOOKUP(A417,הוצאות!$B$2:$V$519,19,0)</f>
        <v>#N/A</v>
      </c>
    </row>
    <row r="418" spans="1:8">
      <c r="A418">
        <v>1648000691</v>
      </c>
      <c r="B418" t="s">
        <v>70</v>
      </c>
      <c r="C418">
        <v>2393000</v>
      </c>
      <c r="D418">
        <v>2924404.34</v>
      </c>
      <c r="G418">
        <v>2924404.34</v>
      </c>
      <c r="H418">
        <f>VLOOKUP(A418,הוצאות!$B$2:$V$519,19,0)</f>
        <v>2393000</v>
      </c>
    </row>
    <row r="419" spans="1:8">
      <c r="A419">
        <v>1648000692</v>
      </c>
      <c r="B419" t="s">
        <v>71</v>
      </c>
      <c r="C419">
        <v>937288</v>
      </c>
      <c r="D419">
        <v>601307.29</v>
      </c>
      <c r="G419">
        <v>601307.29</v>
      </c>
      <c r="H419">
        <f>VLOOKUP(A419,הוצאות!$B$2:$V$519,19,0)</f>
        <v>937288</v>
      </c>
    </row>
    <row r="420" spans="1:8">
      <c r="A420">
        <v>1648000693</v>
      </c>
      <c r="B420" t="s">
        <v>72</v>
      </c>
      <c r="C420">
        <v>170000</v>
      </c>
      <c r="D420">
        <v>116617.66</v>
      </c>
      <c r="G420">
        <v>116617.66</v>
      </c>
      <c r="H420">
        <f>VLOOKUP(A420,הוצאות!$B$2:$V$519,19,0)</f>
        <v>170000</v>
      </c>
    </row>
    <row r="421" spans="1:8">
      <c r="A421">
        <v>1649100691</v>
      </c>
      <c r="B421" t="s">
        <v>73</v>
      </c>
      <c r="C421">
        <v>0</v>
      </c>
      <c r="D421">
        <v>0</v>
      </c>
      <c r="G421">
        <v>0</v>
      </c>
      <c r="H421" t="e">
        <f>VLOOKUP(A421,הוצאות!$B$2:$V$519,19,0)</f>
        <v>#N/A</v>
      </c>
    </row>
    <row r="422" spans="1:8">
      <c r="A422">
        <v>1649100692</v>
      </c>
      <c r="B422" t="s">
        <v>74</v>
      </c>
      <c r="C422">
        <v>0</v>
      </c>
      <c r="D422">
        <v>0</v>
      </c>
      <c r="G422">
        <v>0</v>
      </c>
      <c r="H422" t="e">
        <f>VLOOKUP(A422,הוצאות!$B$2:$V$519,19,0)</f>
        <v>#N/A</v>
      </c>
    </row>
    <row r="423" spans="1:8">
      <c r="A423">
        <v>1649100693</v>
      </c>
      <c r="B423" t="s">
        <v>75</v>
      </c>
      <c r="C423">
        <v>0</v>
      </c>
      <c r="D423">
        <v>0</v>
      </c>
      <c r="G423">
        <v>0</v>
      </c>
      <c r="H423" t="e">
        <f>VLOOKUP(A423,הוצאות!$B$2:$V$519,19,0)</f>
        <v>#N/A</v>
      </c>
    </row>
    <row r="424" spans="1:8">
      <c r="A424">
        <v>1649200691</v>
      </c>
      <c r="B424" t="s">
        <v>76</v>
      </c>
      <c r="C424">
        <v>0</v>
      </c>
      <c r="D424">
        <v>0</v>
      </c>
      <c r="G424">
        <v>0</v>
      </c>
      <c r="H424" t="e">
        <f>VLOOKUP(A424,הוצאות!$B$2:$V$519,19,0)</f>
        <v>#N/A</v>
      </c>
    </row>
    <row r="425" spans="1:8">
      <c r="A425">
        <v>1649200692</v>
      </c>
      <c r="B425" t="s">
        <v>77</v>
      </c>
      <c r="C425">
        <v>0</v>
      </c>
      <c r="D425">
        <v>0</v>
      </c>
      <c r="G425">
        <v>0</v>
      </c>
      <c r="H425" t="e">
        <f>VLOOKUP(A425,הוצאות!$B$2:$V$519,19,0)</f>
        <v>#N/A</v>
      </c>
    </row>
    <row r="426" spans="1:8">
      <c r="A426">
        <v>1649200693</v>
      </c>
      <c r="B426" t="s">
        <v>78</v>
      </c>
      <c r="C426">
        <v>0</v>
      </c>
      <c r="D426">
        <v>0</v>
      </c>
      <c r="G426">
        <v>0</v>
      </c>
      <c r="H426" t="e">
        <f>VLOOKUP(A426,הוצאות!$B$2:$V$519,19,0)</f>
        <v>#N/A</v>
      </c>
    </row>
    <row r="427" spans="1:8">
      <c r="A427">
        <v>1711000110</v>
      </c>
      <c r="B427" t="s">
        <v>1725</v>
      </c>
      <c r="C427">
        <v>0</v>
      </c>
      <c r="D427">
        <v>0</v>
      </c>
      <c r="G427">
        <v>0</v>
      </c>
      <c r="H427" t="e">
        <f>VLOOKUP(A427,הוצאות!$B$2:$V$519,19,0)</f>
        <v>#N/A</v>
      </c>
    </row>
    <row r="428" spans="1:8">
      <c r="A428">
        <v>1711000523</v>
      </c>
      <c r="B428" t="s">
        <v>1726</v>
      </c>
      <c r="C428">
        <v>0</v>
      </c>
      <c r="D428">
        <v>500</v>
      </c>
      <c r="G428">
        <v>500</v>
      </c>
      <c r="H428">
        <f>VLOOKUP(A428,הוצאות!$B$2:$V$519,19,0)</f>
        <v>0</v>
      </c>
    </row>
    <row r="429" spans="1:8">
      <c r="A429">
        <v>1711000540</v>
      </c>
      <c r="B429" t="s">
        <v>1727</v>
      </c>
      <c r="C429">
        <v>0</v>
      </c>
      <c r="D429">
        <v>0</v>
      </c>
      <c r="G429">
        <v>0</v>
      </c>
      <c r="H429" t="e">
        <f>VLOOKUP(A429,הוצאות!$B$2:$V$519,19,0)</f>
        <v>#N/A</v>
      </c>
    </row>
    <row r="430" spans="1:8">
      <c r="A430">
        <v>1712200110</v>
      </c>
      <c r="B430" t="s">
        <v>1728</v>
      </c>
      <c r="C430">
        <v>0</v>
      </c>
      <c r="D430">
        <v>0</v>
      </c>
      <c r="G430">
        <v>0</v>
      </c>
      <c r="H430" t="e">
        <f>VLOOKUP(A430,הוצאות!$B$2:$V$519,19,0)</f>
        <v>#N/A</v>
      </c>
    </row>
    <row r="431" spans="1:8">
      <c r="A431">
        <v>1712200540</v>
      </c>
      <c r="B431" t="s">
        <v>1727</v>
      </c>
      <c r="C431">
        <v>5000</v>
      </c>
      <c r="D431">
        <v>0</v>
      </c>
      <c r="G431">
        <v>0</v>
      </c>
      <c r="H431" t="e">
        <f>VLOOKUP(A431,הוצאות!$B$2:$V$519,19,0)</f>
        <v>#N/A</v>
      </c>
    </row>
    <row r="432" spans="1:8">
      <c r="A432">
        <v>1712200541</v>
      </c>
      <c r="B432" t="s">
        <v>1727</v>
      </c>
      <c r="C432">
        <v>0</v>
      </c>
      <c r="D432">
        <v>0</v>
      </c>
      <c r="G432">
        <v>0</v>
      </c>
      <c r="H432" t="e">
        <f>VLOOKUP(A432,הוצאות!$B$2:$V$519,19,0)</f>
        <v>#N/A</v>
      </c>
    </row>
    <row r="433" spans="1:8">
      <c r="A433">
        <v>1712200731</v>
      </c>
      <c r="B433" t="s">
        <v>1729</v>
      </c>
      <c r="C433">
        <v>0</v>
      </c>
      <c r="D433">
        <v>0</v>
      </c>
      <c r="G433">
        <v>0</v>
      </c>
      <c r="H433" t="e">
        <f>VLOOKUP(A433,הוצאות!$B$2:$V$519,19,0)</f>
        <v>#N/A</v>
      </c>
    </row>
    <row r="434" spans="1:8">
      <c r="A434">
        <v>1712200732</v>
      </c>
      <c r="B434" t="s">
        <v>1730</v>
      </c>
      <c r="C434">
        <v>0</v>
      </c>
      <c r="D434">
        <v>0</v>
      </c>
      <c r="G434">
        <v>0</v>
      </c>
      <c r="H434" t="e">
        <f>VLOOKUP(A434,הוצאות!$B$2:$V$519,19,0)</f>
        <v>#N/A</v>
      </c>
    </row>
    <row r="435" spans="1:8">
      <c r="A435">
        <v>1712200733</v>
      </c>
      <c r="B435" t="s">
        <v>1731</v>
      </c>
      <c r="C435">
        <v>0</v>
      </c>
      <c r="D435">
        <v>0</v>
      </c>
      <c r="G435">
        <v>0</v>
      </c>
      <c r="H435" t="e">
        <f>VLOOKUP(A435,הוצאות!$B$2:$V$519,19,0)</f>
        <v>#N/A</v>
      </c>
    </row>
    <row r="436" spans="1:8">
      <c r="A436">
        <v>1712200740</v>
      </c>
      <c r="B436" t="s">
        <v>33</v>
      </c>
      <c r="C436">
        <v>2500</v>
      </c>
      <c r="D436">
        <v>0</v>
      </c>
      <c r="G436">
        <v>0</v>
      </c>
      <c r="H436">
        <f>VLOOKUP(A436,הוצאות!$B$2:$V$519,19,0)</f>
        <v>3000</v>
      </c>
    </row>
    <row r="437" spans="1:8">
      <c r="A437">
        <v>1712200750</v>
      </c>
      <c r="B437" t="s">
        <v>62</v>
      </c>
      <c r="C437">
        <v>672000</v>
      </c>
      <c r="D437">
        <v>763126.76</v>
      </c>
      <c r="E437">
        <v>-119015.1</v>
      </c>
      <c r="F437" t="s">
        <v>2115</v>
      </c>
      <c r="G437">
        <v>763126.76</v>
      </c>
      <c r="H437">
        <f>VLOOKUP(A437,הוצאות!$B$2:$V$519,19,0)</f>
        <v>672000</v>
      </c>
    </row>
    <row r="438" spans="1:8">
      <c r="A438">
        <v>1712200751</v>
      </c>
      <c r="B438" t="s">
        <v>79</v>
      </c>
      <c r="C438">
        <v>180000</v>
      </c>
      <c r="D438">
        <v>71487</v>
      </c>
      <c r="E438">
        <v>-111267</v>
      </c>
      <c r="F438" t="s">
        <v>2115</v>
      </c>
      <c r="G438">
        <v>71487</v>
      </c>
      <c r="H438">
        <f>VLOOKUP(A438,הוצאות!$B$2:$V$519,19,0)</f>
        <v>180000</v>
      </c>
    </row>
    <row r="439" spans="1:8">
      <c r="A439">
        <v>1712200780</v>
      </c>
      <c r="B439" t="s">
        <v>18</v>
      </c>
      <c r="C439">
        <v>30000</v>
      </c>
      <c r="D439">
        <v>11044.19</v>
      </c>
      <c r="E439">
        <v>-17288</v>
      </c>
      <c r="F439" t="s">
        <v>2115</v>
      </c>
      <c r="G439">
        <v>11044.189999999999</v>
      </c>
      <c r="H439">
        <f>VLOOKUP(A439,הוצאות!$B$2:$V$519,19,0)</f>
        <v>0</v>
      </c>
    </row>
    <row r="440" spans="1:8">
      <c r="A440">
        <v>1712300740</v>
      </c>
      <c r="B440" t="s">
        <v>33</v>
      </c>
      <c r="C440">
        <v>0</v>
      </c>
      <c r="D440">
        <v>0</v>
      </c>
      <c r="G440">
        <v>0</v>
      </c>
      <c r="H440" t="e">
        <f>VLOOKUP(A440,הוצאות!$B$2:$V$519,19,0)</f>
        <v>#N/A</v>
      </c>
    </row>
    <row r="441" spans="1:8">
      <c r="A441">
        <v>1712300750</v>
      </c>
      <c r="B441" t="s">
        <v>62</v>
      </c>
      <c r="C441">
        <v>0</v>
      </c>
      <c r="D441">
        <v>0</v>
      </c>
      <c r="G441">
        <v>0</v>
      </c>
      <c r="H441" t="e">
        <f>VLOOKUP(A441,הוצאות!$B$2:$V$519,19,0)</f>
        <v>#N/A</v>
      </c>
    </row>
    <row r="442" spans="1:8">
      <c r="A442">
        <v>1712300751</v>
      </c>
      <c r="B442" t="s">
        <v>80</v>
      </c>
      <c r="C442">
        <v>3720000</v>
      </c>
      <c r="D442">
        <v>3821829.4</v>
      </c>
      <c r="E442">
        <v>245000</v>
      </c>
      <c r="F442" t="s">
        <v>2116</v>
      </c>
      <c r="G442">
        <v>4213518.4000000004</v>
      </c>
      <c r="H442">
        <f>VLOOKUP(A442,הוצאות!$B$2:$V$519,19,0)</f>
        <v>3720000</v>
      </c>
    </row>
    <row r="443" spans="1:8">
      <c r="A443">
        <v>1712300930</v>
      </c>
      <c r="B443" t="s">
        <v>81</v>
      </c>
      <c r="C443">
        <v>0</v>
      </c>
      <c r="D443">
        <v>0</v>
      </c>
      <c r="G443">
        <v>0</v>
      </c>
      <c r="H443" t="e">
        <f>VLOOKUP(A443,הוצאות!$B$2:$V$519,19,0)</f>
        <v>#N/A</v>
      </c>
    </row>
    <row r="444" spans="1:8">
      <c r="A444">
        <v>1713000110</v>
      </c>
      <c r="B444" t="s">
        <v>82</v>
      </c>
      <c r="C444">
        <v>170000</v>
      </c>
      <c r="D444">
        <v>112240.04</v>
      </c>
      <c r="G444">
        <v>112240.04</v>
      </c>
      <c r="H444">
        <f>VLOOKUP(A444,הוצאות!$B$2:$V$519,19,0)</f>
        <v>170000</v>
      </c>
    </row>
    <row r="445" spans="1:8">
      <c r="A445">
        <v>1713000320</v>
      </c>
      <c r="B445" t="s">
        <v>1732</v>
      </c>
      <c r="C445">
        <v>0</v>
      </c>
      <c r="D445">
        <v>1642</v>
      </c>
      <c r="G445">
        <v>1642</v>
      </c>
      <c r="H445">
        <f>VLOOKUP(A445,הוצאות!$B$2:$V$519,19,0)</f>
        <v>0</v>
      </c>
    </row>
    <row r="446" spans="1:8">
      <c r="A446">
        <v>1713000540</v>
      </c>
      <c r="B446" t="s">
        <v>50</v>
      </c>
      <c r="C446">
        <v>0</v>
      </c>
      <c r="D446">
        <v>0</v>
      </c>
      <c r="G446">
        <v>0</v>
      </c>
      <c r="H446" t="e">
        <f>VLOOKUP(A446,הוצאות!$B$2:$V$519,19,0)</f>
        <v>#N/A</v>
      </c>
    </row>
    <row r="447" spans="1:8">
      <c r="A447">
        <v>1713000720</v>
      </c>
      <c r="B447" t="s">
        <v>32</v>
      </c>
      <c r="C447">
        <v>0</v>
      </c>
      <c r="D447">
        <v>0</v>
      </c>
      <c r="G447">
        <v>0</v>
      </c>
      <c r="H447" t="e">
        <f>VLOOKUP(A447,הוצאות!$B$2:$V$519,19,0)</f>
        <v>#N/A</v>
      </c>
    </row>
    <row r="448" spans="1:8">
      <c r="A448">
        <v>1713000750</v>
      </c>
      <c r="B448" t="s">
        <v>1733</v>
      </c>
      <c r="C448">
        <v>0</v>
      </c>
      <c r="D448">
        <v>0</v>
      </c>
      <c r="G448">
        <v>0</v>
      </c>
      <c r="H448" t="e">
        <f>VLOOKUP(A448,הוצאות!$B$2:$V$519,19,0)</f>
        <v>#N/A</v>
      </c>
    </row>
    <row r="449" spans="1:8">
      <c r="A449">
        <v>1713000780</v>
      </c>
      <c r="B449" t="s">
        <v>18</v>
      </c>
      <c r="C449">
        <v>0</v>
      </c>
      <c r="D449">
        <v>0</v>
      </c>
      <c r="G449">
        <v>0</v>
      </c>
      <c r="H449" t="e">
        <f>VLOOKUP(A449,הוצאות!$B$2:$V$519,19,0)</f>
        <v>#N/A</v>
      </c>
    </row>
    <row r="450" spans="1:8">
      <c r="A450">
        <v>1714100830</v>
      </c>
      <c r="B450" t="s">
        <v>83</v>
      </c>
      <c r="C450">
        <v>150000</v>
      </c>
      <c r="D450">
        <v>0</v>
      </c>
      <c r="G450">
        <v>0</v>
      </c>
      <c r="H450">
        <f>VLOOKUP(A450,הוצאות!$B$2:$V$519,19,0)</f>
        <v>150000</v>
      </c>
    </row>
    <row r="451" spans="1:8">
      <c r="A451">
        <v>1715300720</v>
      </c>
      <c r="B451" t="s">
        <v>84</v>
      </c>
      <c r="C451">
        <v>0</v>
      </c>
      <c r="D451">
        <v>0</v>
      </c>
      <c r="G451">
        <v>0</v>
      </c>
      <c r="H451">
        <f>VLOOKUP(A451,הוצאות!$B$2:$V$519,19,0)</f>
        <v>0</v>
      </c>
    </row>
    <row r="452" spans="1:8">
      <c r="A452">
        <v>1715300740</v>
      </c>
      <c r="B452" t="s">
        <v>33</v>
      </c>
      <c r="C452">
        <v>0</v>
      </c>
      <c r="D452">
        <v>0</v>
      </c>
      <c r="G452">
        <v>0</v>
      </c>
      <c r="H452" t="e">
        <f>VLOOKUP(A452,הוצאות!$B$2:$V$519,19,0)</f>
        <v>#N/A</v>
      </c>
    </row>
    <row r="453" spans="1:8">
      <c r="A453">
        <v>1715300750</v>
      </c>
      <c r="B453" t="s">
        <v>85</v>
      </c>
      <c r="C453">
        <v>40000</v>
      </c>
      <c r="D453">
        <v>21879</v>
      </c>
      <c r="G453">
        <v>21879</v>
      </c>
      <c r="H453">
        <f>VLOOKUP(A453,הוצאות!$B$2:$V$519,19,0)</f>
        <v>40000</v>
      </c>
    </row>
    <row r="454" spans="1:8">
      <c r="A454">
        <v>1715300930</v>
      </c>
      <c r="B454" t="s">
        <v>19</v>
      </c>
      <c r="C454">
        <v>0</v>
      </c>
      <c r="D454">
        <v>0</v>
      </c>
      <c r="G454">
        <v>0</v>
      </c>
      <c r="H454">
        <f>VLOOKUP(A454,הוצאות!$B$2:$V$519,19,0)</f>
        <v>0</v>
      </c>
    </row>
    <row r="455" spans="1:8">
      <c r="A455">
        <v>1719999399</v>
      </c>
      <c r="B455" t="s">
        <v>47</v>
      </c>
      <c r="C455">
        <v>0</v>
      </c>
      <c r="D455">
        <v>0</v>
      </c>
      <c r="G455">
        <v>0</v>
      </c>
      <c r="H455" t="e">
        <f>VLOOKUP(A455,הוצאות!$B$2:$V$519,19,0)</f>
        <v>#N/A</v>
      </c>
    </row>
    <row r="456" spans="1:8">
      <c r="A456">
        <v>1722000110</v>
      </c>
      <c r="B456" t="s">
        <v>1734</v>
      </c>
      <c r="C456">
        <v>270858</v>
      </c>
      <c r="D456">
        <v>329236.64</v>
      </c>
      <c r="G456">
        <v>329236.64</v>
      </c>
      <c r="H456">
        <f>VLOOKUP(A456,הוצאות!$B$2:$V$519,19,0)</f>
        <v>270858.840425</v>
      </c>
    </row>
    <row r="457" spans="1:8">
      <c r="A457">
        <v>1722000730</v>
      </c>
      <c r="B457" t="s">
        <v>1627</v>
      </c>
      <c r="C457">
        <v>100000</v>
      </c>
      <c r="D457">
        <v>0</v>
      </c>
      <c r="G457">
        <v>0</v>
      </c>
      <c r="H457">
        <f>VLOOKUP(A457,הוצאות!$B$2:$V$519,19,0)</f>
        <v>100000</v>
      </c>
    </row>
    <row r="458" spans="1:8">
      <c r="A458">
        <v>1722000731</v>
      </c>
      <c r="B458" t="s">
        <v>87</v>
      </c>
      <c r="C458">
        <v>10000</v>
      </c>
      <c r="D458">
        <v>0</v>
      </c>
      <c r="G458">
        <v>0</v>
      </c>
      <c r="H458">
        <f>VLOOKUP(A458,הוצאות!$B$2:$V$519,19,0)</f>
        <v>10000</v>
      </c>
    </row>
    <row r="459" spans="1:8">
      <c r="A459">
        <v>1722000732</v>
      </c>
      <c r="B459" t="s">
        <v>88</v>
      </c>
      <c r="C459">
        <v>10000</v>
      </c>
      <c r="D459">
        <v>0</v>
      </c>
      <c r="G459">
        <v>0</v>
      </c>
      <c r="H459">
        <f>VLOOKUP(A459,הוצאות!$B$2:$V$519,19,0)</f>
        <v>10000</v>
      </c>
    </row>
    <row r="460" spans="1:8">
      <c r="A460">
        <v>1722000733</v>
      </c>
      <c r="B460" t="s">
        <v>89</v>
      </c>
      <c r="C460">
        <v>4000</v>
      </c>
      <c r="D460">
        <v>0</v>
      </c>
      <c r="G460">
        <v>0</v>
      </c>
      <c r="H460">
        <f>VLOOKUP(A460,הוצאות!$B$2:$V$519,19,0)</f>
        <v>4000</v>
      </c>
    </row>
    <row r="461" spans="1:8">
      <c r="A461">
        <v>1722000780</v>
      </c>
      <c r="B461" t="s">
        <v>58</v>
      </c>
      <c r="C461">
        <v>0</v>
      </c>
      <c r="D461">
        <v>7694</v>
      </c>
      <c r="G461">
        <v>9449</v>
      </c>
      <c r="H461">
        <f>VLOOKUP(A461,הוצאות!$B$2:$V$519,19,0)</f>
        <v>0</v>
      </c>
    </row>
    <row r="462" spans="1:8">
      <c r="A462">
        <v>1722002110</v>
      </c>
      <c r="B462" t="s">
        <v>1735</v>
      </c>
      <c r="C462">
        <v>0</v>
      </c>
      <c r="D462">
        <v>0</v>
      </c>
      <c r="G462">
        <v>0</v>
      </c>
      <c r="H462">
        <f>VLOOKUP(A462,הוצאות!$B$2:$V$519,19,0)</f>
        <v>0</v>
      </c>
    </row>
    <row r="463" spans="1:8">
      <c r="A463">
        <v>1722002780</v>
      </c>
      <c r="B463" t="s">
        <v>1736</v>
      </c>
      <c r="C463">
        <v>0</v>
      </c>
      <c r="D463">
        <v>0</v>
      </c>
      <c r="G463">
        <v>0</v>
      </c>
      <c r="H463">
        <f>VLOOKUP(A463,הוצאות!$B$2:$V$519,19,0)</f>
        <v>0</v>
      </c>
    </row>
    <row r="464" spans="1:8">
      <c r="A464">
        <v>1723000750</v>
      </c>
      <c r="B464" t="s">
        <v>1737</v>
      </c>
      <c r="C464">
        <v>0</v>
      </c>
      <c r="D464">
        <v>0</v>
      </c>
      <c r="G464">
        <v>0</v>
      </c>
      <c r="H464" t="e">
        <f>VLOOKUP(A464,הוצאות!$B$2:$V$519,19,0)</f>
        <v>#N/A</v>
      </c>
    </row>
    <row r="465" spans="1:8">
      <c r="A465">
        <v>1723000810</v>
      </c>
      <c r="B465" t="s">
        <v>90</v>
      </c>
      <c r="C465">
        <v>87000</v>
      </c>
      <c r="D465">
        <v>86337</v>
      </c>
      <c r="G465">
        <v>86337</v>
      </c>
      <c r="H465">
        <f>VLOOKUP(A465,הוצאות!$B$2:$V$519,19,0)</f>
        <v>87000</v>
      </c>
    </row>
    <row r="466" spans="1:8">
      <c r="A466">
        <v>1723000811</v>
      </c>
      <c r="B466" t="s">
        <v>91</v>
      </c>
      <c r="C466">
        <v>299129</v>
      </c>
      <c r="D466">
        <v>4095</v>
      </c>
      <c r="F466" t="s">
        <v>2117</v>
      </c>
      <c r="G466">
        <v>4095</v>
      </c>
      <c r="H466">
        <f>VLOOKUP(A466,הוצאות!$B$2:$V$519,19,0)</f>
        <v>299129</v>
      </c>
    </row>
    <row r="467" spans="1:8">
      <c r="A467">
        <v>1723000930</v>
      </c>
      <c r="B467" t="s">
        <v>586</v>
      </c>
      <c r="C467">
        <v>3000</v>
      </c>
      <c r="D467">
        <v>0</v>
      </c>
      <c r="G467">
        <v>0</v>
      </c>
      <c r="H467">
        <f>VLOOKUP(A467,הוצאות!$B$2:$V$519,19,0)</f>
        <v>3000</v>
      </c>
    </row>
    <row r="468" spans="1:8">
      <c r="A468">
        <v>1724000760</v>
      </c>
      <c r="B468" t="s">
        <v>92</v>
      </c>
      <c r="C468">
        <v>0</v>
      </c>
      <c r="D468">
        <v>18516.48</v>
      </c>
      <c r="G468">
        <v>18516.48</v>
      </c>
      <c r="H468">
        <f>VLOOKUP(A468,הוצאות!$B$2:$V$519,19,0)</f>
        <v>0</v>
      </c>
    </row>
    <row r="469" spans="1:8">
      <c r="A469">
        <v>1724000830</v>
      </c>
      <c r="B469" t="s">
        <v>93</v>
      </c>
      <c r="C469">
        <v>0</v>
      </c>
      <c r="D469">
        <v>0</v>
      </c>
      <c r="G469">
        <v>0</v>
      </c>
      <c r="H469">
        <f>VLOOKUP(A469,הוצאות!$B$2:$V$519,19,0)</f>
        <v>0</v>
      </c>
    </row>
    <row r="470" spans="1:8">
      <c r="A470">
        <v>1725000110</v>
      </c>
      <c r="B470" t="s">
        <v>92</v>
      </c>
      <c r="C470">
        <v>300000</v>
      </c>
      <c r="D470">
        <v>287999.11</v>
      </c>
      <c r="G470">
        <v>287999.11</v>
      </c>
      <c r="H470">
        <f>VLOOKUP(A470,הוצאות!$B$2:$V$519,19,0)</f>
        <v>300000</v>
      </c>
    </row>
    <row r="471" spans="1:8">
      <c r="A471">
        <v>1725000750</v>
      </c>
      <c r="B471" t="s">
        <v>2032</v>
      </c>
      <c r="C471">
        <v>121108</v>
      </c>
      <c r="D471">
        <v>163788.72</v>
      </c>
      <c r="E471">
        <v>-15000</v>
      </c>
      <c r="F471" t="s">
        <v>2115</v>
      </c>
      <c r="G471">
        <v>163788.72</v>
      </c>
      <c r="H471">
        <f>VLOOKUP(A471,הוצאות!$B$2:$V$519,19,0)</f>
        <v>121108</v>
      </c>
    </row>
    <row r="472" spans="1:8">
      <c r="A472">
        <v>1725100750</v>
      </c>
      <c r="B472" t="s">
        <v>2118</v>
      </c>
      <c r="C472">
        <v>90000</v>
      </c>
      <c r="D472">
        <v>7000</v>
      </c>
      <c r="E472">
        <v>-30000</v>
      </c>
      <c r="F472" t="s">
        <v>2115</v>
      </c>
      <c r="G472">
        <v>7000</v>
      </c>
      <c r="H472">
        <f>VLOOKUP(A472,הוצאות!$B$2:$V$519,19,0)</f>
        <v>0</v>
      </c>
    </row>
    <row r="473" spans="1:8">
      <c r="A473">
        <v>1726100750</v>
      </c>
      <c r="B473" t="s">
        <v>95</v>
      </c>
      <c r="C473">
        <v>0</v>
      </c>
      <c r="D473">
        <v>0</v>
      </c>
      <c r="G473">
        <v>0</v>
      </c>
      <c r="H473" t="e">
        <f>VLOOKUP(A473,הוצאות!$B$2:$V$519,19,0)</f>
        <v>#N/A</v>
      </c>
    </row>
    <row r="474" spans="1:8">
      <c r="A474">
        <v>1726100780</v>
      </c>
      <c r="B474" t="s">
        <v>96</v>
      </c>
      <c r="C474">
        <v>0</v>
      </c>
      <c r="D474">
        <v>0</v>
      </c>
      <c r="G474">
        <v>0</v>
      </c>
      <c r="H474" t="e">
        <f>VLOOKUP(A474,הוצאות!$B$2:$V$519,19,0)</f>
        <v>#N/A</v>
      </c>
    </row>
    <row r="475" spans="1:8">
      <c r="A475">
        <v>1729999399</v>
      </c>
      <c r="B475" t="s">
        <v>47</v>
      </c>
      <c r="C475">
        <v>0</v>
      </c>
      <c r="D475">
        <v>0</v>
      </c>
      <c r="G475">
        <v>0</v>
      </c>
      <c r="H475" t="e">
        <f>VLOOKUP(A475,הוצאות!$B$2:$V$519,19,0)</f>
        <v>#N/A</v>
      </c>
    </row>
    <row r="476" spans="1:8">
      <c r="A476">
        <v>1731000110</v>
      </c>
      <c r="B476" t="s">
        <v>97</v>
      </c>
      <c r="C476">
        <v>500000</v>
      </c>
      <c r="D476">
        <v>610208.9</v>
      </c>
      <c r="G476">
        <v>610208.9</v>
      </c>
      <c r="H476">
        <f>VLOOKUP(A476,הוצאות!$B$2:$V$519,19,0)</f>
        <v>500000</v>
      </c>
    </row>
    <row r="477" spans="1:8">
      <c r="A477">
        <v>1731000320</v>
      </c>
      <c r="B477" t="s">
        <v>2062</v>
      </c>
      <c r="C477">
        <v>500000</v>
      </c>
      <c r="D477">
        <v>0</v>
      </c>
      <c r="G477">
        <v>0</v>
      </c>
      <c r="H477">
        <f>VLOOKUP(A477,הוצאות!$B$2:$V$519,19,0)</f>
        <v>500000</v>
      </c>
    </row>
    <row r="478" spans="1:8">
      <c r="A478">
        <v>1731000440</v>
      </c>
      <c r="B478" t="s">
        <v>98</v>
      </c>
      <c r="C478">
        <v>0</v>
      </c>
      <c r="D478">
        <v>0</v>
      </c>
      <c r="G478">
        <v>0</v>
      </c>
      <c r="H478">
        <f>VLOOKUP(A478,הוצאות!$B$2:$V$519,19,0)</f>
        <v>0</v>
      </c>
    </row>
    <row r="479" spans="1:8">
      <c r="A479">
        <v>1731000523</v>
      </c>
      <c r="B479" t="s">
        <v>28</v>
      </c>
      <c r="C479">
        <v>1500</v>
      </c>
      <c r="D479">
        <v>0</v>
      </c>
      <c r="G479">
        <v>0</v>
      </c>
      <c r="H479">
        <f>VLOOKUP(A479,הוצאות!$B$2:$V$519,19,0)</f>
        <v>1500</v>
      </c>
    </row>
    <row r="480" spans="1:8">
      <c r="A480">
        <v>1731000540</v>
      </c>
      <c r="B480" t="s">
        <v>50</v>
      </c>
      <c r="C480">
        <v>0</v>
      </c>
      <c r="D480">
        <v>0</v>
      </c>
      <c r="G480">
        <v>0</v>
      </c>
      <c r="H480" t="e">
        <f>VLOOKUP(A480,הוצאות!$B$2:$V$519,19,0)</f>
        <v>#N/A</v>
      </c>
    </row>
    <row r="481" spans="1:8">
      <c r="A481">
        <v>1731000560</v>
      </c>
      <c r="B481" t="s">
        <v>99</v>
      </c>
      <c r="C481">
        <v>0</v>
      </c>
      <c r="D481">
        <v>0</v>
      </c>
      <c r="G481">
        <v>0</v>
      </c>
      <c r="H481" t="e">
        <f>VLOOKUP(A481,הוצאות!$B$2:$V$519,19,0)</f>
        <v>#N/A</v>
      </c>
    </row>
    <row r="482" spans="1:8">
      <c r="A482">
        <v>1731000780</v>
      </c>
      <c r="B482" t="s">
        <v>18</v>
      </c>
      <c r="C482">
        <v>8000</v>
      </c>
      <c r="D482">
        <v>0</v>
      </c>
      <c r="G482">
        <v>0</v>
      </c>
      <c r="H482">
        <f>VLOOKUP(A482,הוצאות!$B$2:$V$519,19,0)</f>
        <v>8000</v>
      </c>
    </row>
    <row r="483" spans="1:8">
      <c r="A483">
        <v>1731000930</v>
      </c>
      <c r="B483" t="s">
        <v>19</v>
      </c>
      <c r="C483">
        <v>2000</v>
      </c>
      <c r="D483">
        <v>0</v>
      </c>
      <c r="G483">
        <v>0</v>
      </c>
      <c r="H483">
        <f>VLOOKUP(A483,הוצאות!$B$2:$V$519,19,0)</f>
        <v>2000</v>
      </c>
    </row>
    <row r="484" spans="1:8">
      <c r="A484">
        <v>1732100750</v>
      </c>
      <c r="B484" t="s">
        <v>1738</v>
      </c>
      <c r="C484">
        <v>70000</v>
      </c>
      <c r="D484">
        <v>109928</v>
      </c>
      <c r="E484">
        <v>-18486</v>
      </c>
      <c r="F484" t="s">
        <v>2115</v>
      </c>
      <c r="G484">
        <v>109928</v>
      </c>
      <c r="H484">
        <f>VLOOKUP(A484,הוצאות!$B$2:$V$519,19,0)</f>
        <v>70000</v>
      </c>
    </row>
    <row r="485" spans="1:8">
      <c r="A485">
        <v>1732100950</v>
      </c>
      <c r="B485" t="s">
        <v>101</v>
      </c>
      <c r="C485">
        <v>0</v>
      </c>
      <c r="D485">
        <v>0</v>
      </c>
      <c r="G485">
        <v>0</v>
      </c>
      <c r="H485" t="e">
        <f>VLOOKUP(A485,הוצאות!$B$2:$V$519,19,0)</f>
        <v>#N/A</v>
      </c>
    </row>
    <row r="486" spans="1:8">
      <c r="A486">
        <v>1733400750</v>
      </c>
      <c r="B486" t="s">
        <v>102</v>
      </c>
      <c r="C486">
        <v>1100000</v>
      </c>
      <c r="D486">
        <v>0</v>
      </c>
      <c r="G486">
        <v>0</v>
      </c>
      <c r="H486">
        <f>VLOOKUP(A486,הוצאות!$B$2:$V$519,19,0)</f>
        <v>1100000</v>
      </c>
    </row>
    <row r="487" spans="1:8">
      <c r="A487">
        <v>1739999399</v>
      </c>
      <c r="B487" t="s">
        <v>47</v>
      </c>
      <c r="C487">
        <v>0</v>
      </c>
      <c r="D487">
        <v>0</v>
      </c>
      <c r="G487">
        <v>0</v>
      </c>
      <c r="H487" t="e">
        <f>VLOOKUP(A487,הוצאות!$B$2:$V$519,19,0)</f>
        <v>#N/A</v>
      </c>
    </row>
    <row r="488" spans="1:8">
      <c r="A488">
        <v>1741000110</v>
      </c>
      <c r="B488" t="s">
        <v>103</v>
      </c>
      <c r="C488">
        <v>206000</v>
      </c>
      <c r="D488">
        <v>215993.22</v>
      </c>
      <c r="G488">
        <v>215993.22</v>
      </c>
      <c r="H488">
        <f>VLOOKUP(A488,הוצאות!$B$2:$V$519,19,0)</f>
        <v>206000</v>
      </c>
    </row>
    <row r="489" spans="1:8">
      <c r="A489">
        <v>1741000320</v>
      </c>
      <c r="B489" t="s">
        <v>25</v>
      </c>
      <c r="C489">
        <v>0</v>
      </c>
      <c r="D489">
        <v>0</v>
      </c>
      <c r="G489">
        <v>0</v>
      </c>
      <c r="H489" t="e">
        <f>VLOOKUP(A489,הוצאות!$B$2:$V$519,19,0)</f>
        <v>#N/A</v>
      </c>
    </row>
    <row r="490" spans="1:8">
      <c r="A490">
        <v>1741000540</v>
      </c>
      <c r="B490" t="s">
        <v>104</v>
      </c>
      <c r="C490">
        <v>1000</v>
      </c>
      <c r="D490">
        <v>0</v>
      </c>
      <c r="G490">
        <v>0</v>
      </c>
      <c r="H490">
        <f>VLOOKUP(A490,הוצאות!$B$2:$V$519,19,0)</f>
        <v>1000</v>
      </c>
    </row>
    <row r="491" spans="1:8">
      <c r="A491">
        <v>1741000720</v>
      </c>
      <c r="B491" t="s">
        <v>105</v>
      </c>
      <c r="C491">
        <v>1500</v>
      </c>
      <c r="D491">
        <v>0</v>
      </c>
      <c r="G491">
        <v>0</v>
      </c>
      <c r="H491">
        <f>VLOOKUP(A491,הוצאות!$B$2:$V$519,19,0)</f>
        <v>1500</v>
      </c>
    </row>
    <row r="492" spans="1:8">
      <c r="A492">
        <v>1741000731</v>
      </c>
      <c r="B492" t="s">
        <v>106</v>
      </c>
      <c r="C492">
        <v>0</v>
      </c>
      <c r="D492">
        <v>0</v>
      </c>
      <c r="G492">
        <v>0</v>
      </c>
      <c r="H492">
        <f>VLOOKUP(A492,הוצאות!$B$2:$V$519,19,0)</f>
        <v>0</v>
      </c>
    </row>
    <row r="493" spans="1:8">
      <c r="A493">
        <v>1741000732</v>
      </c>
      <c r="B493" t="s">
        <v>107</v>
      </c>
      <c r="C493">
        <v>6000</v>
      </c>
      <c r="D493">
        <v>0</v>
      </c>
      <c r="G493">
        <v>0</v>
      </c>
      <c r="H493">
        <f>VLOOKUP(A493,הוצאות!$B$2:$V$519,19,0)</f>
        <v>6000</v>
      </c>
    </row>
    <row r="494" spans="1:8">
      <c r="A494">
        <v>1741000733</v>
      </c>
      <c r="B494" t="s">
        <v>108</v>
      </c>
      <c r="C494">
        <v>5000</v>
      </c>
      <c r="D494">
        <v>0</v>
      </c>
      <c r="G494">
        <v>0</v>
      </c>
      <c r="H494">
        <f>VLOOKUP(A494,הוצאות!$B$2:$V$519,19,0)</f>
        <v>5000</v>
      </c>
    </row>
    <row r="495" spans="1:8">
      <c r="A495">
        <v>1741000740</v>
      </c>
      <c r="B495" t="s">
        <v>33</v>
      </c>
      <c r="C495">
        <v>0</v>
      </c>
      <c r="D495">
        <v>0</v>
      </c>
      <c r="G495">
        <v>0</v>
      </c>
      <c r="H495" t="e">
        <f>VLOOKUP(A495,הוצאות!$B$2:$V$519,19,0)</f>
        <v>#N/A</v>
      </c>
    </row>
    <row r="496" spans="1:8">
      <c r="A496">
        <v>1741000750</v>
      </c>
      <c r="B496" t="s">
        <v>62</v>
      </c>
      <c r="C496">
        <v>80000</v>
      </c>
      <c r="D496">
        <v>117530.82</v>
      </c>
      <c r="E496">
        <v>-5632.63</v>
      </c>
      <c r="F496" t="s">
        <v>2115</v>
      </c>
      <c r="G496">
        <v>117530.81999999999</v>
      </c>
      <c r="H496">
        <f>VLOOKUP(A496,הוצאות!$B$2:$V$519,19,0)</f>
        <v>80000</v>
      </c>
    </row>
    <row r="497" spans="1:8">
      <c r="A497">
        <v>1741000751</v>
      </c>
      <c r="B497" t="s">
        <v>2033</v>
      </c>
      <c r="C497">
        <v>0</v>
      </c>
      <c r="D497">
        <v>55665</v>
      </c>
      <c r="E497">
        <v>-81900</v>
      </c>
      <c r="F497" t="s">
        <v>2115</v>
      </c>
      <c r="G497">
        <v>55665</v>
      </c>
      <c r="H497">
        <f>VLOOKUP(A497,הוצאות!$B$2:$V$519,19,0)</f>
        <v>0</v>
      </c>
    </row>
    <row r="498" spans="1:8">
      <c r="A498">
        <v>1741000780</v>
      </c>
      <c r="B498" t="s">
        <v>18</v>
      </c>
      <c r="C498">
        <v>0</v>
      </c>
      <c r="D498">
        <v>0</v>
      </c>
      <c r="G498">
        <v>0</v>
      </c>
      <c r="H498" t="e">
        <f>VLOOKUP(A498,הוצאות!$B$2:$V$519,19,0)</f>
        <v>#N/A</v>
      </c>
    </row>
    <row r="499" spans="1:8">
      <c r="A499">
        <v>1742000720</v>
      </c>
      <c r="B499" t="s">
        <v>32</v>
      </c>
      <c r="C499">
        <v>0</v>
      </c>
      <c r="D499">
        <v>0</v>
      </c>
      <c r="G499">
        <v>0</v>
      </c>
      <c r="H499" t="e">
        <f>VLOOKUP(A499,הוצאות!$B$2:$V$519,19,0)</f>
        <v>#N/A</v>
      </c>
    </row>
    <row r="500" spans="1:8">
      <c r="A500">
        <v>1742000750</v>
      </c>
      <c r="B500" t="s">
        <v>62</v>
      </c>
      <c r="C500">
        <v>0</v>
      </c>
      <c r="D500">
        <v>0</v>
      </c>
      <c r="G500">
        <v>0</v>
      </c>
      <c r="H500" t="e">
        <f>VLOOKUP(A500,הוצאות!$B$2:$V$519,19,0)</f>
        <v>#N/A</v>
      </c>
    </row>
    <row r="501" spans="1:8">
      <c r="A501">
        <v>1742000910</v>
      </c>
      <c r="B501" t="s">
        <v>1739</v>
      </c>
      <c r="C501">
        <v>0</v>
      </c>
      <c r="D501">
        <v>0</v>
      </c>
      <c r="G501">
        <v>0</v>
      </c>
      <c r="H501" t="e">
        <f>VLOOKUP(A501,הוצאות!$B$2:$V$519,19,0)</f>
        <v>#N/A</v>
      </c>
    </row>
    <row r="502" spans="1:8">
      <c r="A502">
        <v>1742200110</v>
      </c>
      <c r="B502" t="s">
        <v>1740</v>
      </c>
      <c r="C502">
        <v>0</v>
      </c>
      <c r="D502">
        <v>0</v>
      </c>
      <c r="G502">
        <v>0</v>
      </c>
      <c r="H502" t="e">
        <f>VLOOKUP(A502,הוצאות!$B$2:$V$519,19,0)</f>
        <v>#N/A</v>
      </c>
    </row>
    <row r="503" spans="1:8">
      <c r="A503">
        <v>1742200720</v>
      </c>
      <c r="B503" t="s">
        <v>1741</v>
      </c>
      <c r="C503">
        <v>0</v>
      </c>
      <c r="D503">
        <v>0</v>
      </c>
      <c r="G503">
        <v>0</v>
      </c>
      <c r="H503" t="e">
        <f>VLOOKUP(A503,הוצאות!$B$2:$V$519,19,0)</f>
        <v>#N/A</v>
      </c>
    </row>
    <row r="504" spans="1:8">
      <c r="A504">
        <v>1742200750</v>
      </c>
      <c r="B504" t="s">
        <v>1742</v>
      </c>
      <c r="C504">
        <v>0</v>
      </c>
      <c r="D504">
        <v>0</v>
      </c>
      <c r="G504">
        <v>0</v>
      </c>
      <c r="H504" t="e">
        <f>VLOOKUP(A504,הוצאות!$B$2:$V$519,19,0)</f>
        <v>#N/A</v>
      </c>
    </row>
    <row r="505" spans="1:8">
      <c r="A505">
        <v>1743000720</v>
      </c>
      <c r="B505" t="s">
        <v>1743</v>
      </c>
      <c r="C505">
        <v>0</v>
      </c>
      <c r="D505">
        <v>17665.89</v>
      </c>
      <c r="G505">
        <v>17665.89</v>
      </c>
      <c r="H505">
        <f>VLOOKUP(A505,הוצאות!$B$2:$V$519,19,0)</f>
        <v>0</v>
      </c>
    </row>
    <row r="506" spans="1:8">
      <c r="A506">
        <v>1743000750</v>
      </c>
      <c r="B506" t="s">
        <v>109</v>
      </c>
      <c r="C506">
        <v>0</v>
      </c>
      <c r="D506">
        <v>10000</v>
      </c>
      <c r="G506">
        <v>10000</v>
      </c>
      <c r="H506">
        <f>VLOOKUP(A506,הוצאות!$B$2:$V$519,19,0)</f>
        <v>0</v>
      </c>
    </row>
    <row r="507" spans="1:8">
      <c r="A507">
        <v>1743000771</v>
      </c>
      <c r="B507" t="s">
        <v>110</v>
      </c>
      <c r="C507">
        <v>200000</v>
      </c>
      <c r="D507">
        <v>141616.54</v>
      </c>
      <c r="G507">
        <v>141616.54</v>
      </c>
      <c r="H507">
        <f>VLOOKUP(A507,הוצאות!$B$2:$V$519,19,0)</f>
        <v>200000</v>
      </c>
    </row>
    <row r="508" spans="1:8">
      <c r="A508">
        <v>1744000750</v>
      </c>
      <c r="B508" t="s">
        <v>111</v>
      </c>
      <c r="C508">
        <v>0</v>
      </c>
      <c r="D508">
        <v>0</v>
      </c>
      <c r="G508">
        <v>0</v>
      </c>
      <c r="H508" t="e">
        <f>VLOOKUP(A508,הוצאות!$B$2:$V$519,19,0)</f>
        <v>#N/A</v>
      </c>
    </row>
    <row r="509" spans="1:8">
      <c r="A509">
        <v>1744000780</v>
      </c>
      <c r="B509" t="s">
        <v>112</v>
      </c>
      <c r="C509">
        <v>0</v>
      </c>
      <c r="D509">
        <v>0</v>
      </c>
      <c r="G509">
        <v>0</v>
      </c>
      <c r="H509">
        <f>VLOOKUP(A509,הוצאות!$B$2:$V$519,19,0)</f>
        <v>0</v>
      </c>
    </row>
    <row r="510" spans="1:8">
      <c r="A510">
        <v>1745000750</v>
      </c>
      <c r="B510" t="s">
        <v>113</v>
      </c>
      <c r="C510">
        <v>0</v>
      </c>
      <c r="D510">
        <v>0</v>
      </c>
      <c r="G510">
        <v>0</v>
      </c>
      <c r="H510" t="e">
        <f>VLOOKUP(A510,הוצאות!$B$2:$V$519,19,0)</f>
        <v>#N/A</v>
      </c>
    </row>
    <row r="511" spans="1:8">
      <c r="A511">
        <v>1745000830</v>
      </c>
      <c r="B511" t="s">
        <v>114</v>
      </c>
      <c r="C511">
        <v>110000</v>
      </c>
      <c r="D511">
        <v>110784</v>
      </c>
      <c r="G511">
        <v>110784</v>
      </c>
      <c r="H511">
        <f>VLOOKUP(A511,הוצאות!$B$2:$V$519,19,0)</f>
        <v>110000</v>
      </c>
    </row>
    <row r="512" spans="1:8">
      <c r="A512">
        <v>1746000110</v>
      </c>
      <c r="B512" t="s">
        <v>1744</v>
      </c>
      <c r="C512">
        <v>0</v>
      </c>
      <c r="D512">
        <v>0</v>
      </c>
      <c r="G512">
        <v>0</v>
      </c>
      <c r="H512" t="e">
        <f>VLOOKUP(A512,הוצאות!$B$2:$V$519,19,0)</f>
        <v>#N/A</v>
      </c>
    </row>
    <row r="513" spans="1:8">
      <c r="A513">
        <v>1746000432</v>
      </c>
      <c r="B513" t="s">
        <v>1745</v>
      </c>
      <c r="C513">
        <v>0</v>
      </c>
      <c r="D513">
        <v>0</v>
      </c>
      <c r="G513">
        <v>0</v>
      </c>
      <c r="H513" t="e">
        <f>VLOOKUP(A513,הוצאות!$B$2:$V$519,19,0)</f>
        <v>#N/A</v>
      </c>
    </row>
    <row r="514" spans="1:8">
      <c r="A514">
        <v>1746000720</v>
      </c>
      <c r="B514" t="s">
        <v>1746</v>
      </c>
      <c r="C514">
        <v>0</v>
      </c>
      <c r="D514">
        <v>0</v>
      </c>
      <c r="G514">
        <v>0</v>
      </c>
      <c r="H514" t="e">
        <f>VLOOKUP(A514,הוצאות!$B$2:$V$519,19,0)</f>
        <v>#N/A</v>
      </c>
    </row>
    <row r="515" spans="1:8">
      <c r="A515">
        <v>1746100110</v>
      </c>
      <c r="B515" t="s">
        <v>1747</v>
      </c>
      <c r="C515">
        <v>0</v>
      </c>
      <c r="D515">
        <v>0</v>
      </c>
      <c r="G515">
        <v>0</v>
      </c>
      <c r="H515" t="e">
        <f>VLOOKUP(A515,הוצאות!$B$2:$V$519,19,0)</f>
        <v>#N/A</v>
      </c>
    </row>
    <row r="516" spans="1:8">
      <c r="A516">
        <v>1746100432</v>
      </c>
      <c r="B516" t="s">
        <v>1748</v>
      </c>
      <c r="C516">
        <v>0</v>
      </c>
      <c r="D516">
        <v>0</v>
      </c>
      <c r="G516">
        <v>0</v>
      </c>
      <c r="H516" t="e">
        <f>VLOOKUP(A516,הוצאות!$B$2:$V$519,19,0)</f>
        <v>#N/A</v>
      </c>
    </row>
    <row r="517" spans="1:8">
      <c r="A517">
        <v>1747200110</v>
      </c>
      <c r="B517" t="s">
        <v>115</v>
      </c>
      <c r="C517">
        <v>494069</v>
      </c>
      <c r="D517">
        <v>454207.74</v>
      </c>
      <c r="G517">
        <v>454207.74</v>
      </c>
      <c r="H517">
        <f>VLOOKUP(A517,הוצאות!$B$2:$V$519,19,0)</f>
        <v>494069.66050200001</v>
      </c>
    </row>
    <row r="518" spans="1:8">
      <c r="A518">
        <v>1747200320</v>
      </c>
      <c r="B518" t="s">
        <v>25</v>
      </c>
      <c r="C518">
        <v>0</v>
      </c>
      <c r="D518">
        <v>0</v>
      </c>
      <c r="G518">
        <v>0</v>
      </c>
      <c r="H518" t="e">
        <f>VLOOKUP(A518,הוצאות!$B$2:$V$519,19,0)</f>
        <v>#N/A</v>
      </c>
    </row>
    <row r="519" spans="1:8">
      <c r="A519">
        <v>1747200431</v>
      </c>
      <c r="B519" t="s">
        <v>116</v>
      </c>
      <c r="C519">
        <v>50000</v>
      </c>
      <c r="D519">
        <v>80306.039999999994</v>
      </c>
      <c r="G519">
        <v>80306.039999999994</v>
      </c>
      <c r="H519">
        <f>VLOOKUP(A519,הוצאות!$B$2:$V$519,19,0)</f>
        <v>50000</v>
      </c>
    </row>
    <row r="520" spans="1:8">
      <c r="A520">
        <v>1747200432</v>
      </c>
      <c r="B520" t="s">
        <v>117</v>
      </c>
      <c r="C520">
        <v>20000</v>
      </c>
      <c r="D520">
        <v>0</v>
      </c>
      <c r="G520">
        <v>0</v>
      </c>
      <c r="H520">
        <f>VLOOKUP(A520,הוצאות!$B$2:$V$519,19,0)</f>
        <v>20000</v>
      </c>
    </row>
    <row r="521" spans="1:8">
      <c r="A521">
        <v>1747200433</v>
      </c>
      <c r="B521" t="s">
        <v>144</v>
      </c>
      <c r="C521">
        <v>5000</v>
      </c>
      <c r="D521">
        <v>4400</v>
      </c>
      <c r="G521">
        <v>4400</v>
      </c>
      <c r="H521">
        <f>VLOOKUP(A521,הוצאות!$B$2:$V$519,19,0)</f>
        <v>5000</v>
      </c>
    </row>
    <row r="522" spans="1:8">
      <c r="A522">
        <v>1747200440</v>
      </c>
      <c r="B522" t="s">
        <v>119</v>
      </c>
      <c r="C522">
        <v>3000</v>
      </c>
      <c r="D522">
        <v>0</v>
      </c>
      <c r="G522">
        <v>0</v>
      </c>
      <c r="H522">
        <f>VLOOKUP(A522,הוצאות!$B$2:$V$519,19,0)</f>
        <v>3000</v>
      </c>
    </row>
    <row r="523" spans="1:8">
      <c r="A523">
        <v>1747200540</v>
      </c>
      <c r="B523" t="s">
        <v>104</v>
      </c>
      <c r="C523">
        <v>0</v>
      </c>
      <c r="D523">
        <v>0</v>
      </c>
      <c r="G523">
        <v>0</v>
      </c>
      <c r="H523">
        <f>VLOOKUP(A523,הוצאות!$B$2:$V$519,19,0)</f>
        <v>0</v>
      </c>
    </row>
    <row r="524" spans="1:8">
      <c r="A524">
        <v>1747200720</v>
      </c>
      <c r="B524" t="s">
        <v>32</v>
      </c>
      <c r="C524">
        <v>2000</v>
      </c>
      <c r="D524">
        <v>0</v>
      </c>
      <c r="G524">
        <v>0</v>
      </c>
      <c r="H524">
        <f>VLOOKUP(A524,הוצאות!$B$2:$V$519,19,0)</f>
        <v>2000</v>
      </c>
    </row>
    <row r="525" spans="1:8">
      <c r="A525">
        <v>1747200730</v>
      </c>
      <c r="B525" t="s">
        <v>120</v>
      </c>
      <c r="C525">
        <v>0</v>
      </c>
      <c r="D525">
        <v>0</v>
      </c>
      <c r="G525">
        <v>0</v>
      </c>
      <c r="H525" t="e">
        <f>VLOOKUP(A525,הוצאות!$B$2:$V$519,19,0)</f>
        <v>#N/A</v>
      </c>
    </row>
    <row r="526" spans="1:8">
      <c r="A526">
        <v>1747200740</v>
      </c>
      <c r="B526" t="s">
        <v>33</v>
      </c>
      <c r="C526">
        <v>0</v>
      </c>
      <c r="D526">
        <v>0</v>
      </c>
      <c r="G526">
        <v>0</v>
      </c>
      <c r="H526" t="e">
        <f>VLOOKUP(A526,הוצאות!$B$2:$V$519,19,0)</f>
        <v>#N/A</v>
      </c>
    </row>
    <row r="527" spans="1:8">
      <c r="A527">
        <v>1747200750</v>
      </c>
      <c r="B527" t="s">
        <v>62</v>
      </c>
      <c r="C527">
        <v>100000</v>
      </c>
      <c r="D527">
        <v>91079.12</v>
      </c>
      <c r="G527">
        <v>98567.12</v>
      </c>
      <c r="H527">
        <f>VLOOKUP(A527,הוצאות!$B$2:$V$519,19,0)</f>
        <v>100000</v>
      </c>
    </row>
    <row r="528" spans="1:8">
      <c r="A528">
        <v>1747200780</v>
      </c>
      <c r="B528" t="s">
        <v>18</v>
      </c>
      <c r="C528">
        <v>0</v>
      </c>
      <c r="D528">
        <v>0</v>
      </c>
      <c r="G528">
        <v>0</v>
      </c>
      <c r="H528" t="e">
        <f>VLOOKUP(A528,הוצאות!$B$2:$V$519,19,0)</f>
        <v>#N/A</v>
      </c>
    </row>
    <row r="529" spans="1:8">
      <c r="A529">
        <v>1747200930</v>
      </c>
      <c r="B529" t="s">
        <v>19</v>
      </c>
      <c r="C529">
        <v>0</v>
      </c>
      <c r="D529">
        <v>0</v>
      </c>
      <c r="G529">
        <v>0</v>
      </c>
      <c r="H529" t="e">
        <f>VLOOKUP(A529,הוצאות!$B$2:$V$519,19,0)</f>
        <v>#N/A</v>
      </c>
    </row>
    <row r="530" spans="1:8">
      <c r="A530">
        <v>1747210440</v>
      </c>
      <c r="B530" t="s">
        <v>121</v>
      </c>
      <c r="C530">
        <v>0</v>
      </c>
      <c r="D530">
        <v>0</v>
      </c>
      <c r="G530">
        <v>0</v>
      </c>
      <c r="H530" t="e">
        <f>VLOOKUP(A530,הוצאות!$B$2:$V$519,19,0)</f>
        <v>#N/A</v>
      </c>
    </row>
    <row r="531" spans="1:8">
      <c r="A531">
        <v>1748000432</v>
      </c>
      <c r="B531" t="s">
        <v>122</v>
      </c>
      <c r="C531">
        <v>3000</v>
      </c>
      <c r="D531">
        <v>0</v>
      </c>
      <c r="G531">
        <v>0</v>
      </c>
      <c r="H531">
        <f>VLOOKUP(A531,הוצאות!$B$2:$V$519,19,0)</f>
        <v>3000</v>
      </c>
    </row>
    <row r="532" spans="1:8">
      <c r="A532">
        <v>1748000720</v>
      </c>
      <c r="B532" t="s">
        <v>32</v>
      </c>
      <c r="C532">
        <v>0</v>
      </c>
      <c r="D532">
        <v>0</v>
      </c>
      <c r="G532">
        <v>0</v>
      </c>
      <c r="H532" t="e">
        <f>VLOOKUP(A532,הוצאות!$B$2:$V$519,19,0)</f>
        <v>#N/A</v>
      </c>
    </row>
    <row r="533" spans="1:8">
      <c r="A533">
        <v>1748000750</v>
      </c>
      <c r="B533" t="s">
        <v>62</v>
      </c>
      <c r="C533">
        <v>0</v>
      </c>
      <c r="D533">
        <v>0</v>
      </c>
      <c r="G533">
        <v>0</v>
      </c>
      <c r="H533" t="e">
        <f>VLOOKUP(A533,הוצאות!$B$2:$V$519,19,0)</f>
        <v>#N/A</v>
      </c>
    </row>
    <row r="534" spans="1:8">
      <c r="A534">
        <v>1748000780</v>
      </c>
      <c r="B534" t="s">
        <v>18</v>
      </c>
      <c r="C534">
        <v>0</v>
      </c>
      <c r="D534">
        <v>0</v>
      </c>
      <c r="G534">
        <v>0</v>
      </c>
      <c r="H534" t="e">
        <f>VLOOKUP(A534,הוצאות!$B$2:$V$519,19,0)</f>
        <v>#N/A</v>
      </c>
    </row>
    <row r="535" spans="1:8">
      <c r="A535">
        <v>1749999399</v>
      </c>
      <c r="B535" t="s">
        <v>47</v>
      </c>
      <c r="C535">
        <v>0</v>
      </c>
      <c r="D535">
        <v>0</v>
      </c>
      <c r="G535">
        <v>0</v>
      </c>
      <c r="H535" t="e">
        <f>VLOOKUP(A535,הוצאות!$B$2:$V$519,19,0)</f>
        <v>#N/A</v>
      </c>
    </row>
    <row r="536" spans="1:8">
      <c r="A536">
        <v>1752000780</v>
      </c>
      <c r="B536" t="s">
        <v>123</v>
      </c>
      <c r="C536">
        <v>1000</v>
      </c>
      <c r="D536">
        <v>0</v>
      </c>
      <c r="G536">
        <v>0</v>
      </c>
      <c r="H536">
        <f>VLOOKUP(A536,הוצאות!$B$2:$V$519,19,0)</f>
        <v>1000</v>
      </c>
    </row>
    <row r="537" spans="1:8">
      <c r="A537">
        <v>1766000870</v>
      </c>
      <c r="B537" t="s">
        <v>124</v>
      </c>
      <c r="C537">
        <v>0</v>
      </c>
      <c r="D537">
        <v>0</v>
      </c>
      <c r="G537">
        <v>0</v>
      </c>
      <c r="H537" t="e">
        <f>VLOOKUP(A537,הוצאות!$B$2:$V$519,19,0)</f>
        <v>#N/A</v>
      </c>
    </row>
    <row r="538" spans="1:8">
      <c r="A538">
        <v>1767000441</v>
      </c>
      <c r="B538" t="s">
        <v>125</v>
      </c>
      <c r="C538">
        <v>400000</v>
      </c>
      <c r="D538">
        <v>416536</v>
      </c>
      <c r="G538">
        <v>416536</v>
      </c>
      <c r="H538">
        <f>VLOOKUP(A538,הוצאות!$B$2:$V$519,19,0)</f>
        <v>400000</v>
      </c>
    </row>
    <row r="539" spans="1:8">
      <c r="A539">
        <v>1767000442</v>
      </c>
      <c r="B539" t="s">
        <v>126</v>
      </c>
      <c r="C539">
        <v>0</v>
      </c>
      <c r="D539">
        <v>0</v>
      </c>
      <c r="G539">
        <v>0</v>
      </c>
      <c r="H539" t="e">
        <f>VLOOKUP(A539,הוצאות!$B$2:$V$519,19,0)</f>
        <v>#N/A</v>
      </c>
    </row>
    <row r="540" spans="1:8">
      <c r="A540">
        <v>1769500540</v>
      </c>
      <c r="B540" t="s">
        <v>127</v>
      </c>
      <c r="C540">
        <v>0</v>
      </c>
      <c r="D540">
        <v>0</v>
      </c>
      <c r="G540">
        <v>0</v>
      </c>
      <c r="H540">
        <f>VLOOKUP(A540,הוצאות!$B$2:$V$519,19,0)</f>
        <v>0</v>
      </c>
    </row>
    <row r="541" spans="1:8">
      <c r="A541">
        <v>1769500560</v>
      </c>
      <c r="B541" t="s">
        <v>128</v>
      </c>
      <c r="C541">
        <v>0</v>
      </c>
      <c r="D541">
        <v>0</v>
      </c>
      <c r="G541">
        <v>0</v>
      </c>
      <c r="H541" t="e">
        <f>VLOOKUP(A541,הוצאות!$B$2:$V$519,19,0)</f>
        <v>#N/A</v>
      </c>
    </row>
    <row r="542" spans="1:8">
      <c r="A542">
        <v>1769500720</v>
      </c>
      <c r="B542" t="s">
        <v>129</v>
      </c>
      <c r="C542">
        <v>0</v>
      </c>
      <c r="D542">
        <v>0</v>
      </c>
      <c r="G542">
        <v>0</v>
      </c>
      <c r="H542">
        <f>VLOOKUP(A542,הוצאות!$B$2:$V$519,19,0)</f>
        <v>0</v>
      </c>
    </row>
    <row r="543" spans="1:8">
      <c r="A543">
        <v>1769500750</v>
      </c>
      <c r="B543" t="s">
        <v>130</v>
      </c>
      <c r="C543">
        <v>0</v>
      </c>
      <c r="D543">
        <v>0</v>
      </c>
      <c r="G543">
        <v>0</v>
      </c>
      <c r="H543" t="e">
        <f>VLOOKUP(A543,הוצאות!$B$2:$V$519,19,0)</f>
        <v>#N/A</v>
      </c>
    </row>
    <row r="544" spans="1:8">
      <c r="A544">
        <v>1769500780</v>
      </c>
      <c r="B544" t="s">
        <v>58</v>
      </c>
      <c r="C544">
        <v>5000</v>
      </c>
      <c r="D544">
        <v>3013</v>
      </c>
      <c r="G544">
        <v>3013</v>
      </c>
      <c r="H544">
        <f>VLOOKUP(A544,הוצאות!$B$2:$V$519,19,0)</f>
        <v>0</v>
      </c>
    </row>
    <row r="545" spans="1:8">
      <c r="A545">
        <v>1811000110</v>
      </c>
      <c r="B545" t="s">
        <v>131</v>
      </c>
      <c r="C545">
        <v>700000</v>
      </c>
      <c r="D545">
        <v>864802.06</v>
      </c>
      <c r="G545">
        <v>864802.06</v>
      </c>
      <c r="H545">
        <f>VLOOKUP(A545,הוצאות!$B$2:$V$519,19,0)</f>
        <v>700000</v>
      </c>
    </row>
    <row r="546" spans="1:8">
      <c r="A546">
        <v>1811000320</v>
      </c>
      <c r="B546" t="s">
        <v>25</v>
      </c>
      <c r="C546">
        <v>0</v>
      </c>
      <c r="D546">
        <v>2534</v>
      </c>
      <c r="G546">
        <v>2534</v>
      </c>
      <c r="H546">
        <f>VLOOKUP(A546,הוצאות!$B$2:$V$519,19,0)</f>
        <v>0</v>
      </c>
    </row>
    <row r="547" spans="1:8">
      <c r="A547">
        <v>1811000521</v>
      </c>
      <c r="B547" t="s">
        <v>132</v>
      </c>
      <c r="C547">
        <v>0</v>
      </c>
      <c r="D547">
        <v>0</v>
      </c>
      <c r="G547">
        <v>0</v>
      </c>
      <c r="H547" t="e">
        <f>VLOOKUP(A547,הוצאות!$B$2:$V$519,19,0)</f>
        <v>#N/A</v>
      </c>
    </row>
    <row r="548" spans="1:8">
      <c r="A548">
        <v>1811000522</v>
      </c>
      <c r="B548" t="s">
        <v>133</v>
      </c>
      <c r="C548">
        <v>0</v>
      </c>
      <c r="D548">
        <v>0</v>
      </c>
      <c r="G548">
        <v>0</v>
      </c>
      <c r="H548" t="e">
        <f>VLOOKUP(A548,הוצאות!$B$2:$V$519,19,0)</f>
        <v>#N/A</v>
      </c>
    </row>
    <row r="549" spans="1:8">
      <c r="A549">
        <v>1811000523</v>
      </c>
      <c r="B549" t="s">
        <v>28</v>
      </c>
      <c r="C549">
        <v>3000</v>
      </c>
      <c r="D549">
        <v>1200</v>
      </c>
      <c r="G549">
        <v>1200</v>
      </c>
      <c r="H549">
        <f>VLOOKUP(A549,הוצאות!$B$2:$V$519,19,0)</f>
        <v>3000</v>
      </c>
    </row>
    <row r="550" spans="1:8">
      <c r="A550">
        <v>1811000540</v>
      </c>
      <c r="B550" t="s">
        <v>134</v>
      </c>
      <c r="C550">
        <v>65000</v>
      </c>
      <c r="D550">
        <v>56511.35</v>
      </c>
      <c r="G550">
        <v>56511.35</v>
      </c>
      <c r="H550">
        <f>VLOOKUP(A550,הוצאות!$B$2:$V$519,19,0)</f>
        <v>65000</v>
      </c>
    </row>
    <row r="551" spans="1:8">
      <c r="A551">
        <v>1811000550</v>
      </c>
      <c r="B551" t="s">
        <v>22</v>
      </c>
      <c r="C551">
        <v>0</v>
      </c>
      <c r="D551">
        <v>0</v>
      </c>
      <c r="G551">
        <v>0</v>
      </c>
      <c r="H551" t="e">
        <f>VLOOKUP(A551,הוצאות!$B$2:$V$519,19,0)</f>
        <v>#N/A</v>
      </c>
    </row>
    <row r="552" spans="1:8">
      <c r="A552">
        <v>1811000560</v>
      </c>
      <c r="B552" t="s">
        <v>14</v>
      </c>
      <c r="C552">
        <v>3000</v>
      </c>
      <c r="D552">
        <v>4140</v>
      </c>
      <c r="G552">
        <v>4140</v>
      </c>
      <c r="H552">
        <f>VLOOKUP(A552,הוצאות!$B$2:$V$519,19,0)</f>
        <v>3000</v>
      </c>
    </row>
    <row r="553" spans="1:8">
      <c r="A553">
        <v>1811000570</v>
      </c>
      <c r="B553" t="s">
        <v>135</v>
      </c>
      <c r="C553">
        <v>0</v>
      </c>
      <c r="D553">
        <v>0</v>
      </c>
      <c r="G553">
        <v>0</v>
      </c>
      <c r="H553" t="e">
        <f>VLOOKUP(A553,הוצאות!$B$2:$V$519,19,0)</f>
        <v>#N/A</v>
      </c>
    </row>
    <row r="554" spans="1:8">
      <c r="A554">
        <v>1811000750</v>
      </c>
      <c r="B554" t="s">
        <v>62</v>
      </c>
      <c r="C554">
        <v>10000</v>
      </c>
      <c r="D554">
        <v>7944.3</v>
      </c>
      <c r="G554">
        <v>9334.2999999999993</v>
      </c>
      <c r="H554">
        <f>VLOOKUP(A554,הוצאות!$B$2:$V$519,19,0)</f>
        <v>10000</v>
      </c>
    </row>
    <row r="555" spans="1:8">
      <c r="A555">
        <v>1811000780</v>
      </c>
      <c r="B555" t="s">
        <v>18</v>
      </c>
      <c r="C555">
        <v>0</v>
      </c>
      <c r="D555">
        <v>0</v>
      </c>
      <c r="G555">
        <v>0</v>
      </c>
      <c r="H555" t="e">
        <f>VLOOKUP(A555,הוצאות!$B$2:$V$519,19,0)</f>
        <v>#N/A</v>
      </c>
    </row>
    <row r="556" spans="1:8">
      <c r="A556">
        <v>1811000910</v>
      </c>
      <c r="B556" t="s">
        <v>136</v>
      </c>
      <c r="C556">
        <v>0</v>
      </c>
      <c r="D556">
        <v>0</v>
      </c>
      <c r="G556">
        <v>0</v>
      </c>
      <c r="H556" t="e">
        <f>VLOOKUP(A556,הוצאות!$B$2:$V$519,19,0)</f>
        <v>#N/A</v>
      </c>
    </row>
    <row r="557" spans="1:8">
      <c r="A557">
        <v>1811000930</v>
      </c>
      <c r="B557" t="s">
        <v>19</v>
      </c>
      <c r="C557">
        <v>0</v>
      </c>
      <c r="D557">
        <v>0</v>
      </c>
      <c r="G557">
        <v>0</v>
      </c>
      <c r="H557" t="e">
        <f>VLOOKUP(A557,הוצאות!$B$2:$V$519,19,0)</f>
        <v>#N/A</v>
      </c>
    </row>
    <row r="558" spans="1:8">
      <c r="A558">
        <v>1811000960</v>
      </c>
      <c r="B558" t="s">
        <v>137</v>
      </c>
      <c r="C558">
        <v>0</v>
      </c>
      <c r="D558">
        <v>0</v>
      </c>
      <c r="G558">
        <v>0</v>
      </c>
      <c r="H558" t="e">
        <f>VLOOKUP(A558,הוצאות!$B$2:$V$519,19,0)</f>
        <v>#N/A</v>
      </c>
    </row>
    <row r="559" spans="1:8">
      <c r="A559">
        <v>1811010930</v>
      </c>
      <c r="B559" t="s">
        <v>138</v>
      </c>
      <c r="C559">
        <v>10000</v>
      </c>
      <c r="D559">
        <v>109654.95</v>
      </c>
      <c r="G559">
        <v>109654.95</v>
      </c>
      <c r="H559">
        <f>VLOOKUP(A559,הוצאות!$B$2:$V$519,19,0)</f>
        <v>10000</v>
      </c>
    </row>
    <row r="560" spans="1:8">
      <c r="A560">
        <v>1811020750</v>
      </c>
      <c r="B560" t="s">
        <v>139</v>
      </c>
      <c r="C560">
        <v>130000</v>
      </c>
      <c r="D560">
        <v>71838</v>
      </c>
      <c r="G560">
        <v>71838</v>
      </c>
      <c r="H560">
        <f>VLOOKUP(A560,הוצאות!$B$2:$V$519,19,0)</f>
        <v>130000</v>
      </c>
    </row>
    <row r="561" spans="1:8">
      <c r="A561">
        <v>1812200110</v>
      </c>
      <c r="B561" t="s">
        <v>140</v>
      </c>
      <c r="C561">
        <v>2050000</v>
      </c>
      <c r="D561">
        <v>2202861.91</v>
      </c>
      <c r="G561">
        <v>2202861.91</v>
      </c>
      <c r="H561">
        <f>VLOOKUP(A561,הוצאות!$B$2:$V$519,19,0)</f>
        <v>2050000</v>
      </c>
    </row>
    <row r="562" spans="1:8">
      <c r="A562">
        <v>1812200420</v>
      </c>
      <c r="B562" t="s">
        <v>1749</v>
      </c>
      <c r="C562">
        <v>30000</v>
      </c>
      <c r="D562">
        <v>0</v>
      </c>
      <c r="G562">
        <v>0</v>
      </c>
      <c r="H562">
        <f>VLOOKUP(A562,הוצאות!$B$2:$V$519,19,0)</f>
        <v>30000</v>
      </c>
    </row>
    <row r="563" spans="1:8">
      <c r="A563">
        <v>1812200431</v>
      </c>
      <c r="B563" t="s">
        <v>142</v>
      </c>
      <c r="C563">
        <v>50000</v>
      </c>
      <c r="D563">
        <v>203347.18</v>
      </c>
      <c r="G563">
        <v>203347.18</v>
      </c>
      <c r="H563">
        <f>VLOOKUP(A563,הוצאות!$B$2:$V$519,19,0)</f>
        <v>50000</v>
      </c>
    </row>
    <row r="564" spans="1:8">
      <c r="A564">
        <v>1812200432</v>
      </c>
      <c r="B564" t="s">
        <v>143</v>
      </c>
      <c r="C564">
        <v>0</v>
      </c>
      <c r="D564">
        <v>0</v>
      </c>
      <c r="G564">
        <v>0</v>
      </c>
      <c r="H564">
        <f>VLOOKUP(A564,הוצאות!$B$2:$V$519,19,0)</f>
        <v>0</v>
      </c>
    </row>
    <row r="565" spans="1:8">
      <c r="A565">
        <v>1812200433</v>
      </c>
      <c r="B565" t="s">
        <v>144</v>
      </c>
      <c r="C565">
        <v>70000</v>
      </c>
      <c r="D565">
        <v>14640</v>
      </c>
      <c r="G565">
        <v>14640</v>
      </c>
      <c r="H565">
        <f>VLOOKUP(A565,הוצאות!$B$2:$V$519,19,0)</f>
        <v>70000</v>
      </c>
    </row>
    <row r="566" spans="1:8">
      <c r="A566">
        <v>1812200720</v>
      </c>
      <c r="B566" t="s">
        <v>145</v>
      </c>
      <c r="C566">
        <v>0</v>
      </c>
      <c r="D566">
        <v>7110</v>
      </c>
      <c r="G566">
        <v>7110</v>
      </c>
      <c r="H566">
        <f>VLOOKUP(A566,הוצאות!$B$2:$V$519,19,0)</f>
        <v>0</v>
      </c>
    </row>
    <row r="567" spans="1:8">
      <c r="A567">
        <v>1812200740</v>
      </c>
      <c r="B567" t="s">
        <v>33</v>
      </c>
      <c r="C567">
        <v>45000</v>
      </c>
      <c r="D567">
        <v>58770.12</v>
      </c>
      <c r="G567">
        <v>58770.12</v>
      </c>
      <c r="H567">
        <f>VLOOKUP(A567,הוצאות!$B$2:$V$519,19,0)</f>
        <v>45000</v>
      </c>
    </row>
    <row r="568" spans="1:8">
      <c r="A568">
        <v>1812200750</v>
      </c>
      <c r="B568" t="s">
        <v>1750</v>
      </c>
      <c r="C568">
        <v>150000</v>
      </c>
      <c r="D568">
        <v>115367.74</v>
      </c>
      <c r="G568">
        <v>129032.56</v>
      </c>
      <c r="H568">
        <f>VLOOKUP(A568,הוצאות!$B$2:$V$519,19,0)</f>
        <v>150000</v>
      </c>
    </row>
    <row r="569" spans="1:8">
      <c r="A569">
        <v>1812200751</v>
      </c>
      <c r="B569" t="s">
        <v>1751</v>
      </c>
      <c r="C569">
        <v>0</v>
      </c>
      <c r="D569">
        <v>21362</v>
      </c>
      <c r="G569">
        <v>21362</v>
      </c>
      <c r="H569">
        <f>VLOOKUP(A569,הוצאות!$B$2:$V$519,19,0)</f>
        <v>300000</v>
      </c>
    </row>
    <row r="570" spans="1:8">
      <c r="A570">
        <v>1812200760</v>
      </c>
      <c r="B570" t="s">
        <v>1752</v>
      </c>
      <c r="C570">
        <v>0</v>
      </c>
      <c r="D570">
        <v>4985.99</v>
      </c>
      <c r="G570">
        <v>6985.99</v>
      </c>
      <c r="H570">
        <f>VLOOKUP(A570,הוצאות!$B$2:$V$519,19,0)</f>
        <v>30000</v>
      </c>
    </row>
    <row r="571" spans="1:8">
      <c r="A571">
        <v>1812200780</v>
      </c>
      <c r="B571" t="s">
        <v>1686</v>
      </c>
      <c r="C571">
        <v>84031</v>
      </c>
      <c r="D571">
        <v>16800</v>
      </c>
      <c r="G571">
        <v>16800</v>
      </c>
      <c r="H571">
        <f>VLOOKUP(A571,הוצאות!$B$2:$V$519,19,0)</f>
        <v>84031</v>
      </c>
    </row>
    <row r="572" spans="1:8">
      <c r="A572">
        <v>1812200810</v>
      </c>
      <c r="B572" t="s">
        <v>1647</v>
      </c>
      <c r="C572">
        <v>0</v>
      </c>
      <c r="D572">
        <v>0</v>
      </c>
      <c r="G572">
        <v>0</v>
      </c>
      <c r="H572">
        <f>VLOOKUP(A572,הוצאות!$B$2:$V$519,19,0)</f>
        <v>0</v>
      </c>
    </row>
    <row r="573" spans="1:8">
      <c r="A573">
        <v>1812200840</v>
      </c>
      <c r="B573" t="s">
        <v>1646</v>
      </c>
      <c r="C573">
        <v>0</v>
      </c>
      <c r="D573">
        <v>0</v>
      </c>
      <c r="G573">
        <v>0</v>
      </c>
      <c r="H573">
        <f>VLOOKUP(A573,הוצאות!$B$2:$V$519,19,0)</f>
        <v>0</v>
      </c>
    </row>
    <row r="574" spans="1:8">
      <c r="A574">
        <v>1812200930</v>
      </c>
      <c r="B574" t="s">
        <v>19</v>
      </c>
      <c r="C574">
        <v>0</v>
      </c>
      <c r="D574">
        <v>0</v>
      </c>
      <c r="G574">
        <v>0</v>
      </c>
      <c r="H574" t="e">
        <f>VLOOKUP(A574,הוצאות!$B$2:$V$519,19,0)</f>
        <v>#N/A</v>
      </c>
    </row>
    <row r="575" spans="1:8">
      <c r="A575">
        <v>1812300110</v>
      </c>
      <c r="B575" t="s">
        <v>146</v>
      </c>
      <c r="C575">
        <v>5500000</v>
      </c>
      <c r="D575">
        <v>5405830.1200000001</v>
      </c>
      <c r="G575">
        <v>5405830.1200000001</v>
      </c>
      <c r="H575">
        <f>VLOOKUP(A575,הוצאות!$B$2:$V$519,19,0)</f>
        <v>5600000</v>
      </c>
    </row>
    <row r="576" spans="1:8">
      <c r="A576">
        <v>1812300320</v>
      </c>
      <c r="B576" t="s">
        <v>147</v>
      </c>
      <c r="C576">
        <v>0</v>
      </c>
      <c r="D576">
        <v>0</v>
      </c>
      <c r="G576">
        <v>0</v>
      </c>
      <c r="H576" t="e">
        <f>VLOOKUP(A576,הוצאות!$B$2:$V$519,19,0)</f>
        <v>#N/A</v>
      </c>
    </row>
    <row r="577" spans="1:8">
      <c r="A577">
        <v>1812300410</v>
      </c>
      <c r="B577" t="s">
        <v>148</v>
      </c>
      <c r="C577">
        <v>150000</v>
      </c>
      <c r="D577">
        <v>305004</v>
      </c>
      <c r="G577">
        <v>305004</v>
      </c>
      <c r="H577">
        <f>VLOOKUP(A577,הוצאות!$B$2:$V$519,19,0)</f>
        <v>150000</v>
      </c>
    </row>
    <row r="578" spans="1:8">
      <c r="A578">
        <v>1812300411</v>
      </c>
      <c r="B578" t="s">
        <v>1753</v>
      </c>
      <c r="C578">
        <v>0</v>
      </c>
      <c r="D578">
        <v>0</v>
      </c>
      <c r="G578">
        <v>0</v>
      </c>
      <c r="H578">
        <f>VLOOKUP(A578,הוצאות!$B$2:$V$519,19,0)</f>
        <v>0</v>
      </c>
    </row>
    <row r="579" spans="1:8">
      <c r="A579">
        <v>1812300420</v>
      </c>
      <c r="B579" t="s">
        <v>150</v>
      </c>
      <c r="C579">
        <v>0</v>
      </c>
      <c r="D579">
        <v>0</v>
      </c>
      <c r="G579">
        <v>0</v>
      </c>
      <c r="H579" t="e">
        <f>VLOOKUP(A579,הוצאות!$B$2:$V$519,19,0)</f>
        <v>#N/A</v>
      </c>
    </row>
    <row r="580" spans="1:8">
      <c r="A580">
        <v>1812300431</v>
      </c>
      <c r="B580" t="s">
        <v>26</v>
      </c>
      <c r="C580">
        <v>25000</v>
      </c>
      <c r="D580">
        <v>44325</v>
      </c>
      <c r="G580">
        <v>44325</v>
      </c>
      <c r="H580">
        <f>VLOOKUP(A580,הוצאות!$B$2:$V$519,19,0)</f>
        <v>25000</v>
      </c>
    </row>
    <row r="581" spans="1:8">
      <c r="A581">
        <v>1812300432</v>
      </c>
      <c r="B581" t="s">
        <v>151</v>
      </c>
      <c r="C581">
        <v>0</v>
      </c>
      <c r="D581">
        <v>0</v>
      </c>
      <c r="G581">
        <v>0</v>
      </c>
      <c r="H581">
        <f>VLOOKUP(A581,הוצאות!$B$2:$V$519,19,0)</f>
        <v>0</v>
      </c>
    </row>
    <row r="582" spans="1:8">
      <c r="A582">
        <v>1812300433</v>
      </c>
      <c r="B582" t="s">
        <v>144</v>
      </c>
      <c r="C582">
        <v>35000</v>
      </c>
      <c r="D582">
        <v>27630</v>
      </c>
      <c r="G582">
        <v>27630</v>
      </c>
      <c r="H582">
        <f>VLOOKUP(A582,הוצאות!$B$2:$V$519,19,0)</f>
        <v>35000</v>
      </c>
    </row>
    <row r="583" spans="1:8">
      <c r="A583">
        <v>1812300521</v>
      </c>
      <c r="B583" t="s">
        <v>1642</v>
      </c>
      <c r="C583">
        <v>2000</v>
      </c>
      <c r="D583">
        <v>0</v>
      </c>
      <c r="G583">
        <v>0</v>
      </c>
      <c r="H583">
        <f>VLOOKUP(A583,הוצאות!$B$2:$V$519,19,0)</f>
        <v>2000</v>
      </c>
    </row>
    <row r="584" spans="1:8">
      <c r="A584">
        <v>1812300540</v>
      </c>
      <c r="B584" t="s">
        <v>152</v>
      </c>
      <c r="C584">
        <v>0</v>
      </c>
      <c r="D584">
        <v>0</v>
      </c>
      <c r="G584">
        <v>0</v>
      </c>
      <c r="H584">
        <f>VLOOKUP(A584,הוצאות!$B$2:$V$519,19,0)</f>
        <v>0</v>
      </c>
    </row>
    <row r="585" spans="1:8">
      <c r="A585">
        <v>1812300560</v>
      </c>
      <c r="B585" t="s">
        <v>153</v>
      </c>
      <c r="C585">
        <v>0</v>
      </c>
      <c r="D585">
        <v>0</v>
      </c>
      <c r="G585">
        <v>0</v>
      </c>
      <c r="H585">
        <f>VLOOKUP(A585,הוצאות!$B$2:$V$519,19,0)</f>
        <v>0</v>
      </c>
    </row>
    <row r="586" spans="1:8">
      <c r="A586">
        <v>1812300720</v>
      </c>
      <c r="B586" t="s">
        <v>154</v>
      </c>
      <c r="C586">
        <v>0</v>
      </c>
      <c r="D586">
        <v>20130</v>
      </c>
      <c r="G586">
        <v>20130</v>
      </c>
      <c r="H586">
        <f>VLOOKUP(A586,הוצאות!$B$2:$V$519,19,0)</f>
        <v>0</v>
      </c>
    </row>
    <row r="587" spans="1:8">
      <c r="A587">
        <v>1812300740</v>
      </c>
      <c r="B587" t="s">
        <v>155</v>
      </c>
      <c r="C587">
        <v>0</v>
      </c>
      <c r="D587">
        <v>54797.3</v>
      </c>
      <c r="G587">
        <v>54797.3</v>
      </c>
      <c r="H587">
        <f>VLOOKUP(A587,הוצאות!$B$2:$V$519,19,0)</f>
        <v>0</v>
      </c>
    </row>
    <row r="588" spans="1:8">
      <c r="A588">
        <v>1812300750</v>
      </c>
      <c r="B588" t="s">
        <v>62</v>
      </c>
      <c r="C588">
        <v>0</v>
      </c>
      <c r="D588">
        <v>0</v>
      </c>
      <c r="G588">
        <v>0</v>
      </c>
      <c r="H588">
        <f>VLOOKUP(A588,הוצאות!$B$2:$V$519,19,0)</f>
        <v>0</v>
      </c>
    </row>
    <row r="589" spans="1:8">
      <c r="A589">
        <v>1812300760</v>
      </c>
      <c r="B589" t="s">
        <v>156</v>
      </c>
      <c r="C589">
        <v>2800000</v>
      </c>
      <c r="D589">
        <v>2774569.42</v>
      </c>
      <c r="G589">
        <v>2774569.42</v>
      </c>
      <c r="H589">
        <f>VLOOKUP(A589,הוצאות!$B$2:$V$519,19,0)</f>
        <v>2800000</v>
      </c>
    </row>
    <row r="590" spans="1:8">
      <c r="A590">
        <v>1812300780</v>
      </c>
      <c r="B590" t="s">
        <v>2034</v>
      </c>
      <c r="C590">
        <v>500000</v>
      </c>
      <c r="D590">
        <v>418736.8</v>
      </c>
      <c r="G590">
        <v>455570.8</v>
      </c>
      <c r="H590">
        <f>VLOOKUP(A590,הוצאות!$B$2:$V$519,19,0)</f>
        <v>400000</v>
      </c>
    </row>
    <row r="591" spans="1:8">
      <c r="A591">
        <v>1812300930</v>
      </c>
      <c r="B591" t="s">
        <v>19</v>
      </c>
      <c r="C591">
        <v>2000</v>
      </c>
      <c r="D591">
        <v>0</v>
      </c>
      <c r="G591">
        <v>0</v>
      </c>
      <c r="H591">
        <f>VLOOKUP(A591,הוצאות!$B$2:$V$519,19,0)</f>
        <v>0</v>
      </c>
    </row>
    <row r="592" spans="1:8">
      <c r="A592">
        <v>1812310110</v>
      </c>
      <c r="B592" t="s">
        <v>2054</v>
      </c>
      <c r="C592">
        <v>0</v>
      </c>
      <c r="D592">
        <v>0</v>
      </c>
      <c r="G592">
        <v>0</v>
      </c>
      <c r="H592" t="e">
        <f>VLOOKUP(A592,הוצאות!$B$2:$V$519,19,0)</f>
        <v>#N/A</v>
      </c>
    </row>
    <row r="593" spans="1:8">
      <c r="A593">
        <v>1812310540</v>
      </c>
      <c r="B593" t="s">
        <v>157</v>
      </c>
      <c r="C593">
        <v>0</v>
      </c>
      <c r="D593">
        <v>0</v>
      </c>
      <c r="G593">
        <v>0</v>
      </c>
      <c r="H593" t="e">
        <f>VLOOKUP(A593,הוצאות!$B$2:$V$519,19,0)</f>
        <v>#N/A</v>
      </c>
    </row>
    <row r="594" spans="1:8">
      <c r="A594">
        <v>1812310930</v>
      </c>
      <c r="B594" t="s">
        <v>158</v>
      </c>
      <c r="C594">
        <v>0</v>
      </c>
      <c r="D594">
        <v>0</v>
      </c>
      <c r="G594">
        <v>0</v>
      </c>
      <c r="H594" t="e">
        <f>VLOOKUP(A594,הוצאות!$B$2:$V$519,19,0)</f>
        <v>#N/A</v>
      </c>
    </row>
    <row r="595" spans="1:8">
      <c r="A595">
        <v>1812312110</v>
      </c>
      <c r="B595" t="s">
        <v>2035</v>
      </c>
      <c r="C595">
        <v>0</v>
      </c>
      <c r="D595">
        <v>0</v>
      </c>
      <c r="G595">
        <v>0</v>
      </c>
      <c r="H595">
        <f>VLOOKUP(A595,הוצאות!$B$2:$V$519,19,0)</f>
        <v>0</v>
      </c>
    </row>
    <row r="596" spans="1:8">
      <c r="A596">
        <v>1812400110</v>
      </c>
      <c r="B596" t="s">
        <v>1756</v>
      </c>
      <c r="C596">
        <v>0</v>
      </c>
      <c r="D596">
        <v>1680.56</v>
      </c>
      <c r="G596">
        <v>1680.56</v>
      </c>
      <c r="H596">
        <f>VLOOKUP(A596,הוצאות!$B$2:$V$519,19,0)</f>
        <v>0</v>
      </c>
    </row>
    <row r="597" spans="1:8">
      <c r="A597">
        <v>1812400710</v>
      </c>
      <c r="B597" t="s">
        <v>160</v>
      </c>
      <c r="C597">
        <v>0</v>
      </c>
      <c r="D597">
        <v>0</v>
      </c>
      <c r="G597">
        <v>0</v>
      </c>
      <c r="H597" t="e">
        <f>VLOOKUP(A597,הוצאות!$B$2:$V$519,19,0)</f>
        <v>#N/A</v>
      </c>
    </row>
    <row r="598" spans="1:8">
      <c r="A598">
        <v>1812400720</v>
      </c>
      <c r="B598" t="s">
        <v>161</v>
      </c>
      <c r="C598">
        <v>0</v>
      </c>
      <c r="D598">
        <v>0</v>
      </c>
      <c r="G598">
        <v>0</v>
      </c>
      <c r="H598" t="e">
        <f>VLOOKUP(A598,הוצאות!$B$2:$V$519,19,0)</f>
        <v>#N/A</v>
      </c>
    </row>
    <row r="599" spans="1:8">
      <c r="A599">
        <v>1812500110</v>
      </c>
      <c r="B599" t="s">
        <v>162</v>
      </c>
      <c r="C599">
        <v>143547</v>
      </c>
      <c r="D599">
        <v>148019.85999999999</v>
      </c>
      <c r="G599">
        <v>148019.85999999999</v>
      </c>
      <c r="H599">
        <f>VLOOKUP(A599,הוצאות!$B$2:$V$519,19,0)</f>
        <v>143547.511573</v>
      </c>
    </row>
    <row r="600" spans="1:8">
      <c r="A600">
        <v>1812500410</v>
      </c>
      <c r="B600" t="s">
        <v>1582</v>
      </c>
      <c r="C600">
        <v>0</v>
      </c>
      <c r="D600">
        <v>0</v>
      </c>
      <c r="G600">
        <v>0</v>
      </c>
      <c r="H600">
        <f>VLOOKUP(A600,הוצאות!$B$2:$V$519,19,0)</f>
        <v>0</v>
      </c>
    </row>
    <row r="601" spans="1:8">
      <c r="A601">
        <v>1812500420</v>
      </c>
      <c r="B601" t="s">
        <v>164</v>
      </c>
      <c r="C601">
        <v>0</v>
      </c>
      <c r="D601">
        <v>0</v>
      </c>
      <c r="G601">
        <v>0</v>
      </c>
      <c r="H601" t="e">
        <f>VLOOKUP(A601,הוצאות!$B$2:$V$519,19,0)</f>
        <v>#N/A</v>
      </c>
    </row>
    <row r="602" spans="1:8">
      <c r="A602">
        <v>1812500431</v>
      </c>
      <c r="B602" t="s">
        <v>26</v>
      </c>
      <c r="C602">
        <v>0</v>
      </c>
      <c r="D602">
        <v>0</v>
      </c>
      <c r="G602">
        <v>0</v>
      </c>
      <c r="H602">
        <f>VLOOKUP(A602,הוצאות!$B$2:$V$519,19,0)</f>
        <v>0</v>
      </c>
    </row>
    <row r="603" spans="1:8">
      <c r="A603">
        <v>1812500432</v>
      </c>
      <c r="B603" t="s">
        <v>165</v>
      </c>
      <c r="C603">
        <v>30000</v>
      </c>
      <c r="D603">
        <v>0</v>
      </c>
      <c r="G603">
        <v>0</v>
      </c>
      <c r="H603">
        <f>VLOOKUP(A603,הוצאות!$B$2:$V$519,19,0)</f>
        <v>30000</v>
      </c>
    </row>
    <row r="604" spans="1:8">
      <c r="A604">
        <v>1812500433</v>
      </c>
      <c r="B604" t="s">
        <v>144</v>
      </c>
      <c r="C604">
        <v>0</v>
      </c>
      <c r="D604">
        <v>0</v>
      </c>
      <c r="G604">
        <v>0</v>
      </c>
      <c r="H604" t="e">
        <f>VLOOKUP(A604,הוצאות!$B$2:$V$519,19,0)</f>
        <v>#N/A</v>
      </c>
    </row>
    <row r="605" spans="1:8">
      <c r="A605">
        <v>1812500540</v>
      </c>
      <c r="B605" t="s">
        <v>1757</v>
      </c>
      <c r="C605">
        <v>0</v>
      </c>
      <c r="D605">
        <v>0</v>
      </c>
      <c r="G605">
        <v>0</v>
      </c>
      <c r="H605" t="e">
        <f>VLOOKUP(A605,הוצאות!$B$2:$V$519,19,0)</f>
        <v>#N/A</v>
      </c>
    </row>
    <row r="606" spans="1:8">
      <c r="A606">
        <v>1812500710</v>
      </c>
      <c r="B606" t="s">
        <v>1758</v>
      </c>
      <c r="C606">
        <v>0</v>
      </c>
      <c r="D606">
        <v>0</v>
      </c>
      <c r="G606">
        <v>0</v>
      </c>
      <c r="H606" t="e">
        <f>VLOOKUP(A606,הוצאות!$B$2:$V$519,19,0)</f>
        <v>#N/A</v>
      </c>
    </row>
    <row r="607" spans="1:8">
      <c r="A607">
        <v>1812500720</v>
      </c>
      <c r="B607" t="s">
        <v>154</v>
      </c>
      <c r="C607">
        <v>0</v>
      </c>
      <c r="D607">
        <v>0</v>
      </c>
      <c r="G607">
        <v>0</v>
      </c>
      <c r="H607" t="e">
        <f>VLOOKUP(A607,הוצאות!$B$2:$V$519,19,0)</f>
        <v>#N/A</v>
      </c>
    </row>
    <row r="608" spans="1:8">
      <c r="A608">
        <v>1812500721</v>
      </c>
      <c r="B608" t="s">
        <v>1759</v>
      </c>
      <c r="C608">
        <v>0</v>
      </c>
      <c r="D608">
        <v>0</v>
      </c>
      <c r="G608">
        <v>0</v>
      </c>
      <c r="H608" t="e">
        <f>VLOOKUP(A608,הוצאות!$B$2:$V$519,19,0)</f>
        <v>#N/A</v>
      </c>
    </row>
    <row r="609" spans="1:8">
      <c r="A609">
        <v>1812500930</v>
      </c>
      <c r="B609" t="s">
        <v>19</v>
      </c>
      <c r="C609">
        <v>0</v>
      </c>
      <c r="D609">
        <v>0</v>
      </c>
      <c r="G609">
        <v>0</v>
      </c>
      <c r="H609" t="e">
        <f>VLOOKUP(A609,הוצאות!$B$2:$V$519,19,0)</f>
        <v>#N/A</v>
      </c>
    </row>
    <row r="610" spans="1:8">
      <c r="A610">
        <v>1813200110</v>
      </c>
      <c r="B610" t="s">
        <v>1760</v>
      </c>
      <c r="C610">
        <v>199817</v>
      </c>
      <c r="D610">
        <v>198461.11</v>
      </c>
      <c r="G610">
        <v>198461.11</v>
      </c>
      <c r="H610">
        <f>VLOOKUP(A610,הוצאות!$B$2:$V$519,19,0)</f>
        <v>199817.99666800001</v>
      </c>
    </row>
    <row r="611" spans="1:8">
      <c r="A611">
        <v>1813200750</v>
      </c>
      <c r="B611" t="s">
        <v>1651</v>
      </c>
      <c r="C611">
        <v>25000</v>
      </c>
      <c r="D611">
        <v>2988</v>
      </c>
      <c r="G611">
        <v>2988</v>
      </c>
      <c r="H611">
        <f>VLOOKUP(A611,הוצאות!$B$2:$V$519,19,0)</f>
        <v>25000</v>
      </c>
    </row>
    <row r="612" spans="1:8">
      <c r="A612">
        <v>1813200760</v>
      </c>
      <c r="B612" t="s">
        <v>166</v>
      </c>
      <c r="C612">
        <v>700000</v>
      </c>
      <c r="D612">
        <v>1040821</v>
      </c>
      <c r="G612">
        <v>1040821</v>
      </c>
      <c r="H612">
        <f>VLOOKUP(A612,הוצאות!$B$2:$V$519,19,0)</f>
        <v>700000</v>
      </c>
    </row>
    <row r="613" spans="1:8">
      <c r="A613">
        <v>1813200780</v>
      </c>
      <c r="B613" t="s">
        <v>167</v>
      </c>
      <c r="C613">
        <v>578263</v>
      </c>
      <c r="D613">
        <v>552024.29</v>
      </c>
      <c r="G613">
        <v>552024.29</v>
      </c>
      <c r="H613">
        <f>VLOOKUP(A613,הוצאות!$B$2:$V$519,19,0)</f>
        <v>578263.2218181818</v>
      </c>
    </row>
    <row r="614" spans="1:8">
      <c r="A614">
        <v>1813200931</v>
      </c>
      <c r="B614" t="s">
        <v>2036</v>
      </c>
      <c r="C614">
        <v>220000</v>
      </c>
      <c r="D614">
        <v>0</v>
      </c>
      <c r="G614">
        <v>0</v>
      </c>
      <c r="H614">
        <f>VLOOKUP(A614,הוצאות!$B$2:$V$519,19,0)</f>
        <v>0</v>
      </c>
    </row>
    <row r="615" spans="1:8">
      <c r="A615">
        <v>1813201750</v>
      </c>
      <c r="B615" t="s">
        <v>1761</v>
      </c>
      <c r="C615">
        <v>27272</v>
      </c>
      <c r="D615">
        <v>0</v>
      </c>
      <c r="G615">
        <v>0</v>
      </c>
      <c r="H615">
        <f>VLOOKUP(A615,הוצאות!$B$2:$V$519,19,0)</f>
        <v>27272.727272727272</v>
      </c>
    </row>
    <row r="616" spans="1:8">
      <c r="A616">
        <v>1813210110</v>
      </c>
      <c r="B616" t="s">
        <v>168</v>
      </c>
      <c r="C616">
        <v>683870</v>
      </c>
      <c r="D616">
        <v>623732.09</v>
      </c>
      <c r="G616">
        <v>623732.09</v>
      </c>
      <c r="H616">
        <f>VLOOKUP(A616,הוצאות!$B$2:$V$519,19,0)</f>
        <v>683870.29735000001</v>
      </c>
    </row>
    <row r="617" spans="1:8">
      <c r="A617">
        <v>1813210420</v>
      </c>
      <c r="B617" t="s">
        <v>169</v>
      </c>
      <c r="C617">
        <v>0</v>
      </c>
      <c r="D617">
        <v>0</v>
      </c>
      <c r="G617">
        <v>0</v>
      </c>
      <c r="H617">
        <f>VLOOKUP(A617,הוצאות!$B$2:$V$519,19,0)</f>
        <v>0</v>
      </c>
    </row>
    <row r="618" spans="1:8">
      <c r="A618">
        <v>1813210431</v>
      </c>
      <c r="B618" t="s">
        <v>170</v>
      </c>
      <c r="C618">
        <v>16474</v>
      </c>
      <c r="D618">
        <v>139556.53</v>
      </c>
      <c r="G618">
        <v>139556.53</v>
      </c>
      <c r="H618">
        <f>VLOOKUP(A618,הוצאות!$B$2:$V$519,19,0)</f>
        <v>16474.167272727271</v>
      </c>
    </row>
    <row r="619" spans="1:8">
      <c r="A619">
        <v>1813210432</v>
      </c>
      <c r="B619" t="s">
        <v>171</v>
      </c>
      <c r="C619">
        <v>0</v>
      </c>
      <c r="D619">
        <v>0</v>
      </c>
      <c r="G619">
        <v>0</v>
      </c>
      <c r="H619">
        <f>VLOOKUP(A619,הוצאות!$B$2:$V$519,19,0)</f>
        <v>0</v>
      </c>
    </row>
    <row r="620" spans="1:8">
      <c r="A620">
        <v>1813210433</v>
      </c>
      <c r="B620" t="s">
        <v>172</v>
      </c>
      <c r="C620">
        <v>0</v>
      </c>
      <c r="D620">
        <v>0</v>
      </c>
      <c r="G620">
        <v>0</v>
      </c>
      <c r="H620" t="e">
        <f>VLOOKUP(A620,הוצאות!$B$2:$V$519,19,0)</f>
        <v>#N/A</v>
      </c>
    </row>
    <row r="621" spans="1:8">
      <c r="A621">
        <v>1813210434</v>
      </c>
      <c r="B621" t="s">
        <v>173</v>
      </c>
      <c r="C621">
        <v>0</v>
      </c>
      <c r="D621">
        <v>0</v>
      </c>
      <c r="G621">
        <v>0</v>
      </c>
      <c r="H621" t="e">
        <f>VLOOKUP(A621,הוצאות!$B$2:$V$519,19,0)</f>
        <v>#N/A</v>
      </c>
    </row>
    <row r="622" spans="1:8">
      <c r="A622">
        <v>1813210540</v>
      </c>
      <c r="B622" t="s">
        <v>174</v>
      </c>
      <c r="C622">
        <v>0</v>
      </c>
      <c r="D622">
        <v>0</v>
      </c>
      <c r="G622">
        <v>0</v>
      </c>
      <c r="H622">
        <f>VLOOKUP(A622,הוצאות!$B$2:$V$519,19,0)</f>
        <v>0</v>
      </c>
    </row>
    <row r="623" spans="1:8">
      <c r="A623">
        <v>1813210560</v>
      </c>
      <c r="B623" t="s">
        <v>175</v>
      </c>
      <c r="C623">
        <v>0</v>
      </c>
      <c r="D623">
        <v>0</v>
      </c>
      <c r="G623">
        <v>0</v>
      </c>
      <c r="H623" t="e">
        <f>VLOOKUP(A623,הוצאות!$B$2:$V$519,19,0)</f>
        <v>#N/A</v>
      </c>
    </row>
    <row r="624" spans="1:8">
      <c r="A624">
        <v>1813210720</v>
      </c>
      <c r="B624" t="s">
        <v>176</v>
      </c>
      <c r="C624">
        <v>0</v>
      </c>
      <c r="D624">
        <v>0</v>
      </c>
      <c r="G624">
        <v>0</v>
      </c>
      <c r="H624">
        <f>VLOOKUP(A624,הוצאות!$B$2:$V$519,19,0)</f>
        <v>0</v>
      </c>
    </row>
    <row r="625" spans="1:8">
      <c r="A625">
        <v>1813210740</v>
      </c>
      <c r="B625" t="s">
        <v>33</v>
      </c>
      <c r="C625">
        <v>0</v>
      </c>
      <c r="D625">
        <v>0</v>
      </c>
      <c r="G625">
        <v>0</v>
      </c>
      <c r="H625" t="e">
        <f>VLOOKUP(A625,הוצאות!$B$2:$V$519,19,0)</f>
        <v>#N/A</v>
      </c>
    </row>
    <row r="626" spans="1:8">
      <c r="A626">
        <v>1813210750</v>
      </c>
      <c r="B626" t="s">
        <v>177</v>
      </c>
      <c r="C626">
        <v>0</v>
      </c>
      <c r="D626">
        <v>25639</v>
      </c>
      <c r="G626">
        <v>25639</v>
      </c>
      <c r="H626">
        <f>VLOOKUP(A626,הוצאות!$B$2:$V$519,19,0)</f>
        <v>0</v>
      </c>
    </row>
    <row r="627" spans="1:8">
      <c r="A627">
        <v>1813210780</v>
      </c>
      <c r="B627" t="s">
        <v>178</v>
      </c>
      <c r="C627">
        <v>0</v>
      </c>
      <c r="D627">
        <v>0</v>
      </c>
      <c r="G627">
        <v>0</v>
      </c>
      <c r="H627" t="e">
        <f>VLOOKUP(A627,הוצאות!$B$2:$V$519,19,0)</f>
        <v>#N/A</v>
      </c>
    </row>
    <row r="628" spans="1:8">
      <c r="A628">
        <v>1813210870</v>
      </c>
      <c r="B628" t="s">
        <v>179</v>
      </c>
      <c r="C628">
        <v>0</v>
      </c>
      <c r="D628">
        <v>0</v>
      </c>
      <c r="G628">
        <v>0</v>
      </c>
      <c r="H628" t="e">
        <f>VLOOKUP(A628,הוצאות!$B$2:$V$519,19,0)</f>
        <v>#N/A</v>
      </c>
    </row>
    <row r="629" spans="1:8">
      <c r="A629">
        <v>1813210871</v>
      </c>
      <c r="B629" t="s">
        <v>180</v>
      </c>
      <c r="C629">
        <v>217193</v>
      </c>
      <c r="D629">
        <v>178659.75</v>
      </c>
      <c r="G629">
        <v>178659.75</v>
      </c>
      <c r="H629">
        <f>VLOOKUP(A629,הוצאות!$B$2:$V$519,19,0)</f>
        <v>217193.18181818182</v>
      </c>
    </row>
    <row r="630" spans="1:8">
      <c r="A630">
        <v>1813210930</v>
      </c>
      <c r="B630" t="s">
        <v>181</v>
      </c>
      <c r="C630">
        <v>0</v>
      </c>
      <c r="D630">
        <v>0</v>
      </c>
      <c r="G630">
        <v>0</v>
      </c>
      <c r="H630">
        <f>VLOOKUP(A630,הוצאות!$B$2:$V$519,19,0)</f>
        <v>0</v>
      </c>
    </row>
    <row r="631" spans="1:8">
      <c r="A631">
        <v>1813220110</v>
      </c>
      <c r="B631" t="s">
        <v>182</v>
      </c>
      <c r="C631">
        <v>525361</v>
      </c>
      <c r="D631">
        <v>589211.19999999995</v>
      </c>
      <c r="G631">
        <v>589211.19999999995</v>
      </c>
      <c r="H631">
        <f>VLOOKUP(A631,הוצאות!$B$2:$V$519,19,0)</f>
        <v>525361.44009100005</v>
      </c>
    </row>
    <row r="632" spans="1:8">
      <c r="A632">
        <v>1813220320</v>
      </c>
      <c r="B632" t="s">
        <v>183</v>
      </c>
      <c r="C632">
        <v>0</v>
      </c>
      <c r="D632">
        <v>0</v>
      </c>
      <c r="G632">
        <v>0</v>
      </c>
      <c r="H632" t="e">
        <f>VLOOKUP(A632,הוצאות!$B$2:$V$519,19,0)</f>
        <v>#N/A</v>
      </c>
    </row>
    <row r="633" spans="1:8">
      <c r="A633">
        <v>1813220420</v>
      </c>
      <c r="B633" t="s">
        <v>184</v>
      </c>
      <c r="C633">
        <v>0</v>
      </c>
      <c r="D633">
        <v>0</v>
      </c>
      <c r="G633">
        <v>0</v>
      </c>
      <c r="H633" t="e">
        <f>VLOOKUP(A633,הוצאות!$B$2:$V$519,19,0)</f>
        <v>#N/A</v>
      </c>
    </row>
    <row r="634" spans="1:8">
      <c r="A634">
        <v>1813220431</v>
      </c>
      <c r="B634" t="s">
        <v>185</v>
      </c>
      <c r="C634">
        <v>78589</v>
      </c>
      <c r="D634">
        <v>100525.13</v>
      </c>
      <c r="G634">
        <v>100525.13</v>
      </c>
      <c r="H634">
        <f>VLOOKUP(A634,הוצאות!$B$2:$V$519,19,0)</f>
        <v>78589.298181818187</v>
      </c>
    </row>
    <row r="635" spans="1:8">
      <c r="A635">
        <v>1813220432</v>
      </c>
      <c r="B635" t="s">
        <v>186</v>
      </c>
      <c r="C635">
        <v>0</v>
      </c>
      <c r="D635">
        <v>0</v>
      </c>
      <c r="G635">
        <v>0</v>
      </c>
      <c r="H635">
        <f>VLOOKUP(A635,הוצאות!$B$2:$V$519,19,0)</f>
        <v>0</v>
      </c>
    </row>
    <row r="636" spans="1:8">
      <c r="A636">
        <v>1813220433</v>
      </c>
      <c r="B636" t="s">
        <v>187</v>
      </c>
      <c r="C636">
        <v>0</v>
      </c>
      <c r="D636">
        <v>0</v>
      </c>
      <c r="G636">
        <v>0</v>
      </c>
      <c r="H636" t="e">
        <f>VLOOKUP(A636,הוצאות!$B$2:$V$519,19,0)</f>
        <v>#N/A</v>
      </c>
    </row>
    <row r="637" spans="1:8">
      <c r="A637">
        <v>1813220434</v>
      </c>
      <c r="B637" t="s">
        <v>173</v>
      </c>
      <c r="C637">
        <v>0</v>
      </c>
      <c r="D637">
        <v>0</v>
      </c>
      <c r="G637">
        <v>0</v>
      </c>
      <c r="H637" t="e">
        <f>VLOOKUP(A637,הוצאות!$B$2:$V$519,19,0)</f>
        <v>#N/A</v>
      </c>
    </row>
    <row r="638" spans="1:8">
      <c r="A638">
        <v>1813220540</v>
      </c>
      <c r="B638" t="s">
        <v>188</v>
      </c>
      <c r="C638">
        <v>0</v>
      </c>
      <c r="D638">
        <v>0</v>
      </c>
      <c r="G638">
        <v>0</v>
      </c>
      <c r="H638">
        <f>VLOOKUP(A638,הוצאות!$B$2:$V$519,19,0)</f>
        <v>0</v>
      </c>
    </row>
    <row r="639" spans="1:8">
      <c r="A639">
        <v>1813220560</v>
      </c>
      <c r="B639" t="s">
        <v>189</v>
      </c>
      <c r="C639">
        <v>0</v>
      </c>
      <c r="D639">
        <v>0</v>
      </c>
      <c r="G639">
        <v>0</v>
      </c>
      <c r="H639" t="e">
        <f>VLOOKUP(A639,הוצאות!$B$2:$V$519,19,0)</f>
        <v>#N/A</v>
      </c>
    </row>
    <row r="640" spans="1:8">
      <c r="A640">
        <v>1813220720</v>
      </c>
      <c r="B640" t="s">
        <v>190</v>
      </c>
      <c r="C640">
        <v>0</v>
      </c>
      <c r="D640">
        <v>0</v>
      </c>
      <c r="G640">
        <v>0</v>
      </c>
      <c r="H640">
        <f>VLOOKUP(A640,הוצאות!$B$2:$V$519,19,0)</f>
        <v>0</v>
      </c>
    </row>
    <row r="641" spans="1:8">
      <c r="A641">
        <v>1813220750</v>
      </c>
      <c r="B641" t="s">
        <v>191</v>
      </c>
      <c r="C641">
        <v>0</v>
      </c>
      <c r="D641">
        <v>64700.61</v>
      </c>
      <c r="G641">
        <v>64700.61</v>
      </c>
      <c r="H641">
        <f>VLOOKUP(A641,הוצאות!$B$2:$V$519,19,0)</f>
        <v>0</v>
      </c>
    </row>
    <row r="642" spans="1:8">
      <c r="A642">
        <v>1813220780</v>
      </c>
      <c r="B642" t="s">
        <v>192</v>
      </c>
      <c r="C642">
        <v>0</v>
      </c>
      <c r="D642">
        <v>0</v>
      </c>
      <c r="G642">
        <v>0</v>
      </c>
      <c r="H642" t="e">
        <f>VLOOKUP(A642,הוצאות!$B$2:$V$519,19,0)</f>
        <v>#N/A</v>
      </c>
    </row>
    <row r="643" spans="1:8">
      <c r="A643">
        <v>1813220870</v>
      </c>
      <c r="B643" t="s">
        <v>193</v>
      </c>
      <c r="C643">
        <v>0</v>
      </c>
      <c r="D643">
        <v>0</v>
      </c>
      <c r="G643">
        <v>0</v>
      </c>
      <c r="H643" t="e">
        <f>VLOOKUP(A643,הוצאות!$B$2:$V$519,19,0)</f>
        <v>#N/A</v>
      </c>
    </row>
    <row r="644" spans="1:8">
      <c r="A644">
        <v>1813220871</v>
      </c>
      <c r="B644" t="s">
        <v>194</v>
      </c>
      <c r="C644">
        <v>293197</v>
      </c>
      <c r="D644">
        <v>264946.42</v>
      </c>
      <c r="G644">
        <v>264946.42</v>
      </c>
      <c r="H644">
        <f>VLOOKUP(A644,הוצאות!$B$2:$V$519,19,0)</f>
        <v>293197.75636363635</v>
      </c>
    </row>
    <row r="645" spans="1:8">
      <c r="A645">
        <v>1813220930</v>
      </c>
      <c r="B645" t="s">
        <v>195</v>
      </c>
      <c r="C645">
        <v>0</v>
      </c>
      <c r="D645">
        <v>0</v>
      </c>
      <c r="G645">
        <v>0</v>
      </c>
      <c r="H645">
        <f>VLOOKUP(A645,הוצאות!$B$2:$V$519,19,0)</f>
        <v>0</v>
      </c>
    </row>
    <row r="646" spans="1:8">
      <c r="A646">
        <v>1813230110</v>
      </c>
      <c r="B646" t="s">
        <v>196</v>
      </c>
      <c r="C646">
        <v>595892</v>
      </c>
      <c r="D646">
        <v>605198.41</v>
      </c>
      <c r="G646">
        <v>605198.41</v>
      </c>
      <c r="H646">
        <f>VLOOKUP(A646,הוצאות!$B$2:$V$519,19,0)</f>
        <v>595892.67074799992</v>
      </c>
    </row>
    <row r="647" spans="1:8">
      <c r="A647">
        <v>1813230320</v>
      </c>
      <c r="B647" t="s">
        <v>25</v>
      </c>
      <c r="C647">
        <v>0</v>
      </c>
      <c r="D647">
        <v>0</v>
      </c>
      <c r="G647">
        <v>0</v>
      </c>
      <c r="H647" t="e">
        <f>VLOOKUP(A647,הוצאות!$B$2:$V$519,19,0)</f>
        <v>#N/A</v>
      </c>
    </row>
    <row r="648" spans="1:8">
      <c r="A648">
        <v>1813230420</v>
      </c>
      <c r="B648" t="s">
        <v>197</v>
      </c>
      <c r="C648">
        <v>0</v>
      </c>
      <c r="D648">
        <v>0</v>
      </c>
      <c r="G648">
        <v>0</v>
      </c>
      <c r="H648" t="e">
        <f>VLOOKUP(A648,הוצאות!$B$2:$V$519,19,0)</f>
        <v>#N/A</v>
      </c>
    </row>
    <row r="649" spans="1:8">
      <c r="A649">
        <v>1813230431</v>
      </c>
      <c r="B649" t="s">
        <v>198</v>
      </c>
      <c r="C649">
        <v>18320</v>
      </c>
      <c r="D649">
        <v>0</v>
      </c>
      <c r="G649">
        <v>0</v>
      </c>
      <c r="H649">
        <f>VLOOKUP(A649,הוצאות!$B$2:$V$519,19,0)</f>
        <v>18320.301818181819</v>
      </c>
    </row>
    <row r="650" spans="1:8">
      <c r="A650">
        <v>1813230432</v>
      </c>
      <c r="B650" t="s">
        <v>199</v>
      </c>
      <c r="C650">
        <v>0</v>
      </c>
      <c r="D650">
        <v>0</v>
      </c>
      <c r="G650">
        <v>0</v>
      </c>
      <c r="H650" t="e">
        <f>VLOOKUP(A650,הוצאות!$B$2:$V$519,19,0)</f>
        <v>#N/A</v>
      </c>
    </row>
    <row r="651" spans="1:8">
      <c r="A651">
        <v>1813230433</v>
      </c>
      <c r="B651" t="s">
        <v>200</v>
      </c>
      <c r="C651">
        <v>0</v>
      </c>
      <c r="D651">
        <v>0</v>
      </c>
      <c r="G651">
        <v>0</v>
      </c>
      <c r="H651" t="e">
        <f>VLOOKUP(A651,הוצאות!$B$2:$V$519,19,0)</f>
        <v>#N/A</v>
      </c>
    </row>
    <row r="652" spans="1:8">
      <c r="A652">
        <v>1813230434</v>
      </c>
      <c r="B652" t="s">
        <v>173</v>
      </c>
      <c r="C652">
        <v>0</v>
      </c>
      <c r="D652">
        <v>0</v>
      </c>
      <c r="G652">
        <v>0</v>
      </c>
      <c r="H652" t="e">
        <f>VLOOKUP(A652,הוצאות!$B$2:$V$519,19,0)</f>
        <v>#N/A</v>
      </c>
    </row>
    <row r="653" spans="1:8">
      <c r="A653">
        <v>1813230540</v>
      </c>
      <c r="B653" t="s">
        <v>201</v>
      </c>
      <c r="C653">
        <v>0</v>
      </c>
      <c r="D653">
        <v>0</v>
      </c>
      <c r="G653">
        <v>0</v>
      </c>
      <c r="H653">
        <f>VLOOKUP(A653,הוצאות!$B$2:$V$519,19,0)</f>
        <v>0</v>
      </c>
    </row>
    <row r="654" spans="1:8">
      <c r="A654">
        <v>1813230560</v>
      </c>
      <c r="B654" t="s">
        <v>202</v>
      </c>
      <c r="C654">
        <v>0</v>
      </c>
      <c r="D654">
        <v>0</v>
      </c>
      <c r="G654">
        <v>0</v>
      </c>
      <c r="H654" t="e">
        <f>VLOOKUP(A654,הוצאות!$B$2:$V$519,19,0)</f>
        <v>#N/A</v>
      </c>
    </row>
    <row r="655" spans="1:8">
      <c r="A655">
        <v>1813230720</v>
      </c>
      <c r="B655" t="s">
        <v>203</v>
      </c>
      <c r="C655">
        <v>0</v>
      </c>
      <c r="D655">
        <v>92070.99</v>
      </c>
      <c r="G655">
        <v>92070.99</v>
      </c>
      <c r="H655">
        <f>VLOOKUP(A655,הוצאות!$B$2:$V$519,19,0)</f>
        <v>0</v>
      </c>
    </row>
    <row r="656" spans="1:8">
      <c r="A656">
        <v>1813230740</v>
      </c>
      <c r="B656" t="s">
        <v>204</v>
      </c>
      <c r="C656">
        <v>0</v>
      </c>
      <c r="D656">
        <v>0</v>
      </c>
      <c r="G656">
        <v>0</v>
      </c>
      <c r="H656" t="e">
        <f>VLOOKUP(A656,הוצאות!$B$2:$V$519,19,0)</f>
        <v>#N/A</v>
      </c>
    </row>
    <row r="657" spans="1:8">
      <c r="A657">
        <v>1813230750</v>
      </c>
      <c r="B657" t="s">
        <v>205</v>
      </c>
      <c r="C657">
        <v>0</v>
      </c>
      <c r="D657">
        <v>40984.82</v>
      </c>
      <c r="G657">
        <v>51135.32</v>
      </c>
      <c r="H657">
        <f>VLOOKUP(A657,הוצאות!$B$2:$V$519,19,0)</f>
        <v>0</v>
      </c>
    </row>
    <row r="658" spans="1:8">
      <c r="A658">
        <v>1813230780</v>
      </c>
      <c r="B658" t="s">
        <v>18</v>
      </c>
      <c r="C658">
        <v>0</v>
      </c>
      <c r="D658">
        <v>0</v>
      </c>
      <c r="G658">
        <v>0</v>
      </c>
      <c r="H658">
        <f>VLOOKUP(A658,הוצאות!$B$2:$V$519,19,0)</f>
        <v>0</v>
      </c>
    </row>
    <row r="659" spans="1:8">
      <c r="A659">
        <v>1813230870</v>
      </c>
      <c r="B659" t="s">
        <v>206</v>
      </c>
      <c r="C659">
        <v>16363</v>
      </c>
      <c r="D659">
        <v>89975.14</v>
      </c>
      <c r="G659">
        <v>89975.14</v>
      </c>
      <c r="H659">
        <f>VLOOKUP(A659,הוצאות!$B$2:$V$519,19,0)</f>
        <v>16363.636363636364</v>
      </c>
    </row>
    <row r="660" spans="1:8">
      <c r="A660">
        <v>1813230871</v>
      </c>
      <c r="B660" t="s">
        <v>207</v>
      </c>
      <c r="C660">
        <v>368418</v>
      </c>
      <c r="D660">
        <v>193274.58</v>
      </c>
      <c r="G660">
        <v>193274.58</v>
      </c>
      <c r="H660">
        <f>VLOOKUP(A660,הוצאות!$B$2:$V$519,19,0)</f>
        <v>368418.19636363635</v>
      </c>
    </row>
    <row r="661" spans="1:8">
      <c r="A661">
        <v>1813230930</v>
      </c>
      <c r="B661" t="s">
        <v>208</v>
      </c>
      <c r="C661">
        <v>380000</v>
      </c>
      <c r="D661">
        <v>0</v>
      </c>
      <c r="G661">
        <v>0</v>
      </c>
      <c r="H661">
        <f>VLOOKUP(A661,הוצאות!$B$2:$V$519,19,0)</f>
        <v>0</v>
      </c>
    </row>
    <row r="662" spans="1:8">
      <c r="A662">
        <v>1813240110</v>
      </c>
      <c r="B662" t="s">
        <v>209</v>
      </c>
      <c r="C662">
        <v>316973</v>
      </c>
      <c r="D662">
        <v>277775.28999999998</v>
      </c>
      <c r="G662">
        <v>277775.28999999998</v>
      </c>
      <c r="H662">
        <f>VLOOKUP(A662,הוצאות!$B$2:$V$519,19,0)</f>
        <v>316973.556644</v>
      </c>
    </row>
    <row r="663" spans="1:8">
      <c r="A663">
        <v>1813240431</v>
      </c>
      <c r="B663" t="s">
        <v>210</v>
      </c>
      <c r="C663">
        <v>0</v>
      </c>
      <c r="D663">
        <v>16955.77</v>
      </c>
      <c r="G663">
        <v>16955.77</v>
      </c>
      <c r="H663">
        <f>VLOOKUP(A663,הוצאות!$B$2:$V$519,19,0)</f>
        <v>0</v>
      </c>
    </row>
    <row r="664" spans="1:8">
      <c r="A664">
        <v>1813240432</v>
      </c>
      <c r="B664" t="s">
        <v>211</v>
      </c>
      <c r="C664">
        <v>0</v>
      </c>
      <c r="D664">
        <v>0</v>
      </c>
      <c r="G664">
        <v>0</v>
      </c>
      <c r="H664">
        <f>VLOOKUP(A664,הוצאות!$B$2:$V$519,19,0)</f>
        <v>0</v>
      </c>
    </row>
    <row r="665" spans="1:8">
      <c r="A665">
        <v>1813240540</v>
      </c>
      <c r="B665" t="s">
        <v>212</v>
      </c>
      <c r="C665">
        <v>0</v>
      </c>
      <c r="D665">
        <v>0</v>
      </c>
      <c r="G665">
        <v>0</v>
      </c>
      <c r="H665">
        <f>VLOOKUP(A665,הוצאות!$B$2:$V$519,19,0)</f>
        <v>0</v>
      </c>
    </row>
    <row r="666" spans="1:8">
      <c r="A666">
        <v>1813240750</v>
      </c>
      <c r="B666" t="s">
        <v>213</v>
      </c>
      <c r="C666">
        <v>0</v>
      </c>
      <c r="D666">
        <v>26703.16</v>
      </c>
      <c r="G666">
        <v>26703.16</v>
      </c>
      <c r="H666">
        <f>VLOOKUP(A666,הוצאות!$B$2:$V$519,19,0)</f>
        <v>0</v>
      </c>
    </row>
    <row r="667" spans="1:8">
      <c r="A667">
        <v>1813240870</v>
      </c>
      <c r="B667" t="s">
        <v>214</v>
      </c>
      <c r="C667">
        <v>176525</v>
      </c>
      <c r="D667">
        <v>203009.42</v>
      </c>
      <c r="G667">
        <v>203009.42</v>
      </c>
      <c r="H667">
        <f>VLOOKUP(A667,הוצאות!$B$2:$V$519,19,0)</f>
        <v>176525.00727272729</v>
      </c>
    </row>
    <row r="668" spans="1:8">
      <c r="A668">
        <v>1813250110</v>
      </c>
      <c r="B668" t="s">
        <v>1762</v>
      </c>
      <c r="C668">
        <v>93093</v>
      </c>
      <c r="D668">
        <v>137753.1</v>
      </c>
      <c r="G668">
        <v>137753.1</v>
      </c>
      <c r="H668">
        <f>VLOOKUP(A668,הוצאות!$B$2:$V$519,19,0)</f>
        <v>93093.063945000016</v>
      </c>
    </row>
    <row r="669" spans="1:8">
      <c r="A669">
        <v>1813250710</v>
      </c>
      <c r="B669" t="s">
        <v>215</v>
      </c>
      <c r="C669">
        <v>0</v>
      </c>
      <c r="D669">
        <v>0</v>
      </c>
      <c r="G669">
        <v>0</v>
      </c>
      <c r="H669" t="e">
        <f>VLOOKUP(A669,הוצאות!$B$2:$V$519,19,0)</f>
        <v>#N/A</v>
      </c>
    </row>
    <row r="670" spans="1:8">
      <c r="A670">
        <v>1813250750</v>
      </c>
      <c r="B670" t="s">
        <v>34</v>
      </c>
      <c r="C670">
        <v>0</v>
      </c>
      <c r="D670">
        <v>0</v>
      </c>
      <c r="G670">
        <v>0</v>
      </c>
      <c r="H670" t="e">
        <f>VLOOKUP(A670,הוצאות!$B$2:$V$519,19,0)</f>
        <v>#N/A</v>
      </c>
    </row>
    <row r="671" spans="1:8">
      <c r="A671">
        <v>1813300110</v>
      </c>
      <c r="B671" t="s">
        <v>216</v>
      </c>
      <c r="C671">
        <v>1443507</v>
      </c>
      <c r="D671">
        <v>1443631.57</v>
      </c>
      <c r="G671">
        <v>1443631.57</v>
      </c>
      <c r="H671">
        <f>VLOOKUP(A671,הוצאות!$B$2:$V$519,19,0)</f>
        <v>1443507.9459040002</v>
      </c>
    </row>
    <row r="672" spans="1:8">
      <c r="A672">
        <v>1813300320</v>
      </c>
      <c r="B672" t="s">
        <v>25</v>
      </c>
      <c r="C672">
        <v>0</v>
      </c>
      <c r="D672">
        <v>0</v>
      </c>
      <c r="G672">
        <v>0</v>
      </c>
      <c r="H672" t="e">
        <f>VLOOKUP(A672,הוצאות!$B$2:$V$519,19,0)</f>
        <v>#N/A</v>
      </c>
    </row>
    <row r="673" spans="1:8">
      <c r="A673">
        <v>1813300420</v>
      </c>
      <c r="B673" t="s">
        <v>150</v>
      </c>
      <c r="C673">
        <v>0</v>
      </c>
      <c r="D673">
        <v>0</v>
      </c>
      <c r="G673">
        <v>0</v>
      </c>
      <c r="H673" t="e">
        <f>VLOOKUP(A673,הוצאות!$B$2:$V$519,19,0)</f>
        <v>#N/A</v>
      </c>
    </row>
    <row r="674" spans="1:8">
      <c r="A674">
        <v>1813300431</v>
      </c>
      <c r="B674" t="s">
        <v>1763</v>
      </c>
      <c r="C674">
        <v>40000</v>
      </c>
      <c r="D674">
        <v>4937.8100000000004</v>
      </c>
      <c r="G674">
        <v>4937.8100000000004</v>
      </c>
      <c r="H674">
        <f>VLOOKUP(A674,הוצאות!$B$2:$V$519,19,0)</f>
        <v>40000</v>
      </c>
    </row>
    <row r="675" spans="1:8">
      <c r="A675">
        <v>1813300432</v>
      </c>
      <c r="B675" t="s">
        <v>1764</v>
      </c>
      <c r="C675">
        <v>0</v>
      </c>
      <c r="D675">
        <v>0</v>
      </c>
      <c r="G675">
        <v>0</v>
      </c>
      <c r="H675" t="e">
        <f>VLOOKUP(A675,הוצאות!$B$2:$V$519,19,0)</f>
        <v>#N/A</v>
      </c>
    </row>
    <row r="676" spans="1:8">
      <c r="A676">
        <v>1813300433</v>
      </c>
      <c r="B676" t="s">
        <v>1765</v>
      </c>
      <c r="C676">
        <v>0</v>
      </c>
      <c r="D676">
        <v>0</v>
      </c>
      <c r="G676">
        <v>0</v>
      </c>
      <c r="H676" t="e">
        <f>VLOOKUP(A676,הוצאות!$B$2:$V$519,19,0)</f>
        <v>#N/A</v>
      </c>
    </row>
    <row r="677" spans="1:8">
      <c r="A677">
        <v>1813300434</v>
      </c>
      <c r="B677" t="s">
        <v>173</v>
      </c>
      <c r="C677">
        <v>0</v>
      </c>
      <c r="D677">
        <v>0</v>
      </c>
      <c r="G677">
        <v>0</v>
      </c>
      <c r="H677" t="e">
        <f>VLOOKUP(A677,הוצאות!$B$2:$V$519,19,0)</f>
        <v>#N/A</v>
      </c>
    </row>
    <row r="678" spans="1:8">
      <c r="A678">
        <v>1813300540</v>
      </c>
      <c r="B678" t="s">
        <v>217</v>
      </c>
      <c r="C678">
        <v>0</v>
      </c>
      <c r="D678">
        <v>138770.75</v>
      </c>
      <c r="G678">
        <v>138770.75</v>
      </c>
      <c r="H678">
        <f>VLOOKUP(A678,הוצאות!$B$2:$V$519,19,0)</f>
        <v>0</v>
      </c>
    </row>
    <row r="679" spans="1:8">
      <c r="A679">
        <v>1813300560</v>
      </c>
      <c r="B679" t="s">
        <v>52</v>
      </c>
      <c r="C679">
        <v>0</v>
      </c>
      <c r="D679">
        <v>0</v>
      </c>
      <c r="G679">
        <v>0</v>
      </c>
      <c r="H679">
        <f>VLOOKUP(A679,הוצאות!$B$2:$V$519,19,0)</f>
        <v>0</v>
      </c>
    </row>
    <row r="680" spans="1:8">
      <c r="A680">
        <v>1813300720</v>
      </c>
      <c r="B680" t="s">
        <v>32</v>
      </c>
      <c r="C680">
        <v>0</v>
      </c>
      <c r="D680">
        <v>0</v>
      </c>
      <c r="G680">
        <v>0</v>
      </c>
      <c r="H680">
        <f>VLOOKUP(A680,הוצאות!$B$2:$V$519,19,0)</f>
        <v>0</v>
      </c>
    </row>
    <row r="681" spans="1:8">
      <c r="A681">
        <v>1813300721</v>
      </c>
      <c r="B681" t="s">
        <v>218</v>
      </c>
      <c r="C681">
        <v>66563</v>
      </c>
      <c r="D681">
        <v>217793.65</v>
      </c>
      <c r="G681">
        <v>217793.65</v>
      </c>
      <c r="H681">
        <f>VLOOKUP(A681,הוצאות!$B$2:$V$519,19,0)</f>
        <v>66563.138181818184</v>
      </c>
    </row>
    <row r="682" spans="1:8">
      <c r="A682">
        <v>1813300740</v>
      </c>
      <c r="B682" t="s">
        <v>33</v>
      </c>
      <c r="C682">
        <v>0</v>
      </c>
      <c r="D682">
        <v>0</v>
      </c>
      <c r="G682">
        <v>0</v>
      </c>
      <c r="H682" t="e">
        <f>VLOOKUP(A682,הוצאות!$B$2:$V$519,19,0)</f>
        <v>#N/A</v>
      </c>
    </row>
    <row r="683" spans="1:8">
      <c r="A683">
        <v>1813300750</v>
      </c>
      <c r="B683" t="s">
        <v>34</v>
      </c>
      <c r="C683">
        <v>0</v>
      </c>
      <c r="D683">
        <v>10812</v>
      </c>
      <c r="G683">
        <v>10812</v>
      </c>
      <c r="H683">
        <f>VLOOKUP(A683,הוצאות!$B$2:$V$519,19,0)</f>
        <v>0</v>
      </c>
    </row>
    <row r="684" spans="1:8">
      <c r="A684">
        <v>1813300780</v>
      </c>
      <c r="B684" t="s">
        <v>18</v>
      </c>
      <c r="C684">
        <v>0</v>
      </c>
      <c r="D684">
        <v>29920</v>
      </c>
      <c r="G684">
        <v>29920</v>
      </c>
      <c r="H684">
        <f>VLOOKUP(A684,הוצאות!$B$2:$V$519,19,0)</f>
        <v>0</v>
      </c>
    </row>
    <row r="685" spans="1:8">
      <c r="A685">
        <v>1813300781</v>
      </c>
      <c r="B685" t="s">
        <v>219</v>
      </c>
      <c r="C685">
        <v>0</v>
      </c>
      <c r="D685">
        <v>0</v>
      </c>
      <c r="G685">
        <v>0</v>
      </c>
      <c r="H685" t="e">
        <f>VLOOKUP(A685,הוצאות!$B$2:$V$519,19,0)</f>
        <v>#N/A</v>
      </c>
    </row>
    <row r="686" spans="1:8">
      <c r="A686">
        <v>1813300870</v>
      </c>
      <c r="B686" t="s">
        <v>220</v>
      </c>
      <c r="C686">
        <v>0</v>
      </c>
      <c r="D686">
        <v>463529</v>
      </c>
      <c r="G686">
        <v>463529</v>
      </c>
      <c r="H686">
        <f>VLOOKUP(A686,הוצאות!$B$2:$V$519,19,0)</f>
        <v>0</v>
      </c>
    </row>
    <row r="687" spans="1:8">
      <c r="A687">
        <v>1813300930</v>
      </c>
      <c r="B687" t="s">
        <v>19</v>
      </c>
      <c r="C687">
        <v>0</v>
      </c>
      <c r="D687">
        <v>0</v>
      </c>
      <c r="G687">
        <v>0</v>
      </c>
      <c r="H687" t="e">
        <f>VLOOKUP(A687,הוצאות!$B$2:$V$519,19,0)</f>
        <v>#N/A</v>
      </c>
    </row>
    <row r="688" spans="1:8">
      <c r="A688">
        <v>1813303760</v>
      </c>
      <c r="B688" t="s">
        <v>1766</v>
      </c>
      <c r="C688">
        <v>0</v>
      </c>
      <c r="D688">
        <v>0</v>
      </c>
      <c r="G688">
        <v>0</v>
      </c>
      <c r="H688">
        <f>VLOOKUP(A688,הוצאות!$B$2:$V$519,19,0)</f>
        <v>0</v>
      </c>
    </row>
    <row r="689" spans="1:8">
      <c r="A689">
        <v>1813800110</v>
      </c>
      <c r="B689" t="s">
        <v>2037</v>
      </c>
      <c r="C689">
        <v>152504</v>
      </c>
      <c r="D689">
        <v>3856.51</v>
      </c>
      <c r="G689">
        <v>3856.51</v>
      </c>
      <c r="H689">
        <f>VLOOKUP(A689,הוצאות!$B$2:$V$519,19,0)</f>
        <v>152504.98000000001</v>
      </c>
    </row>
    <row r="690" spans="1:8">
      <c r="A690">
        <v>1813810110</v>
      </c>
      <c r="B690" t="s">
        <v>2038</v>
      </c>
      <c r="C690">
        <v>94618</v>
      </c>
      <c r="D690">
        <v>4663.46</v>
      </c>
      <c r="G690">
        <v>4663.46</v>
      </c>
      <c r="H690">
        <f>VLOOKUP(A690,הוצאות!$B$2:$V$519,19,0)</f>
        <v>94618.2</v>
      </c>
    </row>
    <row r="691" spans="1:8">
      <c r="A691">
        <v>1814000110</v>
      </c>
      <c r="B691" t="s">
        <v>222</v>
      </c>
      <c r="C691">
        <v>1038791</v>
      </c>
      <c r="D691">
        <v>1016368.19</v>
      </c>
      <c r="G691">
        <v>1016368.19</v>
      </c>
      <c r="H691">
        <f>VLOOKUP(A691,הוצאות!$B$2:$V$519,19,0)</f>
        <v>1038791.4369310001</v>
      </c>
    </row>
    <row r="692" spans="1:8">
      <c r="A692">
        <v>1814000320</v>
      </c>
      <c r="B692" t="s">
        <v>1767</v>
      </c>
      <c r="C692">
        <v>0</v>
      </c>
      <c r="D692">
        <v>16490</v>
      </c>
      <c r="G692">
        <v>16490</v>
      </c>
      <c r="H692">
        <f>VLOOKUP(A692,הוצאות!$B$2:$V$519,19,0)</f>
        <v>0</v>
      </c>
    </row>
    <row r="693" spans="1:8">
      <c r="A693">
        <v>1814000420</v>
      </c>
      <c r="B693" t="s">
        <v>223</v>
      </c>
      <c r="C693">
        <v>0</v>
      </c>
      <c r="D693">
        <v>0</v>
      </c>
      <c r="G693">
        <v>0</v>
      </c>
      <c r="H693" t="e">
        <f>VLOOKUP(A693,הוצאות!$B$2:$V$519,19,0)</f>
        <v>#N/A</v>
      </c>
    </row>
    <row r="694" spans="1:8">
      <c r="A694">
        <v>1814000431</v>
      </c>
      <c r="B694" t="s">
        <v>224</v>
      </c>
      <c r="C694">
        <v>150000</v>
      </c>
      <c r="D694">
        <v>309527.3</v>
      </c>
      <c r="G694">
        <v>309527.3</v>
      </c>
      <c r="H694">
        <f>VLOOKUP(A694,הוצאות!$B$2:$V$519,19,0)</f>
        <v>150000</v>
      </c>
    </row>
    <row r="695" spans="1:8">
      <c r="A695">
        <v>1814000432</v>
      </c>
      <c r="B695" t="s">
        <v>225</v>
      </c>
      <c r="C695">
        <v>0</v>
      </c>
      <c r="D695">
        <v>0</v>
      </c>
      <c r="G695">
        <v>0</v>
      </c>
      <c r="H695">
        <f>VLOOKUP(A695,הוצאות!$B$2:$V$519,19,0)</f>
        <v>0</v>
      </c>
    </row>
    <row r="696" spans="1:8">
      <c r="A696">
        <v>1814000433</v>
      </c>
      <c r="B696" t="s">
        <v>226</v>
      </c>
      <c r="C696">
        <v>0</v>
      </c>
      <c r="D696">
        <v>0</v>
      </c>
      <c r="G696">
        <v>0</v>
      </c>
      <c r="H696" t="e">
        <f>VLOOKUP(A696,הוצאות!$B$2:$V$519,19,0)</f>
        <v>#N/A</v>
      </c>
    </row>
    <row r="697" spans="1:8">
      <c r="A697">
        <v>1814000434</v>
      </c>
      <c r="B697" t="s">
        <v>173</v>
      </c>
      <c r="C697">
        <v>0</v>
      </c>
      <c r="D697">
        <v>0</v>
      </c>
      <c r="G697">
        <v>0</v>
      </c>
      <c r="H697" t="e">
        <f>VLOOKUP(A697,הוצאות!$B$2:$V$519,19,0)</f>
        <v>#N/A</v>
      </c>
    </row>
    <row r="698" spans="1:8">
      <c r="A698">
        <v>1814000540</v>
      </c>
      <c r="B698" t="s">
        <v>227</v>
      </c>
      <c r="C698">
        <v>0</v>
      </c>
      <c r="D698">
        <v>0</v>
      </c>
      <c r="G698">
        <v>0</v>
      </c>
      <c r="H698">
        <f>VLOOKUP(A698,הוצאות!$B$2:$V$519,19,0)</f>
        <v>0</v>
      </c>
    </row>
    <row r="699" spans="1:8">
      <c r="A699">
        <v>1814000560</v>
      </c>
      <c r="B699" t="s">
        <v>228</v>
      </c>
      <c r="C699">
        <v>13451</v>
      </c>
      <c r="D699">
        <v>8360.82</v>
      </c>
      <c r="G699">
        <v>8360.82</v>
      </c>
      <c r="H699">
        <f>VLOOKUP(A699,הוצאות!$B$2:$V$519,19,0)</f>
        <v>13451.454545454546</v>
      </c>
    </row>
    <row r="700" spans="1:8">
      <c r="A700">
        <v>1814000720</v>
      </c>
      <c r="B700" t="s">
        <v>229</v>
      </c>
      <c r="C700">
        <v>0</v>
      </c>
      <c r="D700">
        <v>0</v>
      </c>
      <c r="G700">
        <v>0</v>
      </c>
      <c r="H700" t="e">
        <f>VLOOKUP(A700,הוצאות!$B$2:$V$519,19,0)</f>
        <v>#N/A</v>
      </c>
    </row>
    <row r="701" spans="1:8">
      <c r="A701">
        <v>1814000740</v>
      </c>
      <c r="B701" t="s">
        <v>230</v>
      </c>
      <c r="C701">
        <v>0</v>
      </c>
      <c r="D701">
        <v>0</v>
      </c>
      <c r="G701">
        <v>0</v>
      </c>
      <c r="H701" t="e">
        <f>VLOOKUP(A701,הוצאות!$B$2:$V$519,19,0)</f>
        <v>#N/A</v>
      </c>
    </row>
    <row r="702" spans="1:8">
      <c r="A702">
        <v>1814000750</v>
      </c>
      <c r="B702" t="s">
        <v>231</v>
      </c>
      <c r="C702">
        <v>85465</v>
      </c>
      <c r="D702">
        <v>61956.800000000003</v>
      </c>
      <c r="G702">
        <v>83563.8</v>
      </c>
      <c r="H702">
        <f>VLOOKUP(A702,הוצאות!$B$2:$V$519,19,0)</f>
        <v>85465.090909090912</v>
      </c>
    </row>
    <row r="703" spans="1:8">
      <c r="A703">
        <v>1814000780</v>
      </c>
      <c r="B703" t="s">
        <v>1768</v>
      </c>
      <c r="C703">
        <v>20000</v>
      </c>
      <c r="D703">
        <v>13627</v>
      </c>
      <c r="G703">
        <v>19429</v>
      </c>
      <c r="H703">
        <f>VLOOKUP(A703,הוצאות!$B$2:$V$519,19,0)</f>
        <v>20000</v>
      </c>
    </row>
    <row r="704" spans="1:8">
      <c r="A704">
        <v>1814000870</v>
      </c>
      <c r="B704" t="s">
        <v>232</v>
      </c>
      <c r="C704">
        <v>10909</v>
      </c>
      <c r="D704">
        <v>69953.33</v>
      </c>
      <c r="G704">
        <v>69953.33</v>
      </c>
      <c r="H704">
        <f>VLOOKUP(A704,הוצאות!$B$2:$V$519,19,0)</f>
        <v>10909.09090909091</v>
      </c>
    </row>
    <row r="705" spans="1:8">
      <c r="A705">
        <v>1814000930</v>
      </c>
      <c r="B705" t="s">
        <v>19</v>
      </c>
      <c r="C705">
        <v>0</v>
      </c>
      <c r="D705">
        <v>0</v>
      </c>
      <c r="G705">
        <v>0</v>
      </c>
      <c r="H705" t="e">
        <f>VLOOKUP(A705,הוצאות!$B$2:$V$519,19,0)</f>
        <v>#N/A</v>
      </c>
    </row>
    <row r="706" spans="1:8">
      <c r="A706">
        <v>1814001780</v>
      </c>
      <c r="B706" t="s">
        <v>2008</v>
      </c>
      <c r="C706">
        <v>0</v>
      </c>
      <c r="D706">
        <v>0</v>
      </c>
      <c r="G706">
        <v>0</v>
      </c>
      <c r="H706">
        <f>VLOOKUP(A706,הוצאות!$B$2:$V$519,19,0)</f>
        <v>0</v>
      </c>
    </row>
    <row r="707" spans="1:8">
      <c r="A707">
        <v>1814002780</v>
      </c>
      <c r="B707" t="s">
        <v>2039</v>
      </c>
      <c r="C707">
        <v>100000</v>
      </c>
      <c r="D707">
        <v>0</v>
      </c>
      <c r="G707">
        <v>0</v>
      </c>
      <c r="H707">
        <f>VLOOKUP(A707,הוצאות!$B$2:$V$519,19,0)</f>
        <v>0</v>
      </c>
    </row>
    <row r="708" spans="1:8">
      <c r="A708">
        <v>1815200110</v>
      </c>
      <c r="B708" t="s">
        <v>233</v>
      </c>
      <c r="C708">
        <v>9180000</v>
      </c>
      <c r="D708">
        <v>10615580.380000001</v>
      </c>
      <c r="G708">
        <v>10615580.380000001</v>
      </c>
      <c r="H708">
        <f>VLOOKUP(A708,הוצאות!$B$2:$V$519,19,0)</f>
        <v>9180000</v>
      </c>
    </row>
    <row r="709" spans="1:8">
      <c r="A709">
        <v>1815200320</v>
      </c>
      <c r="B709" t="s">
        <v>25</v>
      </c>
      <c r="C709">
        <v>0</v>
      </c>
      <c r="D709">
        <v>6356</v>
      </c>
      <c r="G709">
        <v>6356</v>
      </c>
      <c r="H709">
        <f>VLOOKUP(A709,הוצאות!$B$2:$V$519,19,0)</f>
        <v>0</v>
      </c>
    </row>
    <row r="710" spans="1:8">
      <c r="A710">
        <v>1815200420</v>
      </c>
      <c r="B710" t="s">
        <v>234</v>
      </c>
      <c r="C710">
        <v>0</v>
      </c>
      <c r="D710">
        <v>0</v>
      </c>
      <c r="G710">
        <v>0</v>
      </c>
      <c r="H710">
        <f>VLOOKUP(A710,הוצאות!$B$2:$V$519,19,0)</f>
        <v>0</v>
      </c>
    </row>
    <row r="711" spans="1:8">
      <c r="A711">
        <v>1815200431</v>
      </c>
      <c r="B711" t="s">
        <v>235</v>
      </c>
      <c r="C711">
        <v>43049</v>
      </c>
      <c r="D711">
        <v>0</v>
      </c>
      <c r="G711">
        <v>0</v>
      </c>
      <c r="H711">
        <f>VLOOKUP(A711,הוצאות!$B$2:$V$519,19,0)</f>
        <v>43049.552727272727</v>
      </c>
    </row>
    <row r="712" spans="1:8">
      <c r="A712">
        <v>1815200432</v>
      </c>
      <c r="B712" t="s">
        <v>236</v>
      </c>
      <c r="C712">
        <v>0</v>
      </c>
      <c r="D712">
        <v>0</v>
      </c>
      <c r="G712">
        <v>0</v>
      </c>
      <c r="H712">
        <f>VLOOKUP(A712,הוצאות!$B$2:$V$519,19,0)</f>
        <v>0</v>
      </c>
    </row>
    <row r="713" spans="1:8">
      <c r="A713">
        <v>1815200433</v>
      </c>
      <c r="B713" t="s">
        <v>237</v>
      </c>
      <c r="C713">
        <v>0</v>
      </c>
      <c r="D713">
        <v>0</v>
      </c>
      <c r="G713">
        <v>0</v>
      </c>
      <c r="H713" t="e">
        <f>VLOOKUP(A713,הוצאות!$B$2:$V$519,19,0)</f>
        <v>#N/A</v>
      </c>
    </row>
    <row r="714" spans="1:8">
      <c r="A714">
        <v>1815200434</v>
      </c>
      <c r="B714" t="s">
        <v>173</v>
      </c>
      <c r="C714">
        <v>1800000</v>
      </c>
      <c r="D714">
        <v>0</v>
      </c>
      <c r="G714">
        <v>0</v>
      </c>
      <c r="H714">
        <f>VLOOKUP(A714,הוצאות!$B$2:$V$519,19,0)</f>
        <v>1800000</v>
      </c>
    </row>
    <row r="715" spans="1:8">
      <c r="A715">
        <v>1815200450</v>
      </c>
      <c r="B715" t="s">
        <v>238</v>
      </c>
      <c r="C715">
        <v>0</v>
      </c>
      <c r="D715">
        <v>0</v>
      </c>
      <c r="G715">
        <v>0</v>
      </c>
      <c r="H715" t="e">
        <f>VLOOKUP(A715,הוצאות!$B$2:$V$519,19,0)</f>
        <v>#N/A</v>
      </c>
    </row>
    <row r="716" spans="1:8">
      <c r="A716">
        <v>1815200540</v>
      </c>
      <c r="B716" t="s">
        <v>239</v>
      </c>
      <c r="C716">
        <v>0</v>
      </c>
      <c r="D716">
        <v>0</v>
      </c>
      <c r="G716">
        <v>0</v>
      </c>
      <c r="H716">
        <f>VLOOKUP(A716,הוצאות!$B$2:$V$519,19,0)</f>
        <v>0</v>
      </c>
    </row>
    <row r="717" spans="1:8">
      <c r="A717">
        <v>1815200560</v>
      </c>
      <c r="B717" t="s">
        <v>240</v>
      </c>
      <c r="C717">
        <v>4594</v>
      </c>
      <c r="D717">
        <v>1830</v>
      </c>
      <c r="G717">
        <v>1830</v>
      </c>
      <c r="H717">
        <f>VLOOKUP(A717,הוצאות!$B$2:$V$519,19,0)</f>
        <v>4594.909090909091</v>
      </c>
    </row>
    <row r="718" spans="1:8">
      <c r="A718">
        <v>1815200720</v>
      </c>
      <c r="B718" t="s">
        <v>241</v>
      </c>
      <c r="C718">
        <v>71124</v>
      </c>
      <c r="D718">
        <v>0</v>
      </c>
      <c r="G718">
        <v>0</v>
      </c>
      <c r="H718">
        <f>VLOOKUP(A718,הוצאות!$B$2:$V$519,19,0)</f>
        <v>71124.556363636366</v>
      </c>
    </row>
    <row r="719" spans="1:8">
      <c r="A719">
        <v>1815200740</v>
      </c>
      <c r="B719" t="s">
        <v>242</v>
      </c>
      <c r="C719">
        <v>0</v>
      </c>
      <c r="D719">
        <v>0</v>
      </c>
      <c r="G719">
        <v>0</v>
      </c>
      <c r="H719" t="e">
        <f>VLOOKUP(A719,הוצאות!$B$2:$V$519,19,0)</f>
        <v>#N/A</v>
      </c>
    </row>
    <row r="720" spans="1:8">
      <c r="A720">
        <v>1815200750</v>
      </c>
      <c r="B720" t="s">
        <v>243</v>
      </c>
      <c r="C720">
        <v>850000</v>
      </c>
      <c r="D720">
        <v>3201211.95</v>
      </c>
      <c r="E720">
        <v>90000</v>
      </c>
      <c r="F720" t="s">
        <v>2119</v>
      </c>
      <c r="G720">
        <v>3307942.95</v>
      </c>
      <c r="H720">
        <f>VLOOKUP(A720,הוצאות!$B$2:$V$519,19,0)</f>
        <v>850000</v>
      </c>
    </row>
    <row r="721" spans="1:8">
      <c r="A721">
        <v>1815200760</v>
      </c>
      <c r="B721" t="s">
        <v>244</v>
      </c>
      <c r="C721">
        <v>72000</v>
      </c>
      <c r="D721">
        <v>66072</v>
      </c>
      <c r="G721">
        <v>66072</v>
      </c>
      <c r="H721">
        <f>VLOOKUP(A721,הוצאות!$B$2:$V$519,19,0)</f>
        <v>72000</v>
      </c>
    </row>
    <row r="722" spans="1:8">
      <c r="A722">
        <v>1815200780</v>
      </c>
      <c r="B722" t="s">
        <v>245</v>
      </c>
      <c r="C722">
        <v>0</v>
      </c>
      <c r="D722">
        <v>22000</v>
      </c>
      <c r="G722">
        <v>22000</v>
      </c>
      <c r="H722">
        <f>VLOOKUP(A722,הוצאות!$B$2:$V$519,19,0)</f>
        <v>0</v>
      </c>
    </row>
    <row r="723" spans="1:8">
      <c r="A723">
        <v>1815200870</v>
      </c>
      <c r="B723" t="s">
        <v>246</v>
      </c>
      <c r="C723">
        <v>20000</v>
      </c>
      <c r="D723">
        <v>0</v>
      </c>
      <c r="G723">
        <v>0</v>
      </c>
      <c r="H723">
        <f>VLOOKUP(A723,הוצאות!$B$2:$V$519,19,0)</f>
        <v>20000</v>
      </c>
    </row>
    <row r="724" spans="1:8">
      <c r="A724">
        <v>1815200928</v>
      </c>
      <c r="B724" t="s">
        <v>1769</v>
      </c>
      <c r="C724">
        <v>0</v>
      </c>
      <c r="D724">
        <v>0</v>
      </c>
      <c r="G724">
        <v>0</v>
      </c>
      <c r="H724" t="e">
        <f>VLOOKUP(A724,הוצאות!$B$2:$V$519,19,0)</f>
        <v>#N/A</v>
      </c>
    </row>
    <row r="725" spans="1:8">
      <c r="A725">
        <v>1815210110</v>
      </c>
      <c r="B725" t="s">
        <v>1770</v>
      </c>
      <c r="C725">
        <v>0</v>
      </c>
      <c r="D725">
        <v>0</v>
      </c>
      <c r="G725">
        <v>0</v>
      </c>
      <c r="H725" t="e">
        <f>VLOOKUP(A725,הוצאות!$B$2:$V$519,19,0)</f>
        <v>#N/A</v>
      </c>
    </row>
    <row r="726" spans="1:8">
      <c r="A726">
        <v>1815299399</v>
      </c>
      <c r="B726" t="s">
        <v>47</v>
      </c>
      <c r="C726">
        <v>0</v>
      </c>
      <c r="D726">
        <v>0</v>
      </c>
      <c r="G726">
        <v>0</v>
      </c>
      <c r="H726" t="e">
        <f>VLOOKUP(A726,הוצאות!$B$2:$V$519,19,0)</f>
        <v>#N/A</v>
      </c>
    </row>
    <row r="727" spans="1:8">
      <c r="A727">
        <v>1815300760</v>
      </c>
      <c r="B727" t="s">
        <v>2040</v>
      </c>
      <c r="C727">
        <v>9131</v>
      </c>
      <c r="D727">
        <v>8921.08</v>
      </c>
      <c r="G727">
        <v>8921.08</v>
      </c>
      <c r="H727">
        <f>VLOOKUP(A727,הוצאות!$B$2:$V$519,19,0)</f>
        <v>9131</v>
      </c>
    </row>
    <row r="728" spans="1:8">
      <c r="A728">
        <v>1815700760</v>
      </c>
      <c r="B728" t="s">
        <v>1771</v>
      </c>
      <c r="C728">
        <v>40000</v>
      </c>
      <c r="D728">
        <v>899411</v>
      </c>
      <c r="G728">
        <v>899411</v>
      </c>
      <c r="H728">
        <f>VLOOKUP(A728,הוצאות!$B$2:$V$519,19,0)</f>
        <v>40000</v>
      </c>
    </row>
    <row r="729" spans="1:8">
      <c r="A729">
        <v>1815700770</v>
      </c>
      <c r="B729" t="s">
        <v>1772</v>
      </c>
      <c r="C729">
        <v>0</v>
      </c>
      <c r="D729">
        <v>0</v>
      </c>
      <c r="G729">
        <v>0</v>
      </c>
      <c r="H729" t="e">
        <f>VLOOKUP(A729,הוצאות!$B$2:$V$519,19,0)</f>
        <v>#N/A</v>
      </c>
    </row>
    <row r="730" spans="1:8">
      <c r="A730">
        <v>1817300110</v>
      </c>
      <c r="B730" t="s">
        <v>247</v>
      </c>
      <c r="C730">
        <v>680323</v>
      </c>
      <c r="D730">
        <v>641443.98</v>
      </c>
      <c r="G730">
        <v>641443.98</v>
      </c>
      <c r="H730">
        <f>VLOOKUP(A730,הוצאות!$B$2:$V$519,19,0)</f>
        <v>680323.353413</v>
      </c>
    </row>
    <row r="731" spans="1:8">
      <c r="A731">
        <v>1817300320</v>
      </c>
      <c r="B731" t="s">
        <v>248</v>
      </c>
      <c r="C731">
        <v>0</v>
      </c>
      <c r="D731">
        <v>4859</v>
      </c>
      <c r="G731">
        <v>4859</v>
      </c>
      <c r="H731">
        <f>VLOOKUP(A731,הוצאות!$B$2:$V$519,19,0)</f>
        <v>0</v>
      </c>
    </row>
    <row r="732" spans="1:8">
      <c r="A732">
        <v>1817300521</v>
      </c>
      <c r="B732" t="s">
        <v>249</v>
      </c>
      <c r="C732">
        <v>0</v>
      </c>
      <c r="D732">
        <v>1600</v>
      </c>
      <c r="G732">
        <v>1600</v>
      </c>
      <c r="H732">
        <f>VLOOKUP(A732,הוצאות!$B$2:$V$519,19,0)</f>
        <v>0</v>
      </c>
    </row>
    <row r="733" spans="1:8">
      <c r="A733">
        <v>1817300522</v>
      </c>
      <c r="B733" t="s">
        <v>1773</v>
      </c>
      <c r="C733">
        <v>0</v>
      </c>
      <c r="D733">
        <v>0</v>
      </c>
      <c r="G733">
        <v>0</v>
      </c>
      <c r="H733" t="e">
        <f>VLOOKUP(A733,הוצאות!$B$2:$V$519,19,0)</f>
        <v>#N/A</v>
      </c>
    </row>
    <row r="734" spans="1:8">
      <c r="A734">
        <v>1817300523</v>
      </c>
      <c r="B734" t="s">
        <v>1774</v>
      </c>
      <c r="C734">
        <v>0</v>
      </c>
      <c r="D734">
        <v>0</v>
      </c>
      <c r="G734">
        <v>0</v>
      </c>
      <c r="H734" t="e">
        <f>VLOOKUP(A734,הוצאות!$B$2:$V$519,19,0)</f>
        <v>#N/A</v>
      </c>
    </row>
    <row r="735" spans="1:8">
      <c r="A735">
        <v>1817300720</v>
      </c>
      <c r="B735" t="s">
        <v>1775</v>
      </c>
      <c r="C735">
        <v>0</v>
      </c>
      <c r="D735">
        <v>0</v>
      </c>
      <c r="G735">
        <v>0</v>
      </c>
      <c r="H735" t="e">
        <f>VLOOKUP(A735,הוצאות!$B$2:$V$519,19,0)</f>
        <v>#N/A</v>
      </c>
    </row>
    <row r="736" spans="1:8">
      <c r="A736">
        <v>1817300780</v>
      </c>
      <c r="B736" t="s">
        <v>1776</v>
      </c>
      <c r="C736">
        <v>0</v>
      </c>
      <c r="D736">
        <v>0</v>
      </c>
      <c r="G736">
        <v>0</v>
      </c>
      <c r="H736" t="e">
        <f>VLOOKUP(A736,הוצאות!$B$2:$V$519,19,0)</f>
        <v>#N/A</v>
      </c>
    </row>
    <row r="737" spans="1:8">
      <c r="A737">
        <v>1817300930</v>
      </c>
      <c r="B737" t="s">
        <v>250</v>
      </c>
      <c r="C737">
        <v>0</v>
      </c>
      <c r="D737">
        <v>0</v>
      </c>
      <c r="G737">
        <v>0</v>
      </c>
      <c r="H737">
        <f>VLOOKUP(A737,הוצאות!$B$2:$V$519,19,0)</f>
        <v>0</v>
      </c>
    </row>
    <row r="738" spans="1:8">
      <c r="A738">
        <v>1817301750</v>
      </c>
      <c r="B738" t="s">
        <v>251</v>
      </c>
      <c r="C738">
        <v>42570</v>
      </c>
      <c r="D738">
        <v>42570</v>
      </c>
      <c r="G738">
        <v>42570</v>
      </c>
      <c r="H738">
        <f>VLOOKUP(A738,הוצאות!$B$2:$V$519,19,0)</f>
        <v>22909.090909090908</v>
      </c>
    </row>
    <row r="739" spans="1:8">
      <c r="A739">
        <v>1817400320</v>
      </c>
      <c r="B739" t="s">
        <v>252</v>
      </c>
      <c r="C739">
        <v>0</v>
      </c>
      <c r="D739">
        <v>0</v>
      </c>
      <c r="G739">
        <v>0</v>
      </c>
      <c r="H739" t="e">
        <f>VLOOKUP(A739,הוצאות!$B$2:$V$519,19,0)</f>
        <v>#N/A</v>
      </c>
    </row>
    <row r="740" spans="1:8">
      <c r="A740">
        <v>1817400930</v>
      </c>
      <c r="B740" t="s">
        <v>1777</v>
      </c>
      <c r="C740">
        <v>0</v>
      </c>
      <c r="D740">
        <v>0</v>
      </c>
      <c r="G740">
        <v>0</v>
      </c>
      <c r="H740">
        <f>VLOOKUP(A740,הוצאות!$B$2:$V$519,19,0)</f>
        <v>0</v>
      </c>
    </row>
    <row r="741" spans="1:8">
      <c r="A741">
        <v>1817401720</v>
      </c>
      <c r="B741" t="s">
        <v>253</v>
      </c>
      <c r="C741">
        <v>0</v>
      </c>
      <c r="D741">
        <v>0</v>
      </c>
      <c r="G741">
        <v>0</v>
      </c>
      <c r="H741" t="e">
        <f>VLOOKUP(A741,הוצאות!$B$2:$V$519,19,0)</f>
        <v>#N/A</v>
      </c>
    </row>
    <row r="742" spans="1:8">
      <c r="A742">
        <v>1817500441</v>
      </c>
      <c r="B742" t="s">
        <v>254</v>
      </c>
      <c r="C742">
        <v>214865</v>
      </c>
      <c r="D742">
        <v>0</v>
      </c>
      <c r="E742">
        <v>214865</v>
      </c>
      <c r="F742" t="s">
        <v>2097</v>
      </c>
      <c r="G742">
        <v>214865</v>
      </c>
      <c r="H742">
        <f>VLOOKUP(A742,הוצאות!$B$2:$V$519,19,0)</f>
        <v>214865</v>
      </c>
    </row>
    <row r="743" spans="1:8">
      <c r="A743">
        <v>1817600110</v>
      </c>
      <c r="B743" t="s">
        <v>2120</v>
      </c>
      <c r="C743">
        <v>90000</v>
      </c>
      <c r="D743">
        <v>179650.42</v>
      </c>
      <c r="G743">
        <v>179650.42</v>
      </c>
      <c r="H743">
        <f>VLOOKUP(A743,הוצאות!$B$2:$V$519,19,0)</f>
        <v>90000</v>
      </c>
    </row>
    <row r="744" spans="1:8">
      <c r="A744">
        <v>1817600410</v>
      </c>
      <c r="B744" t="s">
        <v>1779</v>
      </c>
      <c r="C744">
        <v>0</v>
      </c>
      <c r="D744">
        <v>0</v>
      </c>
      <c r="G744">
        <v>0</v>
      </c>
      <c r="H744" t="e">
        <f>VLOOKUP(A744,הוצאות!$B$2:$V$519,19,0)</f>
        <v>#N/A</v>
      </c>
    </row>
    <row r="745" spans="1:8">
      <c r="A745">
        <v>1817600420</v>
      </c>
      <c r="B745" t="s">
        <v>1780</v>
      </c>
      <c r="C745">
        <v>0</v>
      </c>
      <c r="D745">
        <v>0</v>
      </c>
      <c r="G745">
        <v>0</v>
      </c>
      <c r="H745" t="e">
        <f>VLOOKUP(A745,הוצאות!$B$2:$V$519,19,0)</f>
        <v>#N/A</v>
      </c>
    </row>
    <row r="746" spans="1:8">
      <c r="A746">
        <v>1817600431</v>
      </c>
      <c r="B746" t="s">
        <v>26</v>
      </c>
      <c r="C746">
        <v>0</v>
      </c>
      <c r="D746">
        <v>38959.93</v>
      </c>
      <c r="G746">
        <v>38959.93</v>
      </c>
      <c r="H746">
        <f>VLOOKUP(A746,הוצאות!$B$2:$V$519,19,0)</f>
        <v>0</v>
      </c>
    </row>
    <row r="747" spans="1:8">
      <c r="A747">
        <v>1817600540</v>
      </c>
      <c r="B747" t="s">
        <v>1781</v>
      </c>
      <c r="C747">
        <v>0</v>
      </c>
      <c r="D747">
        <v>0</v>
      </c>
      <c r="G747">
        <v>0</v>
      </c>
      <c r="H747" t="e">
        <f>VLOOKUP(A747,הוצאות!$B$2:$V$519,19,0)</f>
        <v>#N/A</v>
      </c>
    </row>
    <row r="748" spans="1:8">
      <c r="A748">
        <v>1817600720</v>
      </c>
      <c r="B748" t="s">
        <v>154</v>
      </c>
      <c r="C748">
        <v>0</v>
      </c>
      <c r="D748">
        <v>0</v>
      </c>
      <c r="G748">
        <v>0</v>
      </c>
      <c r="H748" t="e">
        <f>VLOOKUP(A748,הוצאות!$B$2:$V$519,19,0)</f>
        <v>#N/A</v>
      </c>
    </row>
    <row r="749" spans="1:8">
      <c r="A749">
        <v>1817600780</v>
      </c>
      <c r="B749" t="s">
        <v>255</v>
      </c>
      <c r="C749">
        <v>0</v>
      </c>
      <c r="D749">
        <v>0</v>
      </c>
      <c r="G749">
        <v>0</v>
      </c>
      <c r="H749">
        <f>VLOOKUP(A749,הוצאות!$B$2:$V$519,19,0)</f>
        <v>0</v>
      </c>
    </row>
    <row r="750" spans="1:8">
      <c r="A750">
        <v>1817600930</v>
      </c>
      <c r="B750" t="s">
        <v>19</v>
      </c>
      <c r="C750">
        <v>0</v>
      </c>
      <c r="D750">
        <v>0</v>
      </c>
      <c r="G750">
        <v>0</v>
      </c>
      <c r="H750">
        <f>VLOOKUP(A750,הוצאות!$B$2:$V$519,19,0)</f>
        <v>0</v>
      </c>
    </row>
    <row r="751" spans="1:8">
      <c r="A751">
        <v>1817610110</v>
      </c>
      <c r="B751" t="s">
        <v>257</v>
      </c>
      <c r="C751">
        <v>0</v>
      </c>
      <c r="D751">
        <v>8861.2000000000007</v>
      </c>
      <c r="G751">
        <v>8861.2000000000007</v>
      </c>
      <c r="H751">
        <f>VLOOKUP(A751,הוצאות!$B$2:$V$519,19,0)</f>
        <v>0</v>
      </c>
    </row>
    <row r="752" spans="1:8">
      <c r="A752">
        <v>1817610870</v>
      </c>
      <c r="B752" t="s">
        <v>258</v>
      </c>
      <c r="C752">
        <v>0</v>
      </c>
      <c r="D752">
        <v>0</v>
      </c>
      <c r="G752">
        <v>0</v>
      </c>
      <c r="H752" t="e">
        <f>VLOOKUP(A752,הוצאות!$B$2:$V$519,19,0)</f>
        <v>#N/A</v>
      </c>
    </row>
    <row r="753" spans="1:8">
      <c r="A753">
        <v>1817620780</v>
      </c>
      <c r="B753" t="s">
        <v>259</v>
      </c>
      <c r="C753">
        <v>0</v>
      </c>
      <c r="D753">
        <v>0</v>
      </c>
      <c r="G753">
        <v>0</v>
      </c>
      <c r="H753" t="e">
        <f>VLOOKUP(A753,הוצאות!$B$2:$V$519,19,0)</f>
        <v>#N/A</v>
      </c>
    </row>
    <row r="754" spans="1:8">
      <c r="A754">
        <v>1817630110</v>
      </c>
      <c r="B754" t="s">
        <v>1782</v>
      </c>
      <c r="C754">
        <v>0</v>
      </c>
      <c r="D754">
        <v>62146.64</v>
      </c>
      <c r="G754">
        <v>62146.64</v>
      </c>
      <c r="H754">
        <f>VLOOKUP(A754,הוצאות!$B$2:$V$519,19,0)</f>
        <v>0</v>
      </c>
    </row>
    <row r="755" spans="1:8">
      <c r="A755">
        <v>1817630780</v>
      </c>
      <c r="B755" t="s">
        <v>260</v>
      </c>
      <c r="C755">
        <v>0</v>
      </c>
      <c r="D755">
        <v>0</v>
      </c>
      <c r="G755">
        <v>0</v>
      </c>
      <c r="H755" t="e">
        <f>VLOOKUP(A755,הוצאות!$B$2:$V$519,19,0)</f>
        <v>#N/A</v>
      </c>
    </row>
    <row r="756" spans="1:8">
      <c r="A756">
        <v>1817640780</v>
      </c>
      <c r="B756" t="s">
        <v>1783</v>
      </c>
      <c r="C756">
        <v>0</v>
      </c>
      <c r="D756">
        <v>0</v>
      </c>
      <c r="G756">
        <v>0</v>
      </c>
      <c r="H756" t="e">
        <f>VLOOKUP(A756,הוצאות!$B$2:$V$519,19,0)</f>
        <v>#N/A</v>
      </c>
    </row>
    <row r="757" spans="1:8">
      <c r="A757">
        <v>1817700110</v>
      </c>
      <c r="B757" t="s">
        <v>261</v>
      </c>
      <c r="C757">
        <v>0</v>
      </c>
      <c r="D757">
        <v>0</v>
      </c>
      <c r="G757">
        <v>0</v>
      </c>
      <c r="H757">
        <f>VLOOKUP(A757,הוצאות!$B$2:$V$519,19,0)</f>
        <v>0</v>
      </c>
    </row>
    <row r="758" spans="1:8">
      <c r="A758">
        <v>1817700431</v>
      </c>
      <c r="B758" t="s">
        <v>262</v>
      </c>
      <c r="C758">
        <v>0</v>
      </c>
      <c r="D758">
        <v>0</v>
      </c>
      <c r="G758">
        <v>0</v>
      </c>
      <c r="H758" t="e">
        <f>VLOOKUP(A758,הוצאות!$B$2:$V$519,19,0)</f>
        <v>#N/A</v>
      </c>
    </row>
    <row r="759" spans="1:8">
      <c r="A759">
        <v>1817700432</v>
      </c>
      <c r="B759" t="s">
        <v>263</v>
      </c>
      <c r="C759">
        <v>0</v>
      </c>
      <c r="D759">
        <v>0</v>
      </c>
      <c r="G759">
        <v>0</v>
      </c>
      <c r="H759" t="e">
        <f>VLOOKUP(A759,הוצאות!$B$2:$V$519,19,0)</f>
        <v>#N/A</v>
      </c>
    </row>
    <row r="760" spans="1:8">
      <c r="A760">
        <v>1817700780</v>
      </c>
      <c r="B760" t="s">
        <v>264</v>
      </c>
      <c r="C760">
        <v>0</v>
      </c>
      <c r="D760">
        <v>0</v>
      </c>
      <c r="G760">
        <v>0</v>
      </c>
      <c r="H760" t="e">
        <f>VLOOKUP(A760,הוצאות!$B$2:$V$519,19,0)</f>
        <v>#N/A</v>
      </c>
    </row>
    <row r="761" spans="1:8">
      <c r="A761">
        <v>1817710110</v>
      </c>
      <c r="B761" t="s">
        <v>265</v>
      </c>
      <c r="C761">
        <v>0</v>
      </c>
      <c r="D761">
        <v>0</v>
      </c>
      <c r="G761">
        <v>0</v>
      </c>
      <c r="H761" t="e">
        <f>VLOOKUP(A761,הוצאות!$B$2:$V$519,19,0)</f>
        <v>#N/A</v>
      </c>
    </row>
    <row r="762" spans="1:8">
      <c r="A762">
        <v>1817710720</v>
      </c>
      <c r="B762" t="s">
        <v>266</v>
      </c>
      <c r="C762">
        <v>0</v>
      </c>
      <c r="D762">
        <v>0</v>
      </c>
      <c r="G762">
        <v>0</v>
      </c>
      <c r="H762">
        <f>VLOOKUP(A762,הוצאות!$B$2:$V$519,19,0)</f>
        <v>0</v>
      </c>
    </row>
    <row r="763" spans="1:8">
      <c r="A763">
        <v>1817710780</v>
      </c>
      <c r="B763" t="s">
        <v>267</v>
      </c>
      <c r="C763">
        <v>0</v>
      </c>
      <c r="D763">
        <v>1563.74</v>
      </c>
      <c r="G763">
        <v>1563.74</v>
      </c>
      <c r="H763">
        <f>VLOOKUP(A763,הוצאות!$B$2:$V$519,19,0)</f>
        <v>0</v>
      </c>
    </row>
    <row r="764" spans="1:8">
      <c r="A764">
        <v>1817720720</v>
      </c>
      <c r="B764" t="s">
        <v>1662</v>
      </c>
      <c r="C764">
        <v>56000</v>
      </c>
      <c r="D764">
        <v>0</v>
      </c>
      <c r="E764">
        <v>-56000</v>
      </c>
      <c r="F764" t="s">
        <v>2115</v>
      </c>
      <c r="G764">
        <v>0</v>
      </c>
      <c r="H764">
        <f>VLOOKUP(A764,הוצאות!$B$2:$V$519,19,0)</f>
        <v>68000</v>
      </c>
    </row>
    <row r="765" spans="1:8">
      <c r="A765">
        <v>1817800110</v>
      </c>
      <c r="B765" t="s">
        <v>268</v>
      </c>
      <c r="C765">
        <v>847143</v>
      </c>
      <c r="D765">
        <v>982339.69</v>
      </c>
      <c r="G765">
        <v>982339.69</v>
      </c>
      <c r="H765">
        <f>VLOOKUP(A765,הוצאות!$B$2:$V$519,19,0)</f>
        <v>847143.91386099998</v>
      </c>
    </row>
    <row r="766" spans="1:8">
      <c r="A766">
        <v>1817800320</v>
      </c>
      <c r="B766" t="s">
        <v>159</v>
      </c>
      <c r="C766">
        <v>0</v>
      </c>
      <c r="D766">
        <v>0</v>
      </c>
      <c r="G766">
        <v>0</v>
      </c>
      <c r="H766">
        <f>VLOOKUP(A766,הוצאות!$B$2:$V$519,19,0)</f>
        <v>0</v>
      </c>
    </row>
    <row r="767" spans="1:8">
      <c r="A767">
        <v>1817800710</v>
      </c>
      <c r="B767" t="s">
        <v>269</v>
      </c>
      <c r="C767">
        <v>2400000</v>
      </c>
      <c r="D767">
        <v>2472538.1</v>
      </c>
      <c r="G767">
        <v>2475438.1</v>
      </c>
      <c r="H767">
        <f>VLOOKUP(A767,הוצאות!$B$2:$V$519,19,0)</f>
        <v>2400000</v>
      </c>
    </row>
    <row r="768" spans="1:8">
      <c r="A768">
        <v>1817900110</v>
      </c>
      <c r="B768" t="s">
        <v>2049</v>
      </c>
      <c r="C768">
        <v>119720</v>
      </c>
      <c r="D768">
        <v>21903.34</v>
      </c>
      <c r="G768">
        <v>21903.34</v>
      </c>
      <c r="H768">
        <f>VLOOKUP(A768,הוצאות!$B$2:$V$519,19,0)</f>
        <v>119720.01675900001</v>
      </c>
    </row>
    <row r="769" spans="1:8">
      <c r="A769">
        <v>1817900320</v>
      </c>
      <c r="B769" t="s">
        <v>159</v>
      </c>
      <c r="C769">
        <v>0</v>
      </c>
      <c r="D769">
        <v>0</v>
      </c>
      <c r="G769">
        <v>0</v>
      </c>
      <c r="H769" t="e">
        <f>VLOOKUP(A769,הוצאות!$B$2:$V$519,19,0)</f>
        <v>#N/A</v>
      </c>
    </row>
    <row r="770" spans="1:8">
      <c r="A770">
        <v>1817901780</v>
      </c>
      <c r="B770" t="s">
        <v>2121</v>
      </c>
      <c r="C770">
        <v>0</v>
      </c>
      <c r="D770">
        <v>9715.2199999999993</v>
      </c>
      <c r="G770">
        <v>9715.2199999999993</v>
      </c>
      <c r="H770">
        <f>VLOOKUP(A770,הוצאות!$B$2:$V$519,19,0)</f>
        <v>0</v>
      </c>
    </row>
    <row r="771" spans="1:8">
      <c r="A771">
        <v>1817910110</v>
      </c>
      <c r="B771" t="s">
        <v>1784</v>
      </c>
      <c r="C771">
        <v>260000</v>
      </c>
      <c r="D771">
        <v>551201.21</v>
      </c>
      <c r="G771">
        <v>551201.21</v>
      </c>
      <c r="H771">
        <f>VLOOKUP(A771,הוצאות!$B$2:$V$519,19,0)</f>
        <v>260000</v>
      </c>
    </row>
    <row r="772" spans="1:8">
      <c r="A772">
        <v>1817910320</v>
      </c>
      <c r="B772" t="s">
        <v>1785</v>
      </c>
      <c r="C772">
        <v>0</v>
      </c>
      <c r="D772">
        <v>6578</v>
      </c>
      <c r="G772">
        <v>6578</v>
      </c>
      <c r="H772">
        <f>VLOOKUP(A772,הוצאות!$B$2:$V$519,19,0)</f>
        <v>0</v>
      </c>
    </row>
    <row r="773" spans="1:8">
      <c r="A773">
        <v>1817910710</v>
      </c>
      <c r="B773" t="s">
        <v>271</v>
      </c>
      <c r="C773">
        <v>0</v>
      </c>
      <c r="D773">
        <v>0</v>
      </c>
      <c r="G773">
        <v>0</v>
      </c>
      <c r="H773">
        <f>VLOOKUP(A773,הוצאות!$B$2:$V$519,19,0)</f>
        <v>0</v>
      </c>
    </row>
    <row r="774" spans="1:8">
      <c r="A774">
        <v>1817910780</v>
      </c>
      <c r="B774" t="s">
        <v>272</v>
      </c>
      <c r="C774">
        <v>120000</v>
      </c>
      <c r="D774">
        <v>15000</v>
      </c>
      <c r="E774">
        <v>-66500</v>
      </c>
      <c r="F774" t="s">
        <v>2115</v>
      </c>
      <c r="G774">
        <v>15000</v>
      </c>
      <c r="H774">
        <f>VLOOKUP(A774,הוצאות!$B$2:$V$519,19,0)</f>
        <v>120000</v>
      </c>
    </row>
    <row r="775" spans="1:8">
      <c r="A775">
        <v>1817910810</v>
      </c>
      <c r="B775" t="s">
        <v>273</v>
      </c>
      <c r="C775">
        <v>2000000</v>
      </c>
      <c r="D775">
        <v>324433.45</v>
      </c>
      <c r="E775">
        <v>-255920</v>
      </c>
      <c r="F775" t="s">
        <v>2115</v>
      </c>
      <c r="G775">
        <v>324433.44999999995</v>
      </c>
      <c r="H775">
        <f>VLOOKUP(A775,הוצאות!$B$2:$V$519,19,0)</f>
        <v>2000000</v>
      </c>
    </row>
    <row r="776" spans="1:8">
      <c r="A776">
        <v>1817911110</v>
      </c>
      <c r="B776" t="s">
        <v>2122</v>
      </c>
      <c r="C776">
        <v>0</v>
      </c>
      <c r="D776">
        <v>45036.57</v>
      </c>
      <c r="G776">
        <v>45036.57</v>
      </c>
      <c r="H776">
        <f>VLOOKUP(A776,הוצאות!$B$2:$V$519,19,0)</f>
        <v>0</v>
      </c>
    </row>
    <row r="777" spans="1:8">
      <c r="A777">
        <v>1817911750</v>
      </c>
      <c r="B777" t="s">
        <v>1787</v>
      </c>
      <c r="C777">
        <v>42862</v>
      </c>
      <c r="D777">
        <v>42755</v>
      </c>
      <c r="G777">
        <v>42755</v>
      </c>
      <c r="H777">
        <f>VLOOKUP(A777,הוצאות!$B$2:$V$519,19,0)</f>
        <v>42862.909090909088</v>
      </c>
    </row>
    <row r="778" spans="1:8">
      <c r="A778">
        <v>1817912110</v>
      </c>
      <c r="B778" t="s">
        <v>1788</v>
      </c>
      <c r="C778">
        <v>0</v>
      </c>
      <c r="D778">
        <v>110827.26</v>
      </c>
      <c r="G778">
        <v>110827.26</v>
      </c>
      <c r="H778">
        <f>VLOOKUP(A778,הוצאות!$B$2:$V$519,19,0)</f>
        <v>0</v>
      </c>
    </row>
    <row r="779" spans="1:8">
      <c r="A779">
        <v>1817912750</v>
      </c>
      <c r="B779" t="s">
        <v>1789</v>
      </c>
      <c r="C779">
        <v>73000</v>
      </c>
      <c r="D779">
        <v>46500</v>
      </c>
      <c r="G779">
        <v>72647</v>
      </c>
      <c r="H779">
        <f>VLOOKUP(A779,הוצאות!$B$2:$V$519,19,0)</f>
        <v>73000</v>
      </c>
    </row>
    <row r="780" spans="1:8">
      <c r="A780">
        <v>1817913110</v>
      </c>
      <c r="B780" t="s">
        <v>1790</v>
      </c>
      <c r="C780">
        <v>0</v>
      </c>
      <c r="D780">
        <v>0</v>
      </c>
      <c r="G780">
        <v>0</v>
      </c>
      <c r="H780">
        <f>VLOOKUP(A780,הוצאות!$B$2:$V$519,19,0)</f>
        <v>0</v>
      </c>
    </row>
    <row r="781" spans="1:8">
      <c r="A781">
        <v>1817913750</v>
      </c>
      <c r="B781" t="s">
        <v>1791</v>
      </c>
      <c r="C781">
        <v>0</v>
      </c>
      <c r="D781">
        <v>0</v>
      </c>
      <c r="G781">
        <v>0</v>
      </c>
      <c r="H781">
        <f>VLOOKUP(A781,הוצאות!$B$2:$V$519,19,0)</f>
        <v>0</v>
      </c>
    </row>
    <row r="782" spans="1:8">
      <c r="A782">
        <v>1817914750</v>
      </c>
      <c r="B782" t="s">
        <v>1925</v>
      </c>
      <c r="C782">
        <v>255800</v>
      </c>
      <c r="D782">
        <v>38450</v>
      </c>
      <c r="G782">
        <v>38450</v>
      </c>
      <c r="H782">
        <f>VLOOKUP(A782,הוצאות!$B$2:$V$519,19,0)</f>
        <v>255800</v>
      </c>
    </row>
    <row r="783" spans="1:8">
      <c r="A783">
        <v>1817915750</v>
      </c>
      <c r="B783" t="s">
        <v>2041</v>
      </c>
      <c r="C783">
        <v>0</v>
      </c>
      <c r="D783">
        <v>0</v>
      </c>
      <c r="G783">
        <v>0</v>
      </c>
      <c r="H783">
        <f>VLOOKUP(A783,הוצאות!$B$2:$V$519,19,0)</f>
        <v>0</v>
      </c>
    </row>
    <row r="784" spans="1:8">
      <c r="A784">
        <v>1817917110</v>
      </c>
      <c r="B784" t="s">
        <v>2042</v>
      </c>
      <c r="C784">
        <v>73860</v>
      </c>
      <c r="D784">
        <v>301429.27</v>
      </c>
      <c r="G784">
        <v>301429.27</v>
      </c>
      <c r="H784">
        <f>VLOOKUP(A784,הוצאות!$B$2:$V$519,19,0)</f>
        <v>73860.542277</v>
      </c>
    </row>
    <row r="785" spans="1:8">
      <c r="A785">
        <v>1817918110</v>
      </c>
      <c r="B785" t="s">
        <v>1925</v>
      </c>
      <c r="C785">
        <v>109565</v>
      </c>
      <c r="D785">
        <v>380991.39</v>
      </c>
      <c r="G785">
        <v>380991.39</v>
      </c>
      <c r="H785">
        <f>VLOOKUP(A785,הוצאות!$B$2:$V$519,19,0)</f>
        <v>109565.64696900001</v>
      </c>
    </row>
    <row r="786" spans="1:8">
      <c r="A786">
        <v>1817919110</v>
      </c>
      <c r="B786" t="s">
        <v>1923</v>
      </c>
      <c r="C786">
        <v>40432</v>
      </c>
      <c r="D786">
        <v>141944.81</v>
      </c>
      <c r="G786">
        <v>141944.81</v>
      </c>
      <c r="H786">
        <f>VLOOKUP(A786,הוצאות!$B$2:$V$519,19,0)</f>
        <v>40432.888620999998</v>
      </c>
    </row>
    <row r="787" spans="1:8">
      <c r="A787">
        <v>1819999399</v>
      </c>
      <c r="B787" t="s">
        <v>47</v>
      </c>
      <c r="C787">
        <v>0</v>
      </c>
      <c r="D787">
        <v>0</v>
      </c>
      <c r="G787">
        <v>0</v>
      </c>
      <c r="H787" t="e">
        <f>VLOOKUP(A787,הוצאות!$B$2:$V$519,19,0)</f>
        <v>#N/A</v>
      </c>
    </row>
    <row r="788" spans="1:8">
      <c r="A788">
        <v>1823000110</v>
      </c>
      <c r="B788" t="s">
        <v>1792</v>
      </c>
      <c r="C788">
        <v>0</v>
      </c>
      <c r="D788">
        <v>0</v>
      </c>
      <c r="G788">
        <v>0</v>
      </c>
      <c r="H788" t="e">
        <f>VLOOKUP(A788,הוצאות!$B$2:$V$519,19,0)</f>
        <v>#N/A</v>
      </c>
    </row>
    <row r="789" spans="1:8">
      <c r="A789">
        <v>1823000410</v>
      </c>
      <c r="B789" t="s">
        <v>1793</v>
      </c>
      <c r="C789">
        <v>0</v>
      </c>
      <c r="D789">
        <v>0</v>
      </c>
      <c r="G789">
        <v>0</v>
      </c>
      <c r="H789" t="e">
        <f>VLOOKUP(A789,הוצאות!$B$2:$V$519,19,0)</f>
        <v>#N/A</v>
      </c>
    </row>
    <row r="790" spans="1:8">
      <c r="A790">
        <v>1823000431</v>
      </c>
      <c r="B790" t="s">
        <v>1794</v>
      </c>
      <c r="C790">
        <v>0</v>
      </c>
      <c r="D790">
        <v>0</v>
      </c>
      <c r="G790">
        <v>0</v>
      </c>
      <c r="H790" t="e">
        <f>VLOOKUP(A790,הוצאות!$B$2:$V$519,19,0)</f>
        <v>#N/A</v>
      </c>
    </row>
    <row r="791" spans="1:8">
      <c r="A791">
        <v>1823000540</v>
      </c>
      <c r="B791" t="s">
        <v>1795</v>
      </c>
      <c r="C791">
        <v>0</v>
      </c>
      <c r="D791">
        <v>0</v>
      </c>
      <c r="G791">
        <v>0</v>
      </c>
      <c r="H791" t="e">
        <f>VLOOKUP(A791,הוצאות!$B$2:$V$519,19,0)</f>
        <v>#N/A</v>
      </c>
    </row>
    <row r="792" spans="1:8">
      <c r="A792">
        <v>1823000720</v>
      </c>
      <c r="B792" t="s">
        <v>1796</v>
      </c>
      <c r="C792">
        <v>0</v>
      </c>
      <c r="D792">
        <v>0</v>
      </c>
      <c r="G792">
        <v>0</v>
      </c>
      <c r="H792" t="e">
        <f>VLOOKUP(A792,הוצאות!$B$2:$V$519,19,0)</f>
        <v>#N/A</v>
      </c>
    </row>
    <row r="793" spans="1:8">
      <c r="A793">
        <v>1823000780</v>
      </c>
      <c r="B793" t="s">
        <v>1797</v>
      </c>
      <c r="C793">
        <v>0</v>
      </c>
      <c r="D793">
        <v>0</v>
      </c>
      <c r="G793">
        <v>0</v>
      </c>
      <c r="H793" t="e">
        <f>VLOOKUP(A793,הוצאות!$B$2:$V$519,19,0)</f>
        <v>#N/A</v>
      </c>
    </row>
    <row r="794" spans="1:8">
      <c r="A794">
        <v>1824000110</v>
      </c>
      <c r="B794" t="s">
        <v>1798</v>
      </c>
      <c r="C794">
        <v>50424</v>
      </c>
      <c r="D794">
        <v>4854.3999999999996</v>
      </c>
      <c r="G794">
        <v>4854.3999999999996</v>
      </c>
      <c r="H794">
        <f>VLOOKUP(A794,הוצאות!$B$2:$V$519,19,0)</f>
        <v>50424.430081999999</v>
      </c>
    </row>
    <row r="795" spans="1:8">
      <c r="A795">
        <v>1824000320</v>
      </c>
      <c r="B795" t="s">
        <v>1799</v>
      </c>
      <c r="C795">
        <v>0</v>
      </c>
      <c r="D795">
        <v>0</v>
      </c>
      <c r="G795">
        <v>0</v>
      </c>
      <c r="H795" t="e">
        <f>VLOOKUP(A795,הוצאות!$B$2:$V$519,19,0)</f>
        <v>#N/A</v>
      </c>
    </row>
    <row r="796" spans="1:8">
      <c r="A796">
        <v>1824000431</v>
      </c>
      <c r="B796" t="s">
        <v>1800</v>
      </c>
      <c r="C796">
        <v>35000</v>
      </c>
      <c r="D796">
        <v>55085.1</v>
      </c>
      <c r="G796">
        <v>55085.1</v>
      </c>
      <c r="H796">
        <f>VLOOKUP(A796,הוצאות!$B$2:$V$519,19,0)</f>
        <v>68255.447272727295</v>
      </c>
    </row>
    <row r="797" spans="1:8">
      <c r="A797">
        <v>1824000432</v>
      </c>
      <c r="B797" t="s">
        <v>274</v>
      </c>
      <c r="C797">
        <v>0</v>
      </c>
      <c r="D797">
        <v>0</v>
      </c>
      <c r="G797">
        <v>0</v>
      </c>
      <c r="H797">
        <f>VLOOKUP(A797,הוצאות!$B$2:$V$519,19,0)</f>
        <v>0</v>
      </c>
    </row>
    <row r="798" spans="1:8">
      <c r="A798">
        <v>1824010870</v>
      </c>
      <c r="B798" t="s">
        <v>275</v>
      </c>
      <c r="C798">
        <v>0</v>
      </c>
      <c r="D798">
        <v>0</v>
      </c>
      <c r="G798">
        <v>0</v>
      </c>
      <c r="H798" t="e">
        <f>VLOOKUP(A798,הוצאות!$B$2:$V$519,19,0)</f>
        <v>#N/A</v>
      </c>
    </row>
    <row r="799" spans="1:8">
      <c r="A799">
        <v>1824020870</v>
      </c>
      <c r="B799" t="s">
        <v>1801</v>
      </c>
      <c r="C799">
        <v>155000</v>
      </c>
      <c r="D799">
        <v>128000</v>
      </c>
      <c r="G799">
        <v>128000</v>
      </c>
      <c r="H799">
        <f>VLOOKUP(A799,הוצאות!$B$2:$V$519,19,0)</f>
        <v>0</v>
      </c>
    </row>
    <row r="800" spans="1:8">
      <c r="A800">
        <v>1824021870</v>
      </c>
      <c r="B800" t="s">
        <v>2043</v>
      </c>
      <c r="C800">
        <v>0</v>
      </c>
      <c r="D800">
        <v>17000</v>
      </c>
      <c r="G800">
        <v>17000</v>
      </c>
      <c r="H800">
        <f>VLOOKUP(A800,הוצאות!$B$2:$V$519,19,0)</f>
        <v>0</v>
      </c>
    </row>
    <row r="801" spans="1:8">
      <c r="A801">
        <v>1824030110</v>
      </c>
      <c r="B801" t="s">
        <v>1802</v>
      </c>
      <c r="C801">
        <v>119174</v>
      </c>
      <c r="D801">
        <v>40244.050000000003</v>
      </c>
      <c r="G801">
        <v>40244.050000000003</v>
      </c>
      <c r="H801">
        <f>VLOOKUP(A801,הוצאות!$B$2:$V$519,19,0)</f>
        <v>119174.78655400001</v>
      </c>
    </row>
    <row r="802" spans="1:8">
      <c r="A802">
        <v>1824030870</v>
      </c>
      <c r="B802" t="s">
        <v>276</v>
      </c>
      <c r="C802">
        <v>0</v>
      </c>
      <c r="D802">
        <v>0</v>
      </c>
      <c r="G802">
        <v>0</v>
      </c>
      <c r="H802" t="e">
        <f>VLOOKUP(A802,הוצאות!$B$2:$V$519,19,0)</f>
        <v>#N/A</v>
      </c>
    </row>
    <row r="803" spans="1:8">
      <c r="A803">
        <v>1824050870</v>
      </c>
      <c r="B803" t="s">
        <v>277</v>
      </c>
      <c r="C803">
        <v>0</v>
      </c>
      <c r="D803">
        <v>2000</v>
      </c>
      <c r="G803">
        <v>2000</v>
      </c>
      <c r="H803">
        <f>VLOOKUP(A803,הוצאות!$B$2:$V$519,19,0)</f>
        <v>0</v>
      </c>
    </row>
    <row r="804" spans="1:8">
      <c r="A804">
        <v>1824060870</v>
      </c>
      <c r="B804" t="s">
        <v>278</v>
      </c>
      <c r="C804">
        <v>0</v>
      </c>
      <c r="D804">
        <v>0</v>
      </c>
      <c r="G804">
        <v>0</v>
      </c>
      <c r="H804" t="e">
        <f>VLOOKUP(A804,הוצאות!$B$2:$V$519,19,0)</f>
        <v>#N/A</v>
      </c>
    </row>
    <row r="805" spans="1:8">
      <c r="A805">
        <v>1828100110</v>
      </c>
      <c r="B805" t="s">
        <v>1629</v>
      </c>
      <c r="C805">
        <v>294295</v>
      </c>
      <c r="D805">
        <v>299118.11</v>
      </c>
      <c r="G805">
        <v>299118.11</v>
      </c>
      <c r="H805">
        <f>VLOOKUP(A805,הוצאות!$B$2:$V$519,19,0)</f>
        <v>294295.28020700003</v>
      </c>
    </row>
    <row r="806" spans="1:8">
      <c r="A806">
        <v>1828200750</v>
      </c>
      <c r="B806" t="s">
        <v>2001</v>
      </c>
      <c r="C806">
        <v>750000</v>
      </c>
      <c r="D806">
        <v>13610</v>
      </c>
      <c r="G806">
        <v>37330</v>
      </c>
      <c r="H806">
        <f>VLOOKUP(A806,הוצאות!$B$2:$V$519,19,0)</f>
        <v>750000</v>
      </c>
    </row>
    <row r="807" spans="1:8">
      <c r="A807">
        <v>1828300110</v>
      </c>
      <c r="B807" t="s">
        <v>279</v>
      </c>
      <c r="C807">
        <v>124586</v>
      </c>
      <c r="D807">
        <v>104637.7</v>
      </c>
      <c r="G807">
        <v>104637.7</v>
      </c>
      <c r="H807">
        <f>VLOOKUP(A807,הוצאות!$B$2:$V$519,19,0)</f>
        <v>124586.93579400002</v>
      </c>
    </row>
    <row r="808" spans="1:8">
      <c r="A808">
        <v>1828300320</v>
      </c>
      <c r="B808" t="s">
        <v>25</v>
      </c>
      <c r="C808">
        <v>0</v>
      </c>
      <c r="D808">
        <v>0</v>
      </c>
      <c r="G808">
        <v>0</v>
      </c>
      <c r="H808">
        <f>VLOOKUP(A808,הוצאות!$B$2:$V$519,19,0)</f>
        <v>0</v>
      </c>
    </row>
    <row r="809" spans="1:8">
      <c r="A809">
        <v>1828300410</v>
      </c>
      <c r="B809" t="s">
        <v>1803</v>
      </c>
      <c r="C809">
        <v>0</v>
      </c>
      <c r="D809">
        <v>0</v>
      </c>
      <c r="G809">
        <v>0</v>
      </c>
      <c r="H809" t="e">
        <f>VLOOKUP(A809,הוצאות!$B$2:$V$519,19,0)</f>
        <v>#N/A</v>
      </c>
    </row>
    <row r="810" spans="1:8">
      <c r="A810">
        <v>1828300420</v>
      </c>
      <c r="B810" t="s">
        <v>150</v>
      </c>
      <c r="C810">
        <v>0</v>
      </c>
      <c r="D810">
        <v>0</v>
      </c>
      <c r="G810">
        <v>0</v>
      </c>
      <c r="H810" t="e">
        <f>VLOOKUP(A810,הוצאות!$B$2:$V$519,19,0)</f>
        <v>#N/A</v>
      </c>
    </row>
    <row r="811" spans="1:8">
      <c r="A811">
        <v>1828300431</v>
      </c>
      <c r="B811" t="s">
        <v>1804</v>
      </c>
      <c r="C811">
        <v>0</v>
      </c>
      <c r="D811">
        <v>0</v>
      </c>
      <c r="G811">
        <v>0</v>
      </c>
      <c r="H811" t="e">
        <f>VLOOKUP(A811,הוצאות!$B$2:$V$519,19,0)</f>
        <v>#N/A</v>
      </c>
    </row>
    <row r="812" spans="1:8">
      <c r="A812">
        <v>1828300710</v>
      </c>
      <c r="B812" t="s">
        <v>1805</v>
      </c>
      <c r="C812">
        <v>0</v>
      </c>
      <c r="D812">
        <v>0</v>
      </c>
      <c r="G812">
        <v>0</v>
      </c>
      <c r="H812" t="e">
        <f>VLOOKUP(A812,הוצאות!$B$2:$V$519,19,0)</f>
        <v>#N/A</v>
      </c>
    </row>
    <row r="813" spans="1:8">
      <c r="A813">
        <v>1828300760</v>
      </c>
      <c r="B813" t="s">
        <v>1655</v>
      </c>
      <c r="C813">
        <v>7570</v>
      </c>
      <c r="D813">
        <v>0</v>
      </c>
      <c r="G813">
        <v>0</v>
      </c>
      <c r="H813">
        <f>VLOOKUP(A813,הוצאות!$B$2:$V$519,19,0)</f>
        <v>7570.909090909091</v>
      </c>
    </row>
    <row r="814" spans="1:8">
      <c r="A814">
        <v>1828300780</v>
      </c>
      <c r="B814" t="s">
        <v>281</v>
      </c>
      <c r="C814">
        <v>0</v>
      </c>
      <c r="D814">
        <v>0</v>
      </c>
      <c r="G814">
        <v>0</v>
      </c>
      <c r="H814" t="e">
        <f>VLOOKUP(A814,הוצאות!$B$2:$V$519,19,0)</f>
        <v>#N/A</v>
      </c>
    </row>
    <row r="815" spans="1:8">
      <c r="A815">
        <v>1828400110</v>
      </c>
      <c r="B815" t="s">
        <v>1656</v>
      </c>
      <c r="C815">
        <v>180000</v>
      </c>
      <c r="D815">
        <v>151460.69</v>
      </c>
      <c r="G815">
        <v>151460.69</v>
      </c>
      <c r="H815">
        <f>VLOOKUP(A815,הוצאות!$B$2:$V$519,19,0)</f>
        <v>180000</v>
      </c>
    </row>
    <row r="816" spans="1:8">
      <c r="A816">
        <v>1828400750</v>
      </c>
      <c r="B816" t="s">
        <v>1657</v>
      </c>
      <c r="D816">
        <v>0</v>
      </c>
      <c r="G816">
        <v>0</v>
      </c>
      <c r="H816">
        <f>VLOOKUP(A816,הוצאות!$B$2:$V$519,19,0)</f>
        <v>878000</v>
      </c>
    </row>
    <row r="817" spans="1:8">
      <c r="A817">
        <v>1828400780</v>
      </c>
      <c r="B817" t="s">
        <v>282</v>
      </c>
      <c r="C817">
        <v>0</v>
      </c>
      <c r="D817">
        <v>526703</v>
      </c>
      <c r="G817">
        <v>526703</v>
      </c>
      <c r="H817">
        <f>VLOOKUP(A817,הוצאות!$B$2:$V$519,19,0)</f>
        <v>0</v>
      </c>
    </row>
    <row r="818" spans="1:8">
      <c r="A818">
        <v>1828410750</v>
      </c>
      <c r="B818" t="s">
        <v>2044</v>
      </c>
      <c r="C818">
        <v>878000</v>
      </c>
      <c r="D818">
        <v>766605</v>
      </c>
      <c r="G818">
        <v>804105</v>
      </c>
      <c r="H818">
        <f>VLOOKUP(A818,הוצאות!$B$2:$V$519,19,0)</f>
        <v>0</v>
      </c>
    </row>
    <row r="819" spans="1:8">
      <c r="A819">
        <v>1828510750</v>
      </c>
      <c r="B819" t="s">
        <v>2123</v>
      </c>
      <c r="C819">
        <v>592522</v>
      </c>
      <c r="D819">
        <v>0</v>
      </c>
      <c r="E819">
        <v>-592522</v>
      </c>
      <c r="F819" t="s">
        <v>2115</v>
      </c>
      <c r="G819">
        <v>0</v>
      </c>
      <c r="H819" t="e">
        <f>VLOOKUP(A819,הוצאות!$B$2:$V$519,19,0)</f>
        <v>#N/A</v>
      </c>
    </row>
    <row r="820" spans="1:8">
      <c r="A820">
        <v>1829000431</v>
      </c>
      <c r="B820" t="s">
        <v>283</v>
      </c>
      <c r="C820">
        <v>46378</v>
      </c>
      <c r="D820">
        <v>47908.22</v>
      </c>
      <c r="G820">
        <v>58639.92</v>
      </c>
      <c r="H820">
        <f>VLOOKUP(A820,הוצאות!$B$2:$V$519,19,0)</f>
        <v>46378.72363636364</v>
      </c>
    </row>
    <row r="821" spans="1:8">
      <c r="A821">
        <v>1829100110</v>
      </c>
      <c r="B821" t="s">
        <v>284</v>
      </c>
      <c r="C821">
        <v>120000</v>
      </c>
      <c r="D821">
        <v>418.34</v>
      </c>
      <c r="G821">
        <v>418.34</v>
      </c>
      <c r="H821">
        <f>VLOOKUP(A821,הוצאות!$B$2:$V$519,19,0)</f>
        <v>120000</v>
      </c>
    </row>
    <row r="822" spans="1:8">
      <c r="A822">
        <v>1829200110</v>
      </c>
      <c r="B822" t="s">
        <v>285</v>
      </c>
      <c r="C822">
        <v>0</v>
      </c>
      <c r="D822">
        <v>0</v>
      </c>
      <c r="G822">
        <v>0</v>
      </c>
      <c r="H822">
        <f>VLOOKUP(A822,הוצאות!$B$2:$V$519,19,0)</f>
        <v>0</v>
      </c>
    </row>
    <row r="823" spans="1:8">
      <c r="A823">
        <v>1829200431</v>
      </c>
      <c r="B823" t="s">
        <v>286</v>
      </c>
      <c r="C823">
        <v>22904</v>
      </c>
      <c r="D823">
        <v>20121.13</v>
      </c>
      <c r="G823">
        <v>20121.13</v>
      </c>
      <c r="H823">
        <f>VLOOKUP(A823,הוצאות!$B$2:$V$519,19,0)</f>
        <v>22904.978181818184</v>
      </c>
    </row>
    <row r="824" spans="1:8">
      <c r="A824">
        <v>1829200432</v>
      </c>
      <c r="B824" t="s">
        <v>287</v>
      </c>
      <c r="C824">
        <v>0</v>
      </c>
      <c r="D824">
        <v>0</v>
      </c>
      <c r="G824">
        <v>0</v>
      </c>
      <c r="H824">
        <f>VLOOKUP(A824,הוצאות!$B$2:$V$519,19,0)</f>
        <v>0</v>
      </c>
    </row>
    <row r="825" spans="1:8">
      <c r="A825">
        <v>1829200540</v>
      </c>
      <c r="B825" t="s">
        <v>288</v>
      </c>
      <c r="C825">
        <v>0</v>
      </c>
      <c r="D825">
        <v>0</v>
      </c>
      <c r="G825">
        <v>0</v>
      </c>
      <c r="H825">
        <f>VLOOKUP(A825,הוצאות!$B$2:$V$519,19,0)</f>
        <v>0</v>
      </c>
    </row>
    <row r="826" spans="1:8">
      <c r="A826">
        <v>1829200720</v>
      </c>
      <c r="B826" t="s">
        <v>289</v>
      </c>
      <c r="C826">
        <v>10425</v>
      </c>
      <c r="D826">
        <v>7450</v>
      </c>
      <c r="G826">
        <v>9790</v>
      </c>
      <c r="H826">
        <f>VLOOKUP(A826,הוצאות!$B$2:$V$519,19,0)</f>
        <v>10425.818181818182</v>
      </c>
    </row>
    <row r="827" spans="1:8">
      <c r="A827">
        <v>1829200740</v>
      </c>
      <c r="B827" t="s">
        <v>155</v>
      </c>
      <c r="C827">
        <v>19653</v>
      </c>
      <c r="D827">
        <v>16806.5</v>
      </c>
      <c r="G827">
        <v>16806.5</v>
      </c>
      <c r="H827">
        <f>VLOOKUP(A827,הוצאות!$B$2:$V$519,19,0)</f>
        <v>19653.054545454543</v>
      </c>
    </row>
    <row r="828" spans="1:8">
      <c r="A828">
        <v>1829200750</v>
      </c>
      <c r="B828" t="s">
        <v>290</v>
      </c>
      <c r="C828">
        <v>110000</v>
      </c>
      <c r="D828">
        <v>149800</v>
      </c>
      <c r="G828">
        <v>157600</v>
      </c>
      <c r="H828">
        <f>VLOOKUP(A828,הוצאות!$B$2:$V$519,19,0)</f>
        <v>110000</v>
      </c>
    </row>
    <row r="829" spans="1:8">
      <c r="A829">
        <v>1829200780</v>
      </c>
      <c r="B829" t="s">
        <v>291</v>
      </c>
      <c r="C829">
        <v>0</v>
      </c>
      <c r="D829">
        <v>0</v>
      </c>
      <c r="G829">
        <v>0</v>
      </c>
      <c r="H829">
        <f>VLOOKUP(A829,הוצאות!$B$2:$V$519,19,0)</f>
        <v>0</v>
      </c>
    </row>
    <row r="830" spans="1:8">
      <c r="A830">
        <v>1829200781</v>
      </c>
      <c r="B830" t="s">
        <v>1640</v>
      </c>
      <c r="C830">
        <v>25000</v>
      </c>
      <c r="D830">
        <v>27000</v>
      </c>
      <c r="G830">
        <v>31680</v>
      </c>
      <c r="H830">
        <f>VLOOKUP(A830,הוצאות!$B$2:$V$519,19,0)</f>
        <v>25000</v>
      </c>
    </row>
    <row r="831" spans="1:8">
      <c r="A831">
        <v>1829200930</v>
      </c>
      <c r="B831" t="s">
        <v>292</v>
      </c>
      <c r="C831">
        <v>0</v>
      </c>
      <c r="D831">
        <v>0</v>
      </c>
      <c r="G831">
        <v>0</v>
      </c>
      <c r="H831" t="e">
        <f>VLOOKUP(A831,הוצאות!$B$2:$V$519,19,0)</f>
        <v>#N/A</v>
      </c>
    </row>
    <row r="832" spans="1:8">
      <c r="A832">
        <v>1829201780</v>
      </c>
      <c r="B832" t="s">
        <v>1633</v>
      </c>
      <c r="C832">
        <v>35000</v>
      </c>
      <c r="D832">
        <v>24150</v>
      </c>
      <c r="G832">
        <v>30527</v>
      </c>
      <c r="H832">
        <f>VLOOKUP(A832,הוצאות!$B$2:$V$519,19,0)</f>
        <v>35000</v>
      </c>
    </row>
    <row r="833" spans="1:8">
      <c r="A833">
        <v>1829201781</v>
      </c>
      <c r="B833" t="s">
        <v>1641</v>
      </c>
      <c r="C833">
        <v>25000</v>
      </c>
      <c r="D833">
        <v>3516.9</v>
      </c>
      <c r="G833">
        <v>18516.900000000001</v>
      </c>
      <c r="H833">
        <f>VLOOKUP(A833,הוצאות!$B$2:$V$519,19,0)</f>
        <v>25000</v>
      </c>
    </row>
    <row r="834" spans="1:8">
      <c r="A834">
        <v>1829202780</v>
      </c>
      <c r="B834" t="s">
        <v>1806</v>
      </c>
      <c r="C834">
        <v>40000</v>
      </c>
      <c r="D834">
        <v>4200</v>
      </c>
      <c r="G834">
        <v>6800</v>
      </c>
      <c r="H834">
        <f>VLOOKUP(A834,הוצאות!$B$2:$V$519,19,0)</f>
        <v>40000</v>
      </c>
    </row>
    <row r="835" spans="1:8">
      <c r="A835">
        <v>1829210110</v>
      </c>
      <c r="B835" t="s">
        <v>293</v>
      </c>
      <c r="C835">
        <v>140647</v>
      </c>
      <c r="D835">
        <v>63368.3</v>
      </c>
      <c r="G835">
        <v>63368.3</v>
      </c>
      <c r="H835">
        <f>VLOOKUP(A835,הוצאות!$B$2:$V$519,19,0)</f>
        <v>140647.02787700001</v>
      </c>
    </row>
    <row r="836" spans="1:8">
      <c r="A836">
        <v>1829210320</v>
      </c>
      <c r="B836" t="s">
        <v>25</v>
      </c>
      <c r="C836">
        <v>0</v>
      </c>
      <c r="D836">
        <v>3468</v>
      </c>
      <c r="G836">
        <v>3468</v>
      </c>
      <c r="H836">
        <f>VLOOKUP(A836,הוצאות!$B$2:$V$519,19,0)</f>
        <v>0</v>
      </c>
    </row>
    <row r="837" spans="1:8">
      <c r="A837">
        <v>1829210750</v>
      </c>
      <c r="B837" t="s">
        <v>1807</v>
      </c>
      <c r="C837">
        <v>0</v>
      </c>
      <c r="D837">
        <v>0</v>
      </c>
      <c r="G837">
        <v>0</v>
      </c>
      <c r="H837" t="e">
        <f>VLOOKUP(A837,הוצאות!$B$2:$V$519,19,0)</f>
        <v>#N/A</v>
      </c>
    </row>
    <row r="838" spans="1:8">
      <c r="A838">
        <v>1829300710</v>
      </c>
      <c r="B838" t="s">
        <v>1808</v>
      </c>
      <c r="C838">
        <v>0</v>
      </c>
      <c r="D838">
        <v>0</v>
      </c>
      <c r="G838">
        <v>0</v>
      </c>
      <c r="H838" t="e">
        <f>VLOOKUP(A838,הוצאות!$B$2:$V$519,19,0)</f>
        <v>#N/A</v>
      </c>
    </row>
    <row r="839" spans="1:8">
      <c r="A839">
        <v>1829300750</v>
      </c>
      <c r="B839" t="s">
        <v>294</v>
      </c>
      <c r="C839">
        <v>50000</v>
      </c>
      <c r="D839">
        <v>36130</v>
      </c>
      <c r="G839">
        <v>39885.699999999997</v>
      </c>
      <c r="H839">
        <f>VLOOKUP(A839,הוצאות!$B$2:$V$519,19,0)</f>
        <v>50000</v>
      </c>
    </row>
    <row r="840" spans="1:8">
      <c r="A840">
        <v>1829999399</v>
      </c>
      <c r="B840" t="s">
        <v>47</v>
      </c>
      <c r="C840">
        <v>0</v>
      </c>
      <c r="D840">
        <v>0</v>
      </c>
      <c r="G840">
        <v>0</v>
      </c>
      <c r="H840" t="e">
        <f>VLOOKUP(A840,הוצאות!$B$2:$V$519,19,0)</f>
        <v>#N/A</v>
      </c>
    </row>
    <row r="841" spans="1:8">
      <c r="A841">
        <v>1832000431</v>
      </c>
      <c r="B841" t="s">
        <v>295</v>
      </c>
      <c r="C841">
        <v>0</v>
      </c>
      <c r="D841">
        <v>0</v>
      </c>
      <c r="G841">
        <v>0</v>
      </c>
      <c r="H841" t="e">
        <f>VLOOKUP(A841,הוצאות!$B$2:$V$519,19,0)</f>
        <v>#N/A</v>
      </c>
    </row>
    <row r="842" spans="1:8">
      <c r="A842">
        <v>1832300110</v>
      </c>
      <c r="B842" t="s">
        <v>296</v>
      </c>
      <c r="C842">
        <v>0</v>
      </c>
      <c r="D842">
        <v>0</v>
      </c>
      <c r="G842">
        <v>0</v>
      </c>
      <c r="H842" t="e">
        <f>VLOOKUP(A842,הוצאות!$B$2:$V$519,19,0)</f>
        <v>#N/A</v>
      </c>
    </row>
    <row r="843" spans="1:8">
      <c r="A843">
        <v>1832300431</v>
      </c>
      <c r="B843" t="s">
        <v>297</v>
      </c>
      <c r="C843">
        <v>0</v>
      </c>
      <c r="D843">
        <v>0</v>
      </c>
      <c r="G843">
        <v>0</v>
      </c>
      <c r="H843" t="e">
        <f>VLOOKUP(A843,הוצאות!$B$2:$V$519,19,0)</f>
        <v>#N/A</v>
      </c>
    </row>
    <row r="844" spans="1:8">
      <c r="A844">
        <v>1832300441</v>
      </c>
      <c r="B844" t="s">
        <v>298</v>
      </c>
      <c r="C844">
        <v>0</v>
      </c>
      <c r="D844">
        <v>0</v>
      </c>
      <c r="G844">
        <v>0</v>
      </c>
      <c r="H844" t="e">
        <f>VLOOKUP(A844,הוצאות!$B$2:$V$519,19,0)</f>
        <v>#N/A</v>
      </c>
    </row>
    <row r="845" spans="1:8">
      <c r="A845">
        <v>1832300540</v>
      </c>
      <c r="B845" t="s">
        <v>299</v>
      </c>
      <c r="C845">
        <v>0</v>
      </c>
      <c r="D845">
        <v>0</v>
      </c>
      <c r="G845">
        <v>0</v>
      </c>
      <c r="H845">
        <f>VLOOKUP(A845,הוצאות!$B$2:$V$519,19,0)</f>
        <v>0</v>
      </c>
    </row>
    <row r="846" spans="1:8">
      <c r="A846">
        <v>1832300720</v>
      </c>
      <c r="B846" t="s">
        <v>1809</v>
      </c>
      <c r="C846">
        <v>0</v>
      </c>
      <c r="D846">
        <v>0</v>
      </c>
      <c r="G846">
        <v>0</v>
      </c>
      <c r="H846" t="e">
        <f>VLOOKUP(A846,הוצאות!$B$2:$V$519,19,0)</f>
        <v>#N/A</v>
      </c>
    </row>
    <row r="847" spans="1:8">
      <c r="A847">
        <v>1832300780</v>
      </c>
      <c r="B847" t="s">
        <v>18</v>
      </c>
      <c r="C847">
        <v>0</v>
      </c>
      <c r="D847">
        <v>4000</v>
      </c>
      <c r="G847">
        <v>4000</v>
      </c>
      <c r="H847">
        <f>VLOOKUP(A847,הוצאות!$B$2:$V$519,19,0)</f>
        <v>0</v>
      </c>
    </row>
    <row r="848" spans="1:8">
      <c r="A848">
        <v>1832300930</v>
      </c>
      <c r="B848" t="s">
        <v>1810</v>
      </c>
      <c r="C848">
        <v>0</v>
      </c>
      <c r="D848">
        <v>0</v>
      </c>
      <c r="G848">
        <v>0</v>
      </c>
      <c r="H848" t="e">
        <f>VLOOKUP(A848,הוצאות!$B$2:$V$519,19,0)</f>
        <v>#N/A</v>
      </c>
    </row>
    <row r="849" spans="1:8">
      <c r="A849">
        <v>1832400110</v>
      </c>
      <c r="B849" t="s">
        <v>300</v>
      </c>
      <c r="C849">
        <v>78273</v>
      </c>
      <c r="D849">
        <v>64023.3</v>
      </c>
      <c r="G849">
        <v>64023.3</v>
      </c>
      <c r="H849">
        <f>VLOOKUP(A849,הוצאות!$B$2:$V$519,19,0)</f>
        <v>78273.877597000013</v>
      </c>
    </row>
    <row r="850" spans="1:8">
      <c r="A850">
        <v>1832400320</v>
      </c>
      <c r="B850" t="s">
        <v>25</v>
      </c>
      <c r="C850">
        <v>0</v>
      </c>
      <c r="D850">
        <v>0</v>
      </c>
      <c r="G850">
        <v>0</v>
      </c>
      <c r="H850" t="e">
        <f>VLOOKUP(A850,הוצאות!$B$2:$V$519,19,0)</f>
        <v>#N/A</v>
      </c>
    </row>
    <row r="851" spans="1:8">
      <c r="A851">
        <v>1832400431</v>
      </c>
      <c r="B851" t="s">
        <v>301</v>
      </c>
      <c r="C851">
        <v>20000</v>
      </c>
      <c r="D851">
        <v>-20855.55</v>
      </c>
      <c r="G851">
        <v>-20855.55</v>
      </c>
      <c r="H851">
        <f>VLOOKUP(A851,הוצאות!$B$2:$V$519,19,0)</f>
        <v>20000</v>
      </c>
    </row>
    <row r="852" spans="1:8">
      <c r="A852">
        <v>1832400432</v>
      </c>
      <c r="B852" t="s">
        <v>302</v>
      </c>
      <c r="C852">
        <v>0</v>
      </c>
      <c r="D852">
        <v>0</v>
      </c>
      <c r="G852">
        <v>0</v>
      </c>
      <c r="H852">
        <f>VLOOKUP(A852,הוצאות!$B$2:$V$519,19,0)</f>
        <v>0</v>
      </c>
    </row>
    <row r="853" spans="1:8">
      <c r="A853">
        <v>1832400433</v>
      </c>
      <c r="B853" t="s">
        <v>1811</v>
      </c>
      <c r="C853">
        <v>0</v>
      </c>
      <c r="D853">
        <v>0</v>
      </c>
      <c r="G853">
        <v>0</v>
      </c>
      <c r="H853" t="e">
        <f>VLOOKUP(A853,הוצאות!$B$2:$V$519,19,0)</f>
        <v>#N/A</v>
      </c>
    </row>
    <row r="854" spans="1:8">
      <c r="A854">
        <v>1832400720</v>
      </c>
      <c r="B854" t="s">
        <v>1812</v>
      </c>
      <c r="C854">
        <v>0</v>
      </c>
      <c r="D854">
        <v>0</v>
      </c>
      <c r="G854">
        <v>0</v>
      </c>
      <c r="H854" t="e">
        <f>VLOOKUP(A854,הוצאות!$B$2:$V$519,19,0)</f>
        <v>#N/A</v>
      </c>
    </row>
    <row r="855" spans="1:8">
      <c r="A855">
        <v>1832400750</v>
      </c>
      <c r="B855" t="s">
        <v>303</v>
      </c>
      <c r="C855">
        <v>0</v>
      </c>
      <c r="D855">
        <v>0</v>
      </c>
      <c r="G855">
        <v>0</v>
      </c>
      <c r="H855">
        <f>VLOOKUP(A855,הוצאות!$B$2:$V$519,19,0)</f>
        <v>0</v>
      </c>
    </row>
    <row r="856" spans="1:8">
      <c r="A856">
        <v>1832400780</v>
      </c>
      <c r="B856" t="s">
        <v>304</v>
      </c>
      <c r="C856">
        <v>0</v>
      </c>
      <c r="D856">
        <v>0</v>
      </c>
      <c r="G856">
        <v>0</v>
      </c>
      <c r="H856">
        <f>VLOOKUP(A856,הוצאות!$B$2:$V$519,19,0)</f>
        <v>0</v>
      </c>
    </row>
    <row r="857" spans="1:8">
      <c r="A857">
        <v>1836100830</v>
      </c>
      <c r="B857" t="s">
        <v>305</v>
      </c>
      <c r="C857">
        <v>0</v>
      </c>
      <c r="D857">
        <v>7345</v>
      </c>
      <c r="G857">
        <v>7345</v>
      </c>
      <c r="H857">
        <f>VLOOKUP(A857,הוצאות!$B$2:$V$519,19,0)</f>
        <v>0</v>
      </c>
    </row>
    <row r="858" spans="1:8">
      <c r="A858">
        <v>1838020840</v>
      </c>
      <c r="B858" t="s">
        <v>306</v>
      </c>
      <c r="C858">
        <v>0</v>
      </c>
      <c r="D858">
        <v>0</v>
      </c>
      <c r="G858">
        <v>0</v>
      </c>
      <c r="H858" t="e">
        <f>VLOOKUP(A858,הוצאות!$B$2:$V$519,19,0)</f>
        <v>#N/A</v>
      </c>
    </row>
    <row r="859" spans="1:8">
      <c r="A859">
        <v>1839999399</v>
      </c>
      <c r="B859" t="s">
        <v>47</v>
      </c>
      <c r="C859">
        <v>0</v>
      </c>
      <c r="D859">
        <v>0</v>
      </c>
      <c r="G859">
        <v>0</v>
      </c>
      <c r="H859" t="e">
        <f>VLOOKUP(A859,הוצאות!$B$2:$V$519,19,0)</f>
        <v>#N/A</v>
      </c>
    </row>
    <row r="860" spans="1:8">
      <c r="A860">
        <v>1841000420</v>
      </c>
      <c r="B860" t="s">
        <v>307</v>
      </c>
      <c r="C860">
        <v>0</v>
      </c>
      <c r="D860">
        <v>0</v>
      </c>
      <c r="G860">
        <v>0</v>
      </c>
      <c r="H860">
        <f>VLOOKUP(A860,הוצאות!$B$2:$V$519,19,0)</f>
        <v>0</v>
      </c>
    </row>
    <row r="861" spans="1:8">
      <c r="A861">
        <v>1841000431</v>
      </c>
      <c r="B861" t="s">
        <v>308</v>
      </c>
      <c r="C861">
        <v>0</v>
      </c>
      <c r="D861">
        <v>10918.02</v>
      </c>
      <c r="G861">
        <v>10918.02</v>
      </c>
      <c r="H861">
        <f>VLOOKUP(A861,הוצאות!$B$2:$V$519,19,0)</f>
        <v>0</v>
      </c>
    </row>
    <row r="862" spans="1:8">
      <c r="A862">
        <v>1841000523</v>
      </c>
      <c r="B862" t="s">
        <v>28</v>
      </c>
      <c r="C862">
        <v>0</v>
      </c>
      <c r="D862">
        <v>0</v>
      </c>
      <c r="G862">
        <v>0</v>
      </c>
      <c r="H862">
        <f>VLOOKUP(A862,הוצאות!$B$2:$V$519,19,0)</f>
        <v>0</v>
      </c>
    </row>
    <row r="863" spans="1:8">
      <c r="A863">
        <v>1841000780</v>
      </c>
      <c r="B863" t="s">
        <v>18</v>
      </c>
      <c r="C863">
        <v>15000</v>
      </c>
      <c r="D863">
        <v>24088.44</v>
      </c>
      <c r="G863">
        <v>24088.44</v>
      </c>
      <c r="H863">
        <f>VLOOKUP(A863,הוצאות!$B$2:$V$519,19,0)</f>
        <v>15000</v>
      </c>
    </row>
    <row r="864" spans="1:8">
      <c r="A864">
        <v>1841001110</v>
      </c>
      <c r="B864" t="s">
        <v>309</v>
      </c>
      <c r="C864">
        <v>2300000</v>
      </c>
      <c r="D864">
        <v>2402518.13</v>
      </c>
      <c r="G864">
        <v>2402518.13</v>
      </c>
      <c r="H864">
        <f>VLOOKUP(A864,הוצאות!$B$2:$V$519,19,0)</f>
        <v>2300000</v>
      </c>
    </row>
    <row r="865" spans="1:8">
      <c r="A865">
        <v>1841001320</v>
      </c>
      <c r="B865" t="s">
        <v>25</v>
      </c>
      <c r="C865">
        <v>0</v>
      </c>
      <c r="D865">
        <v>0</v>
      </c>
      <c r="G865">
        <v>0</v>
      </c>
      <c r="H865">
        <f>VLOOKUP(A865,הוצאות!$B$2:$V$519,19,0)</f>
        <v>0</v>
      </c>
    </row>
    <row r="866" spans="1:8">
      <c r="A866">
        <v>1841002840</v>
      </c>
      <c r="B866" t="s">
        <v>310</v>
      </c>
      <c r="C866">
        <v>0</v>
      </c>
      <c r="D866">
        <v>0</v>
      </c>
      <c r="G866">
        <v>0</v>
      </c>
      <c r="H866" t="e">
        <f>VLOOKUP(A866,הוצאות!$B$2:$V$519,19,0)</f>
        <v>#N/A</v>
      </c>
    </row>
    <row r="867" spans="1:8">
      <c r="A867">
        <v>1841003410</v>
      </c>
      <c r="B867" t="s">
        <v>311</v>
      </c>
      <c r="C867">
        <v>126000</v>
      </c>
      <c r="D867">
        <v>126360</v>
      </c>
      <c r="G867">
        <v>126360</v>
      </c>
      <c r="H867">
        <f>VLOOKUP(A867,הוצאות!$B$2:$V$519,19,0)</f>
        <v>126000</v>
      </c>
    </row>
    <row r="868" spans="1:8">
      <c r="A868">
        <v>1841003420</v>
      </c>
      <c r="B868" t="s">
        <v>141</v>
      </c>
      <c r="C868">
        <v>0</v>
      </c>
      <c r="D868">
        <v>0</v>
      </c>
      <c r="G868">
        <v>0</v>
      </c>
      <c r="H868" t="e">
        <f>VLOOKUP(A868,הוצאות!$B$2:$V$519,19,0)</f>
        <v>#N/A</v>
      </c>
    </row>
    <row r="869" spans="1:8">
      <c r="A869">
        <v>1841003431</v>
      </c>
      <c r="B869" t="s">
        <v>26</v>
      </c>
      <c r="C869">
        <v>0</v>
      </c>
      <c r="D869">
        <v>0</v>
      </c>
      <c r="G869">
        <v>0</v>
      </c>
      <c r="H869">
        <f>VLOOKUP(A869,הוצאות!$B$2:$V$519,19,0)</f>
        <v>0</v>
      </c>
    </row>
    <row r="870" spans="1:8">
      <c r="A870">
        <v>1841003432</v>
      </c>
      <c r="B870" t="s">
        <v>165</v>
      </c>
      <c r="C870">
        <v>0</v>
      </c>
      <c r="D870">
        <v>0</v>
      </c>
      <c r="G870">
        <v>0</v>
      </c>
      <c r="H870" t="e">
        <f>VLOOKUP(A870,הוצאות!$B$2:$V$519,19,0)</f>
        <v>#N/A</v>
      </c>
    </row>
    <row r="871" spans="1:8">
      <c r="A871">
        <v>1841003511</v>
      </c>
      <c r="B871" t="s">
        <v>27</v>
      </c>
      <c r="C871">
        <v>0</v>
      </c>
      <c r="D871">
        <v>0</v>
      </c>
      <c r="G871">
        <v>0</v>
      </c>
      <c r="H871" t="e">
        <f>VLOOKUP(A871,הוצאות!$B$2:$V$519,19,0)</f>
        <v>#N/A</v>
      </c>
    </row>
    <row r="872" spans="1:8">
      <c r="A872">
        <v>1841003523</v>
      </c>
      <c r="B872" t="s">
        <v>28</v>
      </c>
      <c r="C872">
        <v>0</v>
      </c>
      <c r="D872">
        <v>0</v>
      </c>
      <c r="G872">
        <v>0</v>
      </c>
      <c r="H872" t="e">
        <f>VLOOKUP(A872,הוצאות!$B$2:$V$519,19,0)</f>
        <v>#N/A</v>
      </c>
    </row>
    <row r="873" spans="1:8">
      <c r="A873">
        <v>1841003540</v>
      </c>
      <c r="B873" t="s">
        <v>104</v>
      </c>
      <c r="C873">
        <v>0</v>
      </c>
      <c r="D873">
        <v>0</v>
      </c>
      <c r="G873">
        <v>0</v>
      </c>
      <c r="H873">
        <f>VLOOKUP(A873,הוצאות!$B$2:$V$519,19,0)</f>
        <v>0</v>
      </c>
    </row>
    <row r="874" spans="1:8">
      <c r="A874">
        <v>1841003560</v>
      </c>
      <c r="B874" t="s">
        <v>312</v>
      </c>
      <c r="C874">
        <v>15000</v>
      </c>
      <c r="D874">
        <v>3361</v>
      </c>
      <c r="G874">
        <v>3361</v>
      </c>
      <c r="H874">
        <f>VLOOKUP(A874,הוצאות!$B$2:$V$519,19,0)</f>
        <v>15000</v>
      </c>
    </row>
    <row r="875" spans="1:8">
      <c r="A875">
        <v>1841003570</v>
      </c>
      <c r="B875" t="s">
        <v>313</v>
      </c>
      <c r="C875">
        <v>0</v>
      </c>
      <c r="D875">
        <v>0</v>
      </c>
      <c r="G875">
        <v>0</v>
      </c>
      <c r="H875">
        <f>VLOOKUP(A875,הוצאות!$B$2:$V$519,19,0)</f>
        <v>0</v>
      </c>
    </row>
    <row r="876" spans="1:8">
      <c r="A876">
        <v>1841003720</v>
      </c>
      <c r="B876" t="s">
        <v>32</v>
      </c>
      <c r="C876">
        <v>0</v>
      </c>
      <c r="D876">
        <v>0</v>
      </c>
      <c r="G876">
        <v>0</v>
      </c>
      <c r="H876" t="e">
        <f>VLOOKUP(A876,הוצאות!$B$2:$V$519,19,0)</f>
        <v>#N/A</v>
      </c>
    </row>
    <row r="877" spans="1:8">
      <c r="A877">
        <v>1841003750</v>
      </c>
      <c r="B877" t="s">
        <v>62</v>
      </c>
      <c r="C877">
        <v>0</v>
      </c>
      <c r="D877">
        <v>0</v>
      </c>
      <c r="G877">
        <v>0</v>
      </c>
      <c r="H877" t="e">
        <f>VLOOKUP(A877,הוצאות!$B$2:$V$519,19,0)</f>
        <v>#N/A</v>
      </c>
    </row>
    <row r="878" spans="1:8">
      <c r="A878">
        <v>1841003780</v>
      </c>
      <c r="B878" t="s">
        <v>18</v>
      </c>
      <c r="C878">
        <v>0</v>
      </c>
      <c r="D878">
        <v>4930.5</v>
      </c>
      <c r="G878">
        <v>4930.5</v>
      </c>
      <c r="H878">
        <f>VLOOKUP(A878,הוצאות!$B$2:$V$519,19,0)</f>
        <v>0</v>
      </c>
    </row>
    <row r="879" spans="1:8">
      <c r="A879">
        <v>1841003930</v>
      </c>
      <c r="B879" t="s">
        <v>314</v>
      </c>
      <c r="C879">
        <v>0</v>
      </c>
      <c r="D879">
        <v>0</v>
      </c>
      <c r="G879">
        <v>0</v>
      </c>
      <c r="H879">
        <f>VLOOKUP(A879,הוצאות!$B$2:$V$519,19,0)</f>
        <v>0</v>
      </c>
    </row>
    <row r="880" spans="1:8">
      <c r="A880">
        <v>1841004840</v>
      </c>
      <c r="B880" t="s">
        <v>1702</v>
      </c>
      <c r="C880">
        <v>0</v>
      </c>
      <c r="D880">
        <v>0</v>
      </c>
      <c r="G880">
        <v>0</v>
      </c>
      <c r="H880" t="e">
        <f>VLOOKUP(A880,הוצאות!$B$2:$V$519,19,0)</f>
        <v>#N/A</v>
      </c>
    </row>
    <row r="881" spans="1:8">
      <c r="A881">
        <v>1841004930</v>
      </c>
      <c r="B881" t="s">
        <v>1813</v>
      </c>
      <c r="C881">
        <v>0</v>
      </c>
      <c r="D881">
        <v>0</v>
      </c>
      <c r="G881">
        <v>0</v>
      </c>
      <c r="H881" t="e">
        <f>VLOOKUP(A881,הוצאות!$B$2:$V$519,19,0)</f>
        <v>#N/A</v>
      </c>
    </row>
    <row r="882" spans="1:8">
      <c r="A882">
        <v>1842201780</v>
      </c>
      <c r="B882" t="s">
        <v>1814</v>
      </c>
      <c r="C882">
        <v>0</v>
      </c>
      <c r="D882">
        <v>0</v>
      </c>
      <c r="G882">
        <v>0</v>
      </c>
      <c r="H882" t="e">
        <f>VLOOKUP(A882,הוצאות!$B$2:$V$519,19,0)</f>
        <v>#N/A</v>
      </c>
    </row>
    <row r="883" spans="1:8">
      <c r="A883">
        <v>1842201840</v>
      </c>
      <c r="B883" t="s">
        <v>1815</v>
      </c>
      <c r="C883">
        <v>0</v>
      </c>
      <c r="D883">
        <v>0</v>
      </c>
      <c r="G883">
        <v>0</v>
      </c>
      <c r="H883" t="e">
        <f>VLOOKUP(A883,הוצאות!$B$2:$V$519,19,0)</f>
        <v>#N/A</v>
      </c>
    </row>
    <row r="884" spans="1:8">
      <c r="A884">
        <v>1842202750</v>
      </c>
      <c r="B884" t="s">
        <v>1816</v>
      </c>
      <c r="C884">
        <v>50000</v>
      </c>
      <c r="D884">
        <v>7686</v>
      </c>
      <c r="G884">
        <v>7686</v>
      </c>
      <c r="H884">
        <f>VLOOKUP(A884,הוצאות!$B$2:$V$519,19,0)</f>
        <v>50000</v>
      </c>
    </row>
    <row r="885" spans="1:8">
      <c r="A885">
        <v>1842202780</v>
      </c>
      <c r="B885" t="s">
        <v>315</v>
      </c>
      <c r="C885">
        <v>0</v>
      </c>
      <c r="D885">
        <v>0</v>
      </c>
      <c r="G885">
        <v>0</v>
      </c>
      <c r="H885" t="e">
        <f>VLOOKUP(A885,הוצאות!$B$2:$V$519,19,0)</f>
        <v>#N/A</v>
      </c>
    </row>
    <row r="886" spans="1:8">
      <c r="A886">
        <v>1842202840</v>
      </c>
      <c r="B886" t="s">
        <v>315</v>
      </c>
      <c r="C886">
        <v>192219</v>
      </c>
      <c r="D886">
        <v>155460</v>
      </c>
      <c r="G886">
        <v>155460</v>
      </c>
      <c r="H886">
        <f>VLOOKUP(A886,הוצאות!$B$2:$V$519,19,0)</f>
        <v>192219.27272727274</v>
      </c>
    </row>
    <row r="887" spans="1:8">
      <c r="A887">
        <v>1842203780</v>
      </c>
      <c r="B887" t="s">
        <v>316</v>
      </c>
      <c r="C887">
        <v>0</v>
      </c>
      <c r="D887">
        <v>0</v>
      </c>
      <c r="G887">
        <v>0</v>
      </c>
      <c r="H887" t="e">
        <f>VLOOKUP(A887,הוצאות!$B$2:$V$519,19,0)</f>
        <v>#N/A</v>
      </c>
    </row>
    <row r="888" spans="1:8">
      <c r="A888">
        <v>1842203840</v>
      </c>
      <c r="B888" t="s">
        <v>317</v>
      </c>
      <c r="C888">
        <v>0</v>
      </c>
      <c r="D888">
        <v>0</v>
      </c>
      <c r="G888">
        <v>0</v>
      </c>
      <c r="H888" t="e">
        <f>VLOOKUP(A888,הוצאות!$B$2:$V$519,19,0)</f>
        <v>#N/A</v>
      </c>
    </row>
    <row r="889" spans="1:8">
      <c r="A889">
        <v>1842204710</v>
      </c>
      <c r="B889" t="s">
        <v>318</v>
      </c>
      <c r="C889">
        <v>0</v>
      </c>
      <c r="D889">
        <v>0</v>
      </c>
      <c r="G889">
        <v>0</v>
      </c>
      <c r="H889" t="e">
        <f>VLOOKUP(A889,הוצאות!$B$2:$V$519,19,0)</f>
        <v>#N/A</v>
      </c>
    </row>
    <row r="890" spans="1:8">
      <c r="A890">
        <v>1842204840</v>
      </c>
      <c r="B890" t="s">
        <v>319</v>
      </c>
      <c r="C890">
        <v>0</v>
      </c>
      <c r="D890">
        <v>0</v>
      </c>
      <c r="G890">
        <v>0</v>
      </c>
      <c r="H890" t="e">
        <f>VLOOKUP(A890,הוצאות!$B$2:$V$519,19,0)</f>
        <v>#N/A</v>
      </c>
    </row>
    <row r="891" spans="1:8">
      <c r="A891">
        <v>1842205710</v>
      </c>
      <c r="B891" t="s">
        <v>320</v>
      </c>
      <c r="C891">
        <v>0</v>
      </c>
      <c r="D891">
        <v>0</v>
      </c>
      <c r="G891">
        <v>0</v>
      </c>
      <c r="H891" t="e">
        <f>VLOOKUP(A891,הוצאות!$B$2:$V$519,19,0)</f>
        <v>#N/A</v>
      </c>
    </row>
    <row r="892" spans="1:8">
      <c r="A892">
        <v>1842205780</v>
      </c>
      <c r="B892" t="s">
        <v>321</v>
      </c>
      <c r="C892">
        <v>0</v>
      </c>
      <c r="D892">
        <v>0</v>
      </c>
      <c r="G892">
        <v>0</v>
      </c>
      <c r="H892" t="e">
        <f>VLOOKUP(A892,הוצאות!$B$2:$V$519,19,0)</f>
        <v>#N/A</v>
      </c>
    </row>
    <row r="893" spans="1:8">
      <c r="A893">
        <v>1842205840</v>
      </c>
      <c r="B893" t="s">
        <v>322</v>
      </c>
      <c r="C893">
        <v>0</v>
      </c>
      <c r="D893">
        <v>0</v>
      </c>
      <c r="G893">
        <v>0</v>
      </c>
      <c r="H893" t="e">
        <f>VLOOKUP(A893,הוצאות!$B$2:$V$519,19,0)</f>
        <v>#N/A</v>
      </c>
    </row>
    <row r="894" spans="1:8">
      <c r="A894">
        <v>1842206840</v>
      </c>
      <c r="B894" t="s">
        <v>323</v>
      </c>
      <c r="C894">
        <v>70000</v>
      </c>
      <c r="D894">
        <v>60982</v>
      </c>
      <c r="G894">
        <v>60982</v>
      </c>
      <c r="H894">
        <f>VLOOKUP(A894,הוצאות!$B$2:$V$519,19,0)</f>
        <v>70000</v>
      </c>
    </row>
    <row r="895" spans="1:8">
      <c r="A895">
        <v>1842207840</v>
      </c>
      <c r="B895" t="s">
        <v>383</v>
      </c>
      <c r="C895">
        <v>0</v>
      </c>
      <c r="D895">
        <v>0</v>
      </c>
      <c r="G895">
        <v>0</v>
      </c>
      <c r="H895" t="e">
        <f>VLOOKUP(A895,הוצאות!$B$2:$V$519,19,0)</f>
        <v>#N/A</v>
      </c>
    </row>
    <row r="896" spans="1:8">
      <c r="A896">
        <v>1842208840</v>
      </c>
      <c r="B896" t="s">
        <v>2025</v>
      </c>
      <c r="C896">
        <v>8000</v>
      </c>
      <c r="D896">
        <v>0</v>
      </c>
      <c r="G896">
        <v>0</v>
      </c>
      <c r="H896">
        <f>VLOOKUP(A896,הוצאות!$B$2:$V$519,19,0)</f>
        <v>8000</v>
      </c>
    </row>
    <row r="897" spans="1:8">
      <c r="A897">
        <v>1842401840</v>
      </c>
      <c r="B897" t="s">
        <v>324</v>
      </c>
      <c r="C897">
        <v>17333</v>
      </c>
      <c r="D897">
        <v>5952</v>
      </c>
      <c r="G897">
        <v>5952</v>
      </c>
      <c r="H897">
        <f>VLOOKUP(A897,הוצאות!$B$2:$V$519,19,0)</f>
        <v>17333</v>
      </c>
    </row>
    <row r="898" spans="1:8">
      <c r="A898">
        <v>1842402840</v>
      </c>
      <c r="B898" t="s">
        <v>325</v>
      </c>
      <c r="C898">
        <v>21000</v>
      </c>
      <c r="D898">
        <v>7666</v>
      </c>
      <c r="G898">
        <v>7666</v>
      </c>
      <c r="H898">
        <f>VLOOKUP(A898,הוצאות!$B$2:$V$519,19,0)</f>
        <v>21000</v>
      </c>
    </row>
    <row r="899" spans="1:8">
      <c r="A899">
        <v>1843501110</v>
      </c>
      <c r="B899" t="s">
        <v>326</v>
      </c>
      <c r="C899">
        <v>125003</v>
      </c>
      <c r="D899">
        <v>107486.12</v>
      </c>
      <c r="G899">
        <v>107486.12</v>
      </c>
      <c r="H899">
        <f>VLOOKUP(A899,הוצאות!$B$2:$V$519,19,0)</f>
        <v>125003.25811000001</v>
      </c>
    </row>
    <row r="900" spans="1:8">
      <c r="A900">
        <v>1843501840</v>
      </c>
      <c r="B900" t="s">
        <v>327</v>
      </c>
      <c r="C900">
        <v>0</v>
      </c>
      <c r="D900">
        <v>0</v>
      </c>
      <c r="G900">
        <v>0</v>
      </c>
      <c r="H900">
        <f>VLOOKUP(A900,הוצאות!$B$2:$V$519,19,0)</f>
        <v>0</v>
      </c>
    </row>
    <row r="901" spans="1:8">
      <c r="A901">
        <v>1843502840</v>
      </c>
      <c r="B901" t="s">
        <v>328</v>
      </c>
      <c r="C901">
        <v>240000</v>
      </c>
      <c r="D901">
        <v>212083</v>
      </c>
      <c r="G901">
        <v>212083</v>
      </c>
      <c r="H901">
        <f>VLOOKUP(A901,הוצאות!$B$2:$V$519,19,0)</f>
        <v>240000</v>
      </c>
    </row>
    <row r="902" spans="1:8">
      <c r="A902">
        <v>1843503750</v>
      </c>
      <c r="B902" t="s">
        <v>34</v>
      </c>
      <c r="C902">
        <v>10000</v>
      </c>
      <c r="D902">
        <v>0</v>
      </c>
      <c r="G902">
        <v>0</v>
      </c>
      <c r="H902">
        <f>VLOOKUP(A902,הוצאות!$B$2:$V$519,19,0)</f>
        <v>10000</v>
      </c>
    </row>
    <row r="903" spans="1:8">
      <c r="A903">
        <v>1843503840</v>
      </c>
      <c r="B903" t="s">
        <v>329</v>
      </c>
      <c r="C903">
        <v>1200000</v>
      </c>
      <c r="D903">
        <v>1082418</v>
      </c>
      <c r="G903">
        <v>1082418</v>
      </c>
      <c r="H903">
        <f>VLOOKUP(A903,הוצאות!$B$2:$V$519,19,0)</f>
        <v>1200000</v>
      </c>
    </row>
    <row r="904" spans="1:8">
      <c r="A904">
        <v>1843503930</v>
      </c>
      <c r="B904" t="s">
        <v>1817</v>
      </c>
      <c r="C904">
        <v>0</v>
      </c>
      <c r="D904">
        <v>0</v>
      </c>
      <c r="G904">
        <v>0</v>
      </c>
      <c r="H904" t="e">
        <f>VLOOKUP(A904,הוצאות!$B$2:$V$519,19,0)</f>
        <v>#N/A</v>
      </c>
    </row>
    <row r="905" spans="1:8">
      <c r="A905">
        <v>1843504110</v>
      </c>
      <c r="B905" t="s">
        <v>1818</v>
      </c>
      <c r="C905">
        <v>0</v>
      </c>
      <c r="D905">
        <v>0</v>
      </c>
      <c r="G905">
        <v>0</v>
      </c>
      <c r="H905" t="e">
        <f>VLOOKUP(A905,הוצאות!$B$2:$V$519,19,0)</f>
        <v>#N/A</v>
      </c>
    </row>
    <row r="906" spans="1:8">
      <c r="A906">
        <v>1843504410</v>
      </c>
      <c r="B906" t="s">
        <v>1819</v>
      </c>
      <c r="C906">
        <v>0</v>
      </c>
      <c r="D906">
        <v>0</v>
      </c>
      <c r="G906">
        <v>0</v>
      </c>
      <c r="H906" t="e">
        <f>VLOOKUP(A906,הוצאות!$B$2:$V$519,19,0)</f>
        <v>#N/A</v>
      </c>
    </row>
    <row r="907" spans="1:8">
      <c r="A907">
        <v>1843504420</v>
      </c>
      <c r="B907" t="s">
        <v>1820</v>
      </c>
      <c r="C907">
        <v>0</v>
      </c>
      <c r="D907">
        <v>0</v>
      </c>
      <c r="G907">
        <v>0</v>
      </c>
      <c r="H907" t="e">
        <f>VLOOKUP(A907,הוצאות!$B$2:$V$519,19,0)</f>
        <v>#N/A</v>
      </c>
    </row>
    <row r="908" spans="1:8">
      <c r="A908">
        <v>1843504431</v>
      </c>
      <c r="B908" t="s">
        <v>1821</v>
      </c>
      <c r="C908">
        <v>0</v>
      </c>
      <c r="D908">
        <v>0</v>
      </c>
      <c r="G908">
        <v>0</v>
      </c>
      <c r="H908" t="e">
        <f>VLOOKUP(A908,הוצאות!$B$2:$V$519,19,0)</f>
        <v>#N/A</v>
      </c>
    </row>
    <row r="909" spans="1:8">
      <c r="A909">
        <v>1843504432</v>
      </c>
      <c r="B909" t="s">
        <v>1822</v>
      </c>
      <c r="C909">
        <v>0</v>
      </c>
      <c r="D909">
        <v>0</v>
      </c>
      <c r="G909">
        <v>0</v>
      </c>
      <c r="H909" t="e">
        <f>VLOOKUP(A909,הוצאות!$B$2:$V$519,19,0)</f>
        <v>#N/A</v>
      </c>
    </row>
    <row r="910" spans="1:8">
      <c r="A910">
        <v>1843504433</v>
      </c>
      <c r="B910" t="s">
        <v>1823</v>
      </c>
      <c r="C910">
        <v>0</v>
      </c>
      <c r="D910">
        <v>0</v>
      </c>
      <c r="G910">
        <v>0</v>
      </c>
      <c r="H910" t="e">
        <f>VLOOKUP(A910,הוצאות!$B$2:$V$519,19,0)</f>
        <v>#N/A</v>
      </c>
    </row>
    <row r="911" spans="1:8">
      <c r="A911">
        <v>1843504540</v>
      </c>
      <c r="B911" t="s">
        <v>1824</v>
      </c>
      <c r="C911">
        <v>0</v>
      </c>
      <c r="D911">
        <v>0</v>
      </c>
      <c r="G911">
        <v>0</v>
      </c>
      <c r="H911" t="e">
        <f>VLOOKUP(A911,הוצאות!$B$2:$V$519,19,0)</f>
        <v>#N/A</v>
      </c>
    </row>
    <row r="912" spans="1:8">
      <c r="A912">
        <v>1843504560</v>
      </c>
      <c r="B912" t="s">
        <v>1825</v>
      </c>
      <c r="C912">
        <v>0</v>
      </c>
      <c r="D912">
        <v>0</v>
      </c>
      <c r="G912">
        <v>0</v>
      </c>
      <c r="H912" t="e">
        <f>VLOOKUP(A912,הוצאות!$B$2:$V$519,19,0)</f>
        <v>#N/A</v>
      </c>
    </row>
    <row r="913" spans="1:8">
      <c r="A913">
        <v>1843504710</v>
      </c>
      <c r="B913" t="s">
        <v>1826</v>
      </c>
      <c r="C913">
        <v>0</v>
      </c>
      <c r="D913">
        <v>0</v>
      </c>
      <c r="G913">
        <v>0</v>
      </c>
      <c r="H913" t="e">
        <f>VLOOKUP(A913,הוצאות!$B$2:$V$519,19,0)</f>
        <v>#N/A</v>
      </c>
    </row>
    <row r="914" spans="1:8">
      <c r="A914">
        <v>1843504720</v>
      </c>
      <c r="B914" t="s">
        <v>330</v>
      </c>
      <c r="C914">
        <v>0</v>
      </c>
      <c r="D914">
        <v>0</v>
      </c>
      <c r="G914">
        <v>0</v>
      </c>
      <c r="H914">
        <f>VLOOKUP(A914,הוצאות!$B$2:$V$519,19,0)</f>
        <v>0</v>
      </c>
    </row>
    <row r="915" spans="1:8">
      <c r="A915">
        <v>1843504721</v>
      </c>
      <c r="B915" t="s">
        <v>331</v>
      </c>
      <c r="C915">
        <v>10000</v>
      </c>
      <c r="D915">
        <v>28771.5</v>
      </c>
      <c r="G915">
        <v>28771.5</v>
      </c>
      <c r="H915">
        <f>VLOOKUP(A915,הוצאות!$B$2:$V$519,19,0)</f>
        <v>10000</v>
      </c>
    </row>
    <row r="916" spans="1:8">
      <c r="A916">
        <v>1843504750</v>
      </c>
      <c r="B916" t="s">
        <v>1827</v>
      </c>
      <c r="C916">
        <v>50000</v>
      </c>
      <c r="D916">
        <v>174796</v>
      </c>
      <c r="G916">
        <v>174796</v>
      </c>
      <c r="H916">
        <f>VLOOKUP(A916,הוצאות!$B$2:$V$519,19,0)</f>
        <v>50000</v>
      </c>
    </row>
    <row r="917" spans="1:8">
      <c r="A917">
        <v>1843504780</v>
      </c>
      <c r="B917" t="s">
        <v>333</v>
      </c>
      <c r="C917">
        <v>0</v>
      </c>
      <c r="D917">
        <v>0</v>
      </c>
      <c r="G917">
        <v>0</v>
      </c>
      <c r="H917">
        <f>VLOOKUP(A917,הוצאות!$B$2:$V$519,19,0)</f>
        <v>0</v>
      </c>
    </row>
    <row r="918" spans="1:8">
      <c r="A918">
        <v>1843504840</v>
      </c>
      <c r="B918" t="s">
        <v>334</v>
      </c>
      <c r="C918">
        <v>0</v>
      </c>
      <c r="D918">
        <v>0</v>
      </c>
      <c r="G918">
        <v>0</v>
      </c>
      <c r="H918" t="e">
        <f>VLOOKUP(A918,הוצאות!$B$2:$V$519,19,0)</f>
        <v>#N/A</v>
      </c>
    </row>
    <row r="919" spans="1:8">
      <c r="A919">
        <v>1843504930</v>
      </c>
      <c r="B919" t="s">
        <v>1828</v>
      </c>
      <c r="C919">
        <v>0</v>
      </c>
      <c r="D919">
        <v>0</v>
      </c>
      <c r="G919">
        <v>0</v>
      </c>
      <c r="H919" t="e">
        <f>VLOOKUP(A919,הוצאות!$B$2:$V$519,19,0)</f>
        <v>#N/A</v>
      </c>
    </row>
    <row r="920" spans="1:8">
      <c r="A920">
        <v>1843800840</v>
      </c>
      <c r="B920" t="s">
        <v>306</v>
      </c>
      <c r="C920">
        <v>0</v>
      </c>
      <c r="D920">
        <v>0</v>
      </c>
      <c r="G920">
        <v>0</v>
      </c>
      <c r="H920" t="e">
        <f>VLOOKUP(A920,הוצאות!$B$2:$V$519,19,0)</f>
        <v>#N/A</v>
      </c>
    </row>
    <row r="921" spans="1:8">
      <c r="A921">
        <v>1843801840</v>
      </c>
      <c r="B921" t="s">
        <v>335</v>
      </c>
      <c r="C921">
        <v>3200000</v>
      </c>
      <c r="D921">
        <v>4532639</v>
      </c>
      <c r="G921">
        <v>4532639</v>
      </c>
      <c r="H921">
        <f>VLOOKUP(A921,הוצאות!$B$2:$V$519,19,0)</f>
        <v>3200000</v>
      </c>
    </row>
    <row r="922" spans="1:8">
      <c r="A922">
        <v>1843900840</v>
      </c>
      <c r="B922" t="s">
        <v>1636</v>
      </c>
      <c r="C922">
        <v>0</v>
      </c>
      <c r="D922">
        <v>0</v>
      </c>
      <c r="G922">
        <v>0</v>
      </c>
      <c r="H922">
        <f>VLOOKUP(A922,הוצאות!$B$2:$V$519,19,0)</f>
        <v>0</v>
      </c>
    </row>
    <row r="923" spans="1:8">
      <c r="A923">
        <v>1843901521</v>
      </c>
      <c r="B923" t="s">
        <v>336</v>
      </c>
      <c r="C923">
        <v>0</v>
      </c>
      <c r="D923">
        <v>0</v>
      </c>
      <c r="G923">
        <v>0</v>
      </c>
      <c r="H923" t="e">
        <f>VLOOKUP(A923,הוצאות!$B$2:$V$519,19,0)</f>
        <v>#N/A</v>
      </c>
    </row>
    <row r="924" spans="1:8">
      <c r="A924">
        <v>1843901750</v>
      </c>
      <c r="B924" t="s">
        <v>337</v>
      </c>
      <c r="C924">
        <v>0</v>
      </c>
      <c r="D924">
        <v>0</v>
      </c>
      <c r="G924">
        <v>0</v>
      </c>
      <c r="H924" t="e">
        <f>VLOOKUP(A924,הוצאות!$B$2:$V$519,19,0)</f>
        <v>#N/A</v>
      </c>
    </row>
    <row r="925" spans="1:8">
      <c r="A925">
        <v>1843901840</v>
      </c>
      <c r="B925" t="s">
        <v>338</v>
      </c>
      <c r="C925">
        <v>1659258</v>
      </c>
      <c r="D925">
        <v>2946225</v>
      </c>
      <c r="G925">
        <v>2946225</v>
      </c>
      <c r="H925">
        <f>VLOOKUP(A925,הוצאות!$B$2:$V$519,19,0)</f>
        <v>1659258.5454545454</v>
      </c>
    </row>
    <row r="926" spans="1:8">
      <c r="A926">
        <v>1843901930</v>
      </c>
      <c r="B926" t="s">
        <v>339</v>
      </c>
      <c r="C926">
        <v>0</v>
      </c>
      <c r="D926">
        <v>0</v>
      </c>
      <c r="G926">
        <v>0</v>
      </c>
      <c r="H926" t="e">
        <f>VLOOKUP(A926,הוצאות!$B$2:$V$519,19,0)</f>
        <v>#N/A</v>
      </c>
    </row>
    <row r="927" spans="1:8">
      <c r="A927">
        <v>1843902840</v>
      </c>
      <c r="B927" t="s">
        <v>2026</v>
      </c>
      <c r="C927">
        <v>14000</v>
      </c>
      <c r="D927">
        <v>12654</v>
      </c>
      <c r="G927">
        <v>12654</v>
      </c>
      <c r="H927">
        <f>VLOOKUP(A927,הוצאות!$B$2:$V$519,19,0)</f>
        <v>14000</v>
      </c>
    </row>
    <row r="928" spans="1:8">
      <c r="A928">
        <v>1843903840</v>
      </c>
      <c r="B928" t="s">
        <v>2027</v>
      </c>
      <c r="C928">
        <v>3000</v>
      </c>
      <c r="D928">
        <v>0</v>
      </c>
      <c r="G928">
        <v>0</v>
      </c>
      <c r="H928">
        <f>VLOOKUP(A928,הוצאות!$B$2:$V$519,19,0)</f>
        <v>3000</v>
      </c>
    </row>
    <row r="929" spans="1:8">
      <c r="A929">
        <v>1843904840</v>
      </c>
      <c r="B929" t="s">
        <v>2028</v>
      </c>
      <c r="C929">
        <v>60000</v>
      </c>
      <c r="D929">
        <v>0</v>
      </c>
      <c r="G929">
        <v>0</v>
      </c>
      <c r="H929">
        <f>VLOOKUP(A929,הוצאות!$B$2:$V$519,19,0)</f>
        <v>60000</v>
      </c>
    </row>
    <row r="930" spans="1:8">
      <c r="A930">
        <v>1844300840</v>
      </c>
      <c r="B930" t="s">
        <v>340</v>
      </c>
      <c r="C930">
        <v>0</v>
      </c>
      <c r="D930">
        <v>0</v>
      </c>
      <c r="G930">
        <v>0</v>
      </c>
      <c r="H930">
        <f>VLOOKUP(A930,הוצאות!$B$2:$V$519,19,0)</f>
        <v>0</v>
      </c>
    </row>
    <row r="931" spans="1:8">
      <c r="A931">
        <v>1844401110</v>
      </c>
      <c r="B931" t="s">
        <v>341</v>
      </c>
      <c r="C931">
        <v>71760</v>
      </c>
      <c r="D931">
        <v>81697.820000000007</v>
      </c>
      <c r="G931">
        <v>81697.820000000007</v>
      </c>
      <c r="H931">
        <f>VLOOKUP(A931,הוצאות!$B$2:$V$519,19,0)</f>
        <v>71760.836389999997</v>
      </c>
    </row>
    <row r="932" spans="1:8">
      <c r="A932">
        <v>1844401320</v>
      </c>
      <c r="B932" t="s">
        <v>25</v>
      </c>
      <c r="C932">
        <v>0</v>
      </c>
      <c r="D932">
        <v>0</v>
      </c>
      <c r="G932">
        <v>0</v>
      </c>
      <c r="H932">
        <f>VLOOKUP(A932,הוצאות!$B$2:$V$519,19,0)</f>
        <v>0</v>
      </c>
    </row>
    <row r="933" spans="1:8">
      <c r="A933">
        <v>1844401431</v>
      </c>
      <c r="B933" t="s">
        <v>342</v>
      </c>
      <c r="C933">
        <v>0</v>
      </c>
      <c r="D933">
        <v>3329.77</v>
      </c>
      <c r="G933">
        <v>3329.77</v>
      </c>
      <c r="H933">
        <f>VLOOKUP(A933,הוצאות!$B$2:$V$519,19,0)</f>
        <v>0</v>
      </c>
    </row>
    <row r="934" spans="1:8">
      <c r="A934">
        <v>1844401432</v>
      </c>
      <c r="B934" t="s">
        <v>343</v>
      </c>
      <c r="C934">
        <v>0</v>
      </c>
      <c r="D934">
        <v>0</v>
      </c>
      <c r="G934">
        <v>0</v>
      </c>
      <c r="H934">
        <f>VLOOKUP(A934,הוצאות!$B$2:$V$519,19,0)</f>
        <v>0</v>
      </c>
    </row>
    <row r="935" spans="1:8">
      <c r="A935">
        <v>1844401433</v>
      </c>
      <c r="B935" t="s">
        <v>344</v>
      </c>
      <c r="C935">
        <v>0</v>
      </c>
      <c r="D935">
        <v>0</v>
      </c>
      <c r="G935">
        <v>0</v>
      </c>
      <c r="H935">
        <f>VLOOKUP(A935,הוצאות!$B$2:$V$519,19,0)</f>
        <v>0</v>
      </c>
    </row>
    <row r="936" spans="1:8">
      <c r="A936">
        <v>1844401540</v>
      </c>
      <c r="B936" t="s">
        <v>217</v>
      </c>
      <c r="C936">
        <v>0</v>
      </c>
      <c r="D936">
        <v>0</v>
      </c>
      <c r="G936">
        <v>0</v>
      </c>
      <c r="H936">
        <f>VLOOKUP(A936,הוצאות!$B$2:$V$519,19,0)</f>
        <v>0</v>
      </c>
    </row>
    <row r="937" spans="1:8">
      <c r="A937">
        <v>1844401710</v>
      </c>
      <c r="B937" t="s">
        <v>1829</v>
      </c>
      <c r="C937">
        <v>13000</v>
      </c>
      <c r="D937">
        <v>0</v>
      </c>
      <c r="G937">
        <v>0</v>
      </c>
      <c r="H937">
        <f>VLOOKUP(A937,הוצאות!$B$2:$V$519,19,0)</f>
        <v>13000</v>
      </c>
    </row>
    <row r="938" spans="1:8">
      <c r="A938">
        <v>1844401720</v>
      </c>
      <c r="B938" t="s">
        <v>1830</v>
      </c>
      <c r="C938">
        <v>10000</v>
      </c>
      <c r="D938">
        <v>0</v>
      </c>
      <c r="G938">
        <v>0</v>
      </c>
      <c r="H938">
        <f>VLOOKUP(A938,הוצאות!$B$2:$V$519,19,0)</f>
        <v>10000</v>
      </c>
    </row>
    <row r="939" spans="1:8">
      <c r="A939">
        <v>1844401740</v>
      </c>
      <c r="B939" t="s">
        <v>1831</v>
      </c>
      <c r="C939">
        <v>0</v>
      </c>
      <c r="D939">
        <v>0</v>
      </c>
      <c r="G939">
        <v>0</v>
      </c>
      <c r="H939" t="e">
        <f>VLOOKUP(A939,הוצאות!$B$2:$V$519,19,0)</f>
        <v>#N/A</v>
      </c>
    </row>
    <row r="940" spans="1:8">
      <c r="A940">
        <v>1844401750</v>
      </c>
      <c r="B940" t="s">
        <v>1832</v>
      </c>
      <c r="C940">
        <v>145000</v>
      </c>
      <c r="D940">
        <v>145107.5</v>
      </c>
      <c r="G940">
        <v>159741.5</v>
      </c>
      <c r="H940">
        <f>VLOOKUP(A940,הוצאות!$B$2:$V$519,19,0)</f>
        <v>145000</v>
      </c>
    </row>
    <row r="941" spans="1:8">
      <c r="A941">
        <v>1844401780</v>
      </c>
      <c r="B941" t="s">
        <v>1833</v>
      </c>
      <c r="C941">
        <v>0</v>
      </c>
      <c r="D941">
        <v>0</v>
      </c>
      <c r="G941">
        <v>0</v>
      </c>
      <c r="H941" t="e">
        <f>VLOOKUP(A941,הוצאות!$B$2:$V$519,19,0)</f>
        <v>#N/A</v>
      </c>
    </row>
    <row r="942" spans="1:8">
      <c r="A942">
        <v>1844401840</v>
      </c>
      <c r="B942" t="s">
        <v>1601</v>
      </c>
      <c r="C942">
        <v>0</v>
      </c>
      <c r="D942">
        <v>0</v>
      </c>
      <c r="G942">
        <v>0</v>
      </c>
      <c r="H942" t="e">
        <f>VLOOKUP(A942,הוצאות!$B$2:$V$519,19,0)</f>
        <v>#N/A</v>
      </c>
    </row>
    <row r="943" spans="1:8">
      <c r="A943">
        <v>1844402840</v>
      </c>
      <c r="B943" t="s">
        <v>345</v>
      </c>
      <c r="C943">
        <v>95000</v>
      </c>
      <c r="D943">
        <v>4153.5</v>
      </c>
      <c r="G943">
        <v>4153.5</v>
      </c>
      <c r="H943">
        <f>VLOOKUP(A943,הוצאות!$B$2:$V$519,19,0)</f>
        <v>95000</v>
      </c>
    </row>
    <row r="944" spans="1:8">
      <c r="A944">
        <v>1844403840</v>
      </c>
      <c r="B944" t="s">
        <v>346</v>
      </c>
      <c r="C944">
        <v>0</v>
      </c>
      <c r="D944">
        <v>0</v>
      </c>
      <c r="G944">
        <v>0</v>
      </c>
      <c r="H944">
        <f>VLOOKUP(A944,הוצאות!$B$2:$V$519,19,0)</f>
        <v>0</v>
      </c>
    </row>
    <row r="945" spans="1:8">
      <c r="A945">
        <v>1844500110</v>
      </c>
      <c r="B945" t="s">
        <v>347</v>
      </c>
      <c r="C945">
        <v>0</v>
      </c>
      <c r="D945">
        <v>0</v>
      </c>
      <c r="G945">
        <v>0</v>
      </c>
      <c r="H945">
        <f>VLOOKUP(A945,הוצאות!$B$2:$V$519,19,0)</f>
        <v>0</v>
      </c>
    </row>
    <row r="946" spans="1:8">
      <c r="A946">
        <v>1844500840</v>
      </c>
      <c r="B946" t="s">
        <v>348</v>
      </c>
      <c r="C946">
        <v>0</v>
      </c>
      <c r="D946">
        <v>0</v>
      </c>
      <c r="G946">
        <v>0</v>
      </c>
      <c r="H946">
        <f>VLOOKUP(A946,הוצאות!$B$2:$V$519,19,0)</f>
        <v>0</v>
      </c>
    </row>
    <row r="947" spans="1:8">
      <c r="A947">
        <v>1845100840</v>
      </c>
      <c r="B947" t="s">
        <v>349</v>
      </c>
      <c r="C947">
        <v>45000</v>
      </c>
      <c r="D947">
        <v>58727</v>
      </c>
      <c r="G947">
        <v>58727</v>
      </c>
      <c r="H947">
        <f>VLOOKUP(A947,הוצאות!$B$2:$V$519,19,0)</f>
        <v>45000</v>
      </c>
    </row>
    <row r="948" spans="1:8">
      <c r="A948">
        <v>1845101840</v>
      </c>
      <c r="B948" t="s">
        <v>350</v>
      </c>
      <c r="C948">
        <v>6000000</v>
      </c>
      <c r="D948">
        <v>6355244</v>
      </c>
      <c r="G948">
        <v>6355244</v>
      </c>
      <c r="H948">
        <f>VLOOKUP(A948,הוצאות!$B$2:$V$519,19,0)</f>
        <v>6000000</v>
      </c>
    </row>
    <row r="949" spans="1:8">
      <c r="A949">
        <v>1845102840</v>
      </c>
      <c r="B949" t="s">
        <v>351</v>
      </c>
      <c r="C949">
        <v>15000</v>
      </c>
      <c r="D949">
        <v>10426</v>
      </c>
      <c r="G949">
        <v>10426</v>
      </c>
      <c r="H949">
        <f>VLOOKUP(A949,הוצאות!$B$2:$V$519,19,0)</f>
        <v>15000</v>
      </c>
    </row>
    <row r="950" spans="1:8">
      <c r="A950">
        <v>1845103840</v>
      </c>
      <c r="B950" t="s">
        <v>352</v>
      </c>
      <c r="C950">
        <v>0</v>
      </c>
      <c r="D950">
        <v>0</v>
      </c>
      <c r="G950">
        <v>0</v>
      </c>
      <c r="H950">
        <f>VLOOKUP(A950,הוצאות!$B$2:$V$519,19,0)</f>
        <v>0</v>
      </c>
    </row>
    <row r="951" spans="1:8">
      <c r="A951">
        <v>1845104840</v>
      </c>
      <c r="B951" t="s">
        <v>353</v>
      </c>
      <c r="C951">
        <v>0</v>
      </c>
      <c r="D951">
        <v>0</v>
      </c>
      <c r="G951">
        <v>0</v>
      </c>
      <c r="H951">
        <f>VLOOKUP(A951,הוצאות!$B$2:$V$519,19,0)</f>
        <v>0</v>
      </c>
    </row>
    <row r="952" spans="1:8">
      <c r="A952">
        <v>1845200110</v>
      </c>
      <c r="B952" t="s">
        <v>1834</v>
      </c>
      <c r="C952">
        <v>0</v>
      </c>
      <c r="D952">
        <v>0</v>
      </c>
      <c r="G952">
        <v>0</v>
      </c>
      <c r="H952" t="e">
        <f>VLOOKUP(A952,הוצאות!$B$2:$V$519,19,0)</f>
        <v>#N/A</v>
      </c>
    </row>
    <row r="953" spans="1:8">
      <c r="A953">
        <v>1845200420</v>
      </c>
      <c r="B953" t="s">
        <v>1835</v>
      </c>
      <c r="C953">
        <v>0</v>
      </c>
      <c r="D953">
        <v>0</v>
      </c>
      <c r="G953">
        <v>0</v>
      </c>
      <c r="H953" t="e">
        <f>VLOOKUP(A953,הוצאות!$B$2:$V$519,19,0)</f>
        <v>#N/A</v>
      </c>
    </row>
    <row r="954" spans="1:8">
      <c r="A954">
        <v>1845200432</v>
      </c>
      <c r="B954" t="s">
        <v>1836</v>
      </c>
      <c r="C954">
        <v>0</v>
      </c>
      <c r="D954">
        <v>0</v>
      </c>
      <c r="G954">
        <v>0</v>
      </c>
      <c r="H954" t="e">
        <f>VLOOKUP(A954,הוצאות!$B$2:$V$519,19,0)</f>
        <v>#N/A</v>
      </c>
    </row>
    <row r="955" spans="1:8">
      <c r="A955">
        <v>1845200433</v>
      </c>
      <c r="B955" t="s">
        <v>144</v>
      </c>
      <c r="C955">
        <v>0</v>
      </c>
      <c r="D955">
        <v>0</v>
      </c>
      <c r="G955">
        <v>0</v>
      </c>
      <c r="H955" t="e">
        <f>VLOOKUP(A955,הוצאות!$B$2:$V$519,19,0)</f>
        <v>#N/A</v>
      </c>
    </row>
    <row r="956" spans="1:8">
      <c r="A956">
        <v>1845200710</v>
      </c>
      <c r="B956" t="s">
        <v>1837</v>
      </c>
      <c r="C956">
        <v>0</v>
      </c>
      <c r="D956">
        <v>0</v>
      </c>
      <c r="G956">
        <v>0</v>
      </c>
      <c r="H956" t="e">
        <f>VLOOKUP(A956,הוצאות!$B$2:$V$519,19,0)</f>
        <v>#N/A</v>
      </c>
    </row>
    <row r="957" spans="1:8">
      <c r="A957">
        <v>1845200720</v>
      </c>
      <c r="B957" t="s">
        <v>1838</v>
      </c>
      <c r="C957">
        <v>0</v>
      </c>
      <c r="D957">
        <v>0</v>
      </c>
      <c r="G957">
        <v>0</v>
      </c>
      <c r="H957" t="e">
        <f>VLOOKUP(A957,הוצאות!$B$2:$V$519,19,0)</f>
        <v>#N/A</v>
      </c>
    </row>
    <row r="958" spans="1:8">
      <c r="A958">
        <v>1845200721</v>
      </c>
      <c r="B958" t="s">
        <v>1839</v>
      </c>
      <c r="C958">
        <v>0</v>
      </c>
      <c r="D958">
        <v>0</v>
      </c>
      <c r="G958">
        <v>0</v>
      </c>
      <c r="H958" t="e">
        <f>VLOOKUP(A958,הוצאות!$B$2:$V$519,19,0)</f>
        <v>#N/A</v>
      </c>
    </row>
    <row r="959" spans="1:8">
      <c r="A959">
        <v>1845200750</v>
      </c>
      <c r="B959" t="s">
        <v>34</v>
      </c>
      <c r="C959">
        <v>0</v>
      </c>
      <c r="D959">
        <v>0</v>
      </c>
      <c r="G959">
        <v>0</v>
      </c>
      <c r="H959" t="e">
        <f>VLOOKUP(A959,הוצאות!$B$2:$V$519,19,0)</f>
        <v>#N/A</v>
      </c>
    </row>
    <row r="960" spans="1:8">
      <c r="A960">
        <v>1845200780</v>
      </c>
      <c r="B960" t="s">
        <v>58</v>
      </c>
      <c r="C960">
        <v>0</v>
      </c>
      <c r="D960">
        <v>0</v>
      </c>
      <c r="G960">
        <v>0</v>
      </c>
      <c r="H960" t="e">
        <f>VLOOKUP(A960,הוצאות!$B$2:$V$519,19,0)</f>
        <v>#N/A</v>
      </c>
    </row>
    <row r="961" spans="1:8">
      <c r="A961">
        <v>1845200840</v>
      </c>
      <c r="B961" t="s">
        <v>354</v>
      </c>
      <c r="C961">
        <v>0</v>
      </c>
      <c r="D961">
        <v>0</v>
      </c>
      <c r="G961">
        <v>0</v>
      </c>
      <c r="H961">
        <f>VLOOKUP(A961,הוצאות!$B$2:$V$519,19,0)</f>
        <v>0</v>
      </c>
    </row>
    <row r="962" spans="1:8">
      <c r="A962">
        <v>1845200930</v>
      </c>
      <c r="B962" t="s">
        <v>19</v>
      </c>
      <c r="C962">
        <v>0</v>
      </c>
      <c r="D962">
        <v>0</v>
      </c>
      <c r="G962">
        <v>0</v>
      </c>
      <c r="H962" t="e">
        <f>VLOOKUP(A962,הוצאות!$B$2:$V$519,19,0)</f>
        <v>#N/A</v>
      </c>
    </row>
    <row r="963" spans="1:8">
      <c r="A963">
        <v>1845201110</v>
      </c>
      <c r="B963" t="s">
        <v>355</v>
      </c>
      <c r="C963">
        <v>201070</v>
      </c>
      <c r="D963">
        <v>205887.03</v>
      </c>
      <c r="G963">
        <v>205887.03</v>
      </c>
      <c r="H963">
        <f>VLOOKUP(A963,הוצאות!$B$2:$V$519,19,0)</f>
        <v>201070.907378</v>
      </c>
    </row>
    <row r="964" spans="1:8">
      <c r="A964">
        <v>1845201420</v>
      </c>
      <c r="B964" t="s">
        <v>1840</v>
      </c>
      <c r="C964">
        <v>0</v>
      </c>
      <c r="D964">
        <v>0</v>
      </c>
      <c r="G964">
        <v>0</v>
      </c>
      <c r="H964" t="e">
        <f>VLOOKUP(A964,הוצאות!$B$2:$V$519,19,0)</f>
        <v>#N/A</v>
      </c>
    </row>
    <row r="965" spans="1:8">
      <c r="A965">
        <v>1845201431</v>
      </c>
      <c r="B965" t="s">
        <v>1841</v>
      </c>
      <c r="C965">
        <v>0</v>
      </c>
      <c r="D965">
        <v>0</v>
      </c>
      <c r="G965">
        <v>0</v>
      </c>
      <c r="H965" t="e">
        <f>VLOOKUP(A965,הוצאות!$B$2:$V$519,19,0)</f>
        <v>#N/A</v>
      </c>
    </row>
    <row r="966" spans="1:8">
      <c r="A966">
        <v>1845201432</v>
      </c>
      <c r="B966" t="s">
        <v>1842</v>
      </c>
      <c r="C966">
        <v>0</v>
      </c>
      <c r="D966">
        <v>0</v>
      </c>
      <c r="G966">
        <v>0</v>
      </c>
      <c r="H966" t="e">
        <f>VLOOKUP(A966,הוצאות!$B$2:$V$519,19,0)</f>
        <v>#N/A</v>
      </c>
    </row>
    <row r="967" spans="1:8">
      <c r="A967">
        <v>1845201433</v>
      </c>
      <c r="B967" t="s">
        <v>1843</v>
      </c>
      <c r="C967">
        <v>0</v>
      </c>
      <c r="D967">
        <v>0</v>
      </c>
      <c r="G967">
        <v>0</v>
      </c>
      <c r="H967" t="e">
        <f>VLOOKUP(A967,הוצאות!$B$2:$V$519,19,0)</f>
        <v>#N/A</v>
      </c>
    </row>
    <row r="968" spans="1:8">
      <c r="A968">
        <v>1845201540</v>
      </c>
      <c r="B968" t="s">
        <v>1844</v>
      </c>
      <c r="C968">
        <v>0</v>
      </c>
      <c r="D968">
        <v>0</v>
      </c>
      <c r="G968">
        <v>0</v>
      </c>
      <c r="H968" t="e">
        <f>VLOOKUP(A968,הוצאות!$B$2:$V$519,19,0)</f>
        <v>#N/A</v>
      </c>
    </row>
    <row r="969" spans="1:8">
      <c r="A969">
        <v>1845201560</v>
      </c>
      <c r="B969" t="s">
        <v>1845</v>
      </c>
      <c r="C969">
        <v>0</v>
      </c>
      <c r="D969">
        <v>0</v>
      </c>
      <c r="G969">
        <v>0</v>
      </c>
      <c r="H969" t="e">
        <f>VLOOKUP(A969,הוצאות!$B$2:$V$519,19,0)</f>
        <v>#N/A</v>
      </c>
    </row>
    <row r="970" spans="1:8">
      <c r="A970">
        <v>1845201710</v>
      </c>
      <c r="B970" t="s">
        <v>1846</v>
      </c>
      <c r="C970">
        <v>0</v>
      </c>
      <c r="D970">
        <v>0</v>
      </c>
      <c r="G970">
        <v>0</v>
      </c>
      <c r="H970" t="e">
        <f>VLOOKUP(A970,הוצאות!$B$2:$V$519,19,0)</f>
        <v>#N/A</v>
      </c>
    </row>
    <row r="971" spans="1:8">
      <c r="A971">
        <v>1845201720</v>
      </c>
      <c r="B971" t="s">
        <v>1847</v>
      </c>
      <c r="C971">
        <v>0</v>
      </c>
      <c r="D971">
        <v>0</v>
      </c>
      <c r="G971">
        <v>0</v>
      </c>
      <c r="H971" t="e">
        <f>VLOOKUP(A971,הוצאות!$B$2:$V$519,19,0)</f>
        <v>#N/A</v>
      </c>
    </row>
    <row r="972" spans="1:8">
      <c r="A972">
        <v>1845201721</v>
      </c>
      <c r="B972" t="s">
        <v>1848</v>
      </c>
      <c r="C972">
        <v>0</v>
      </c>
      <c r="D972">
        <v>0</v>
      </c>
      <c r="G972">
        <v>0</v>
      </c>
      <c r="H972" t="e">
        <f>VLOOKUP(A972,הוצאות!$B$2:$V$519,19,0)</f>
        <v>#N/A</v>
      </c>
    </row>
    <row r="973" spans="1:8">
      <c r="A973">
        <v>1845201750</v>
      </c>
      <c r="B973" t="s">
        <v>1849</v>
      </c>
      <c r="C973">
        <v>0</v>
      </c>
      <c r="D973">
        <v>0</v>
      </c>
      <c r="G973">
        <v>0</v>
      </c>
      <c r="H973">
        <f>VLOOKUP(A973,הוצאות!$B$2:$V$519,19,0)</f>
        <v>0</v>
      </c>
    </row>
    <row r="974" spans="1:8">
      <c r="A974">
        <v>1845201780</v>
      </c>
      <c r="B974" t="s">
        <v>1850</v>
      </c>
      <c r="C974">
        <v>0</v>
      </c>
      <c r="D974">
        <v>0</v>
      </c>
      <c r="G974">
        <v>0</v>
      </c>
      <c r="H974" t="e">
        <f>VLOOKUP(A974,הוצאות!$B$2:$V$519,19,0)</f>
        <v>#N/A</v>
      </c>
    </row>
    <row r="975" spans="1:8">
      <c r="A975">
        <v>1845201781</v>
      </c>
      <c r="B975" t="s">
        <v>1851</v>
      </c>
      <c r="C975">
        <v>100000</v>
      </c>
      <c r="D975">
        <v>102000</v>
      </c>
      <c r="G975">
        <v>102000</v>
      </c>
      <c r="H975">
        <f>VLOOKUP(A975,הוצאות!$B$2:$V$519,19,0)</f>
        <v>0</v>
      </c>
    </row>
    <row r="976" spans="1:8">
      <c r="A976">
        <v>1845201840</v>
      </c>
      <c r="B976" t="s">
        <v>356</v>
      </c>
      <c r="C976">
        <v>760000</v>
      </c>
      <c r="D976">
        <v>1227234</v>
      </c>
      <c r="G976">
        <v>1227234</v>
      </c>
      <c r="H976">
        <f>VLOOKUP(A976,הוצאות!$B$2:$V$519,19,0)</f>
        <v>760000</v>
      </c>
    </row>
    <row r="977" spans="1:8">
      <c r="A977">
        <v>1845201870</v>
      </c>
      <c r="B977" t="s">
        <v>1852</v>
      </c>
      <c r="C977">
        <v>0</v>
      </c>
      <c r="D977">
        <v>0</v>
      </c>
      <c r="G977">
        <v>0</v>
      </c>
      <c r="H977" t="e">
        <f>VLOOKUP(A977,הוצאות!$B$2:$V$519,19,0)</f>
        <v>#N/A</v>
      </c>
    </row>
    <row r="978" spans="1:8">
      <c r="A978">
        <v>1845201930</v>
      </c>
      <c r="B978" t="s">
        <v>1853</v>
      </c>
      <c r="C978">
        <v>0</v>
      </c>
      <c r="D978">
        <v>0</v>
      </c>
      <c r="G978">
        <v>0</v>
      </c>
      <c r="H978" t="e">
        <f>VLOOKUP(A978,הוצאות!$B$2:$V$519,19,0)</f>
        <v>#N/A</v>
      </c>
    </row>
    <row r="979" spans="1:8">
      <c r="A979">
        <v>1845202840</v>
      </c>
      <c r="B979" t="s">
        <v>357</v>
      </c>
      <c r="C979">
        <v>6000</v>
      </c>
      <c r="D979">
        <v>5364</v>
      </c>
      <c r="G979">
        <v>5364</v>
      </c>
      <c r="H979">
        <f>VLOOKUP(A979,הוצאות!$B$2:$V$519,19,0)</f>
        <v>6000</v>
      </c>
    </row>
    <row r="980" spans="1:8">
      <c r="A980">
        <v>1845203840</v>
      </c>
      <c r="B980" t="s">
        <v>358</v>
      </c>
      <c r="C980">
        <v>0</v>
      </c>
      <c r="D980">
        <v>0</v>
      </c>
      <c r="G980">
        <v>0</v>
      </c>
      <c r="H980">
        <f>VLOOKUP(A980,הוצאות!$B$2:$V$519,19,0)</f>
        <v>0</v>
      </c>
    </row>
    <row r="981" spans="1:8">
      <c r="A981">
        <v>1845204840</v>
      </c>
      <c r="B981" t="s">
        <v>359</v>
      </c>
      <c r="C981">
        <v>539264</v>
      </c>
      <c r="D981">
        <v>727991</v>
      </c>
      <c r="G981">
        <v>727991</v>
      </c>
      <c r="H981">
        <f>VLOOKUP(A981,הוצאות!$B$2:$V$519,19,0)</f>
        <v>539264.72727272729</v>
      </c>
    </row>
    <row r="982" spans="1:8">
      <c r="A982">
        <v>1845205840</v>
      </c>
      <c r="B982" t="s">
        <v>360</v>
      </c>
      <c r="C982">
        <v>0</v>
      </c>
      <c r="D982">
        <v>0</v>
      </c>
      <c r="G982">
        <v>0</v>
      </c>
      <c r="H982">
        <f>VLOOKUP(A982,הוצאות!$B$2:$V$519,19,0)</f>
        <v>0</v>
      </c>
    </row>
    <row r="983" spans="1:8">
      <c r="A983">
        <v>1845301840</v>
      </c>
      <c r="B983" t="s">
        <v>361</v>
      </c>
      <c r="C983">
        <v>135000</v>
      </c>
      <c r="D983">
        <v>119454</v>
      </c>
      <c r="G983">
        <v>119454</v>
      </c>
      <c r="H983">
        <f>VLOOKUP(A983,הוצאות!$B$2:$V$519,19,0)</f>
        <v>135000</v>
      </c>
    </row>
    <row r="984" spans="1:8">
      <c r="A984">
        <v>1845302840</v>
      </c>
      <c r="B984" t="s">
        <v>362</v>
      </c>
      <c r="C984">
        <v>20000</v>
      </c>
      <c r="D984">
        <v>43200</v>
      </c>
      <c r="G984">
        <v>43200</v>
      </c>
      <c r="H984">
        <f>VLOOKUP(A984,הוצאות!$B$2:$V$519,19,0)</f>
        <v>20000</v>
      </c>
    </row>
    <row r="985" spans="1:8">
      <c r="A985">
        <v>1845303840</v>
      </c>
      <c r="B985" t="s">
        <v>363</v>
      </c>
      <c r="C985">
        <v>0</v>
      </c>
      <c r="D985">
        <v>0</v>
      </c>
      <c r="G985">
        <v>0</v>
      </c>
      <c r="H985">
        <f>VLOOKUP(A985,הוצאות!$B$2:$V$519,19,0)</f>
        <v>0</v>
      </c>
    </row>
    <row r="986" spans="1:8">
      <c r="A986">
        <v>1845304840</v>
      </c>
      <c r="B986" t="s">
        <v>364</v>
      </c>
      <c r="C986">
        <v>360000</v>
      </c>
      <c r="D986">
        <v>434999</v>
      </c>
      <c r="G986">
        <v>434999</v>
      </c>
      <c r="H986">
        <f>VLOOKUP(A986,הוצאות!$B$2:$V$519,19,0)</f>
        <v>360000</v>
      </c>
    </row>
    <row r="987" spans="1:8">
      <c r="A987">
        <v>1845800840</v>
      </c>
      <c r="B987" t="s">
        <v>1637</v>
      </c>
      <c r="C987">
        <v>0</v>
      </c>
      <c r="D987">
        <v>0</v>
      </c>
      <c r="G987">
        <v>0</v>
      </c>
      <c r="H987">
        <f>VLOOKUP(A987,הוצאות!$B$2:$V$519,19,0)</f>
        <v>0</v>
      </c>
    </row>
    <row r="988" spans="1:8">
      <c r="A988">
        <v>1846301840</v>
      </c>
      <c r="B988" t="s">
        <v>365</v>
      </c>
      <c r="C988">
        <v>0</v>
      </c>
      <c r="D988">
        <v>0</v>
      </c>
      <c r="G988">
        <v>0</v>
      </c>
      <c r="H988">
        <f>VLOOKUP(A988,הוצאות!$B$2:$V$519,19,0)</f>
        <v>0</v>
      </c>
    </row>
    <row r="989" spans="1:8">
      <c r="A989">
        <v>1846302840</v>
      </c>
      <c r="B989" t="s">
        <v>366</v>
      </c>
      <c r="C989">
        <v>5000</v>
      </c>
      <c r="D989">
        <v>4363</v>
      </c>
      <c r="G989">
        <v>4363</v>
      </c>
      <c r="H989">
        <f>VLOOKUP(A989,הוצאות!$B$2:$V$519,19,0)</f>
        <v>5000</v>
      </c>
    </row>
    <row r="990" spans="1:8">
      <c r="A990">
        <v>1846401840</v>
      </c>
      <c r="B990" t="s">
        <v>367</v>
      </c>
      <c r="C990">
        <v>3000</v>
      </c>
      <c r="D990">
        <v>7657</v>
      </c>
      <c r="G990">
        <v>7657</v>
      </c>
      <c r="H990">
        <f>VLOOKUP(A990,הוצאות!$B$2:$V$519,19,0)</f>
        <v>3000</v>
      </c>
    </row>
    <row r="991" spans="1:8">
      <c r="A991">
        <v>1846402840</v>
      </c>
      <c r="B991" t="s">
        <v>368</v>
      </c>
      <c r="C991">
        <v>0</v>
      </c>
      <c r="D991">
        <v>0</v>
      </c>
      <c r="G991">
        <v>0</v>
      </c>
      <c r="H991" t="e">
        <f>VLOOKUP(A991,הוצאות!$B$2:$V$519,19,0)</f>
        <v>#N/A</v>
      </c>
    </row>
    <row r="992" spans="1:8">
      <c r="A992">
        <v>1846500840</v>
      </c>
      <c r="B992" t="s">
        <v>364</v>
      </c>
      <c r="C992">
        <v>0</v>
      </c>
      <c r="D992">
        <v>0</v>
      </c>
      <c r="G992">
        <v>0</v>
      </c>
      <c r="H992">
        <f>VLOOKUP(A992,הוצאות!$B$2:$V$519,19,0)</f>
        <v>0</v>
      </c>
    </row>
    <row r="993" spans="1:8">
      <c r="A993">
        <v>1846501840</v>
      </c>
      <c r="B993" t="s">
        <v>369</v>
      </c>
      <c r="C993">
        <v>0</v>
      </c>
      <c r="D993">
        <v>0</v>
      </c>
      <c r="G993">
        <v>0</v>
      </c>
      <c r="H993">
        <f>VLOOKUP(A993,הוצאות!$B$2:$V$519,19,0)</f>
        <v>0</v>
      </c>
    </row>
    <row r="994" spans="1:8">
      <c r="A994">
        <v>1846601840</v>
      </c>
      <c r="B994" t="s">
        <v>370</v>
      </c>
      <c r="C994">
        <v>30000</v>
      </c>
      <c r="D994">
        <v>50067</v>
      </c>
      <c r="G994">
        <v>50067</v>
      </c>
      <c r="H994">
        <f>VLOOKUP(A994,הוצאות!$B$2:$V$519,19,0)</f>
        <v>30000</v>
      </c>
    </row>
    <row r="995" spans="1:8">
      <c r="A995">
        <v>1846602840</v>
      </c>
      <c r="B995" t="s">
        <v>371</v>
      </c>
      <c r="C995">
        <v>0</v>
      </c>
      <c r="D995">
        <v>0</v>
      </c>
      <c r="G995">
        <v>0</v>
      </c>
      <c r="H995">
        <f>VLOOKUP(A995,הוצאות!$B$2:$V$519,19,0)</f>
        <v>0</v>
      </c>
    </row>
    <row r="996" spans="1:8">
      <c r="A996">
        <v>1846603840</v>
      </c>
      <c r="B996" t="s">
        <v>1710</v>
      </c>
      <c r="C996">
        <v>45000</v>
      </c>
      <c r="D996">
        <v>31093</v>
      </c>
      <c r="G996">
        <v>31093</v>
      </c>
      <c r="H996">
        <f>VLOOKUP(A996,הוצאות!$B$2:$V$519,19,0)</f>
        <v>45000</v>
      </c>
    </row>
    <row r="997" spans="1:8">
      <c r="A997">
        <v>1846701840</v>
      </c>
      <c r="B997" t="s">
        <v>372</v>
      </c>
      <c r="C997">
        <v>900000</v>
      </c>
      <c r="D997">
        <v>911947</v>
      </c>
      <c r="G997">
        <v>911947</v>
      </c>
      <c r="H997">
        <f>VLOOKUP(A997,הוצאות!$B$2:$V$519,19,0)</f>
        <v>900000</v>
      </c>
    </row>
    <row r="998" spans="1:8">
      <c r="A998">
        <v>1846702840</v>
      </c>
      <c r="B998" t="s">
        <v>373</v>
      </c>
      <c r="C998">
        <v>0</v>
      </c>
      <c r="D998">
        <v>0</v>
      </c>
      <c r="G998">
        <v>0</v>
      </c>
      <c r="H998">
        <f>VLOOKUP(A998,הוצאות!$B$2:$V$519,19,0)</f>
        <v>0</v>
      </c>
    </row>
    <row r="999" spans="1:8">
      <c r="A999">
        <v>1846703840</v>
      </c>
      <c r="B999" t="s">
        <v>374</v>
      </c>
      <c r="C999">
        <v>600000</v>
      </c>
      <c r="D999">
        <v>598654</v>
      </c>
      <c r="G999">
        <v>598654</v>
      </c>
      <c r="H999">
        <f>VLOOKUP(A999,הוצאות!$B$2:$V$519,19,0)</f>
        <v>600000</v>
      </c>
    </row>
    <row r="1000" spans="1:8">
      <c r="A1000">
        <v>1846704840</v>
      </c>
      <c r="B1000" t="s">
        <v>375</v>
      </c>
      <c r="C1000">
        <v>180000</v>
      </c>
      <c r="D1000">
        <v>110825</v>
      </c>
      <c r="G1000">
        <v>110825</v>
      </c>
      <c r="H1000">
        <f>VLOOKUP(A1000,הוצאות!$B$2:$V$519,19,0)</f>
        <v>180000</v>
      </c>
    </row>
    <row r="1001" spans="1:8">
      <c r="A1001">
        <v>1846705840</v>
      </c>
      <c r="B1001" t="s">
        <v>2029</v>
      </c>
      <c r="C1001">
        <v>70000</v>
      </c>
      <c r="D1001">
        <v>36326</v>
      </c>
      <c r="G1001">
        <v>36326</v>
      </c>
      <c r="H1001">
        <f>VLOOKUP(A1001,הוצאות!$B$2:$V$519,19,0)</f>
        <v>70000</v>
      </c>
    </row>
    <row r="1002" spans="1:8">
      <c r="A1002">
        <v>1846801840</v>
      </c>
      <c r="B1002" t="s">
        <v>376</v>
      </c>
      <c r="C1002">
        <v>15000</v>
      </c>
      <c r="D1002">
        <v>22584</v>
      </c>
      <c r="G1002">
        <v>22584</v>
      </c>
      <c r="H1002">
        <f>VLOOKUP(A1002,הוצאות!$B$2:$V$519,19,0)</f>
        <v>15000</v>
      </c>
    </row>
    <row r="1003" spans="1:8">
      <c r="A1003">
        <v>1846802840</v>
      </c>
      <c r="B1003" t="s">
        <v>377</v>
      </c>
      <c r="C1003">
        <v>0</v>
      </c>
      <c r="D1003">
        <v>0</v>
      </c>
      <c r="G1003">
        <v>0</v>
      </c>
      <c r="H1003" t="e">
        <f>VLOOKUP(A1003,הוצאות!$B$2:$V$519,19,0)</f>
        <v>#N/A</v>
      </c>
    </row>
    <row r="1004" spans="1:8">
      <c r="A1004">
        <v>1846803840</v>
      </c>
      <c r="B1004" t="s">
        <v>1854</v>
      </c>
      <c r="C1004">
        <v>0</v>
      </c>
      <c r="D1004">
        <v>0</v>
      </c>
      <c r="G1004">
        <v>0</v>
      </c>
      <c r="H1004" t="e">
        <f>VLOOKUP(A1004,הוצאות!$B$2:$V$519,19,0)</f>
        <v>#N/A</v>
      </c>
    </row>
    <row r="1005" spans="1:8">
      <c r="A1005">
        <v>1847100840</v>
      </c>
      <c r="B1005" t="s">
        <v>1855</v>
      </c>
      <c r="C1005">
        <v>0</v>
      </c>
      <c r="D1005">
        <v>0</v>
      </c>
      <c r="G1005">
        <v>0</v>
      </c>
      <c r="H1005" t="e">
        <f>VLOOKUP(A1005,הוצאות!$B$2:$V$519,19,0)</f>
        <v>#N/A</v>
      </c>
    </row>
    <row r="1006" spans="1:8">
      <c r="A1006">
        <v>1847100930</v>
      </c>
      <c r="B1006" t="s">
        <v>1856</v>
      </c>
      <c r="C1006">
        <v>0</v>
      </c>
      <c r="D1006">
        <v>0</v>
      </c>
      <c r="G1006">
        <v>0</v>
      </c>
      <c r="H1006" t="e">
        <f>VLOOKUP(A1006,הוצאות!$B$2:$V$519,19,0)</f>
        <v>#N/A</v>
      </c>
    </row>
    <row r="1007" spans="1:8">
      <c r="A1007">
        <v>1847101710</v>
      </c>
      <c r="B1007" t="s">
        <v>378</v>
      </c>
      <c r="C1007">
        <v>0</v>
      </c>
      <c r="D1007">
        <v>0</v>
      </c>
      <c r="G1007">
        <v>0</v>
      </c>
      <c r="H1007" t="e">
        <f>VLOOKUP(A1007,הוצאות!$B$2:$V$519,19,0)</f>
        <v>#N/A</v>
      </c>
    </row>
    <row r="1008" spans="1:8">
      <c r="A1008">
        <v>1847101780</v>
      </c>
      <c r="B1008" t="s">
        <v>379</v>
      </c>
      <c r="C1008">
        <v>0</v>
      </c>
      <c r="D1008">
        <v>0</v>
      </c>
      <c r="G1008">
        <v>0</v>
      </c>
      <c r="H1008" t="e">
        <f>VLOOKUP(A1008,הוצאות!$B$2:$V$519,19,0)</f>
        <v>#N/A</v>
      </c>
    </row>
    <row r="1009" spans="1:8">
      <c r="A1009">
        <v>1847101840</v>
      </c>
      <c r="B1009" t="s">
        <v>380</v>
      </c>
      <c r="C1009">
        <v>15000</v>
      </c>
      <c r="D1009">
        <v>0</v>
      </c>
      <c r="G1009">
        <v>0</v>
      </c>
      <c r="H1009">
        <f>VLOOKUP(A1009,הוצאות!$B$2:$V$519,19,0)</f>
        <v>15000</v>
      </c>
    </row>
    <row r="1010" spans="1:8">
      <c r="A1010">
        <v>1847102710</v>
      </c>
      <c r="B1010" t="s">
        <v>1857</v>
      </c>
      <c r="C1010">
        <v>0</v>
      </c>
      <c r="D1010">
        <v>0</v>
      </c>
      <c r="G1010">
        <v>0</v>
      </c>
      <c r="H1010" t="e">
        <f>VLOOKUP(A1010,הוצאות!$B$2:$V$519,19,0)</f>
        <v>#N/A</v>
      </c>
    </row>
    <row r="1011" spans="1:8">
      <c r="A1011">
        <v>1847102750</v>
      </c>
      <c r="B1011" t="s">
        <v>1857</v>
      </c>
      <c r="C1011">
        <v>0</v>
      </c>
      <c r="D1011">
        <v>0</v>
      </c>
      <c r="G1011">
        <v>0</v>
      </c>
      <c r="H1011" t="e">
        <f>VLOOKUP(A1011,הוצאות!$B$2:$V$519,19,0)</f>
        <v>#N/A</v>
      </c>
    </row>
    <row r="1012" spans="1:8">
      <c r="A1012">
        <v>1847102751</v>
      </c>
      <c r="B1012" t="s">
        <v>1857</v>
      </c>
      <c r="C1012">
        <v>0</v>
      </c>
      <c r="D1012">
        <v>0</v>
      </c>
      <c r="G1012">
        <v>0</v>
      </c>
      <c r="H1012" t="e">
        <f>VLOOKUP(A1012,הוצאות!$B$2:$V$519,19,0)</f>
        <v>#N/A</v>
      </c>
    </row>
    <row r="1013" spans="1:8">
      <c r="A1013">
        <v>1847102840</v>
      </c>
      <c r="B1013" t="s">
        <v>381</v>
      </c>
      <c r="C1013">
        <v>0</v>
      </c>
      <c r="D1013">
        <v>0</v>
      </c>
      <c r="G1013">
        <v>0</v>
      </c>
      <c r="H1013" t="e">
        <f>VLOOKUP(A1013,הוצאות!$B$2:$V$519,19,0)</f>
        <v>#N/A</v>
      </c>
    </row>
    <row r="1014" spans="1:8">
      <c r="A1014">
        <v>1847103840</v>
      </c>
      <c r="B1014" t="s">
        <v>382</v>
      </c>
      <c r="C1014">
        <v>280000</v>
      </c>
      <c r="D1014">
        <v>244468</v>
      </c>
      <c r="G1014">
        <v>244468</v>
      </c>
      <c r="H1014">
        <f>VLOOKUP(A1014,הוצאות!$B$2:$V$519,19,0)</f>
        <v>280000</v>
      </c>
    </row>
    <row r="1015" spans="1:8">
      <c r="A1015">
        <v>1847104840</v>
      </c>
      <c r="B1015" t="s">
        <v>383</v>
      </c>
      <c r="C1015">
        <v>550000</v>
      </c>
      <c r="D1015">
        <v>337362</v>
      </c>
      <c r="G1015">
        <v>337362</v>
      </c>
      <c r="H1015">
        <f>VLOOKUP(A1015,הוצאות!$B$2:$V$519,19,0)</f>
        <v>550000</v>
      </c>
    </row>
    <row r="1016" spans="1:8">
      <c r="A1016">
        <v>1847106840</v>
      </c>
      <c r="B1016" t="s">
        <v>384</v>
      </c>
      <c r="C1016">
        <v>0</v>
      </c>
      <c r="D1016">
        <v>0</v>
      </c>
      <c r="G1016">
        <v>0</v>
      </c>
      <c r="H1016" t="e">
        <f>VLOOKUP(A1016,הוצאות!$B$2:$V$519,19,0)</f>
        <v>#N/A</v>
      </c>
    </row>
    <row r="1017" spans="1:8">
      <c r="A1017">
        <v>1847201840</v>
      </c>
      <c r="B1017" t="s">
        <v>385</v>
      </c>
      <c r="C1017">
        <v>0</v>
      </c>
      <c r="D1017">
        <v>14567</v>
      </c>
      <c r="G1017">
        <v>14567</v>
      </c>
      <c r="H1017">
        <f>VLOOKUP(A1017,הוצאות!$B$2:$V$519,19,0)</f>
        <v>0</v>
      </c>
    </row>
    <row r="1018" spans="1:8">
      <c r="A1018">
        <v>1847202840</v>
      </c>
      <c r="B1018" t="s">
        <v>1631</v>
      </c>
      <c r="C1018">
        <v>80000</v>
      </c>
      <c r="D1018">
        <v>85196</v>
      </c>
      <c r="G1018">
        <v>85196</v>
      </c>
      <c r="H1018">
        <f>VLOOKUP(A1018,הוצאות!$B$2:$V$519,19,0)</f>
        <v>80000</v>
      </c>
    </row>
    <row r="1019" spans="1:8">
      <c r="A1019">
        <v>1847301110</v>
      </c>
      <c r="B1019" t="s">
        <v>1858</v>
      </c>
      <c r="C1019">
        <v>0</v>
      </c>
      <c r="D1019">
        <v>0</v>
      </c>
      <c r="G1019">
        <v>0</v>
      </c>
      <c r="H1019" t="e">
        <f>VLOOKUP(A1019,הוצאות!$B$2:$V$519,19,0)</f>
        <v>#N/A</v>
      </c>
    </row>
    <row r="1020" spans="1:8">
      <c r="A1020">
        <v>1847301780</v>
      </c>
      <c r="B1020" t="s">
        <v>1859</v>
      </c>
      <c r="C1020">
        <v>0</v>
      </c>
      <c r="D1020">
        <v>0</v>
      </c>
      <c r="G1020">
        <v>0</v>
      </c>
      <c r="H1020" t="e">
        <f>VLOOKUP(A1020,הוצאות!$B$2:$V$519,19,0)</f>
        <v>#N/A</v>
      </c>
    </row>
    <row r="1021" spans="1:8">
      <c r="A1021">
        <v>1847301840</v>
      </c>
      <c r="B1021" t="s">
        <v>386</v>
      </c>
      <c r="C1021">
        <v>80000</v>
      </c>
      <c r="D1021">
        <v>91098</v>
      </c>
      <c r="G1021">
        <v>91098</v>
      </c>
      <c r="H1021">
        <f>VLOOKUP(A1021,הוצאות!$B$2:$V$519,19,0)</f>
        <v>80000</v>
      </c>
    </row>
    <row r="1022" spans="1:8">
      <c r="A1022">
        <v>1847302840</v>
      </c>
      <c r="B1022" t="s">
        <v>387</v>
      </c>
      <c r="C1022">
        <v>0</v>
      </c>
      <c r="D1022">
        <v>0</v>
      </c>
      <c r="G1022">
        <v>0</v>
      </c>
      <c r="H1022" t="e">
        <f>VLOOKUP(A1022,הוצאות!$B$2:$V$519,19,0)</f>
        <v>#N/A</v>
      </c>
    </row>
    <row r="1023" spans="1:8">
      <c r="A1023">
        <v>1847400840</v>
      </c>
      <c r="B1023" t="s">
        <v>388</v>
      </c>
      <c r="C1023">
        <v>30000</v>
      </c>
      <c r="D1023">
        <v>25336</v>
      </c>
      <c r="G1023">
        <v>25336</v>
      </c>
      <c r="H1023">
        <f>VLOOKUP(A1023,הוצאות!$B$2:$V$519,19,0)</f>
        <v>30000</v>
      </c>
    </row>
    <row r="1024" spans="1:8">
      <c r="A1024">
        <v>1847500840</v>
      </c>
      <c r="B1024" t="s">
        <v>1639</v>
      </c>
      <c r="C1024">
        <v>160000</v>
      </c>
      <c r="D1024">
        <v>146783</v>
      </c>
      <c r="G1024">
        <v>146783</v>
      </c>
      <c r="H1024">
        <f>VLOOKUP(A1024,הוצאות!$B$2:$V$519,19,0)</f>
        <v>160000</v>
      </c>
    </row>
    <row r="1025" spans="1:8">
      <c r="A1025">
        <v>1848500840</v>
      </c>
      <c r="B1025" t="s">
        <v>1637</v>
      </c>
      <c r="C1025">
        <v>1200000</v>
      </c>
      <c r="D1025">
        <v>1162340</v>
      </c>
      <c r="G1025">
        <v>1162340</v>
      </c>
      <c r="H1025">
        <f>VLOOKUP(A1025,הוצאות!$B$2:$V$519,19,0)</f>
        <v>1200000</v>
      </c>
    </row>
    <row r="1026" spans="1:8">
      <c r="A1026">
        <v>1848501780</v>
      </c>
      <c r="B1026" t="s">
        <v>389</v>
      </c>
      <c r="C1026">
        <v>0</v>
      </c>
      <c r="D1026">
        <v>0</v>
      </c>
      <c r="G1026">
        <v>0</v>
      </c>
      <c r="H1026" t="e">
        <f>VLOOKUP(A1026,הוצאות!$B$2:$V$519,19,0)</f>
        <v>#N/A</v>
      </c>
    </row>
    <row r="1027" spans="1:8">
      <c r="A1027">
        <v>1848502110</v>
      </c>
      <c r="B1027" t="s">
        <v>390</v>
      </c>
      <c r="C1027">
        <v>0</v>
      </c>
      <c r="D1027">
        <v>54655.49</v>
      </c>
      <c r="G1027">
        <v>54655.49</v>
      </c>
      <c r="H1027">
        <f>VLOOKUP(A1027,הוצאות!$B$2:$V$519,19,0)</f>
        <v>0</v>
      </c>
    </row>
    <row r="1028" spans="1:8">
      <c r="A1028">
        <v>1848502320</v>
      </c>
      <c r="B1028" t="s">
        <v>25</v>
      </c>
      <c r="C1028">
        <v>0</v>
      </c>
      <c r="D1028">
        <v>0</v>
      </c>
      <c r="G1028">
        <v>0</v>
      </c>
      <c r="H1028" t="e">
        <f>VLOOKUP(A1028,הוצאות!$B$2:$V$519,19,0)</f>
        <v>#N/A</v>
      </c>
    </row>
    <row r="1029" spans="1:8">
      <c r="A1029">
        <v>1848502750</v>
      </c>
      <c r="B1029" t="s">
        <v>391</v>
      </c>
      <c r="C1029">
        <v>0</v>
      </c>
      <c r="D1029">
        <v>0</v>
      </c>
      <c r="G1029">
        <v>0</v>
      </c>
      <c r="H1029" t="e">
        <f>VLOOKUP(A1029,הוצאות!$B$2:$V$519,19,0)</f>
        <v>#N/A</v>
      </c>
    </row>
    <row r="1030" spans="1:8">
      <c r="A1030">
        <v>1848502840</v>
      </c>
      <c r="B1030" t="s">
        <v>390</v>
      </c>
      <c r="C1030">
        <v>0</v>
      </c>
      <c r="D1030">
        <v>0</v>
      </c>
      <c r="G1030">
        <v>0</v>
      </c>
      <c r="H1030" t="e">
        <f>VLOOKUP(A1030,הוצאות!$B$2:$V$519,19,0)</f>
        <v>#N/A</v>
      </c>
    </row>
    <row r="1031" spans="1:8">
      <c r="A1031">
        <v>1848502850</v>
      </c>
      <c r="B1031" t="s">
        <v>392</v>
      </c>
      <c r="C1031">
        <v>0</v>
      </c>
      <c r="D1031">
        <v>0</v>
      </c>
      <c r="G1031">
        <v>0</v>
      </c>
      <c r="H1031" t="e">
        <f>VLOOKUP(A1031,הוצאות!$B$2:$V$519,19,0)</f>
        <v>#N/A</v>
      </c>
    </row>
    <row r="1032" spans="1:8">
      <c r="A1032">
        <v>1849000840</v>
      </c>
      <c r="B1032" t="s">
        <v>1860</v>
      </c>
      <c r="C1032">
        <v>0</v>
      </c>
      <c r="D1032">
        <v>0</v>
      </c>
      <c r="G1032">
        <v>0</v>
      </c>
      <c r="H1032" t="e">
        <f>VLOOKUP(A1032,הוצאות!$B$2:$V$519,19,0)</f>
        <v>#N/A</v>
      </c>
    </row>
    <row r="1033" spans="1:8">
      <c r="A1033">
        <v>1849999399</v>
      </c>
      <c r="B1033" t="s">
        <v>47</v>
      </c>
      <c r="C1033">
        <v>0</v>
      </c>
      <c r="D1033">
        <v>0</v>
      </c>
      <c r="G1033">
        <v>0</v>
      </c>
      <c r="H1033" t="e">
        <f>VLOOKUP(A1033,הוצאות!$B$2:$V$519,19,0)</f>
        <v>#N/A</v>
      </c>
    </row>
    <row r="1034" spans="1:8">
      <c r="A1034">
        <v>1853000110</v>
      </c>
      <c r="B1034" t="s">
        <v>1861</v>
      </c>
      <c r="C1034">
        <v>0</v>
      </c>
      <c r="D1034">
        <v>0</v>
      </c>
      <c r="G1034">
        <v>0</v>
      </c>
      <c r="H1034" t="e">
        <f>VLOOKUP(A1034,הוצאות!$B$2:$V$519,19,0)</f>
        <v>#N/A</v>
      </c>
    </row>
    <row r="1035" spans="1:8">
      <c r="A1035">
        <v>1853000320</v>
      </c>
      <c r="B1035" t="s">
        <v>25</v>
      </c>
      <c r="C1035">
        <v>0</v>
      </c>
      <c r="D1035">
        <v>0</v>
      </c>
      <c r="G1035">
        <v>0</v>
      </c>
      <c r="H1035" t="e">
        <f>VLOOKUP(A1035,הוצאות!$B$2:$V$519,19,0)</f>
        <v>#N/A</v>
      </c>
    </row>
    <row r="1036" spans="1:8">
      <c r="A1036">
        <v>1853000431</v>
      </c>
      <c r="B1036" t="s">
        <v>1862</v>
      </c>
      <c r="C1036">
        <v>18000</v>
      </c>
      <c r="D1036">
        <v>25098.57</v>
      </c>
      <c r="G1036">
        <v>25098.57</v>
      </c>
      <c r="H1036">
        <f>VLOOKUP(A1036,הוצאות!$B$2:$V$519,19,0)</f>
        <v>18000</v>
      </c>
    </row>
    <row r="1037" spans="1:8">
      <c r="A1037">
        <v>1853000432</v>
      </c>
      <c r="B1037" t="s">
        <v>393</v>
      </c>
      <c r="C1037">
        <v>0</v>
      </c>
      <c r="D1037">
        <v>0</v>
      </c>
      <c r="G1037">
        <v>0</v>
      </c>
      <c r="H1037">
        <f>VLOOKUP(A1037,הוצאות!$B$2:$V$519,19,0)</f>
        <v>0</v>
      </c>
    </row>
    <row r="1038" spans="1:8">
      <c r="A1038">
        <v>1853000750</v>
      </c>
      <c r="B1038" t="s">
        <v>1863</v>
      </c>
      <c r="C1038">
        <v>0</v>
      </c>
      <c r="D1038">
        <v>0</v>
      </c>
      <c r="G1038">
        <v>8252.01</v>
      </c>
      <c r="H1038">
        <f>VLOOKUP(A1038,הוצאות!$B$2:$V$519,19,0)</f>
        <v>0</v>
      </c>
    </row>
    <row r="1039" spans="1:8">
      <c r="A1039">
        <v>1853000780</v>
      </c>
      <c r="B1039" t="s">
        <v>18</v>
      </c>
      <c r="C1039">
        <v>200000</v>
      </c>
      <c r="D1039">
        <v>67513.95</v>
      </c>
      <c r="G1039">
        <v>90623.75</v>
      </c>
      <c r="H1039">
        <f>VLOOKUP(A1039,הוצאות!$B$2:$V$519,19,0)</f>
        <v>200000</v>
      </c>
    </row>
    <row r="1040" spans="1:8">
      <c r="A1040">
        <v>1853000810</v>
      </c>
      <c r="B1040" t="s">
        <v>1711</v>
      </c>
      <c r="C1040">
        <v>0</v>
      </c>
      <c r="D1040">
        <v>0</v>
      </c>
      <c r="G1040">
        <v>0</v>
      </c>
      <c r="H1040" t="e">
        <f>VLOOKUP(A1040,הוצאות!$B$2:$V$519,19,0)</f>
        <v>#N/A</v>
      </c>
    </row>
    <row r="1041" spans="1:8">
      <c r="A1041">
        <v>1859999399</v>
      </c>
      <c r="B1041" t="s">
        <v>47</v>
      </c>
      <c r="C1041">
        <v>0</v>
      </c>
      <c r="D1041">
        <v>0</v>
      </c>
      <c r="G1041">
        <v>0</v>
      </c>
      <c r="H1041" t="e">
        <f>VLOOKUP(A1041,הוצאות!$B$2:$V$519,19,0)</f>
        <v>#N/A</v>
      </c>
    </row>
    <row r="1042" spans="1:8">
      <c r="A1042">
        <v>1871000110</v>
      </c>
      <c r="B1042" t="s">
        <v>2076</v>
      </c>
      <c r="C1042">
        <v>0</v>
      </c>
      <c r="D1042">
        <v>0</v>
      </c>
      <c r="G1042">
        <v>0</v>
      </c>
      <c r="H1042">
        <f>VLOOKUP(A1042,הוצאות!$B$2:$V$519,19,0)</f>
        <v>100000</v>
      </c>
    </row>
    <row r="1043" spans="1:8">
      <c r="A1043">
        <v>1879000750</v>
      </c>
      <c r="B1043" t="s">
        <v>1714</v>
      </c>
      <c r="C1043">
        <v>0</v>
      </c>
      <c r="D1043">
        <v>0</v>
      </c>
      <c r="G1043">
        <v>0</v>
      </c>
      <c r="H1043" t="e">
        <f>VLOOKUP(A1043,הוצאות!$B$2:$V$519,19,0)</f>
        <v>#N/A</v>
      </c>
    </row>
    <row r="1044" spans="1:8">
      <c r="A1044">
        <v>1879000780</v>
      </c>
      <c r="B1044" t="s">
        <v>1864</v>
      </c>
      <c r="C1044">
        <v>0</v>
      </c>
      <c r="D1044">
        <v>0</v>
      </c>
      <c r="G1044">
        <v>0</v>
      </c>
      <c r="H1044" t="e">
        <f>VLOOKUP(A1044,הוצאות!$B$2:$V$519,19,0)</f>
        <v>#N/A</v>
      </c>
    </row>
    <row r="1045" spans="1:8">
      <c r="A1045">
        <v>1879000830</v>
      </c>
      <c r="B1045" t="s">
        <v>395</v>
      </c>
      <c r="C1045">
        <v>37266</v>
      </c>
      <c r="D1045">
        <v>0</v>
      </c>
      <c r="G1045">
        <v>0</v>
      </c>
      <c r="H1045">
        <f>VLOOKUP(A1045,הוצאות!$B$2:$V$519,19,0)</f>
        <v>37266.545454545456</v>
      </c>
    </row>
    <row r="1046" spans="1:8">
      <c r="A1046">
        <v>1911000110</v>
      </c>
      <c r="B1046" t="s">
        <v>396</v>
      </c>
      <c r="C1046">
        <v>101078</v>
      </c>
      <c r="D1046">
        <v>99401.11</v>
      </c>
      <c r="G1046">
        <v>99401.11</v>
      </c>
      <c r="H1046">
        <f>VLOOKUP(A1046,הוצאות!$B$2:$V$519,19,0)</f>
        <v>101078.31355000001</v>
      </c>
    </row>
    <row r="1047" spans="1:8">
      <c r="A1047">
        <v>1911000320</v>
      </c>
      <c r="B1047" t="s">
        <v>1865</v>
      </c>
      <c r="C1047">
        <v>0</v>
      </c>
      <c r="D1047">
        <v>0</v>
      </c>
      <c r="G1047">
        <v>0</v>
      </c>
      <c r="H1047" t="e">
        <f>VLOOKUP(A1047,הוצאות!$B$2:$V$519,19,0)</f>
        <v>#N/A</v>
      </c>
    </row>
    <row r="1048" spans="1:8">
      <c r="A1048">
        <v>1911000540</v>
      </c>
      <c r="B1048" t="s">
        <v>397</v>
      </c>
      <c r="C1048">
        <v>0</v>
      </c>
      <c r="D1048">
        <v>0</v>
      </c>
      <c r="G1048">
        <v>0</v>
      </c>
      <c r="H1048">
        <f>VLOOKUP(A1048,הוצאות!$B$2:$V$519,19,0)</f>
        <v>0</v>
      </c>
    </row>
    <row r="1049" spans="1:8">
      <c r="A1049">
        <v>1913000110</v>
      </c>
      <c r="B1049" t="s">
        <v>1866</v>
      </c>
      <c r="C1049">
        <v>0</v>
      </c>
      <c r="D1049">
        <v>0</v>
      </c>
      <c r="G1049">
        <v>0</v>
      </c>
      <c r="H1049" t="e">
        <f>VLOOKUP(A1049,הוצאות!$B$2:$V$519,19,0)</f>
        <v>#N/A</v>
      </c>
    </row>
    <row r="1050" spans="1:8">
      <c r="A1050">
        <v>1913000720</v>
      </c>
      <c r="B1050" t="s">
        <v>32</v>
      </c>
      <c r="C1050">
        <v>20000</v>
      </c>
      <c r="D1050">
        <v>27582.58</v>
      </c>
      <c r="G1050">
        <v>27582.58</v>
      </c>
      <c r="H1050">
        <f>VLOOKUP(A1050,הוצאות!$B$2:$V$519,19,0)</f>
        <v>20000</v>
      </c>
    </row>
    <row r="1051" spans="1:8">
      <c r="A1051">
        <v>1913000730</v>
      </c>
      <c r="B1051" t="s">
        <v>1867</v>
      </c>
      <c r="C1051">
        <v>0</v>
      </c>
      <c r="D1051">
        <v>0</v>
      </c>
      <c r="G1051">
        <v>0</v>
      </c>
      <c r="H1051" t="e">
        <f>VLOOKUP(A1051,הוצאות!$B$2:$V$519,19,0)</f>
        <v>#N/A</v>
      </c>
    </row>
    <row r="1052" spans="1:8">
      <c r="A1052">
        <v>1913000731</v>
      </c>
      <c r="B1052" t="s">
        <v>1868</v>
      </c>
      <c r="C1052">
        <v>0</v>
      </c>
      <c r="D1052">
        <v>0</v>
      </c>
      <c r="G1052">
        <v>0</v>
      </c>
      <c r="H1052" t="e">
        <f>VLOOKUP(A1052,הוצאות!$B$2:$V$519,19,0)</f>
        <v>#N/A</v>
      </c>
    </row>
    <row r="1053" spans="1:8">
      <c r="A1053">
        <v>1913000732</v>
      </c>
      <c r="B1053" t="s">
        <v>1869</v>
      </c>
      <c r="C1053">
        <v>0</v>
      </c>
      <c r="D1053">
        <v>0</v>
      </c>
      <c r="G1053">
        <v>0</v>
      </c>
      <c r="H1053" t="e">
        <f>VLOOKUP(A1053,הוצאות!$B$2:$V$519,19,0)</f>
        <v>#N/A</v>
      </c>
    </row>
    <row r="1054" spans="1:8">
      <c r="A1054">
        <v>1913000733</v>
      </c>
      <c r="B1054" t="s">
        <v>1870</v>
      </c>
      <c r="C1054">
        <v>0</v>
      </c>
      <c r="D1054">
        <v>0</v>
      </c>
      <c r="G1054">
        <v>0</v>
      </c>
      <c r="H1054" t="e">
        <f>VLOOKUP(A1054,הוצאות!$B$2:$V$519,19,0)</f>
        <v>#N/A</v>
      </c>
    </row>
    <row r="1055" spans="1:8">
      <c r="A1055">
        <v>1913000740</v>
      </c>
      <c r="B1055" t="s">
        <v>155</v>
      </c>
      <c r="C1055">
        <v>0</v>
      </c>
      <c r="D1055">
        <v>0</v>
      </c>
      <c r="G1055">
        <v>0</v>
      </c>
      <c r="H1055">
        <f>VLOOKUP(A1055,הוצאות!$B$2:$V$519,19,0)</f>
        <v>0</v>
      </c>
    </row>
    <row r="1056" spans="1:8">
      <c r="A1056">
        <v>1913000750</v>
      </c>
      <c r="B1056" t="s">
        <v>62</v>
      </c>
      <c r="C1056">
        <v>40000</v>
      </c>
      <c r="D1056">
        <v>16843</v>
      </c>
      <c r="G1056">
        <v>35464.629999999997</v>
      </c>
      <c r="H1056">
        <f>VLOOKUP(A1056,הוצאות!$B$2:$V$519,19,0)</f>
        <v>40000</v>
      </c>
    </row>
    <row r="1057" spans="1:8">
      <c r="A1057">
        <v>1913000771</v>
      </c>
      <c r="B1057" t="s">
        <v>26</v>
      </c>
      <c r="C1057">
        <v>0</v>
      </c>
      <c r="D1057">
        <v>0</v>
      </c>
      <c r="G1057">
        <v>0</v>
      </c>
      <c r="H1057" t="e">
        <f>VLOOKUP(A1057,הוצאות!$B$2:$V$519,19,0)</f>
        <v>#N/A</v>
      </c>
    </row>
    <row r="1058" spans="1:8">
      <c r="A1058">
        <v>1913000780</v>
      </c>
      <c r="B1058" t="s">
        <v>398</v>
      </c>
      <c r="C1058">
        <v>60000</v>
      </c>
      <c r="D1058">
        <v>185836.6</v>
      </c>
      <c r="G1058">
        <v>185836.6</v>
      </c>
      <c r="H1058">
        <f>VLOOKUP(A1058,הוצאות!$B$2:$V$519,19,0)</f>
        <v>60000</v>
      </c>
    </row>
    <row r="1059" spans="1:8">
      <c r="A1059">
        <v>1913000910</v>
      </c>
      <c r="B1059" t="s">
        <v>1739</v>
      </c>
      <c r="C1059">
        <v>0</v>
      </c>
      <c r="D1059">
        <v>0</v>
      </c>
      <c r="G1059">
        <v>0</v>
      </c>
      <c r="H1059" t="e">
        <f>VLOOKUP(A1059,הוצאות!$B$2:$V$519,19,0)</f>
        <v>#N/A</v>
      </c>
    </row>
    <row r="1060" spans="1:8">
      <c r="A1060">
        <v>1913100523</v>
      </c>
      <c r="B1060" t="s">
        <v>1871</v>
      </c>
      <c r="C1060">
        <v>0</v>
      </c>
      <c r="D1060">
        <v>0</v>
      </c>
      <c r="G1060">
        <v>0</v>
      </c>
      <c r="H1060" t="e">
        <f>VLOOKUP(A1060,הוצאות!$B$2:$V$519,19,0)</f>
        <v>#N/A</v>
      </c>
    </row>
    <row r="1061" spans="1:8">
      <c r="A1061">
        <v>1913100772</v>
      </c>
      <c r="B1061" t="s">
        <v>399</v>
      </c>
      <c r="C1061">
        <v>3000000</v>
      </c>
      <c r="D1061">
        <v>4941034.33</v>
      </c>
      <c r="G1061">
        <v>4941034.33</v>
      </c>
      <c r="H1061">
        <f>VLOOKUP(A1061,הוצאות!$B$2:$V$519,19,0)</f>
        <v>3000000</v>
      </c>
    </row>
    <row r="1062" spans="1:8">
      <c r="A1062">
        <v>1913101772</v>
      </c>
      <c r="B1062" t="s">
        <v>1872</v>
      </c>
      <c r="C1062">
        <v>0</v>
      </c>
      <c r="D1062">
        <v>0</v>
      </c>
      <c r="G1062">
        <v>0</v>
      </c>
      <c r="H1062" t="e">
        <f>VLOOKUP(A1062,הוצאות!$B$2:$V$519,19,0)</f>
        <v>#N/A</v>
      </c>
    </row>
    <row r="1063" spans="1:8">
      <c r="A1063">
        <v>1919999399</v>
      </c>
      <c r="B1063" t="s">
        <v>47</v>
      </c>
      <c r="C1063">
        <v>0</v>
      </c>
      <c r="D1063">
        <v>0</v>
      </c>
      <c r="G1063">
        <v>0</v>
      </c>
      <c r="H1063" t="e">
        <f>VLOOKUP(A1063,הוצאות!$B$2:$V$519,19,0)</f>
        <v>#N/A</v>
      </c>
    </row>
    <row r="1064" spans="1:8">
      <c r="A1064">
        <v>1938000420</v>
      </c>
      <c r="B1064" t="s">
        <v>150</v>
      </c>
      <c r="C1064">
        <v>0</v>
      </c>
      <c r="D1064">
        <v>0</v>
      </c>
      <c r="G1064">
        <v>0</v>
      </c>
      <c r="H1064">
        <f>VLOOKUP(A1064,הוצאות!$B$2:$V$519,19,0)</f>
        <v>0</v>
      </c>
    </row>
    <row r="1065" spans="1:8">
      <c r="A1065">
        <v>1938000431</v>
      </c>
      <c r="B1065" t="s">
        <v>26</v>
      </c>
      <c r="C1065">
        <v>0</v>
      </c>
      <c r="D1065">
        <v>0</v>
      </c>
      <c r="G1065">
        <v>0</v>
      </c>
      <c r="H1065" t="e">
        <f>VLOOKUP(A1065,הוצאות!$B$2:$V$519,19,0)</f>
        <v>#N/A</v>
      </c>
    </row>
    <row r="1066" spans="1:8">
      <c r="A1066">
        <v>1938000432</v>
      </c>
      <c r="B1066" t="s">
        <v>165</v>
      </c>
      <c r="C1066">
        <v>0</v>
      </c>
      <c r="D1066">
        <v>0</v>
      </c>
      <c r="G1066">
        <v>0</v>
      </c>
      <c r="H1066">
        <f>VLOOKUP(A1066,הוצאות!$B$2:$V$519,19,0)</f>
        <v>0</v>
      </c>
    </row>
    <row r="1067" spans="1:8">
      <c r="A1067">
        <v>1938000433</v>
      </c>
      <c r="B1067" t="s">
        <v>144</v>
      </c>
      <c r="C1067">
        <v>0</v>
      </c>
      <c r="D1067">
        <v>0</v>
      </c>
      <c r="G1067">
        <v>0</v>
      </c>
      <c r="H1067" t="e">
        <f>VLOOKUP(A1067,הוצאות!$B$2:$V$519,19,0)</f>
        <v>#N/A</v>
      </c>
    </row>
    <row r="1068" spans="1:8">
      <c r="A1068">
        <v>1938000511</v>
      </c>
      <c r="B1068" t="s">
        <v>400</v>
      </c>
      <c r="C1068">
        <v>0</v>
      </c>
      <c r="D1068">
        <v>0</v>
      </c>
      <c r="G1068">
        <v>0</v>
      </c>
      <c r="H1068">
        <f>VLOOKUP(A1068,הוצאות!$B$2:$V$519,19,0)</f>
        <v>0</v>
      </c>
    </row>
    <row r="1069" spans="1:8">
      <c r="A1069">
        <v>1938000540</v>
      </c>
      <c r="B1069" t="s">
        <v>401</v>
      </c>
      <c r="C1069">
        <v>40000</v>
      </c>
      <c r="D1069">
        <v>0</v>
      </c>
      <c r="G1069">
        <v>0</v>
      </c>
      <c r="H1069">
        <f>VLOOKUP(A1069,הוצאות!$B$2:$V$519,19,0)</f>
        <v>1000</v>
      </c>
    </row>
    <row r="1070" spans="1:8">
      <c r="A1070">
        <v>1938000550</v>
      </c>
      <c r="B1070" t="s">
        <v>30</v>
      </c>
      <c r="C1070">
        <v>0</v>
      </c>
      <c r="D1070">
        <v>0</v>
      </c>
      <c r="G1070">
        <v>0</v>
      </c>
      <c r="H1070" t="e">
        <f>VLOOKUP(A1070,הוצאות!$B$2:$V$519,19,0)</f>
        <v>#N/A</v>
      </c>
    </row>
    <row r="1071" spans="1:8">
      <c r="A1071">
        <v>1938000560</v>
      </c>
      <c r="B1071" t="s">
        <v>14</v>
      </c>
      <c r="C1071">
        <v>0</v>
      </c>
      <c r="D1071">
        <v>59475</v>
      </c>
      <c r="G1071">
        <v>59475</v>
      </c>
      <c r="H1071">
        <f>VLOOKUP(A1071,הוצאות!$B$2:$V$519,19,0)</f>
        <v>0</v>
      </c>
    </row>
    <row r="1072" spans="1:8">
      <c r="A1072">
        <v>1938000710</v>
      </c>
      <c r="B1072" t="s">
        <v>1873</v>
      </c>
      <c r="C1072">
        <v>0</v>
      </c>
      <c r="D1072">
        <v>0</v>
      </c>
      <c r="G1072">
        <v>0</v>
      </c>
      <c r="H1072" t="e">
        <f>VLOOKUP(A1072,הוצאות!$B$2:$V$519,19,0)</f>
        <v>#N/A</v>
      </c>
    </row>
    <row r="1073" spans="1:8">
      <c r="A1073">
        <v>1938000720</v>
      </c>
      <c r="B1073" t="s">
        <v>32</v>
      </c>
      <c r="C1073">
        <v>0</v>
      </c>
      <c r="D1073">
        <v>0</v>
      </c>
      <c r="G1073">
        <v>0</v>
      </c>
      <c r="H1073" t="e">
        <f>VLOOKUP(A1073,הוצאות!$B$2:$V$519,19,0)</f>
        <v>#N/A</v>
      </c>
    </row>
    <row r="1074" spans="1:8">
      <c r="A1074">
        <v>1938000740</v>
      </c>
      <c r="B1074" t="s">
        <v>33</v>
      </c>
      <c r="C1074">
        <v>0</v>
      </c>
      <c r="D1074">
        <v>0</v>
      </c>
      <c r="G1074">
        <v>0</v>
      </c>
      <c r="H1074" t="e">
        <f>VLOOKUP(A1074,הוצאות!$B$2:$V$519,19,0)</f>
        <v>#N/A</v>
      </c>
    </row>
    <row r="1075" spans="1:8">
      <c r="A1075">
        <v>1938000750</v>
      </c>
      <c r="B1075" t="s">
        <v>62</v>
      </c>
      <c r="C1075">
        <v>10000</v>
      </c>
      <c r="D1075">
        <v>99564</v>
      </c>
      <c r="G1075">
        <v>99564</v>
      </c>
      <c r="H1075">
        <f>VLOOKUP(A1075,הוצאות!$B$2:$V$519,19,0)</f>
        <v>100000</v>
      </c>
    </row>
    <row r="1076" spans="1:8">
      <c r="A1076">
        <v>1938000780</v>
      </c>
      <c r="B1076" t="s">
        <v>58</v>
      </c>
      <c r="C1076">
        <v>0</v>
      </c>
      <c r="D1076">
        <v>0</v>
      </c>
      <c r="G1076">
        <v>0</v>
      </c>
      <c r="H1076" t="e">
        <f>VLOOKUP(A1076,הוצאות!$B$2:$V$519,19,0)</f>
        <v>#N/A</v>
      </c>
    </row>
    <row r="1077" spans="1:8">
      <c r="A1077">
        <v>1938000930</v>
      </c>
      <c r="B1077" t="s">
        <v>19</v>
      </c>
      <c r="C1077">
        <v>0</v>
      </c>
      <c r="D1077">
        <v>0</v>
      </c>
      <c r="G1077">
        <v>0</v>
      </c>
      <c r="H1077">
        <f>VLOOKUP(A1077,הוצאות!$B$2:$V$519,19,0)</f>
        <v>0</v>
      </c>
    </row>
    <row r="1078" spans="1:8">
      <c r="A1078">
        <v>1972000691</v>
      </c>
      <c r="B1078" t="s">
        <v>402</v>
      </c>
      <c r="C1078">
        <v>350000</v>
      </c>
      <c r="D1078">
        <v>470934.99</v>
      </c>
      <c r="G1078">
        <v>470934.99</v>
      </c>
      <c r="H1078">
        <f>VLOOKUP(A1078,הוצאות!$B$2:$V$519,19,0)</f>
        <v>350000</v>
      </c>
    </row>
    <row r="1079" spans="1:8">
      <c r="A1079">
        <v>1972000692</v>
      </c>
      <c r="B1079" t="s">
        <v>403</v>
      </c>
      <c r="C1079">
        <v>93000</v>
      </c>
      <c r="D1079">
        <v>124052.47</v>
      </c>
      <c r="G1079">
        <v>124052.47</v>
      </c>
      <c r="H1079">
        <f>VLOOKUP(A1079,הוצאות!$B$2:$V$519,19,0)</f>
        <v>93000</v>
      </c>
    </row>
    <row r="1080" spans="1:8">
      <c r="A1080">
        <v>1972000693</v>
      </c>
      <c r="B1080" t="s">
        <v>404</v>
      </c>
      <c r="C1080">
        <v>90000</v>
      </c>
      <c r="D1080">
        <v>131463.85999999999</v>
      </c>
      <c r="G1080">
        <v>131463.85999999999</v>
      </c>
      <c r="H1080">
        <f>VLOOKUP(A1080,הוצאות!$B$2:$V$519,19,0)</f>
        <v>90000</v>
      </c>
    </row>
    <row r="1081" spans="1:8">
      <c r="A1081">
        <v>1972000720</v>
      </c>
      <c r="B1081" t="s">
        <v>405</v>
      </c>
      <c r="C1081">
        <v>0</v>
      </c>
      <c r="D1081">
        <v>0</v>
      </c>
      <c r="G1081">
        <v>0</v>
      </c>
      <c r="H1081" t="e">
        <f>VLOOKUP(A1081,הוצאות!$B$2:$V$519,19,0)</f>
        <v>#N/A</v>
      </c>
    </row>
    <row r="1082" spans="1:8">
      <c r="A1082">
        <v>1972000750</v>
      </c>
      <c r="B1082" t="s">
        <v>406</v>
      </c>
      <c r="C1082">
        <v>400000</v>
      </c>
      <c r="D1082">
        <v>617974.5</v>
      </c>
      <c r="E1082">
        <v>174621</v>
      </c>
      <c r="F1082" t="s">
        <v>2124</v>
      </c>
      <c r="G1082">
        <v>792595.5</v>
      </c>
      <c r="H1082">
        <f>VLOOKUP(A1082,הוצאות!$B$2:$V$519,19,0)</f>
        <v>400000</v>
      </c>
    </row>
    <row r="1083" spans="1:8">
      <c r="A1083">
        <v>1972000751</v>
      </c>
      <c r="B1083" t="s">
        <v>407</v>
      </c>
      <c r="C1083">
        <v>0</v>
      </c>
      <c r="D1083">
        <v>0</v>
      </c>
      <c r="G1083">
        <v>0</v>
      </c>
      <c r="H1083">
        <f>VLOOKUP(A1083,הוצאות!$B$2:$V$519,19,0)</f>
        <v>0</v>
      </c>
    </row>
    <row r="1084" spans="1:8">
      <c r="A1084">
        <v>1972000771</v>
      </c>
      <c r="B1084" t="s">
        <v>408</v>
      </c>
      <c r="C1084">
        <v>60000</v>
      </c>
      <c r="D1084">
        <v>83299.28</v>
      </c>
      <c r="G1084">
        <v>83299.28</v>
      </c>
      <c r="H1084">
        <f>VLOOKUP(A1084,הוצאות!$B$2:$V$519,19,0)</f>
        <v>60000</v>
      </c>
    </row>
    <row r="1085" spans="1:8">
      <c r="A1085">
        <v>1973000760</v>
      </c>
      <c r="B1085" t="s">
        <v>409</v>
      </c>
      <c r="C1085">
        <v>800000</v>
      </c>
      <c r="D1085">
        <v>1137354.54</v>
      </c>
      <c r="G1085">
        <v>1137354.54</v>
      </c>
      <c r="H1085">
        <f>VLOOKUP(A1085,הוצאות!$B$2:$V$519,19,0)</f>
        <v>800000</v>
      </c>
    </row>
    <row r="1086" spans="1:8">
      <c r="A1086">
        <v>1973000780</v>
      </c>
      <c r="B1086" t="s">
        <v>1874</v>
      </c>
      <c r="C1086">
        <v>0</v>
      </c>
      <c r="D1086">
        <v>0</v>
      </c>
      <c r="G1086">
        <v>0</v>
      </c>
      <c r="H1086" t="e">
        <f>VLOOKUP(A1086,הוצאות!$B$2:$V$519,19,0)</f>
        <v>#N/A</v>
      </c>
    </row>
    <row r="1087" spans="1:8">
      <c r="A1087">
        <v>1974000750</v>
      </c>
      <c r="B1087" t="s">
        <v>1875</v>
      </c>
      <c r="C1087">
        <v>0</v>
      </c>
      <c r="D1087">
        <v>0</v>
      </c>
      <c r="G1087">
        <v>0</v>
      </c>
      <c r="H1087" t="e">
        <f>VLOOKUP(A1087,הוצאות!$B$2:$V$519,19,0)</f>
        <v>#N/A</v>
      </c>
    </row>
    <row r="1088" spans="1:8">
      <c r="A1088">
        <v>1979000830</v>
      </c>
      <c r="B1088" t="s">
        <v>1876</v>
      </c>
      <c r="C1088">
        <v>0</v>
      </c>
      <c r="D1088">
        <v>0</v>
      </c>
      <c r="G1088">
        <v>0</v>
      </c>
      <c r="H1088" t="e">
        <f>VLOOKUP(A1088,הוצאות!$B$2:$V$519,19,0)</f>
        <v>#N/A</v>
      </c>
    </row>
    <row r="1089" spans="1:8">
      <c r="A1089">
        <v>1992000960</v>
      </c>
      <c r="B1089" t="s">
        <v>1877</v>
      </c>
      <c r="C1089">
        <v>0</v>
      </c>
      <c r="D1089">
        <v>0</v>
      </c>
      <c r="G1089">
        <v>0</v>
      </c>
      <c r="H1089" t="e">
        <f>VLOOKUP(A1089,הוצאות!$B$2:$V$519,19,0)</f>
        <v>#N/A</v>
      </c>
    </row>
    <row r="1090" spans="1:8">
      <c r="A1090">
        <v>1992100960</v>
      </c>
      <c r="B1090" t="s">
        <v>1878</v>
      </c>
      <c r="C1090">
        <v>0</v>
      </c>
      <c r="D1090">
        <v>0</v>
      </c>
      <c r="G1090">
        <v>0</v>
      </c>
      <c r="H1090" t="e">
        <f>VLOOKUP(A1090,הוצאות!$B$2:$V$519,19,0)</f>
        <v>#N/A</v>
      </c>
    </row>
    <row r="1091" spans="1:8">
      <c r="A1091">
        <v>1993000780</v>
      </c>
      <c r="B1091" t="s">
        <v>410</v>
      </c>
      <c r="C1091">
        <v>0</v>
      </c>
      <c r="D1091">
        <v>694150.99</v>
      </c>
      <c r="G1091">
        <v>694150.99</v>
      </c>
      <c r="H1091">
        <f>VLOOKUP(A1091,הוצאות!$B$2:$V$519,19,0)</f>
        <v>0</v>
      </c>
    </row>
    <row r="1092" spans="1:8">
      <c r="A1092">
        <v>1995000860</v>
      </c>
      <c r="B1092" t="s">
        <v>411</v>
      </c>
      <c r="C1092">
        <v>4000000</v>
      </c>
      <c r="D1092">
        <v>3892654.4</v>
      </c>
      <c r="G1092">
        <v>3892654.4</v>
      </c>
      <c r="H1092">
        <f>VLOOKUP(A1092,הוצאות!$B$2:$V$519,19,0)</f>
        <v>4000000</v>
      </c>
    </row>
    <row r="1093" spans="1:8">
      <c r="A1093">
        <v>1996000990</v>
      </c>
      <c r="B1093" t="s">
        <v>1879</v>
      </c>
      <c r="C1093">
        <v>0</v>
      </c>
      <c r="D1093">
        <v>0</v>
      </c>
      <c r="G1093">
        <v>0</v>
      </c>
      <c r="H1093" t="e">
        <f>VLOOKUP(A1093,הוצאות!$B$2:$V$519,19,0)</f>
        <v>#N/A</v>
      </c>
    </row>
    <row r="1094" spans="1:8">
      <c r="A1094">
        <v>1999000110</v>
      </c>
      <c r="B1094" t="s">
        <v>412</v>
      </c>
      <c r="C1094">
        <v>0</v>
      </c>
      <c r="D1094">
        <v>18254.66</v>
      </c>
      <c r="G1094">
        <v>18254.66</v>
      </c>
      <c r="H1094">
        <f>VLOOKUP(A1094,הוצאות!$B$2:$V$519,19,0)</f>
        <v>0</v>
      </c>
    </row>
    <row r="1095" spans="1:8">
      <c r="A1095">
        <v>1999000310</v>
      </c>
      <c r="B1095" t="s">
        <v>413</v>
      </c>
      <c r="C1095">
        <v>610976</v>
      </c>
      <c r="D1095">
        <v>580560.6</v>
      </c>
      <c r="G1095">
        <v>580560.6</v>
      </c>
      <c r="H1095">
        <f>VLOOKUP(A1095,הוצאות!$B$2:$V$519,19,0)</f>
        <v>610976.6</v>
      </c>
    </row>
    <row r="1096" spans="1:8">
      <c r="A1096">
        <v>1999000691</v>
      </c>
      <c r="B1096" t="s">
        <v>1880</v>
      </c>
      <c r="C1096">
        <v>0</v>
      </c>
      <c r="D1096">
        <v>0</v>
      </c>
      <c r="G1096">
        <v>0</v>
      </c>
      <c r="H1096" t="e">
        <f>VLOOKUP(A1096,הוצאות!$B$2:$V$519,19,0)</f>
        <v>#N/A</v>
      </c>
    </row>
    <row r="1097" spans="1:8">
      <c r="A1097">
        <v>1999000692</v>
      </c>
      <c r="B1097" t="s">
        <v>1881</v>
      </c>
      <c r="C1097">
        <v>0</v>
      </c>
      <c r="D1097">
        <v>0</v>
      </c>
      <c r="G1097">
        <v>0</v>
      </c>
      <c r="H1097" t="e">
        <f>VLOOKUP(A1097,הוצאות!$B$2:$V$519,19,0)</f>
        <v>#N/A</v>
      </c>
    </row>
    <row r="1098" spans="1:8">
      <c r="A1098">
        <v>1999000693</v>
      </c>
      <c r="B1098" t="s">
        <v>1882</v>
      </c>
      <c r="C1098">
        <v>0</v>
      </c>
      <c r="D1098">
        <v>0</v>
      </c>
      <c r="G1098">
        <v>0</v>
      </c>
      <c r="H1098" t="e">
        <f>VLOOKUP(A1098,הוצאות!$B$2:$V$519,19,0)</f>
        <v>#N/A</v>
      </c>
    </row>
    <row r="1099" spans="1:8">
      <c r="A1099">
        <v>1999000980</v>
      </c>
      <c r="B1099" t="s">
        <v>414</v>
      </c>
      <c r="C1099">
        <v>0</v>
      </c>
      <c r="D1099">
        <v>0</v>
      </c>
      <c r="G1099">
        <v>0</v>
      </c>
      <c r="H1099">
        <f>VLOOKUP(A1099,הוצאות!$B$2:$V$519,19,0)</f>
        <v>0</v>
      </c>
    </row>
    <row r="1100" spans="1:8">
      <c r="A1100">
        <v>1999100980</v>
      </c>
      <c r="B1100" t="s">
        <v>415</v>
      </c>
      <c r="C1100">
        <v>0</v>
      </c>
      <c r="D1100">
        <v>2808000</v>
      </c>
      <c r="G1100">
        <v>2808000</v>
      </c>
      <c r="H1100">
        <f>VLOOKUP(A1100,הוצאות!$B$2:$V$519,19,0)</f>
        <v>0</v>
      </c>
    </row>
    <row r="1101" spans="1:8">
      <c r="A1101">
        <v>1999200980</v>
      </c>
      <c r="B1101" t="s">
        <v>1720</v>
      </c>
      <c r="C1101">
        <v>0</v>
      </c>
      <c r="D1101">
        <v>0</v>
      </c>
      <c r="G1101">
        <v>0</v>
      </c>
      <c r="H1101" t="e">
        <f>VLOOKUP(A1101,הוצאות!$B$2:$V$519,19,0)</f>
        <v>#N/A</v>
      </c>
    </row>
    <row r="1102" spans="1:8">
      <c r="A1102">
        <v>1999900980</v>
      </c>
      <c r="B1102" t="s">
        <v>1883</v>
      </c>
      <c r="C1102">
        <v>0</v>
      </c>
      <c r="D1102">
        <v>0</v>
      </c>
      <c r="G1102">
        <v>0</v>
      </c>
      <c r="H1102">
        <f>VLOOKUP(A1102,הוצאות!$B$2:$V$519,19,0)</f>
        <v>0</v>
      </c>
    </row>
    <row r="1103" spans="1:8">
      <c r="A1103">
        <v>1999900990</v>
      </c>
      <c r="B1103" t="s">
        <v>1884</v>
      </c>
      <c r="C1103">
        <v>2470800</v>
      </c>
      <c r="D1103">
        <v>0</v>
      </c>
      <c r="G1103">
        <v>0</v>
      </c>
      <c r="H1103">
        <f>VLOOKUP(A1103,הוצאות!$B$2:$V$519,19,0)</f>
        <v>2470800</v>
      </c>
    </row>
    <row r="1104" spans="1:8">
      <c r="G1104">
        <f>SUM(G331:G1103)</f>
        <v>108287721.63999997</v>
      </c>
    </row>
    <row r="1106" spans="7:7">
      <c r="G1106">
        <f>+G1104+G330</f>
        <v>7753418.8935000002</v>
      </c>
    </row>
    <row r="1108" spans="7:7">
      <c r="G1108">
        <f>+G1106+'ריכוז תקציב'!P47</f>
        <v>-1400119.3700000048</v>
      </c>
    </row>
  </sheetData>
  <autoFilter ref="A3:H1103" xr:uid="{00000000-0009-0000-0000-000008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גליונות עבודה</vt:lpstr>
      </vt:variant>
      <vt:variant>
        <vt:i4>30</vt:i4>
      </vt:variant>
      <vt:variant>
        <vt:lpstr>תרשימים</vt:lpstr>
      </vt:variant>
      <vt:variant>
        <vt:i4>4</vt:i4>
      </vt:variant>
      <vt:variant>
        <vt:lpstr>טווחים בעלי שם</vt:lpstr>
      </vt:variant>
      <vt:variant>
        <vt:i4>17</vt:i4>
      </vt:variant>
    </vt:vector>
  </HeadingPairs>
  <TitlesOfParts>
    <vt:vector size="51" baseType="lpstr">
      <vt:lpstr>פתיח</vt:lpstr>
      <vt:lpstr>ריכוז תקציב</vt:lpstr>
      <vt:lpstr>חלוקה לפי פרק</vt:lpstr>
      <vt:lpstr>עצמיות אחר</vt:lpstr>
      <vt:lpstr>פירוט שכר</vt:lpstr>
      <vt:lpstr>נספח א' טבלה 4-תקן</vt:lpstr>
      <vt:lpstr>הכנסות</vt:lpstr>
      <vt:lpstr>הוצאות</vt:lpstr>
      <vt:lpstr>ביצוע 2019</vt:lpstr>
      <vt:lpstr>הוצאות מותנות</vt:lpstr>
      <vt:lpstr>REP66467-JSR-1433118.wf-EXCEL-6</vt:lpstr>
      <vt:lpstr>ארנונה</vt:lpstr>
      <vt:lpstr>עצמיות חינוך</vt:lpstr>
      <vt:lpstr>עצמיות רווחה</vt:lpstr>
      <vt:lpstr>משרד חינוך</vt:lpstr>
      <vt:lpstr>משרד רווחה</vt:lpstr>
      <vt:lpstr>הכ מים</vt:lpstr>
      <vt:lpstr>תקבולים חד פעמיים</vt:lpstr>
      <vt:lpstr>פעולות כלליות</vt:lpstr>
      <vt:lpstr>שכר כללי</vt:lpstr>
      <vt:lpstr>שכר חינוך</vt:lpstr>
      <vt:lpstr>פעולות חינוך</vt:lpstr>
      <vt:lpstr>שכר רווחה</vt:lpstr>
      <vt:lpstr>פעולות רווחה</vt:lpstr>
      <vt:lpstr>מלוות ומימון</vt:lpstr>
      <vt:lpstr>הוצאות מיוחדות</vt:lpstr>
      <vt:lpstr>דוח כספי 1-10.17</vt:lpstr>
      <vt:lpstr>בדיקת חשבונות</vt:lpstr>
      <vt:lpstr>גיליון3</vt:lpstr>
      <vt:lpstr>2174</vt:lpstr>
      <vt:lpstr>תרשים הכנסות1</vt:lpstr>
      <vt:lpstr>תרשים הכנסות2</vt:lpstr>
      <vt:lpstr>תרשים הוצאות1</vt:lpstr>
      <vt:lpstr>תרשים הוצאות2</vt:lpstr>
      <vt:lpstr>'REP66467-JSR-1433118.wf-EXCEL-6'!WPrint_Area_W</vt:lpstr>
      <vt:lpstr>הוצאות!WPrint_Area_W</vt:lpstr>
      <vt:lpstr>'הוצאות מותנות'!WPrint_Area_W</vt:lpstr>
      <vt:lpstr>הכנסות!WPrint_Area_W</vt:lpstr>
      <vt:lpstr>'חלוקה לפי פרק'!WPrint_Area_W</vt:lpstr>
      <vt:lpstr>'נספח א'' טבלה 4-תקן'!WPrint_Area_W</vt:lpstr>
      <vt:lpstr>'עצמיות אחר'!WPrint_Area_W</vt:lpstr>
      <vt:lpstr>'פירוט שכר'!WPrint_Area_W</vt:lpstr>
      <vt:lpstr>'פעולות חינוך'!WPrint_Area_W</vt:lpstr>
      <vt:lpstr>'פעולות כלליות'!WPrint_Area_W</vt:lpstr>
      <vt:lpstr>פתיח!WPrint_Area_W</vt:lpstr>
      <vt:lpstr>'ריכוז תקציב'!WPrint_Area_W</vt:lpstr>
      <vt:lpstr>'שכר חינוך'!WPrint_Area_W</vt:lpstr>
      <vt:lpstr>'שכר כללי'!WPrint_Area_W</vt:lpstr>
      <vt:lpstr>הוצאות!WPrint_TitlesW</vt:lpstr>
      <vt:lpstr>הכנסות!WPrint_TitlesW</vt:lpstr>
      <vt:lpstr>'פירוט שכר'!WPrint_TitlesW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Mias Zhalka</cp:lastModifiedBy>
  <cp:lastPrinted>2020-03-14T14:11:59Z</cp:lastPrinted>
  <dcterms:created xsi:type="dcterms:W3CDTF">2015-02-10T14:56:45Z</dcterms:created>
  <dcterms:modified xsi:type="dcterms:W3CDTF">2020-03-29T14:59:51Z</dcterms:modified>
</cp:coreProperties>
</file>